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\EXTERN\Stichting VO Haaglanden\Aanbesteding 2026\Uitlever\"/>
    </mc:Choice>
  </mc:AlternateContent>
  <xr:revisionPtr revIDLastSave="0" documentId="13_ncr:1_{4C8356A0-C91D-4773-8743-30D31718993D}" xr6:coauthVersionLast="47" xr6:coauthVersionMax="47" xr10:uidLastSave="{00000000-0000-0000-0000-000000000000}"/>
  <bookViews>
    <workbookView xWindow="-120" yWindow="-120" windowWidth="29040" windowHeight="15720" firstSheet="3" activeTab="13" xr2:uid="{C22CDAFB-7A2F-4FC4-973F-7CB489373E7B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Objectinformatie" sheetId="6" r:id="rId6"/>
    <sheet name="Objecten" sheetId="7" r:id="rId7"/>
    <sheet name="Totaalblad Objecten" sheetId="8" r:id="rId8"/>
    <sheet name="Additioneel werk" sheetId="9" r:id="rId9"/>
    <sheet name="Afroep incidenteel" sheetId="10" r:id="rId10"/>
    <sheet name="Regiewerk" sheetId="11" r:id="rId11"/>
    <sheet name="Glas" sheetId="12" r:id="rId12"/>
    <sheet name="Glas per locatie" sheetId="13" r:id="rId13"/>
    <sheet name="Totaal" sheetId="14" r:id="rId14"/>
  </sheets>
  <definedNames>
    <definedName name="_xlnm._FilterDatabase" localSheetId="4" hidden="1">'Ruimten werkdag'!$A$3:$U$588</definedName>
    <definedName name="_xlnm.Print_Titles" localSheetId="8">'Additioneel werk'!$1:$3</definedName>
    <definedName name="_xlnm.Print_Titles" localSheetId="9">'Afroep incidenteel'!$1:$3</definedName>
    <definedName name="_xlnm.Print_Titles" localSheetId="2">Categorienormen!$1:$3</definedName>
    <definedName name="_xlnm.Print_Titles" localSheetId="11">Glas!$1:$3</definedName>
    <definedName name="_xlnm.Print_Titles" localSheetId="12">'Glas per locatie'!$1:$3</definedName>
    <definedName name="_xlnm.Print_Titles" localSheetId="6">Objecten!$1:$3</definedName>
    <definedName name="_xlnm.Print_Titles" localSheetId="5">Objectinformatie!$A:$D,Objectinformatie!$1:$4</definedName>
    <definedName name="_xlnm.Print_Titles" localSheetId="10">Regiewerk!$1:$3</definedName>
    <definedName name="_xlnm.Print_Titles" localSheetId="3">'Regulier werk'!$1:$3</definedName>
    <definedName name="_xlnm.Print_Titles" localSheetId="4">'Ruimten werkdag'!$1:$3</definedName>
    <definedName name="_xlnm.Print_Titles" localSheetId="1">Tariefopbouw!$A:$A,Tariefopbouw!$1:$2</definedName>
    <definedName name="_xlnm.Print_Titles" localSheetId="13">Totaal!$1:$3</definedName>
    <definedName name="_xlnm.Print_Titles" localSheetId="7">'Totaalblad Objecten'!$1:$3</definedName>
    <definedName name="catdw_1_AHB_1">Categorienormen!$F$26</definedName>
    <definedName name="catdw_1_AHV_40">Categorienormen!$F$27</definedName>
    <definedName name="catdw_1_BHB_1">Categorienormen!$F$6</definedName>
    <definedName name="catdw_1_BHV_40">Categorienormen!$F$7</definedName>
    <definedName name="catdw_1_BZB_1">Categorienormen!$F$8</definedName>
    <definedName name="catdw_1_BZV_40">Categorienormen!$F$9</definedName>
    <definedName name="catdw_1_DHB_1">Categorienormen!$F$20</definedName>
    <definedName name="catdw_1_DHV_40">Categorienormen!$F$21</definedName>
    <definedName name="catdw_1_EZB_1">Categorienormen!$F$28</definedName>
    <definedName name="catdw_1_EZV_40">Categorienormen!$F$29</definedName>
    <definedName name="catdw_1_FHB_1">Categorienormen!$F$30</definedName>
    <definedName name="catdw_1_FHV_40">Categorienormen!$F$31</definedName>
    <definedName name="catdw_1_GHB_1">Categorienormen!$F$32</definedName>
    <definedName name="catdw_1_GHV_40">Categorienormen!$F$33</definedName>
    <definedName name="catdw_1_KHB_1">Categorienormen!$F$22</definedName>
    <definedName name="catdw_1_KHV_40">Categorienormen!$F$23</definedName>
    <definedName name="catdw_1_LHB_1">Categorienormen!$F$10</definedName>
    <definedName name="catdw_1_LHV_40">Categorienormen!$F$11</definedName>
    <definedName name="catdw_1_LZB_1">Categorienormen!$F$12</definedName>
    <definedName name="catdw_1_LZV_40">Categorienormen!$F$13</definedName>
    <definedName name="catdw_1_MHB_1">Categorienormen!$F$14</definedName>
    <definedName name="catdw_1_MHV_40">Categorienormen!$F$15</definedName>
    <definedName name="catdw_1_PHB_1">Categorienormen!$F$34</definedName>
    <definedName name="catdw_1_PHV_40">Categorienormen!$F$35</definedName>
    <definedName name="catdw_1_PMHB_1">Categorienormen!$F$16</definedName>
    <definedName name="catdw_1_PMHV_40">Categorienormen!$F$17</definedName>
    <definedName name="catdw_1_PUHB_1">Categorienormen!$F$18</definedName>
    <definedName name="catdw_1_PUHV_40">Categorienormen!$F$19</definedName>
    <definedName name="catdw_1_SHB_1">Categorienormen!$F$24</definedName>
    <definedName name="catdw_1_SHV_40">Categorienormen!$F$25</definedName>
    <definedName name="catdw_1_THB_1">Categorienormen!$F$36</definedName>
    <definedName name="catdw_1_THV_40">Categorienormen!$F$37</definedName>
    <definedName name="catdw_1_VHB_1">Categorienormen!$F$38</definedName>
    <definedName name="catdw_1_VHV_40">Categorienormen!$F$39</definedName>
    <definedName name="catdw_1_XBB_1">Categorienormen!$F$40</definedName>
    <definedName name="catfd_1_AHB_1">Categorienormen!$C$26</definedName>
    <definedName name="catfd_1_AHV_40">Categorienormen!$C$27</definedName>
    <definedName name="catfd_1_BHB_1">Categorienormen!$C$6</definedName>
    <definedName name="catfd_1_BHV_40">Categorienormen!$C$7</definedName>
    <definedName name="catfd_1_BZB_1">Categorienormen!$C$8</definedName>
    <definedName name="catfd_1_BZV_40">Categorienormen!$C$9</definedName>
    <definedName name="catfd_1_DHB_1">Categorienormen!$C$20</definedName>
    <definedName name="catfd_1_DHV_40">Categorienormen!$C$21</definedName>
    <definedName name="catfd_1_EZB_1">Categorienormen!$C$28</definedName>
    <definedName name="catfd_1_EZV_40">Categorienormen!$C$29</definedName>
    <definedName name="catfd_1_FHB_1">Categorienormen!$C$30</definedName>
    <definedName name="catfd_1_FHV_40">Categorienormen!$C$31</definedName>
    <definedName name="catfd_1_GHB_1">Categorienormen!$C$32</definedName>
    <definedName name="catfd_1_GHV_40">Categorienormen!$C$33</definedName>
    <definedName name="catfd_1_KHB_1">Categorienormen!$C$22</definedName>
    <definedName name="catfd_1_KHV_40">Categorienormen!$C$23</definedName>
    <definedName name="catfd_1_LHB_1">Categorienormen!$C$10</definedName>
    <definedName name="catfd_1_LHV_40">Categorienormen!$C$11</definedName>
    <definedName name="catfd_1_LZB_1">Categorienormen!$C$12</definedName>
    <definedName name="catfd_1_LZV_40">Categorienormen!$C$13</definedName>
    <definedName name="catfd_1_MHB_1">Categorienormen!$C$14</definedName>
    <definedName name="catfd_1_MHV_40">Categorienormen!$C$15</definedName>
    <definedName name="catfd_1_PHB_1">Categorienormen!$C$34</definedName>
    <definedName name="catfd_1_PHV_40">Categorienormen!$C$35</definedName>
    <definedName name="catfd_1_PMHB_1">Categorienormen!$C$16</definedName>
    <definedName name="catfd_1_PMHV_40">Categorienormen!$C$17</definedName>
    <definedName name="catfd_1_PUHB_1">Categorienormen!$C$18</definedName>
    <definedName name="catfd_1_PUHV_40">Categorienormen!$C$19</definedName>
    <definedName name="catfd_1_SHB_1">Categorienormen!$C$24</definedName>
    <definedName name="catfd_1_SHV_40">Categorienormen!$C$25</definedName>
    <definedName name="catfd_1_THB_1">Categorienormen!$C$36</definedName>
    <definedName name="catfd_1_THV_40">Categorienormen!$C$37</definedName>
    <definedName name="catfd_1_VHB_1">Categorienormen!$C$38</definedName>
    <definedName name="catfd_1_VHV_40">Categorienormen!$C$39</definedName>
    <definedName name="catfd_1_XBB_1">Categorienormen!$C$40</definedName>
    <definedName name="catpn_1_AHB_1">Categorienormen!$E$26</definedName>
    <definedName name="catpn_1_AHV_40">Categorienormen!$E$27</definedName>
    <definedName name="catpn_1_BHB_1">Categorienormen!$E$6</definedName>
    <definedName name="catpn_1_BHV_40">Categorienormen!$E$7</definedName>
    <definedName name="catpn_1_BZB_1">Categorienormen!$E$8</definedName>
    <definedName name="catpn_1_BZV_40">Categorienormen!$E$9</definedName>
    <definedName name="catpn_1_DHB_1">Categorienormen!$E$20</definedName>
    <definedName name="catpn_1_DHV_40">Categorienormen!$E$21</definedName>
    <definedName name="catpn_1_EZB_1">Categorienormen!$E$28</definedName>
    <definedName name="catpn_1_EZV_40">Categorienormen!$E$29</definedName>
    <definedName name="catpn_1_FHB_1">Categorienormen!$E$30</definedName>
    <definedName name="catpn_1_FHV_40">Categorienormen!$E$31</definedName>
    <definedName name="catpn_1_GHB_1">Categorienormen!$E$32</definedName>
    <definedName name="catpn_1_GHV_40">Categorienormen!$E$33</definedName>
    <definedName name="catpn_1_KHB_1">Categorienormen!$E$22</definedName>
    <definedName name="catpn_1_KHV_40">Categorienormen!$E$23</definedName>
    <definedName name="catpn_1_LHB_1">Categorienormen!$E$10</definedName>
    <definedName name="catpn_1_LHV_40">Categorienormen!$E$11</definedName>
    <definedName name="catpn_1_LZB_1">Categorienormen!$E$12</definedName>
    <definedName name="catpn_1_LZV_40">Categorienormen!$E$13</definedName>
    <definedName name="catpn_1_MHB_1">Categorienormen!$E$14</definedName>
    <definedName name="catpn_1_MHV_40">Categorienormen!$E$15</definedName>
    <definedName name="catpn_1_PHB_1">Categorienormen!$E$34</definedName>
    <definedName name="catpn_1_PHV_40">Categorienormen!$E$35</definedName>
    <definedName name="catpn_1_PMHB_1">Categorienormen!$E$16</definedName>
    <definedName name="catpn_1_PMHV_40">Categorienormen!$E$17</definedName>
    <definedName name="catpn_1_PUHB_1">Categorienormen!$E$18</definedName>
    <definedName name="catpn_1_PUHV_40">Categorienormen!$E$19</definedName>
    <definedName name="catpn_1_SHB_1">Categorienormen!$E$24</definedName>
    <definedName name="catpn_1_SHV_40">Categorienormen!$E$25</definedName>
    <definedName name="catpn_1_THB_1">Categorienormen!$E$36</definedName>
    <definedName name="catpn_1_THV_40">Categorienormen!$E$37</definedName>
    <definedName name="catpn_1_VHB_1">Categorienormen!$E$38</definedName>
    <definedName name="catpn_1_VHV_40">Categorienormen!$E$39</definedName>
    <definedName name="catpn_1_XBB_1">Categorienormen!$E$40</definedName>
    <definedName name="cattf_1_AHB_1">Categorienormen!$H$26</definedName>
    <definedName name="cattf_1_AHV_40">Categorienormen!$H$27</definedName>
    <definedName name="cattf_1_BHB_1">Categorienormen!$H$6</definedName>
    <definedName name="cattf_1_BHV_40">Categorienormen!$H$7</definedName>
    <definedName name="cattf_1_BZB_1">Categorienormen!$H$8</definedName>
    <definedName name="cattf_1_BZV_40">Categorienormen!$H$9</definedName>
    <definedName name="cattf_1_DHB_1">Categorienormen!$H$20</definedName>
    <definedName name="cattf_1_DHV_40">Categorienormen!$H$21</definedName>
    <definedName name="cattf_1_EZB_1">Categorienormen!$H$28</definedName>
    <definedName name="cattf_1_EZV_40">Categorienormen!$H$29</definedName>
    <definedName name="cattf_1_FHB_1">Categorienormen!$H$30</definedName>
    <definedName name="cattf_1_FHV_40">Categorienormen!$H$31</definedName>
    <definedName name="cattf_1_GHB_1">Categorienormen!$H$32</definedName>
    <definedName name="cattf_1_GHV_40">Categorienormen!$H$33</definedName>
    <definedName name="cattf_1_KHB_1">Categorienormen!$H$22</definedName>
    <definedName name="cattf_1_KHV_40">Categorienormen!$H$23</definedName>
    <definedName name="cattf_1_LHB_1">Categorienormen!$H$10</definedName>
    <definedName name="cattf_1_LHV_40">Categorienormen!$H$11</definedName>
    <definedName name="cattf_1_LZB_1">Categorienormen!$H$12</definedName>
    <definedName name="cattf_1_LZV_40">Categorienormen!$H$13</definedName>
    <definedName name="cattf_1_MHB_1">Categorienormen!$H$14</definedName>
    <definedName name="cattf_1_MHV_40">Categorienormen!$H$15</definedName>
    <definedName name="cattf_1_PHB_1">Categorienormen!$H$34</definedName>
    <definedName name="cattf_1_PHV_40">Categorienormen!$H$35</definedName>
    <definedName name="cattf_1_PMHB_1">Categorienormen!$H$16</definedName>
    <definedName name="cattf_1_PMHV_40">Categorienormen!$H$17</definedName>
    <definedName name="cattf_1_PUHB_1">Categorienormen!$H$18</definedName>
    <definedName name="cattf_1_PUHV_40">Categorienormen!$H$19</definedName>
    <definedName name="cattf_1_SHB_1">Categorienormen!$H$24</definedName>
    <definedName name="cattf_1_SHV_40">Categorienormen!$H$25</definedName>
    <definedName name="cattf_1_THB_1">Categorienormen!$H$36</definedName>
    <definedName name="cattf_1_THV_40">Categorienormen!$H$37</definedName>
    <definedName name="cattf_1_VHB_1">Categorienormen!$H$38</definedName>
    <definedName name="cattf_1_VHV_40">Categorienormen!$H$39</definedName>
    <definedName name="cattf_1_XBB_1">Categorienormen!$H$40</definedName>
    <definedName name="dagenperjaar1">Omreken!$B$9</definedName>
    <definedName name="dagenperjaar2">Omreken!$E$9</definedName>
    <definedName name="dagenperjaar3">Omreken!$H$9</definedName>
    <definedName name="dagenperjaar4">Omreken!$K$9</definedName>
    <definedName name="dagenperjaar5">Omreken!$N$9</definedName>
    <definedName name="dagenperweek1">Omreken!$B$10</definedName>
    <definedName name="dagenperweek2">Omreken!$E$10</definedName>
    <definedName name="dagenperweek3">Omreken!$H$10</definedName>
    <definedName name="dagenperweek4">Omreken!$K$10</definedName>
    <definedName name="dagenperweek5">Omreken!$N$10</definedName>
    <definedName name="dagsoorttabel1">Omreken!$A$13:$B$28</definedName>
    <definedName name="dagsoorttabel2">Omreken!$D$13:$E$24</definedName>
    <definedName name="dagsoorttabel3">Omreken!$G$13:$H$24</definedName>
    <definedName name="dagsoorttabel4">Omreken!$J$13:$K$24</definedName>
    <definedName name="dagsoorttabel5">Omreken!$M$13:$N$15</definedName>
    <definedName name="dagwerk12">'Regulier werk'!$H$6</definedName>
    <definedName name="dagwerk13">'Regulier werk'!$H$7</definedName>
    <definedName name="dagwerk14">'Regulier werk'!$H$8</definedName>
    <definedName name="dagwerk15">'Regulier werk'!$H$9</definedName>
    <definedName name="dagwerk16">'Regulier werk'!$H$10</definedName>
    <definedName name="dagwerk17">'Regulier werk'!$H$11</definedName>
    <definedName name="dagwerk18">'Regulier werk'!$H$12</definedName>
    <definedName name="dagwerk19">'Regulier werk'!$H$13</definedName>
    <definedName name="dagwerk20">'Regulier werk'!$H$14</definedName>
    <definedName name="dagwerk21">'Regulier werk'!$H$15</definedName>
    <definedName name="dagwerk22">'Regulier werk'!$H$16</definedName>
    <definedName name="dagwerk23">'Regulier werk'!$H$17</definedName>
    <definedName name="dagwerk24">'Regulier werk'!$H$18</definedName>
    <definedName name="dagwerk25">'Regulier werk'!$H$19</definedName>
    <definedName name="dagwerk26">'Regulier werk'!$H$20</definedName>
    <definedName name="dagwerk27">'Regulier werk'!$H$21</definedName>
    <definedName name="dagwerk28">'Regulier werk'!$H$22</definedName>
    <definedName name="dagwerk29">'Regulier werk'!$H$23</definedName>
    <definedName name="dagwerk30">'Regulier werk'!$H$24</definedName>
    <definedName name="dagwerk31">'Regulier werk'!$H$25</definedName>
    <definedName name="dagwerk32">'Regulier werk'!$H$26</definedName>
    <definedName name="dagwerk33">'Regulier werk'!$H$27</definedName>
    <definedName name="dagwerk34">'Regulier werk'!$H$28</definedName>
    <definedName name="dagwerk35">'Regulier werk'!$H$29</definedName>
    <definedName name="dagwerk36">'Regulier werk'!$H$30</definedName>
    <definedName name="dagwerktabel1">Objectinformatie!$H$5:$H$29</definedName>
    <definedName name="gemuurtarief1">'Regulier werk'!$J$33</definedName>
    <definedName name="kengetaltabel1">Objectinformatie!$G$5:$G$29</definedName>
    <definedName name="object1_gemuurtarief1">'Ruimten werkdag'!$P$409</definedName>
    <definedName name="object1_opptabel1">Objectinformatie!$J$5:$J$29</definedName>
    <definedName name="object1_prijsdag1">'Ruimten werkdag'!$S$409</definedName>
    <definedName name="object1_prijsjaar1">'Ruimten werkdag'!$U$409</definedName>
    <definedName name="object1_urendag1">'Ruimten werkdag'!$Q$409</definedName>
    <definedName name="object1_urendaghf1">'Ruimten werkdag'!$R$409</definedName>
    <definedName name="object1_urenjaar1">'Ruimten werkdag'!$T$409</definedName>
    <definedName name="object2_gemuurtarief1">'Ruimten werkdag'!$P$588</definedName>
    <definedName name="object2_opptabel1">Objectinformatie!$K$5:$K$29</definedName>
    <definedName name="object2_prijsdag1">'Ruimten werkdag'!$S$588</definedName>
    <definedName name="object2_prijsjaar1">'Ruimten werkdag'!$U$588</definedName>
    <definedName name="object2_urendag1">'Ruimten werkdag'!$Q$588</definedName>
    <definedName name="object2_urendaghf1">'Ruimten werkdag'!$R$588</definedName>
    <definedName name="object2_urenjaar1">'Ruimten werkdag'!$T$588</definedName>
    <definedName name="objectprijs1_1">Objecten!$Q$6</definedName>
    <definedName name="objectprijs2_1">Objecten!$Q$7</definedName>
    <definedName name="objecturen1_1">Objecten!$P$6</definedName>
    <definedName name="objecturen2_1">Objecten!$P$7</definedName>
    <definedName name="objecturenhf1_1">Objecten!$O$6</definedName>
    <definedName name="objecturenhf2_1">Objecten!$O$7</definedName>
    <definedName name="prijsdag1">'Regulier werk'!$L$31</definedName>
    <definedName name="prijsjaar">'Regulier werk'!$N$36</definedName>
    <definedName name="prijsjaar1">'Regulier werk'!$N$31</definedName>
    <definedName name="prijsjaaradditioneel">'Additioneel werk'!$K$10</definedName>
    <definedName name="prijsjaaradditioneel1">'Additioneel werk'!$K$8</definedName>
    <definedName name="prijsjaarglas">Glas!$K$17</definedName>
    <definedName name="prijsjaarglas1">Glas!$K$15</definedName>
    <definedName name="prijsjaarregie">Regiewerk!$K$10</definedName>
    <definedName name="prijsjaarregie1">Regiewerk!$K$8</definedName>
    <definedName name="prijsjaartotaal">Objecten!$Q$11</definedName>
    <definedName name="prijsjaartotaal1">Objecten!$Q$8</definedName>
    <definedName name="prijsjaartotaaloverzicht">'Totaalblad Objecten'!$G$7</definedName>
    <definedName name="prijsmaandtotaal1">Objecten!$R$8</definedName>
    <definedName name="prodnorm0">Regiewerk!$H$7</definedName>
    <definedName name="prodnorm1">'Glas per locatie'!$I$16</definedName>
    <definedName name="prodnorm12">'Regulier werk'!$G$6</definedName>
    <definedName name="prodnorm13">'Regulier werk'!$G$7</definedName>
    <definedName name="prodnorm14">'Regulier werk'!$G$8</definedName>
    <definedName name="prodnorm15">'Regulier werk'!$G$9</definedName>
    <definedName name="prodnorm16">'Regulier werk'!$G$10</definedName>
    <definedName name="prodnorm17">'Regulier werk'!$G$11</definedName>
    <definedName name="prodnorm18">'Regulier werk'!$G$12</definedName>
    <definedName name="prodnorm19">'Regulier werk'!$G$13</definedName>
    <definedName name="prodnorm2">'Glas per locatie'!$I$17</definedName>
    <definedName name="prodnorm20">'Regulier werk'!$G$14</definedName>
    <definedName name="prodnorm21">'Regulier werk'!$G$15</definedName>
    <definedName name="prodnorm22">'Regulier werk'!$G$16</definedName>
    <definedName name="prodnorm23">'Regulier werk'!$G$17</definedName>
    <definedName name="prodnorm24">'Regulier werk'!$G$18</definedName>
    <definedName name="prodnorm25">'Regulier werk'!$G$19</definedName>
    <definedName name="prodnorm26">'Regulier werk'!$G$20</definedName>
    <definedName name="prodnorm27">'Regulier werk'!$G$21</definedName>
    <definedName name="prodnorm28">'Regulier werk'!$G$22</definedName>
    <definedName name="prodnorm29">'Regulier werk'!$G$23</definedName>
    <definedName name="prodnorm3">'Glas per locatie'!$I$18</definedName>
    <definedName name="prodnorm30">'Regulier werk'!$G$24</definedName>
    <definedName name="prodnorm31">'Regulier werk'!$G$25</definedName>
    <definedName name="prodnorm32">'Regulier werk'!$G$26</definedName>
    <definedName name="prodnorm33">'Regulier werk'!$G$27</definedName>
    <definedName name="prodnorm34">'Regulier werk'!$G$28</definedName>
    <definedName name="prodnorm35">'Regulier werk'!$G$29</definedName>
    <definedName name="prodnorm36">'Regulier werk'!$G$30</definedName>
    <definedName name="prodnorm4">'Glas per locatie'!$I$9</definedName>
    <definedName name="prodnorm5">'Glas per locatie'!$I$19</definedName>
    <definedName name="prodnorm6">'Glas per locatie'!$I$10</definedName>
    <definedName name="prodnorm7">'Glas per locatie'!$I$20</definedName>
    <definedName name="prodnorm8">'Glas per locatie'!$I$11</definedName>
    <definedName name="prodnorm9">'Glas per locatie'!$I$12</definedName>
    <definedName name="taakfreqtabel1">Objectinformatie!$E$5:$E$29</definedName>
    <definedName name="tabeltype">Omreken!$B$5:$B$5</definedName>
    <definedName name="Tariefopbouw1">Tariefopbouw!$B$53</definedName>
    <definedName name="Tariefopbouw2">Tariefopbouw!$D$53</definedName>
    <definedName name="Tariefopbouw3">Tariefopbouw!$B$61</definedName>
    <definedName name="Tariefopbouw4">Tariefopbouw!$D$61</definedName>
    <definedName name="Tariefopbouw5">Tariefopbouw!$F$61</definedName>
    <definedName name="Tariefopbouw6">Tariefopbouw!$F$53</definedName>
    <definedName name="Tariefopbouw7">Tariefopbouw!$H$53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Basisloon8">Tariefopbouw!$P$9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DirecteKosten8">Tariefopbouw!$P$26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Ervaring8">Tariefopbouw!$P$6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IndirecteKosten8">Tariefopbouw!$P$35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Naam8">Tariefopbouw!$P$5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8">Tariefopbouw!$Q$37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RisicoWinstPercentage8">Tariefopbouw!$P$37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arief8">Tariefopbouw!$P$39</definedName>
    <definedName name="TariefOpbouwTarief8DN">Tariefopbouw!$Q$41</definedName>
    <definedName name="TariefOpbouwTarief8W">Tariefopbouw!$Q$42</definedName>
    <definedName name="TariefOpbouwTarief8X">Tariefopbouw!$Q$43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TotaalLoonkosten8">Tariefopbouw!$P$19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8">Tariefopbouw!$P$12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OpbouwUurloonkosten8">Tariefopbouw!$P$14</definedName>
    <definedName name="tarieftabel1">Objectinformatie!$I$5:$I$29</definedName>
    <definedName name="TariefUitvoering1">Tariefopbouw!$C$50</definedName>
    <definedName name="TariefUitvoering2">Tariefopbouw!$E$50</definedName>
    <definedName name="TariefUitvoering3">Tariefopbouw!$C$59</definedName>
    <definedName name="TariefUitvoering4">Tariefopbouw!$E$59</definedName>
    <definedName name="TariefUitvoering5">Tariefopbouw!$G$59</definedName>
    <definedName name="TariefUitvoering6">Tariefopbouw!$G$50</definedName>
    <definedName name="TariefUitvoering7">Tariefopbouw!$I$50</definedName>
    <definedName name="urendag1">'Regulier werk'!$K$31</definedName>
    <definedName name="urenjaar">'Regulier werk'!$M$36</definedName>
    <definedName name="urenjaar1">'Regulier werk'!$M$31</definedName>
    <definedName name="urenjaartotaal">Objecten!$P$11</definedName>
    <definedName name="urenjaartotaal1">Objecten!$P$8</definedName>
    <definedName name="urenjaartotaalhf">Objecten!$O$11</definedName>
    <definedName name="urenjaartotaalhf1">Objecten!$O$8</definedName>
    <definedName name="urenjaartotaaloverzicht">'Totaalblad Objecten'!$F$7</definedName>
    <definedName name="urenjaartotaaloverzichthf">'Totaalblad Objecten'!$E$7</definedName>
    <definedName name="uurfactortabel1">Objectinformatie!$F$5:$F$29</definedName>
    <definedName name="uurtarief0">Regiewerk!$I$7</definedName>
    <definedName name="uurtarief1">'Glas per locatie'!$J$16</definedName>
    <definedName name="uurtarief12">'Regulier werk'!$J$6</definedName>
    <definedName name="uurtarief13">'Regulier werk'!$J$7</definedName>
    <definedName name="uurtarief14">'Regulier werk'!$J$8</definedName>
    <definedName name="uurtarief15">'Regulier werk'!$J$9</definedName>
    <definedName name="uurtarief16">'Regulier werk'!$J$10</definedName>
    <definedName name="uurtarief17">'Regulier werk'!$J$11</definedName>
    <definedName name="uurtarief18">'Regulier werk'!$J$12</definedName>
    <definedName name="uurtarief19">'Regulier werk'!$J$13</definedName>
    <definedName name="uurtarief2">'Glas per locatie'!$J$17</definedName>
    <definedName name="uurtarief20">'Regulier werk'!$J$14</definedName>
    <definedName name="uurtarief21">'Regulier werk'!$J$15</definedName>
    <definedName name="uurtarief22">'Regulier werk'!$J$16</definedName>
    <definedName name="uurtarief23">'Regulier werk'!$J$17</definedName>
    <definedName name="uurtarief24">'Regulier werk'!$J$18</definedName>
    <definedName name="uurtarief25">'Regulier werk'!$J$19</definedName>
    <definedName name="uurtarief26">'Regulier werk'!$J$20</definedName>
    <definedName name="uurtarief27">'Regulier werk'!$J$21</definedName>
    <definedName name="uurtarief28">'Regulier werk'!$J$22</definedName>
    <definedName name="uurtarief29">'Regulier werk'!$J$23</definedName>
    <definedName name="uurtarief3">'Glas per locatie'!$J$18</definedName>
    <definedName name="uurtarief30">'Regulier werk'!$J$24</definedName>
    <definedName name="uurtarief31">'Regulier werk'!$J$25</definedName>
    <definedName name="uurtarief32">'Regulier werk'!$J$26</definedName>
    <definedName name="uurtarief33">'Regulier werk'!$J$27</definedName>
    <definedName name="uurtarief34">'Regulier werk'!$J$28</definedName>
    <definedName name="uurtarief35">'Regulier werk'!$J$29</definedName>
    <definedName name="uurtarief36">'Regulier werk'!$J$30</definedName>
    <definedName name="uurtarief4">'Glas per locatie'!$J$9</definedName>
    <definedName name="uurtarief5">'Glas per locatie'!$J$19</definedName>
    <definedName name="uurtarief6">'Glas per locatie'!$J$10</definedName>
    <definedName name="uurtarief7">'Glas per locatie'!$J$20</definedName>
    <definedName name="uurtarief8">'Glas per locatie'!$J$11</definedName>
    <definedName name="uurtarief9">'Glas per locatie'!$J$12</definedName>
    <definedName name="vp_additioneel">Totaal!$D$5</definedName>
    <definedName name="vp_regie">Totaal!$D$6</definedName>
    <definedName name="vp_variant">Totaal!$D$12</definedName>
    <definedName name="vu_regulier">Totaal!$B$4</definedName>
    <definedName name="vu_variant">Totaal!$B$9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4" l="1"/>
  <c r="A1" i="14"/>
  <c r="J20" i="13"/>
  <c r="K20" i="13" s="1"/>
  <c r="J19" i="13"/>
  <c r="K19" i="13" s="1"/>
  <c r="J18" i="13"/>
  <c r="K18" i="13" s="1"/>
  <c r="J17" i="13"/>
  <c r="K17" i="13" s="1"/>
  <c r="J16" i="13"/>
  <c r="K16" i="13" s="1"/>
  <c r="K21" i="13" s="1"/>
  <c r="J12" i="13"/>
  <c r="K12" i="13" s="1"/>
  <c r="J11" i="13"/>
  <c r="K11" i="13" s="1"/>
  <c r="J10" i="13"/>
  <c r="K10" i="13" s="1"/>
  <c r="J9" i="13"/>
  <c r="K9" i="13" s="1"/>
  <c r="J8" i="13"/>
  <c r="K8" i="13" s="1"/>
  <c r="J7" i="13"/>
  <c r="K7" i="13" s="1"/>
  <c r="J6" i="13"/>
  <c r="K6" i="13" s="1"/>
  <c r="K13" i="13" s="1"/>
  <c r="A1" i="13"/>
  <c r="J14" i="12"/>
  <c r="J13" i="12"/>
  <c r="J12" i="12"/>
  <c r="J11" i="12"/>
  <c r="J10" i="12"/>
  <c r="J9" i="12"/>
  <c r="J8" i="12"/>
  <c r="J7" i="12"/>
  <c r="J6" i="12"/>
  <c r="A1" i="12"/>
  <c r="A1" i="11"/>
  <c r="A1" i="10"/>
  <c r="J6" i="9"/>
  <c r="A1" i="9"/>
  <c r="A1" i="8"/>
  <c r="A1" i="7"/>
  <c r="H29" i="6"/>
  <c r="G29" i="6"/>
  <c r="N581" i="5"/>
  <c r="M581" i="5"/>
  <c r="N554" i="5"/>
  <c r="M554" i="5"/>
  <c r="N509" i="5"/>
  <c r="M509" i="5"/>
  <c r="N497" i="5"/>
  <c r="M497" i="5"/>
  <c r="A1" i="5"/>
  <c r="K30" i="4"/>
  <c r="M30" i="4" s="1"/>
  <c r="H29" i="4"/>
  <c r="G29" i="4"/>
  <c r="J28" i="4"/>
  <c r="H28" i="4"/>
  <c r="G28" i="4"/>
  <c r="J27" i="4"/>
  <c r="H27" i="4"/>
  <c r="G27" i="4"/>
  <c r="J26" i="4"/>
  <c r="H26" i="4"/>
  <c r="G26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J17" i="4"/>
  <c r="H17" i="4"/>
  <c r="G17" i="4"/>
  <c r="J16" i="4"/>
  <c r="H16" i="4"/>
  <c r="G16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A1" i="4"/>
  <c r="A1" i="3"/>
  <c r="A60" i="2"/>
  <c r="F59" i="2"/>
  <c r="D59" i="2"/>
  <c r="B59" i="2"/>
  <c r="A58" i="2"/>
  <c r="A57" i="2"/>
  <c r="A52" i="2"/>
  <c r="A51" i="2"/>
  <c r="H50" i="2"/>
  <c r="F50" i="2"/>
  <c r="D50" i="2"/>
  <c r="B50" i="2"/>
  <c r="A49" i="2"/>
  <c r="A48" i="2"/>
  <c r="A47" i="2"/>
  <c r="P9" i="2"/>
  <c r="N9" i="2"/>
  <c r="L9" i="2"/>
  <c r="J9" i="2"/>
  <c r="H9" i="2"/>
  <c r="F9" i="2"/>
  <c r="D9" i="2"/>
  <c r="B9" i="2"/>
  <c r="N15" i="1"/>
  <c r="N14" i="1"/>
  <c r="N13" i="1"/>
  <c r="K24" i="1"/>
  <c r="K23" i="1"/>
  <c r="K22" i="1"/>
  <c r="K21" i="1"/>
  <c r="K20" i="1"/>
  <c r="K19" i="1"/>
  <c r="K18" i="1"/>
  <c r="K17" i="1"/>
  <c r="K16" i="1"/>
  <c r="K15" i="1"/>
  <c r="K14" i="1"/>
  <c r="K13" i="1"/>
  <c r="H24" i="1"/>
  <c r="H23" i="1"/>
  <c r="H22" i="1"/>
  <c r="H21" i="1"/>
  <c r="H20" i="1"/>
  <c r="H19" i="1"/>
  <c r="H18" i="1"/>
  <c r="H17" i="1"/>
  <c r="H16" i="1"/>
  <c r="H15" i="1"/>
  <c r="H14" i="1"/>
  <c r="H13" i="1"/>
  <c r="E24" i="1"/>
  <c r="E23" i="1"/>
  <c r="E22" i="1"/>
  <c r="E21" i="1"/>
  <c r="E20" i="1"/>
  <c r="E19" i="1"/>
  <c r="E18" i="1"/>
  <c r="E17" i="1"/>
  <c r="E16" i="1"/>
  <c r="E15" i="1"/>
  <c r="E14" i="1"/>
  <c r="E13" i="1"/>
  <c r="B28" i="1"/>
  <c r="B27" i="1"/>
  <c r="B26" i="1"/>
  <c r="B25" i="1"/>
  <c r="C7" i="9" s="1"/>
  <c r="B24" i="1"/>
  <c r="B23" i="1"/>
  <c r="B22" i="1"/>
  <c r="B21" i="1"/>
  <c r="B20" i="1"/>
  <c r="B19" i="1"/>
  <c r="B18" i="1"/>
  <c r="B17" i="1"/>
  <c r="B16" i="1"/>
  <c r="B15" i="1"/>
  <c r="B14" i="1"/>
  <c r="B13" i="1"/>
  <c r="E27" i="6" l="1"/>
  <c r="E25" i="6"/>
  <c r="E24" i="6"/>
  <c r="E23" i="6"/>
  <c r="E22" i="6"/>
  <c r="E21" i="6"/>
  <c r="E20" i="6"/>
  <c r="E19" i="6"/>
  <c r="E18" i="6"/>
  <c r="E17" i="6"/>
  <c r="E16" i="6"/>
  <c r="E13" i="6"/>
  <c r="E12" i="6"/>
  <c r="E11" i="6"/>
  <c r="E10" i="6"/>
  <c r="E7" i="6"/>
  <c r="E5" i="6"/>
  <c r="L587" i="5"/>
  <c r="L585" i="5"/>
  <c r="L583" i="5"/>
  <c r="L582" i="5"/>
  <c r="L579" i="5"/>
  <c r="L576" i="5"/>
  <c r="L574" i="5"/>
  <c r="L572" i="5"/>
  <c r="L570" i="5"/>
  <c r="L568" i="5"/>
  <c r="L566" i="5"/>
  <c r="L564" i="5"/>
  <c r="L562" i="5"/>
  <c r="L560" i="5"/>
  <c r="L558" i="5"/>
  <c r="L557" i="5"/>
  <c r="L555" i="5"/>
  <c r="L551" i="5"/>
  <c r="L549" i="5"/>
  <c r="L547" i="5"/>
  <c r="L545" i="5"/>
  <c r="L543" i="5"/>
  <c r="L542" i="5"/>
  <c r="L541" i="5"/>
  <c r="L540" i="5"/>
  <c r="L538" i="5"/>
  <c r="L536" i="5"/>
  <c r="L534" i="5"/>
  <c r="L532" i="5"/>
  <c r="L530" i="5"/>
  <c r="L528" i="5"/>
  <c r="L526" i="5"/>
  <c r="L525" i="5"/>
  <c r="L523" i="5"/>
  <c r="L522" i="5"/>
  <c r="L520" i="5"/>
  <c r="L517" i="5"/>
  <c r="L516" i="5"/>
  <c r="L515" i="5"/>
  <c r="L513" i="5"/>
  <c r="L511" i="5"/>
  <c r="L507" i="5"/>
  <c r="L506" i="5"/>
  <c r="L504" i="5"/>
  <c r="L502" i="5"/>
  <c r="L500" i="5"/>
  <c r="L498" i="5"/>
  <c r="L494" i="5"/>
  <c r="L493" i="5"/>
  <c r="L492" i="5"/>
  <c r="L491" i="5"/>
  <c r="L490" i="5"/>
  <c r="L488" i="5"/>
  <c r="L486" i="5"/>
  <c r="L484" i="5"/>
  <c r="L482" i="5"/>
  <c r="L480" i="5"/>
  <c r="L478" i="5"/>
  <c r="L476" i="5"/>
  <c r="L475" i="5"/>
  <c r="L474" i="5"/>
  <c r="L473" i="5"/>
  <c r="L472" i="5"/>
  <c r="L470" i="5"/>
  <c r="L467" i="5"/>
  <c r="L466" i="5"/>
  <c r="L465" i="5"/>
  <c r="L463" i="5"/>
  <c r="L461" i="5"/>
  <c r="L460" i="5"/>
  <c r="L458" i="5"/>
  <c r="L456" i="5"/>
  <c r="L454" i="5"/>
  <c r="L453" i="5"/>
  <c r="L452" i="5"/>
  <c r="L451" i="5"/>
  <c r="L437" i="5"/>
  <c r="L436" i="5"/>
  <c r="L435" i="5"/>
  <c r="L432" i="5"/>
  <c r="L431" i="5"/>
  <c r="L430" i="5"/>
  <c r="L428" i="5"/>
  <c r="L426" i="5"/>
  <c r="L424" i="5"/>
  <c r="L422" i="5"/>
  <c r="L420" i="5"/>
  <c r="L418" i="5"/>
  <c r="L416" i="5"/>
  <c r="L415" i="5"/>
  <c r="L414" i="5"/>
  <c r="L413" i="5"/>
  <c r="L407" i="5"/>
  <c r="L405" i="5"/>
  <c r="L403" i="5"/>
  <c r="L401" i="5"/>
  <c r="L400" i="5"/>
  <c r="L398" i="5"/>
  <c r="L396" i="5"/>
  <c r="L395" i="5"/>
  <c r="L394" i="5"/>
  <c r="L393" i="5"/>
  <c r="L392" i="5"/>
  <c r="L390" i="5"/>
  <c r="L388" i="5"/>
  <c r="L386" i="5"/>
  <c r="L384" i="5"/>
  <c r="L382" i="5"/>
  <c r="L381" i="5"/>
  <c r="L380" i="5"/>
  <c r="L379" i="5"/>
  <c r="L377" i="5"/>
  <c r="L376" i="5"/>
  <c r="L375" i="5"/>
  <c r="L373" i="5"/>
  <c r="L371" i="5"/>
  <c r="L370" i="5"/>
  <c r="L369" i="5"/>
  <c r="L368" i="5"/>
  <c r="L367" i="5"/>
  <c r="L366" i="5"/>
  <c r="L364" i="5"/>
  <c r="L362" i="5"/>
  <c r="L361" i="5"/>
  <c r="L359" i="5"/>
  <c r="L358" i="5"/>
  <c r="L357" i="5"/>
  <c r="L356" i="5"/>
  <c r="L355" i="5"/>
  <c r="L354" i="5"/>
  <c r="L353" i="5"/>
  <c r="L352" i="5"/>
  <c r="L350" i="5"/>
  <c r="L346" i="5"/>
  <c r="L344" i="5"/>
  <c r="L342" i="5"/>
  <c r="L340" i="5"/>
  <c r="L338" i="5"/>
  <c r="L336" i="5"/>
  <c r="L334" i="5"/>
  <c r="L332" i="5"/>
  <c r="L330" i="5"/>
  <c r="L326" i="5"/>
  <c r="L325" i="5"/>
  <c r="L324" i="5"/>
  <c r="L322" i="5"/>
  <c r="L320" i="5"/>
  <c r="L298" i="5"/>
  <c r="L296" i="5"/>
  <c r="L294" i="5"/>
  <c r="L293" i="5"/>
  <c r="L292" i="5"/>
  <c r="L290" i="5"/>
  <c r="L288" i="5"/>
  <c r="L284" i="5"/>
  <c r="L282" i="5"/>
  <c r="L281" i="5"/>
  <c r="L280" i="5"/>
  <c r="L279" i="5"/>
  <c r="L278" i="5"/>
  <c r="L276" i="5"/>
  <c r="L275" i="5"/>
  <c r="L273" i="5"/>
  <c r="L271" i="5"/>
  <c r="L270" i="5"/>
  <c r="L266" i="5"/>
  <c r="L264" i="5"/>
  <c r="L262" i="5"/>
  <c r="L260" i="5"/>
  <c r="L258" i="5"/>
  <c r="L256" i="5"/>
  <c r="L254" i="5"/>
  <c r="L252" i="5"/>
  <c r="L250" i="5"/>
  <c r="L249" i="5"/>
  <c r="L247" i="5"/>
  <c r="L246" i="5"/>
  <c r="L245" i="5"/>
  <c r="L244" i="5"/>
  <c r="L243" i="5"/>
  <c r="L242" i="5"/>
  <c r="L240" i="5"/>
  <c r="L239" i="5"/>
  <c r="L238" i="5"/>
  <c r="L237" i="5"/>
  <c r="L235" i="5"/>
  <c r="L234" i="5"/>
  <c r="L233" i="5"/>
  <c r="L228" i="5"/>
  <c r="L226" i="5"/>
  <c r="L225" i="5"/>
  <c r="L223" i="5"/>
  <c r="L221" i="5"/>
  <c r="L219" i="5"/>
  <c r="L217" i="5"/>
  <c r="L213" i="5"/>
  <c r="L211" i="5"/>
  <c r="L209" i="5"/>
  <c r="L207" i="5"/>
  <c r="L205" i="5"/>
  <c r="L203" i="5"/>
  <c r="L201" i="5"/>
  <c r="L199" i="5"/>
  <c r="L197" i="5"/>
  <c r="L195" i="5"/>
  <c r="L193" i="5"/>
  <c r="L188" i="5"/>
  <c r="L187" i="5"/>
  <c r="L185" i="5"/>
  <c r="L184" i="5"/>
  <c r="L182" i="5"/>
  <c r="L179" i="5"/>
  <c r="L177" i="5"/>
  <c r="L176" i="5"/>
  <c r="L175" i="5"/>
  <c r="L174" i="5"/>
  <c r="L172" i="5"/>
  <c r="L171" i="5"/>
  <c r="L169" i="5"/>
  <c r="L150" i="5"/>
  <c r="L149" i="5"/>
  <c r="L148" i="5"/>
  <c r="L144" i="5"/>
  <c r="L142" i="5"/>
  <c r="L141" i="5"/>
  <c r="L140" i="5"/>
  <c r="L139" i="5"/>
  <c r="L137" i="5"/>
  <c r="L136" i="5"/>
  <c r="L135" i="5"/>
  <c r="L134" i="5"/>
  <c r="L133" i="5"/>
  <c r="L132" i="5"/>
  <c r="L130" i="5"/>
  <c r="L129" i="5"/>
  <c r="L128" i="5"/>
  <c r="L127" i="5"/>
  <c r="L124" i="5"/>
  <c r="L122" i="5"/>
  <c r="L118" i="5"/>
  <c r="L116" i="5"/>
  <c r="L114" i="5"/>
  <c r="L112" i="5"/>
  <c r="L110" i="5"/>
  <c r="L108" i="5"/>
  <c r="L106" i="5"/>
  <c r="L104" i="5"/>
  <c r="L102" i="5"/>
  <c r="L101" i="5"/>
  <c r="L100" i="5"/>
  <c r="L98" i="5"/>
  <c r="L97" i="5"/>
  <c r="L96" i="5"/>
  <c r="L94" i="5"/>
  <c r="L92" i="5"/>
  <c r="L91" i="5"/>
  <c r="L90" i="5"/>
  <c r="L89" i="5"/>
  <c r="L87" i="5"/>
  <c r="L83" i="5"/>
  <c r="L82" i="5"/>
  <c r="L80" i="5"/>
  <c r="L78" i="5"/>
  <c r="L75" i="5"/>
  <c r="L73" i="5"/>
  <c r="L72" i="5"/>
  <c r="L70" i="5"/>
  <c r="L68" i="5"/>
  <c r="L67" i="5"/>
  <c r="L65" i="5"/>
  <c r="L64" i="5"/>
  <c r="L62" i="5"/>
  <c r="L60" i="5"/>
  <c r="L59" i="5"/>
  <c r="L57" i="5"/>
  <c r="L55" i="5"/>
  <c r="L54" i="5"/>
  <c r="L53" i="5"/>
  <c r="L52" i="5"/>
  <c r="L50" i="5"/>
  <c r="L48" i="5"/>
  <c r="L46" i="5"/>
  <c r="L44" i="5"/>
  <c r="L42" i="5"/>
  <c r="L40" i="5"/>
  <c r="L38" i="5"/>
  <c r="L37" i="5"/>
  <c r="L36" i="5"/>
  <c r="L35" i="5"/>
  <c r="L33" i="5"/>
  <c r="L31" i="5"/>
  <c r="L29" i="5"/>
  <c r="L28" i="5"/>
  <c r="L26" i="5"/>
  <c r="L25" i="5"/>
  <c r="L23" i="5"/>
  <c r="L21" i="5"/>
  <c r="L15" i="5"/>
  <c r="L14" i="5"/>
  <c r="L13" i="5"/>
  <c r="L9" i="5"/>
  <c r="L7" i="5"/>
  <c r="L6" i="5"/>
  <c r="L5" i="5"/>
  <c r="F28" i="4"/>
  <c r="F26" i="4"/>
  <c r="F25" i="4"/>
  <c r="F24" i="4"/>
  <c r="F23" i="4"/>
  <c r="F22" i="4"/>
  <c r="F21" i="4"/>
  <c r="F20" i="4"/>
  <c r="F19" i="4"/>
  <c r="F18" i="4"/>
  <c r="F17" i="4"/>
  <c r="F14" i="4"/>
  <c r="F13" i="4"/>
  <c r="F12" i="4"/>
  <c r="F11" i="4"/>
  <c r="F8" i="4"/>
  <c r="F6" i="4"/>
  <c r="E26" i="6"/>
  <c r="E15" i="6"/>
  <c r="E9" i="6"/>
  <c r="E8" i="6"/>
  <c r="E6" i="6"/>
  <c r="L577" i="5"/>
  <c r="L518" i="5"/>
  <c r="L510" i="5"/>
  <c r="L508" i="5"/>
  <c r="L468" i="5"/>
  <c r="L449" i="5"/>
  <c r="L447" i="5"/>
  <c r="L445" i="5"/>
  <c r="L443" i="5"/>
  <c r="L441" i="5"/>
  <c r="L439" i="5"/>
  <c r="L433" i="5"/>
  <c r="L411" i="5"/>
  <c r="L348" i="5"/>
  <c r="L328" i="5"/>
  <c r="L318" i="5"/>
  <c r="L316" i="5"/>
  <c r="L314" i="5"/>
  <c r="L312" i="5"/>
  <c r="L310" i="5"/>
  <c r="L308" i="5"/>
  <c r="L306" i="5"/>
  <c r="L304" i="5"/>
  <c r="L302" i="5"/>
  <c r="L300" i="5"/>
  <c r="L286" i="5"/>
  <c r="L268" i="5"/>
  <c r="L248" i="5"/>
  <c r="L232" i="5"/>
  <c r="L231" i="5"/>
  <c r="L230" i="5"/>
  <c r="L229" i="5"/>
  <c r="L218" i="5"/>
  <c r="L215" i="5"/>
  <c r="L191" i="5"/>
  <c r="L189" i="5"/>
  <c r="L167" i="5"/>
  <c r="L165" i="5"/>
  <c r="L163" i="5"/>
  <c r="L161" i="5"/>
  <c r="L159" i="5"/>
  <c r="L157" i="5"/>
  <c r="L155" i="5"/>
  <c r="L153" i="5"/>
  <c r="L151" i="5"/>
  <c r="L146" i="5"/>
  <c r="L125" i="5"/>
  <c r="L120" i="5"/>
  <c r="L85" i="5"/>
  <c r="L76" i="5"/>
  <c r="L69" i="5"/>
  <c r="L19" i="5"/>
  <c r="L17" i="5"/>
  <c r="L12" i="5"/>
  <c r="F27" i="4"/>
  <c r="F16" i="4"/>
  <c r="F10" i="4"/>
  <c r="F9" i="4"/>
  <c r="F7" i="4"/>
  <c r="E29" i="6"/>
  <c r="E14" i="6"/>
  <c r="L581" i="5"/>
  <c r="L554" i="5"/>
  <c r="L524" i="5"/>
  <c r="Q524" i="5" s="1"/>
  <c r="L521" i="5"/>
  <c r="L509" i="5"/>
  <c r="L497" i="5"/>
  <c r="L471" i="5"/>
  <c r="L289" i="5"/>
  <c r="L71" i="5"/>
  <c r="L47" i="5"/>
  <c r="L11" i="5"/>
  <c r="Q11" i="5" s="1"/>
  <c r="F30" i="4"/>
  <c r="F15" i="4"/>
  <c r="C7" i="11"/>
  <c r="C6" i="11"/>
  <c r="C20" i="13"/>
  <c r="L20" i="13" s="1"/>
  <c r="M20" i="13" s="1"/>
  <c r="C19" i="13"/>
  <c r="L19" i="13" s="1"/>
  <c r="M19" i="13" s="1"/>
  <c r="C18" i="13"/>
  <c r="L18" i="13" s="1"/>
  <c r="M18" i="13" s="1"/>
  <c r="C17" i="13"/>
  <c r="L17" i="13" s="1"/>
  <c r="M17" i="13" s="1"/>
  <c r="C16" i="13"/>
  <c r="L16" i="13" s="1"/>
  <c r="C12" i="13"/>
  <c r="L12" i="13" s="1"/>
  <c r="M12" i="13" s="1"/>
  <c r="C11" i="13"/>
  <c r="L11" i="13" s="1"/>
  <c r="M11" i="13" s="1"/>
  <c r="C10" i="13"/>
  <c r="L10" i="13" s="1"/>
  <c r="M10" i="13" s="1"/>
  <c r="C9" i="13"/>
  <c r="L9" i="13" s="1"/>
  <c r="M9" i="13" s="1"/>
  <c r="C8" i="13"/>
  <c r="L8" i="13" s="1"/>
  <c r="M8" i="13" s="1"/>
  <c r="C7" i="13"/>
  <c r="L7" i="13" s="1"/>
  <c r="M7" i="13" s="1"/>
  <c r="C6" i="13"/>
  <c r="L6" i="13" s="1"/>
  <c r="C14" i="12"/>
  <c r="K14" i="12" s="1"/>
  <c r="L14" i="12" s="1"/>
  <c r="C13" i="12"/>
  <c r="K13" i="12" s="1"/>
  <c r="L13" i="12" s="1"/>
  <c r="C12" i="12"/>
  <c r="K12" i="12" s="1"/>
  <c r="L12" i="12" s="1"/>
  <c r="C11" i="12"/>
  <c r="K11" i="12" s="1"/>
  <c r="L11" i="12" s="1"/>
  <c r="C10" i="12"/>
  <c r="K10" i="12" s="1"/>
  <c r="L10" i="12" s="1"/>
  <c r="C9" i="12"/>
  <c r="K9" i="12" s="1"/>
  <c r="L9" i="12" s="1"/>
  <c r="C8" i="12"/>
  <c r="K8" i="12" s="1"/>
  <c r="L8" i="12" s="1"/>
  <c r="C7" i="12"/>
  <c r="K7" i="12" s="1"/>
  <c r="L7" i="12" s="1"/>
  <c r="C6" i="12"/>
  <c r="K6" i="12" s="1"/>
  <c r="C6" i="9"/>
  <c r="K6" i="9" s="1"/>
  <c r="E28" i="6"/>
  <c r="L586" i="5"/>
  <c r="L584" i="5"/>
  <c r="L580" i="5"/>
  <c r="L578" i="5"/>
  <c r="L575" i="5"/>
  <c r="L573" i="5"/>
  <c r="L571" i="5"/>
  <c r="L569" i="5"/>
  <c r="L567" i="5"/>
  <c r="L565" i="5"/>
  <c r="L563" i="5"/>
  <c r="L561" i="5"/>
  <c r="L559" i="5"/>
  <c r="L556" i="5"/>
  <c r="L553" i="5"/>
  <c r="L552" i="5"/>
  <c r="L550" i="5"/>
  <c r="L548" i="5"/>
  <c r="L546" i="5"/>
  <c r="L544" i="5"/>
  <c r="L539" i="5"/>
  <c r="L537" i="5"/>
  <c r="L535" i="5"/>
  <c r="L533" i="5"/>
  <c r="L531" i="5"/>
  <c r="L529" i="5"/>
  <c r="L527" i="5"/>
  <c r="L519" i="5"/>
  <c r="L514" i="5"/>
  <c r="L512" i="5"/>
  <c r="L505" i="5"/>
  <c r="L503" i="5"/>
  <c r="L501" i="5"/>
  <c r="L499" i="5"/>
  <c r="L496" i="5"/>
  <c r="L495" i="5"/>
  <c r="L489" i="5"/>
  <c r="L487" i="5"/>
  <c r="L485" i="5"/>
  <c r="L483" i="5"/>
  <c r="L481" i="5"/>
  <c r="L479" i="5"/>
  <c r="L477" i="5"/>
  <c r="L469" i="5"/>
  <c r="L464" i="5"/>
  <c r="L462" i="5"/>
  <c r="L459" i="5"/>
  <c r="L457" i="5"/>
  <c r="L455" i="5"/>
  <c r="L450" i="5"/>
  <c r="L448" i="5"/>
  <c r="L446" i="5"/>
  <c r="L444" i="5"/>
  <c r="L442" i="5"/>
  <c r="L440" i="5"/>
  <c r="L438" i="5"/>
  <c r="L434" i="5"/>
  <c r="L429" i="5"/>
  <c r="L427" i="5"/>
  <c r="L425" i="5"/>
  <c r="L423" i="5"/>
  <c r="L421" i="5"/>
  <c r="L419" i="5"/>
  <c r="L417" i="5"/>
  <c r="L412" i="5"/>
  <c r="L408" i="5"/>
  <c r="L406" i="5"/>
  <c r="L404" i="5"/>
  <c r="L402" i="5"/>
  <c r="L399" i="5"/>
  <c r="L397" i="5"/>
  <c r="L391" i="5"/>
  <c r="L389" i="5"/>
  <c r="L387" i="5"/>
  <c r="L385" i="5"/>
  <c r="L383" i="5"/>
  <c r="L378" i="5"/>
  <c r="L374" i="5"/>
  <c r="L372" i="5"/>
  <c r="L365" i="5"/>
  <c r="L363" i="5"/>
  <c r="L360" i="5"/>
  <c r="L351" i="5"/>
  <c r="L349" i="5"/>
  <c r="L347" i="5"/>
  <c r="L345" i="5"/>
  <c r="L343" i="5"/>
  <c r="L341" i="5"/>
  <c r="L339" i="5"/>
  <c r="L337" i="5"/>
  <c r="L335" i="5"/>
  <c r="L333" i="5"/>
  <c r="L331" i="5"/>
  <c r="L329" i="5"/>
  <c r="L327" i="5"/>
  <c r="L323" i="5"/>
  <c r="L321" i="5"/>
  <c r="L319" i="5"/>
  <c r="L317" i="5"/>
  <c r="L315" i="5"/>
  <c r="L313" i="5"/>
  <c r="L311" i="5"/>
  <c r="L309" i="5"/>
  <c r="L307" i="5"/>
  <c r="L305" i="5"/>
  <c r="L303" i="5"/>
  <c r="L301" i="5"/>
  <c r="L299" i="5"/>
  <c r="L297" i="5"/>
  <c r="L295" i="5"/>
  <c r="L291" i="5"/>
  <c r="L287" i="5"/>
  <c r="L285" i="5"/>
  <c r="L283" i="5"/>
  <c r="L277" i="5"/>
  <c r="L274" i="5"/>
  <c r="L272" i="5"/>
  <c r="L269" i="5"/>
  <c r="L267" i="5"/>
  <c r="L265" i="5"/>
  <c r="L263" i="5"/>
  <c r="L261" i="5"/>
  <c r="L259" i="5"/>
  <c r="L257" i="5"/>
  <c r="L255" i="5"/>
  <c r="L253" i="5"/>
  <c r="L251" i="5"/>
  <c r="L241" i="5"/>
  <c r="L236" i="5"/>
  <c r="L227" i="5"/>
  <c r="L224" i="5"/>
  <c r="L222" i="5"/>
  <c r="L220" i="5"/>
  <c r="L216" i="5"/>
  <c r="L214" i="5"/>
  <c r="L212" i="5"/>
  <c r="L210" i="5"/>
  <c r="L208" i="5"/>
  <c r="L206" i="5"/>
  <c r="L204" i="5"/>
  <c r="L202" i="5"/>
  <c r="L200" i="5"/>
  <c r="L198" i="5"/>
  <c r="L196" i="5"/>
  <c r="L194" i="5"/>
  <c r="L192" i="5"/>
  <c r="L190" i="5"/>
  <c r="L186" i="5"/>
  <c r="L183" i="5"/>
  <c r="L181" i="5"/>
  <c r="L180" i="5"/>
  <c r="L178" i="5"/>
  <c r="L173" i="5"/>
  <c r="L170" i="5"/>
  <c r="L168" i="5"/>
  <c r="L166" i="5"/>
  <c r="L164" i="5"/>
  <c r="L162" i="5"/>
  <c r="L160" i="5"/>
  <c r="L158" i="5"/>
  <c r="L156" i="5"/>
  <c r="L154" i="5"/>
  <c r="L152" i="5"/>
  <c r="L147" i="5"/>
  <c r="L145" i="5"/>
  <c r="L143" i="5"/>
  <c r="L138" i="5"/>
  <c r="L131" i="5"/>
  <c r="L126" i="5"/>
  <c r="L123" i="5"/>
  <c r="L121" i="5"/>
  <c r="L119" i="5"/>
  <c r="L117" i="5"/>
  <c r="L115" i="5"/>
  <c r="L113" i="5"/>
  <c r="L111" i="5"/>
  <c r="L109" i="5"/>
  <c r="L107" i="5"/>
  <c r="L105" i="5"/>
  <c r="L103" i="5"/>
  <c r="L99" i="5"/>
  <c r="L95" i="5"/>
  <c r="L93" i="5"/>
  <c r="L88" i="5"/>
  <c r="L86" i="5"/>
  <c r="L84" i="5"/>
  <c r="L81" i="5"/>
  <c r="L79" i="5"/>
  <c r="L77" i="5"/>
  <c r="L74" i="5"/>
  <c r="L66" i="5"/>
  <c r="L63" i="5"/>
  <c r="L61" i="5"/>
  <c r="L58" i="5"/>
  <c r="L56" i="5"/>
  <c r="L51" i="5"/>
  <c r="L49" i="5"/>
  <c r="L45" i="5"/>
  <c r="L43" i="5"/>
  <c r="L41" i="5"/>
  <c r="L39" i="5"/>
  <c r="L34" i="5"/>
  <c r="L32" i="5"/>
  <c r="L30" i="5"/>
  <c r="L27" i="5"/>
  <c r="L24" i="5"/>
  <c r="L22" i="5"/>
  <c r="L20" i="5"/>
  <c r="L18" i="5"/>
  <c r="L16" i="5"/>
  <c r="L10" i="5"/>
  <c r="L8" i="5"/>
  <c r="F29" i="4"/>
  <c r="C11" i="2"/>
  <c r="C10" i="2"/>
  <c r="B12" i="2" s="1"/>
  <c r="E11" i="2"/>
  <c r="E10" i="2"/>
  <c r="D12" i="2" s="1"/>
  <c r="G11" i="2"/>
  <c r="G10" i="2"/>
  <c r="F12" i="2" s="1"/>
  <c r="I11" i="2"/>
  <c r="I10" i="2"/>
  <c r="H12" i="2" s="1"/>
  <c r="K11" i="2"/>
  <c r="K10" i="2"/>
  <c r="J12" i="2" s="1"/>
  <c r="M11" i="2"/>
  <c r="M10" i="2"/>
  <c r="L12" i="2" s="1"/>
  <c r="O11" i="2"/>
  <c r="O10" i="2"/>
  <c r="N12" i="2" s="1"/>
  <c r="Q11" i="2"/>
  <c r="Q10" i="2"/>
  <c r="P12" i="2" s="1"/>
  <c r="G5" i="6"/>
  <c r="M587" i="5"/>
  <c r="M507" i="5"/>
  <c r="M182" i="5"/>
  <c r="M169" i="5"/>
  <c r="M122" i="5"/>
  <c r="M72" i="5"/>
  <c r="M15" i="5"/>
  <c r="M13" i="5"/>
  <c r="K6" i="4"/>
  <c r="H5" i="6"/>
  <c r="N587" i="5"/>
  <c r="N507" i="5"/>
  <c r="N182" i="5"/>
  <c r="N169" i="5"/>
  <c r="N122" i="5"/>
  <c r="N72" i="5"/>
  <c r="N15" i="5"/>
  <c r="N13" i="5"/>
  <c r="I5" i="6"/>
  <c r="P587" i="5"/>
  <c r="P507" i="5"/>
  <c r="P182" i="5"/>
  <c r="P169" i="5"/>
  <c r="P122" i="5"/>
  <c r="P72" i="5"/>
  <c r="P15" i="5"/>
  <c r="P13" i="5"/>
  <c r="L6" i="4"/>
  <c r="G6" i="6"/>
  <c r="M508" i="5"/>
  <c r="K7" i="4"/>
  <c r="M7" i="4" s="1"/>
  <c r="N7" i="4" s="1"/>
  <c r="H6" i="6"/>
  <c r="N508" i="5"/>
  <c r="I6" i="6"/>
  <c r="P508" i="5"/>
  <c r="L7" i="4"/>
  <c r="G7" i="6"/>
  <c r="M460" i="5"/>
  <c r="M458" i="5"/>
  <c r="M340" i="5"/>
  <c r="M9" i="5"/>
  <c r="K8" i="4"/>
  <c r="M8" i="4" s="1"/>
  <c r="N8" i="4" s="1"/>
  <c r="H7" i="6"/>
  <c r="N460" i="5"/>
  <c r="N458" i="5"/>
  <c r="N340" i="5"/>
  <c r="N9" i="5"/>
  <c r="I7" i="6"/>
  <c r="P460" i="5"/>
  <c r="P458" i="5"/>
  <c r="P340" i="5"/>
  <c r="P9" i="5"/>
  <c r="L8" i="4"/>
  <c r="G8" i="6"/>
  <c r="M577" i="5"/>
  <c r="M518" i="5"/>
  <c r="M468" i="5"/>
  <c r="M449" i="5"/>
  <c r="M447" i="5"/>
  <c r="M445" i="5"/>
  <c r="M443" i="5"/>
  <c r="M441" i="5"/>
  <c r="M439" i="5"/>
  <c r="M433" i="5"/>
  <c r="M411" i="5"/>
  <c r="M348" i="5"/>
  <c r="M328" i="5"/>
  <c r="M318" i="5"/>
  <c r="M316" i="5"/>
  <c r="M314" i="5"/>
  <c r="M312" i="5"/>
  <c r="M310" i="5"/>
  <c r="M308" i="5"/>
  <c r="M306" i="5"/>
  <c r="M304" i="5"/>
  <c r="M302" i="5"/>
  <c r="M300" i="5"/>
  <c r="M286" i="5"/>
  <c r="M268" i="5"/>
  <c r="M248" i="5"/>
  <c r="M231" i="5"/>
  <c r="M230" i="5"/>
  <c r="M229" i="5"/>
  <c r="M218" i="5"/>
  <c r="M215" i="5"/>
  <c r="M191" i="5"/>
  <c r="M189" i="5"/>
  <c r="M167" i="5"/>
  <c r="M165" i="5"/>
  <c r="M163" i="5"/>
  <c r="M161" i="5"/>
  <c r="M159" i="5"/>
  <c r="M157" i="5"/>
  <c r="M155" i="5"/>
  <c r="M153" i="5"/>
  <c r="M151" i="5"/>
  <c r="M146" i="5"/>
  <c r="M125" i="5"/>
  <c r="M120" i="5"/>
  <c r="M85" i="5"/>
  <c r="M19" i="5"/>
  <c r="M17" i="5"/>
  <c r="K9" i="4"/>
  <c r="M9" i="4" s="1"/>
  <c r="N9" i="4" s="1"/>
  <c r="H8" i="6"/>
  <c r="N577" i="5"/>
  <c r="N518" i="5"/>
  <c r="N468" i="5"/>
  <c r="N449" i="5"/>
  <c r="N447" i="5"/>
  <c r="N445" i="5"/>
  <c r="N443" i="5"/>
  <c r="N441" i="5"/>
  <c r="N439" i="5"/>
  <c r="N433" i="5"/>
  <c r="N411" i="5"/>
  <c r="N348" i="5"/>
  <c r="N328" i="5"/>
  <c r="N318" i="5"/>
  <c r="N316" i="5"/>
  <c r="N314" i="5"/>
  <c r="N312" i="5"/>
  <c r="N310" i="5"/>
  <c r="N308" i="5"/>
  <c r="N306" i="5"/>
  <c r="N304" i="5"/>
  <c r="N302" i="5"/>
  <c r="N300" i="5"/>
  <c r="N286" i="5"/>
  <c r="N268" i="5"/>
  <c r="N248" i="5"/>
  <c r="N231" i="5"/>
  <c r="N230" i="5"/>
  <c r="N229" i="5"/>
  <c r="N218" i="5"/>
  <c r="N215" i="5"/>
  <c r="N191" i="5"/>
  <c r="N189" i="5"/>
  <c r="N167" i="5"/>
  <c r="N165" i="5"/>
  <c r="N163" i="5"/>
  <c r="N161" i="5"/>
  <c r="N159" i="5"/>
  <c r="N157" i="5"/>
  <c r="N155" i="5"/>
  <c r="N153" i="5"/>
  <c r="N151" i="5"/>
  <c r="N146" i="5"/>
  <c r="N125" i="5"/>
  <c r="N120" i="5"/>
  <c r="N85" i="5"/>
  <c r="N19" i="5"/>
  <c r="N17" i="5"/>
  <c r="I8" i="6"/>
  <c r="P577" i="5"/>
  <c r="P518" i="5"/>
  <c r="P468" i="5"/>
  <c r="P449" i="5"/>
  <c r="P447" i="5"/>
  <c r="P445" i="5"/>
  <c r="P443" i="5"/>
  <c r="P441" i="5"/>
  <c r="P439" i="5"/>
  <c r="P433" i="5"/>
  <c r="P411" i="5"/>
  <c r="P348" i="5"/>
  <c r="P328" i="5"/>
  <c r="P318" i="5"/>
  <c r="P316" i="5"/>
  <c r="P314" i="5"/>
  <c r="P312" i="5"/>
  <c r="P310" i="5"/>
  <c r="P308" i="5"/>
  <c r="P306" i="5"/>
  <c r="P304" i="5"/>
  <c r="P302" i="5"/>
  <c r="P300" i="5"/>
  <c r="P286" i="5"/>
  <c r="P268" i="5"/>
  <c r="P248" i="5"/>
  <c r="P231" i="5"/>
  <c r="P230" i="5"/>
  <c r="P229" i="5"/>
  <c r="P218" i="5"/>
  <c r="P215" i="5"/>
  <c r="P191" i="5"/>
  <c r="P189" i="5"/>
  <c r="P167" i="5"/>
  <c r="P165" i="5"/>
  <c r="P163" i="5"/>
  <c r="P161" i="5"/>
  <c r="P159" i="5"/>
  <c r="P157" i="5"/>
  <c r="P155" i="5"/>
  <c r="P153" i="5"/>
  <c r="P151" i="5"/>
  <c r="P146" i="5"/>
  <c r="P125" i="5"/>
  <c r="P120" i="5"/>
  <c r="P85" i="5"/>
  <c r="P19" i="5"/>
  <c r="P17" i="5"/>
  <c r="L9" i="4"/>
  <c r="G9" i="6"/>
  <c r="M232" i="5"/>
  <c r="M12" i="5"/>
  <c r="K10" i="4"/>
  <c r="M10" i="4" s="1"/>
  <c r="N10" i="4" s="1"/>
  <c r="H9" i="6"/>
  <c r="N232" i="5"/>
  <c r="N12" i="5"/>
  <c r="I9" i="6"/>
  <c r="P232" i="5"/>
  <c r="P12" i="5"/>
  <c r="L10" i="4"/>
  <c r="G10" i="6"/>
  <c r="M370" i="5"/>
  <c r="M369" i="5"/>
  <c r="M368" i="5"/>
  <c r="M246" i="5"/>
  <c r="M245" i="5"/>
  <c r="M244" i="5"/>
  <c r="M101" i="5"/>
  <c r="M100" i="5"/>
  <c r="K11" i="4"/>
  <c r="M11" i="4" s="1"/>
  <c r="N11" i="4" s="1"/>
  <c r="H10" i="6"/>
  <c r="N370" i="5"/>
  <c r="N369" i="5"/>
  <c r="N368" i="5"/>
  <c r="N246" i="5"/>
  <c r="N245" i="5"/>
  <c r="N244" i="5"/>
  <c r="N101" i="5"/>
  <c r="N100" i="5"/>
  <c r="I10" i="6"/>
  <c r="P370" i="5"/>
  <c r="P369" i="5"/>
  <c r="P368" i="5"/>
  <c r="P246" i="5"/>
  <c r="P245" i="5"/>
  <c r="P244" i="5"/>
  <c r="P101" i="5"/>
  <c r="P100" i="5"/>
  <c r="L11" i="4"/>
  <c r="G11" i="6"/>
  <c r="M435" i="5"/>
  <c r="M140" i="5"/>
  <c r="M139" i="5"/>
  <c r="M64" i="5"/>
  <c r="M59" i="5"/>
  <c r="K12" i="4"/>
  <c r="M12" i="4" s="1"/>
  <c r="N12" i="4" s="1"/>
  <c r="H11" i="6"/>
  <c r="N435" i="5"/>
  <c r="N140" i="5"/>
  <c r="N139" i="5"/>
  <c r="N64" i="5"/>
  <c r="N59" i="5"/>
  <c r="I11" i="6"/>
  <c r="P435" i="5"/>
  <c r="P140" i="5"/>
  <c r="P139" i="5"/>
  <c r="P64" i="5"/>
  <c r="P59" i="5"/>
  <c r="L12" i="4"/>
  <c r="G12" i="6"/>
  <c r="M437" i="5"/>
  <c r="M144" i="5"/>
  <c r="M52" i="5"/>
  <c r="K13" i="4"/>
  <c r="M13" i="4" s="1"/>
  <c r="N13" i="4" s="1"/>
  <c r="H12" i="6"/>
  <c r="N437" i="5"/>
  <c r="N144" i="5"/>
  <c r="N52" i="5"/>
  <c r="I12" i="6"/>
  <c r="P437" i="5"/>
  <c r="P144" i="5"/>
  <c r="P52" i="5"/>
  <c r="L13" i="4"/>
  <c r="G13" i="6"/>
  <c r="M525" i="5"/>
  <c r="M522" i="5"/>
  <c r="M472" i="5"/>
  <c r="M249" i="5"/>
  <c r="M70" i="5"/>
  <c r="M5" i="5"/>
  <c r="K14" i="4"/>
  <c r="M14" i="4" s="1"/>
  <c r="N14" i="4" s="1"/>
  <c r="H13" i="6"/>
  <c r="N525" i="5"/>
  <c r="N522" i="5"/>
  <c r="N472" i="5"/>
  <c r="N249" i="5"/>
  <c r="N70" i="5"/>
  <c r="N5" i="5"/>
  <c r="I13" i="6"/>
  <c r="P525" i="5"/>
  <c r="P522" i="5"/>
  <c r="P472" i="5"/>
  <c r="P249" i="5"/>
  <c r="P70" i="5"/>
  <c r="P5" i="5"/>
  <c r="L14" i="4"/>
  <c r="G14" i="6"/>
  <c r="M521" i="5"/>
  <c r="M471" i="5"/>
  <c r="M289" i="5"/>
  <c r="M71" i="5"/>
  <c r="M47" i="5"/>
  <c r="K15" i="4"/>
  <c r="M15" i="4" s="1"/>
  <c r="H14" i="6"/>
  <c r="N521" i="5"/>
  <c r="N471" i="5"/>
  <c r="N289" i="5"/>
  <c r="N71" i="5"/>
  <c r="N47" i="5"/>
  <c r="G15" i="6"/>
  <c r="M69" i="5"/>
  <c r="K16" i="4"/>
  <c r="M16" i="4" s="1"/>
  <c r="N16" i="4" s="1"/>
  <c r="H15" i="6"/>
  <c r="N69" i="5"/>
  <c r="I15" i="6"/>
  <c r="P69" i="5"/>
  <c r="L16" i="4"/>
  <c r="G16" i="6"/>
  <c r="M516" i="5"/>
  <c r="M515" i="5"/>
  <c r="M466" i="5"/>
  <c r="M465" i="5"/>
  <c r="M366" i="5"/>
  <c r="M242" i="5"/>
  <c r="M97" i="5"/>
  <c r="M96" i="5"/>
  <c r="M53" i="5"/>
  <c r="K17" i="4"/>
  <c r="M17" i="4" s="1"/>
  <c r="N17" i="4" s="1"/>
  <c r="H16" i="6"/>
  <c r="N516" i="5"/>
  <c r="N515" i="5"/>
  <c r="N466" i="5"/>
  <c r="N465" i="5"/>
  <c r="N366" i="5"/>
  <c r="N242" i="5"/>
  <c r="N97" i="5"/>
  <c r="N96" i="5"/>
  <c r="N53" i="5"/>
  <c r="I16" i="6"/>
  <c r="P516" i="5"/>
  <c r="P515" i="5"/>
  <c r="P466" i="5"/>
  <c r="P465" i="5"/>
  <c r="P366" i="5"/>
  <c r="P242" i="5"/>
  <c r="P97" i="5"/>
  <c r="P96" i="5"/>
  <c r="P53" i="5"/>
  <c r="L17" i="4"/>
  <c r="G17" i="6"/>
  <c r="M572" i="5"/>
  <c r="M570" i="5"/>
  <c r="M568" i="5"/>
  <c r="M566" i="5"/>
  <c r="M549" i="5"/>
  <c r="M543" i="5"/>
  <c r="M536" i="5"/>
  <c r="M534" i="5"/>
  <c r="M532" i="5"/>
  <c r="M530" i="5"/>
  <c r="M528" i="5"/>
  <c r="M526" i="5"/>
  <c r="M504" i="5"/>
  <c r="M500" i="5"/>
  <c r="M494" i="5"/>
  <c r="M486" i="5"/>
  <c r="M484" i="5"/>
  <c r="M482" i="5"/>
  <c r="M480" i="5"/>
  <c r="M478" i="5"/>
  <c r="M476" i="5"/>
  <c r="M422" i="5"/>
  <c r="M420" i="5"/>
  <c r="M416" i="5"/>
  <c r="M405" i="5"/>
  <c r="M403" i="5"/>
  <c r="M390" i="5"/>
  <c r="M388" i="5"/>
  <c r="M386" i="5"/>
  <c r="M384" i="5"/>
  <c r="M382" i="5"/>
  <c r="M381" i="5"/>
  <c r="M380" i="5"/>
  <c r="M379" i="5"/>
  <c r="M356" i="5"/>
  <c r="M355" i="5"/>
  <c r="M346" i="5"/>
  <c r="M336" i="5"/>
  <c r="M334" i="5"/>
  <c r="M332" i="5"/>
  <c r="M330" i="5"/>
  <c r="M298" i="5"/>
  <c r="M296" i="5"/>
  <c r="M294" i="5"/>
  <c r="M266" i="5"/>
  <c r="M264" i="5"/>
  <c r="M262" i="5"/>
  <c r="M260" i="5"/>
  <c r="M258" i="5"/>
  <c r="M256" i="5"/>
  <c r="M254" i="5"/>
  <c r="M252" i="5"/>
  <c r="M250" i="5"/>
  <c r="M217" i="5"/>
  <c r="M213" i="5"/>
  <c r="M211" i="5"/>
  <c r="M209" i="5"/>
  <c r="M207" i="5"/>
  <c r="M205" i="5"/>
  <c r="M203" i="5"/>
  <c r="M201" i="5"/>
  <c r="M199" i="5"/>
  <c r="M197" i="5"/>
  <c r="M195" i="5"/>
  <c r="M193" i="5"/>
  <c r="M130" i="5"/>
  <c r="M124" i="5"/>
  <c r="M116" i="5"/>
  <c r="M114" i="5"/>
  <c r="M112" i="5"/>
  <c r="M108" i="5"/>
  <c r="M106" i="5"/>
  <c r="M104" i="5"/>
  <c r="M98" i="5"/>
  <c r="M87" i="5"/>
  <c r="M83" i="5"/>
  <c r="M50" i="5"/>
  <c r="M25" i="5"/>
  <c r="M23" i="5"/>
  <c r="M21" i="5"/>
  <c r="M7" i="5"/>
  <c r="M6" i="5"/>
  <c r="K18" i="4"/>
  <c r="M18" i="4" s="1"/>
  <c r="N18" i="4" s="1"/>
  <c r="H17" i="6"/>
  <c r="N572" i="5"/>
  <c r="N570" i="5"/>
  <c r="N568" i="5"/>
  <c r="N566" i="5"/>
  <c r="N549" i="5"/>
  <c r="N543" i="5"/>
  <c r="N536" i="5"/>
  <c r="N534" i="5"/>
  <c r="N532" i="5"/>
  <c r="N530" i="5"/>
  <c r="N528" i="5"/>
  <c r="N526" i="5"/>
  <c r="N504" i="5"/>
  <c r="N500" i="5"/>
  <c r="N494" i="5"/>
  <c r="N486" i="5"/>
  <c r="N484" i="5"/>
  <c r="N482" i="5"/>
  <c r="N480" i="5"/>
  <c r="N478" i="5"/>
  <c r="N476" i="5"/>
  <c r="N422" i="5"/>
  <c r="N420" i="5"/>
  <c r="N416" i="5"/>
  <c r="N405" i="5"/>
  <c r="N403" i="5"/>
  <c r="N390" i="5"/>
  <c r="N388" i="5"/>
  <c r="N386" i="5"/>
  <c r="N384" i="5"/>
  <c r="N382" i="5"/>
  <c r="N381" i="5"/>
  <c r="N380" i="5"/>
  <c r="N379" i="5"/>
  <c r="N356" i="5"/>
  <c r="N355" i="5"/>
  <c r="N346" i="5"/>
  <c r="N336" i="5"/>
  <c r="N334" i="5"/>
  <c r="N332" i="5"/>
  <c r="N330" i="5"/>
  <c r="N298" i="5"/>
  <c r="N296" i="5"/>
  <c r="N294" i="5"/>
  <c r="N266" i="5"/>
  <c r="N264" i="5"/>
  <c r="N262" i="5"/>
  <c r="N260" i="5"/>
  <c r="N258" i="5"/>
  <c r="N256" i="5"/>
  <c r="N254" i="5"/>
  <c r="N252" i="5"/>
  <c r="N250" i="5"/>
  <c r="N217" i="5"/>
  <c r="N213" i="5"/>
  <c r="N211" i="5"/>
  <c r="N209" i="5"/>
  <c r="N207" i="5"/>
  <c r="N205" i="5"/>
  <c r="N203" i="5"/>
  <c r="N201" i="5"/>
  <c r="N199" i="5"/>
  <c r="N197" i="5"/>
  <c r="N195" i="5"/>
  <c r="N193" i="5"/>
  <c r="N130" i="5"/>
  <c r="N124" i="5"/>
  <c r="N116" i="5"/>
  <c r="N114" i="5"/>
  <c r="N112" i="5"/>
  <c r="N108" i="5"/>
  <c r="N106" i="5"/>
  <c r="N104" i="5"/>
  <c r="N98" i="5"/>
  <c r="N87" i="5"/>
  <c r="N83" i="5"/>
  <c r="N50" i="5"/>
  <c r="N25" i="5"/>
  <c r="N23" i="5"/>
  <c r="N21" i="5"/>
  <c r="N7" i="5"/>
  <c r="N6" i="5"/>
  <c r="I17" i="6"/>
  <c r="P572" i="5"/>
  <c r="P570" i="5"/>
  <c r="P568" i="5"/>
  <c r="P566" i="5"/>
  <c r="P549" i="5"/>
  <c r="P543" i="5"/>
  <c r="P536" i="5"/>
  <c r="P534" i="5"/>
  <c r="P532" i="5"/>
  <c r="P530" i="5"/>
  <c r="P528" i="5"/>
  <c r="P526" i="5"/>
  <c r="P504" i="5"/>
  <c r="P500" i="5"/>
  <c r="P494" i="5"/>
  <c r="P486" i="5"/>
  <c r="P484" i="5"/>
  <c r="P482" i="5"/>
  <c r="P480" i="5"/>
  <c r="P478" i="5"/>
  <c r="P476" i="5"/>
  <c r="P422" i="5"/>
  <c r="P420" i="5"/>
  <c r="P416" i="5"/>
  <c r="P405" i="5"/>
  <c r="P403" i="5"/>
  <c r="P390" i="5"/>
  <c r="P388" i="5"/>
  <c r="P386" i="5"/>
  <c r="P384" i="5"/>
  <c r="P382" i="5"/>
  <c r="P381" i="5"/>
  <c r="P380" i="5"/>
  <c r="P379" i="5"/>
  <c r="P356" i="5"/>
  <c r="P355" i="5"/>
  <c r="P346" i="5"/>
  <c r="P336" i="5"/>
  <c r="P334" i="5"/>
  <c r="P332" i="5"/>
  <c r="P330" i="5"/>
  <c r="P298" i="5"/>
  <c r="P296" i="5"/>
  <c r="P294" i="5"/>
  <c r="P266" i="5"/>
  <c r="P264" i="5"/>
  <c r="P262" i="5"/>
  <c r="P260" i="5"/>
  <c r="P258" i="5"/>
  <c r="P256" i="5"/>
  <c r="P254" i="5"/>
  <c r="P252" i="5"/>
  <c r="P250" i="5"/>
  <c r="P217" i="5"/>
  <c r="P213" i="5"/>
  <c r="P211" i="5"/>
  <c r="P209" i="5"/>
  <c r="P207" i="5"/>
  <c r="P205" i="5"/>
  <c r="P203" i="5"/>
  <c r="P201" i="5"/>
  <c r="P199" i="5"/>
  <c r="P197" i="5"/>
  <c r="P195" i="5"/>
  <c r="P193" i="5"/>
  <c r="P130" i="5"/>
  <c r="P124" i="5"/>
  <c r="P116" i="5"/>
  <c r="P114" i="5"/>
  <c r="P112" i="5"/>
  <c r="P108" i="5"/>
  <c r="P106" i="5"/>
  <c r="P104" i="5"/>
  <c r="P98" i="5"/>
  <c r="P87" i="5"/>
  <c r="P83" i="5"/>
  <c r="P50" i="5"/>
  <c r="P25" i="5"/>
  <c r="P23" i="5"/>
  <c r="P21" i="5"/>
  <c r="P7" i="5"/>
  <c r="P6" i="5"/>
  <c r="L18" i="4"/>
  <c r="G18" i="6"/>
  <c r="M325" i="5"/>
  <c r="M324" i="5"/>
  <c r="K19" i="4"/>
  <c r="M19" i="4" s="1"/>
  <c r="N19" i="4" s="1"/>
  <c r="H18" i="6"/>
  <c r="N325" i="5"/>
  <c r="N324" i="5"/>
  <c r="I18" i="6"/>
  <c r="P325" i="5"/>
  <c r="P324" i="5"/>
  <c r="L19" i="4"/>
  <c r="G19" i="6"/>
  <c r="M558" i="5"/>
  <c r="M453" i="5"/>
  <c r="M418" i="5"/>
  <c r="M326" i="5"/>
  <c r="M322" i="5"/>
  <c r="K20" i="4"/>
  <c r="M20" i="4" s="1"/>
  <c r="N20" i="4" s="1"/>
  <c r="H19" i="6"/>
  <c r="N558" i="5"/>
  <c r="N453" i="5"/>
  <c r="N418" i="5"/>
  <c r="N326" i="5"/>
  <c r="N322" i="5"/>
  <c r="I19" i="6"/>
  <c r="P558" i="5"/>
  <c r="P453" i="5"/>
  <c r="P418" i="5"/>
  <c r="P326" i="5"/>
  <c r="P322" i="5"/>
  <c r="L20" i="4"/>
  <c r="G20" i="6"/>
  <c r="M350" i="5"/>
  <c r="K21" i="4"/>
  <c r="M21" i="4" s="1"/>
  <c r="N21" i="4" s="1"/>
  <c r="H20" i="6"/>
  <c r="N350" i="5"/>
  <c r="I20" i="6"/>
  <c r="P350" i="5"/>
  <c r="L21" i="4"/>
  <c r="G21" i="6"/>
  <c r="M555" i="5"/>
  <c r="M456" i="5"/>
  <c r="M110" i="5"/>
  <c r="K22" i="4"/>
  <c r="M22" i="4" s="1"/>
  <c r="N22" i="4" s="1"/>
  <c r="H21" i="6"/>
  <c r="N555" i="5"/>
  <c r="N456" i="5"/>
  <c r="N110" i="5"/>
  <c r="I21" i="6"/>
  <c r="P555" i="5"/>
  <c r="P456" i="5"/>
  <c r="P110" i="5"/>
  <c r="L22" i="4"/>
  <c r="G22" i="6"/>
  <c r="M564" i="5"/>
  <c r="M547" i="5"/>
  <c r="M545" i="5"/>
  <c r="M498" i="5"/>
  <c r="M344" i="5"/>
  <c r="M342" i="5"/>
  <c r="M338" i="5"/>
  <c r="M221" i="5"/>
  <c r="M219" i="5"/>
  <c r="M128" i="5"/>
  <c r="M127" i="5"/>
  <c r="K23" i="4"/>
  <c r="M23" i="4" s="1"/>
  <c r="N23" i="4" s="1"/>
  <c r="H22" i="6"/>
  <c r="N564" i="5"/>
  <c r="N547" i="5"/>
  <c r="N545" i="5"/>
  <c r="N498" i="5"/>
  <c r="N344" i="5"/>
  <c r="N342" i="5"/>
  <c r="N338" i="5"/>
  <c r="N221" i="5"/>
  <c r="N219" i="5"/>
  <c r="N128" i="5"/>
  <c r="N127" i="5"/>
  <c r="I22" i="6"/>
  <c r="P564" i="5"/>
  <c r="P547" i="5"/>
  <c r="P545" i="5"/>
  <c r="P498" i="5"/>
  <c r="P344" i="5"/>
  <c r="P342" i="5"/>
  <c r="P338" i="5"/>
  <c r="P221" i="5"/>
  <c r="P219" i="5"/>
  <c r="P128" i="5"/>
  <c r="P127" i="5"/>
  <c r="L23" i="4"/>
  <c r="G23" i="6"/>
  <c r="M579" i="5"/>
  <c r="M576" i="5"/>
  <c r="M542" i="5"/>
  <c r="M541" i="5"/>
  <c r="M540" i="5"/>
  <c r="M520" i="5"/>
  <c r="M517" i="5"/>
  <c r="M493" i="5"/>
  <c r="M492" i="5"/>
  <c r="M491" i="5"/>
  <c r="M490" i="5"/>
  <c r="M470" i="5"/>
  <c r="M467" i="5"/>
  <c r="M452" i="5"/>
  <c r="M451" i="5"/>
  <c r="M430" i="5"/>
  <c r="M392" i="5"/>
  <c r="M367" i="5"/>
  <c r="M353" i="5"/>
  <c r="M352" i="5"/>
  <c r="M288" i="5"/>
  <c r="M281" i="5"/>
  <c r="M280" i="5"/>
  <c r="M243" i="5"/>
  <c r="M237" i="5"/>
  <c r="M234" i="5"/>
  <c r="M233" i="5"/>
  <c r="M176" i="5"/>
  <c r="M175" i="5"/>
  <c r="M136" i="5"/>
  <c r="M134" i="5"/>
  <c r="M132" i="5"/>
  <c r="M91" i="5"/>
  <c r="M90" i="5"/>
  <c r="M68" i="5"/>
  <c r="M54" i="5"/>
  <c r="M36" i="5"/>
  <c r="M35" i="5"/>
  <c r="K24" i="4"/>
  <c r="M24" i="4" s="1"/>
  <c r="N24" i="4" s="1"/>
  <c r="H23" i="6"/>
  <c r="N579" i="5"/>
  <c r="N576" i="5"/>
  <c r="N542" i="5"/>
  <c r="N541" i="5"/>
  <c r="N540" i="5"/>
  <c r="N520" i="5"/>
  <c r="N517" i="5"/>
  <c r="N493" i="5"/>
  <c r="N492" i="5"/>
  <c r="N491" i="5"/>
  <c r="N490" i="5"/>
  <c r="N470" i="5"/>
  <c r="N467" i="5"/>
  <c r="N452" i="5"/>
  <c r="N451" i="5"/>
  <c r="N430" i="5"/>
  <c r="N392" i="5"/>
  <c r="N367" i="5"/>
  <c r="N353" i="5"/>
  <c r="N352" i="5"/>
  <c r="N288" i="5"/>
  <c r="N281" i="5"/>
  <c r="N280" i="5"/>
  <c r="N243" i="5"/>
  <c r="N237" i="5"/>
  <c r="N234" i="5"/>
  <c r="N233" i="5"/>
  <c r="N176" i="5"/>
  <c r="N175" i="5"/>
  <c r="N136" i="5"/>
  <c r="N134" i="5"/>
  <c r="N132" i="5"/>
  <c r="N91" i="5"/>
  <c r="N90" i="5"/>
  <c r="N68" i="5"/>
  <c r="N54" i="5"/>
  <c r="N36" i="5"/>
  <c r="N35" i="5"/>
  <c r="I23" i="6"/>
  <c r="P579" i="5"/>
  <c r="P576" i="5"/>
  <c r="P542" i="5"/>
  <c r="P541" i="5"/>
  <c r="P540" i="5"/>
  <c r="P520" i="5"/>
  <c r="P517" i="5"/>
  <c r="P493" i="5"/>
  <c r="P492" i="5"/>
  <c r="P491" i="5"/>
  <c r="P490" i="5"/>
  <c r="P470" i="5"/>
  <c r="P467" i="5"/>
  <c r="P452" i="5"/>
  <c r="P451" i="5"/>
  <c r="P430" i="5"/>
  <c r="P392" i="5"/>
  <c r="P367" i="5"/>
  <c r="P353" i="5"/>
  <c r="P352" i="5"/>
  <c r="P288" i="5"/>
  <c r="P281" i="5"/>
  <c r="P280" i="5"/>
  <c r="P243" i="5"/>
  <c r="P237" i="5"/>
  <c r="P234" i="5"/>
  <c r="P233" i="5"/>
  <c r="P176" i="5"/>
  <c r="P175" i="5"/>
  <c r="P136" i="5"/>
  <c r="P134" i="5"/>
  <c r="P132" i="5"/>
  <c r="P91" i="5"/>
  <c r="P90" i="5"/>
  <c r="P68" i="5"/>
  <c r="P54" i="5"/>
  <c r="P36" i="5"/>
  <c r="P35" i="5"/>
  <c r="L24" i="4"/>
  <c r="G24" i="6"/>
  <c r="M135" i="5"/>
  <c r="M133" i="5"/>
  <c r="K25" i="4"/>
  <c r="M25" i="4" s="1"/>
  <c r="H24" i="6"/>
  <c r="N135" i="5"/>
  <c r="N133" i="5"/>
  <c r="G25" i="6"/>
  <c r="M582" i="5"/>
  <c r="M574" i="5"/>
  <c r="M557" i="5"/>
  <c r="M538" i="5"/>
  <c r="M506" i="5"/>
  <c r="M488" i="5"/>
  <c r="M475" i="5"/>
  <c r="M474" i="5"/>
  <c r="M436" i="5"/>
  <c r="M432" i="5"/>
  <c r="M428" i="5"/>
  <c r="M400" i="5"/>
  <c r="M398" i="5"/>
  <c r="M395" i="5"/>
  <c r="M376" i="5"/>
  <c r="M375" i="5"/>
  <c r="M361" i="5"/>
  <c r="M358" i="5"/>
  <c r="M357" i="5"/>
  <c r="M320" i="5"/>
  <c r="M293" i="5"/>
  <c r="M292" i="5"/>
  <c r="M279" i="5"/>
  <c r="M275" i="5"/>
  <c r="M271" i="5"/>
  <c r="M247" i="5"/>
  <c r="M228" i="5"/>
  <c r="M225" i="5"/>
  <c r="M188" i="5"/>
  <c r="M187" i="5"/>
  <c r="M149" i="5"/>
  <c r="M141" i="5"/>
  <c r="M82" i="5"/>
  <c r="M78" i="5"/>
  <c r="M75" i="5"/>
  <c r="M73" i="5"/>
  <c r="M67" i="5"/>
  <c r="K26" i="4"/>
  <c r="M26" i="4" s="1"/>
  <c r="N26" i="4" s="1"/>
  <c r="H25" i="6"/>
  <c r="N582" i="5"/>
  <c r="N574" i="5"/>
  <c r="N557" i="5"/>
  <c r="N538" i="5"/>
  <c r="N506" i="5"/>
  <c r="N488" i="5"/>
  <c r="N475" i="5"/>
  <c r="N474" i="5"/>
  <c r="N436" i="5"/>
  <c r="N432" i="5"/>
  <c r="N428" i="5"/>
  <c r="N400" i="5"/>
  <c r="N398" i="5"/>
  <c r="N395" i="5"/>
  <c r="N376" i="5"/>
  <c r="N375" i="5"/>
  <c r="N361" i="5"/>
  <c r="N358" i="5"/>
  <c r="N357" i="5"/>
  <c r="N320" i="5"/>
  <c r="N293" i="5"/>
  <c r="N292" i="5"/>
  <c r="N279" i="5"/>
  <c r="N275" i="5"/>
  <c r="N271" i="5"/>
  <c r="N247" i="5"/>
  <c r="N228" i="5"/>
  <c r="N225" i="5"/>
  <c r="N188" i="5"/>
  <c r="N187" i="5"/>
  <c r="N149" i="5"/>
  <c r="N141" i="5"/>
  <c r="N82" i="5"/>
  <c r="N78" i="5"/>
  <c r="N75" i="5"/>
  <c r="N73" i="5"/>
  <c r="N67" i="5"/>
  <c r="I25" i="6"/>
  <c r="P582" i="5"/>
  <c r="P574" i="5"/>
  <c r="P557" i="5"/>
  <c r="P538" i="5"/>
  <c r="P506" i="5"/>
  <c r="P488" i="5"/>
  <c r="P475" i="5"/>
  <c r="P474" i="5"/>
  <c r="P436" i="5"/>
  <c r="P432" i="5"/>
  <c r="P428" i="5"/>
  <c r="P400" i="5"/>
  <c r="P398" i="5"/>
  <c r="P395" i="5"/>
  <c r="P376" i="5"/>
  <c r="P375" i="5"/>
  <c r="P361" i="5"/>
  <c r="P358" i="5"/>
  <c r="P357" i="5"/>
  <c r="P320" i="5"/>
  <c r="P293" i="5"/>
  <c r="P292" i="5"/>
  <c r="P279" i="5"/>
  <c r="P275" i="5"/>
  <c r="P271" i="5"/>
  <c r="P247" i="5"/>
  <c r="P228" i="5"/>
  <c r="P225" i="5"/>
  <c r="P188" i="5"/>
  <c r="P187" i="5"/>
  <c r="P149" i="5"/>
  <c r="P141" i="5"/>
  <c r="P82" i="5"/>
  <c r="P78" i="5"/>
  <c r="P75" i="5"/>
  <c r="P73" i="5"/>
  <c r="P67" i="5"/>
  <c r="L26" i="4"/>
  <c r="G26" i="6"/>
  <c r="M510" i="5"/>
  <c r="M76" i="5"/>
  <c r="K27" i="4"/>
  <c r="M27" i="4" s="1"/>
  <c r="N27" i="4" s="1"/>
  <c r="H26" i="6"/>
  <c r="N510" i="5"/>
  <c r="N76" i="5"/>
  <c r="I26" i="6"/>
  <c r="P510" i="5"/>
  <c r="P76" i="5"/>
  <c r="L27" i="4"/>
  <c r="G27" i="6"/>
  <c r="M585" i="5"/>
  <c r="M583" i="5"/>
  <c r="M562" i="5"/>
  <c r="M560" i="5"/>
  <c r="M551" i="5"/>
  <c r="M523" i="5"/>
  <c r="M513" i="5"/>
  <c r="M511" i="5"/>
  <c r="M502" i="5"/>
  <c r="M473" i="5"/>
  <c r="M463" i="5"/>
  <c r="M461" i="5"/>
  <c r="M454" i="5"/>
  <c r="M431" i="5"/>
  <c r="M426" i="5"/>
  <c r="M424" i="5"/>
  <c r="M415" i="5"/>
  <c r="M414" i="5"/>
  <c r="M413" i="5"/>
  <c r="M407" i="5"/>
  <c r="M401" i="5"/>
  <c r="M396" i="5"/>
  <c r="M394" i="5"/>
  <c r="M393" i="5"/>
  <c r="M377" i="5"/>
  <c r="M373" i="5"/>
  <c r="M371" i="5"/>
  <c r="M364" i="5"/>
  <c r="M362" i="5"/>
  <c r="M359" i="5"/>
  <c r="M354" i="5"/>
  <c r="M290" i="5"/>
  <c r="M284" i="5"/>
  <c r="M282" i="5"/>
  <c r="M278" i="5"/>
  <c r="M276" i="5"/>
  <c r="M273" i="5"/>
  <c r="M270" i="5"/>
  <c r="M240" i="5"/>
  <c r="M239" i="5"/>
  <c r="M238" i="5"/>
  <c r="M235" i="5"/>
  <c r="M226" i="5"/>
  <c r="M223" i="5"/>
  <c r="M185" i="5"/>
  <c r="M184" i="5"/>
  <c r="M179" i="5"/>
  <c r="M177" i="5"/>
  <c r="M174" i="5"/>
  <c r="M172" i="5"/>
  <c r="M171" i="5"/>
  <c r="M150" i="5"/>
  <c r="M148" i="5"/>
  <c r="M142" i="5"/>
  <c r="M137" i="5"/>
  <c r="M129" i="5"/>
  <c r="M118" i="5"/>
  <c r="M102" i="5"/>
  <c r="M94" i="5"/>
  <c r="M92" i="5"/>
  <c r="M89" i="5"/>
  <c r="M80" i="5"/>
  <c r="M65" i="5"/>
  <c r="M62" i="5"/>
  <c r="M60" i="5"/>
  <c r="M57" i="5"/>
  <c r="M55" i="5"/>
  <c r="M48" i="5"/>
  <c r="M46" i="5"/>
  <c r="M44" i="5"/>
  <c r="M42" i="5"/>
  <c r="M40" i="5"/>
  <c r="M38" i="5"/>
  <c r="M37" i="5"/>
  <c r="M33" i="5"/>
  <c r="M31" i="5"/>
  <c r="M29" i="5"/>
  <c r="M28" i="5"/>
  <c r="M26" i="5"/>
  <c r="M14" i="5"/>
  <c r="K28" i="4"/>
  <c r="M28" i="4" s="1"/>
  <c r="N28" i="4" s="1"/>
  <c r="H27" i="6"/>
  <c r="N585" i="5"/>
  <c r="N583" i="5"/>
  <c r="N562" i="5"/>
  <c r="N560" i="5"/>
  <c r="N551" i="5"/>
  <c r="N523" i="5"/>
  <c r="N513" i="5"/>
  <c r="N511" i="5"/>
  <c r="N502" i="5"/>
  <c r="N473" i="5"/>
  <c r="N463" i="5"/>
  <c r="N461" i="5"/>
  <c r="N454" i="5"/>
  <c r="N431" i="5"/>
  <c r="N426" i="5"/>
  <c r="N424" i="5"/>
  <c r="N415" i="5"/>
  <c r="N414" i="5"/>
  <c r="N413" i="5"/>
  <c r="N407" i="5"/>
  <c r="N401" i="5"/>
  <c r="N396" i="5"/>
  <c r="N394" i="5"/>
  <c r="N393" i="5"/>
  <c r="N377" i="5"/>
  <c r="N373" i="5"/>
  <c r="N371" i="5"/>
  <c r="N364" i="5"/>
  <c r="N362" i="5"/>
  <c r="N359" i="5"/>
  <c r="N354" i="5"/>
  <c r="N290" i="5"/>
  <c r="N284" i="5"/>
  <c r="N282" i="5"/>
  <c r="N278" i="5"/>
  <c r="N276" i="5"/>
  <c r="N273" i="5"/>
  <c r="N270" i="5"/>
  <c r="N240" i="5"/>
  <c r="N239" i="5"/>
  <c r="N238" i="5"/>
  <c r="N235" i="5"/>
  <c r="N226" i="5"/>
  <c r="N223" i="5"/>
  <c r="N185" i="5"/>
  <c r="N184" i="5"/>
  <c r="N179" i="5"/>
  <c r="N177" i="5"/>
  <c r="N174" i="5"/>
  <c r="N172" i="5"/>
  <c r="N171" i="5"/>
  <c r="N150" i="5"/>
  <c r="N148" i="5"/>
  <c r="N142" i="5"/>
  <c r="N137" i="5"/>
  <c r="N129" i="5"/>
  <c r="N118" i="5"/>
  <c r="N102" i="5"/>
  <c r="N94" i="5"/>
  <c r="N92" i="5"/>
  <c r="N89" i="5"/>
  <c r="N80" i="5"/>
  <c r="N65" i="5"/>
  <c r="N62" i="5"/>
  <c r="N60" i="5"/>
  <c r="N57" i="5"/>
  <c r="N55" i="5"/>
  <c r="N48" i="5"/>
  <c r="N46" i="5"/>
  <c r="N44" i="5"/>
  <c r="N42" i="5"/>
  <c r="N40" i="5"/>
  <c r="N38" i="5"/>
  <c r="N37" i="5"/>
  <c r="N33" i="5"/>
  <c r="N31" i="5"/>
  <c r="N29" i="5"/>
  <c r="N28" i="5"/>
  <c r="N26" i="5"/>
  <c r="N14" i="5"/>
  <c r="I27" i="6"/>
  <c r="P585" i="5"/>
  <c r="P583" i="5"/>
  <c r="P562" i="5"/>
  <c r="P560" i="5"/>
  <c r="P551" i="5"/>
  <c r="P523" i="5"/>
  <c r="P513" i="5"/>
  <c r="P511" i="5"/>
  <c r="P502" i="5"/>
  <c r="P473" i="5"/>
  <c r="P463" i="5"/>
  <c r="P461" i="5"/>
  <c r="P454" i="5"/>
  <c r="P431" i="5"/>
  <c r="P426" i="5"/>
  <c r="P424" i="5"/>
  <c r="P415" i="5"/>
  <c r="P414" i="5"/>
  <c r="P413" i="5"/>
  <c r="P407" i="5"/>
  <c r="P401" i="5"/>
  <c r="P396" i="5"/>
  <c r="P394" i="5"/>
  <c r="P393" i="5"/>
  <c r="P377" i="5"/>
  <c r="P373" i="5"/>
  <c r="P371" i="5"/>
  <c r="P364" i="5"/>
  <c r="P362" i="5"/>
  <c r="P359" i="5"/>
  <c r="P354" i="5"/>
  <c r="P290" i="5"/>
  <c r="P284" i="5"/>
  <c r="P282" i="5"/>
  <c r="P278" i="5"/>
  <c r="P276" i="5"/>
  <c r="P273" i="5"/>
  <c r="P270" i="5"/>
  <c r="P240" i="5"/>
  <c r="P239" i="5"/>
  <c r="P238" i="5"/>
  <c r="P235" i="5"/>
  <c r="P226" i="5"/>
  <c r="P223" i="5"/>
  <c r="P185" i="5"/>
  <c r="P184" i="5"/>
  <c r="P179" i="5"/>
  <c r="P177" i="5"/>
  <c r="P174" i="5"/>
  <c r="P172" i="5"/>
  <c r="P171" i="5"/>
  <c r="P150" i="5"/>
  <c r="P148" i="5"/>
  <c r="P142" i="5"/>
  <c r="P137" i="5"/>
  <c r="P129" i="5"/>
  <c r="P118" i="5"/>
  <c r="P102" i="5"/>
  <c r="P94" i="5"/>
  <c r="P92" i="5"/>
  <c r="P89" i="5"/>
  <c r="P80" i="5"/>
  <c r="P65" i="5"/>
  <c r="P62" i="5"/>
  <c r="P60" i="5"/>
  <c r="P57" i="5"/>
  <c r="P55" i="5"/>
  <c r="P48" i="5"/>
  <c r="P46" i="5"/>
  <c r="P44" i="5"/>
  <c r="P42" i="5"/>
  <c r="P40" i="5"/>
  <c r="P38" i="5"/>
  <c r="P37" i="5"/>
  <c r="P33" i="5"/>
  <c r="P31" i="5"/>
  <c r="P29" i="5"/>
  <c r="P28" i="5"/>
  <c r="P26" i="5"/>
  <c r="P14" i="5"/>
  <c r="L28" i="4"/>
  <c r="G28" i="6"/>
  <c r="M586" i="5"/>
  <c r="M584" i="5"/>
  <c r="M580" i="5"/>
  <c r="M578" i="5"/>
  <c r="M575" i="5"/>
  <c r="M573" i="5"/>
  <c r="M571" i="5"/>
  <c r="M569" i="5"/>
  <c r="M567" i="5"/>
  <c r="M565" i="5"/>
  <c r="M563" i="5"/>
  <c r="M561" i="5"/>
  <c r="M559" i="5"/>
  <c r="M556" i="5"/>
  <c r="M553" i="5"/>
  <c r="M552" i="5"/>
  <c r="M550" i="5"/>
  <c r="M548" i="5"/>
  <c r="M546" i="5"/>
  <c r="M544" i="5"/>
  <c r="M539" i="5"/>
  <c r="M537" i="5"/>
  <c r="M535" i="5"/>
  <c r="M533" i="5"/>
  <c r="M531" i="5"/>
  <c r="M529" i="5"/>
  <c r="M527" i="5"/>
  <c r="M519" i="5"/>
  <c r="M514" i="5"/>
  <c r="M512" i="5"/>
  <c r="M505" i="5"/>
  <c r="M503" i="5"/>
  <c r="M501" i="5"/>
  <c r="M499" i="5"/>
  <c r="M496" i="5"/>
  <c r="M495" i="5"/>
  <c r="M489" i="5"/>
  <c r="M487" i="5"/>
  <c r="M485" i="5"/>
  <c r="M483" i="5"/>
  <c r="M481" i="5"/>
  <c r="M479" i="5"/>
  <c r="M477" i="5"/>
  <c r="M469" i="5"/>
  <c r="M464" i="5"/>
  <c r="M462" i="5"/>
  <c r="M459" i="5"/>
  <c r="M457" i="5"/>
  <c r="M455" i="5"/>
  <c r="M450" i="5"/>
  <c r="M448" i="5"/>
  <c r="M446" i="5"/>
  <c r="M444" i="5"/>
  <c r="M442" i="5"/>
  <c r="M440" i="5"/>
  <c r="M438" i="5"/>
  <c r="M434" i="5"/>
  <c r="M429" i="5"/>
  <c r="M427" i="5"/>
  <c r="M425" i="5"/>
  <c r="M423" i="5"/>
  <c r="M421" i="5"/>
  <c r="M419" i="5"/>
  <c r="M417" i="5"/>
  <c r="M412" i="5"/>
  <c r="M408" i="5"/>
  <c r="M406" i="5"/>
  <c r="M404" i="5"/>
  <c r="M402" i="5"/>
  <c r="M399" i="5"/>
  <c r="M397" i="5"/>
  <c r="M391" i="5"/>
  <c r="M389" i="5"/>
  <c r="M387" i="5"/>
  <c r="M385" i="5"/>
  <c r="M383" i="5"/>
  <c r="M378" i="5"/>
  <c r="M374" i="5"/>
  <c r="M372" i="5"/>
  <c r="M365" i="5"/>
  <c r="M363" i="5"/>
  <c r="M360" i="5"/>
  <c r="M351" i="5"/>
  <c r="M349" i="5"/>
  <c r="M347" i="5"/>
  <c r="M345" i="5"/>
  <c r="M343" i="5"/>
  <c r="M341" i="5"/>
  <c r="M339" i="5"/>
  <c r="M337" i="5"/>
  <c r="M335" i="5"/>
  <c r="M333" i="5"/>
  <c r="M331" i="5"/>
  <c r="M329" i="5"/>
  <c r="M327" i="5"/>
  <c r="M323" i="5"/>
  <c r="M321" i="5"/>
  <c r="M319" i="5"/>
  <c r="M317" i="5"/>
  <c r="M315" i="5"/>
  <c r="M313" i="5"/>
  <c r="M311" i="5"/>
  <c r="M309" i="5"/>
  <c r="M307" i="5"/>
  <c r="M305" i="5"/>
  <c r="M303" i="5"/>
  <c r="M301" i="5"/>
  <c r="M299" i="5"/>
  <c r="M297" i="5"/>
  <c r="M295" i="5"/>
  <c r="M291" i="5"/>
  <c r="M287" i="5"/>
  <c r="M285" i="5"/>
  <c r="M283" i="5"/>
  <c r="M277" i="5"/>
  <c r="M274" i="5"/>
  <c r="M272" i="5"/>
  <c r="M269" i="5"/>
  <c r="M267" i="5"/>
  <c r="M265" i="5"/>
  <c r="M263" i="5"/>
  <c r="M261" i="5"/>
  <c r="M259" i="5"/>
  <c r="M257" i="5"/>
  <c r="M255" i="5"/>
  <c r="M253" i="5"/>
  <c r="M251" i="5"/>
  <c r="M241" i="5"/>
  <c r="M236" i="5"/>
  <c r="M227" i="5"/>
  <c r="M224" i="5"/>
  <c r="M222" i="5"/>
  <c r="M220" i="5"/>
  <c r="M216" i="5"/>
  <c r="M214" i="5"/>
  <c r="M212" i="5"/>
  <c r="M210" i="5"/>
  <c r="M208" i="5"/>
  <c r="M206" i="5"/>
  <c r="M204" i="5"/>
  <c r="M202" i="5"/>
  <c r="M200" i="5"/>
  <c r="M198" i="5"/>
  <c r="M196" i="5"/>
  <c r="M194" i="5"/>
  <c r="M192" i="5"/>
  <c r="M190" i="5"/>
  <c r="M186" i="5"/>
  <c r="M183" i="5"/>
  <c r="M181" i="5"/>
  <c r="M180" i="5"/>
  <c r="M178" i="5"/>
  <c r="M173" i="5"/>
  <c r="M170" i="5"/>
  <c r="M168" i="5"/>
  <c r="M166" i="5"/>
  <c r="M164" i="5"/>
  <c r="M162" i="5"/>
  <c r="M160" i="5"/>
  <c r="M158" i="5"/>
  <c r="M156" i="5"/>
  <c r="M154" i="5"/>
  <c r="M152" i="5"/>
  <c r="M147" i="5"/>
  <c r="M145" i="5"/>
  <c r="M143" i="5"/>
  <c r="M138" i="5"/>
  <c r="M131" i="5"/>
  <c r="M126" i="5"/>
  <c r="M123" i="5"/>
  <c r="M121" i="5"/>
  <c r="M119" i="5"/>
  <c r="M117" i="5"/>
  <c r="M115" i="5"/>
  <c r="M113" i="5"/>
  <c r="M111" i="5"/>
  <c r="M109" i="5"/>
  <c r="M107" i="5"/>
  <c r="M105" i="5"/>
  <c r="M103" i="5"/>
  <c r="M99" i="5"/>
  <c r="M95" i="5"/>
  <c r="M93" i="5"/>
  <c r="M88" i="5"/>
  <c r="M86" i="5"/>
  <c r="M84" i="5"/>
  <c r="M81" i="5"/>
  <c r="M79" i="5"/>
  <c r="M77" i="5"/>
  <c r="M74" i="5"/>
  <c r="M66" i="5"/>
  <c r="M63" i="5"/>
  <c r="M61" i="5"/>
  <c r="M58" i="5"/>
  <c r="M56" i="5"/>
  <c r="M51" i="5"/>
  <c r="M49" i="5"/>
  <c r="M45" i="5"/>
  <c r="M43" i="5"/>
  <c r="M41" i="5"/>
  <c r="M39" i="5"/>
  <c r="M34" i="5"/>
  <c r="M32" i="5"/>
  <c r="M30" i="5"/>
  <c r="M27" i="5"/>
  <c r="M24" i="5"/>
  <c r="M22" i="5"/>
  <c r="M20" i="5"/>
  <c r="M18" i="5"/>
  <c r="M16" i="5"/>
  <c r="M10" i="5"/>
  <c r="M8" i="5"/>
  <c r="K29" i="4"/>
  <c r="M29" i="4" s="1"/>
  <c r="H28" i="6"/>
  <c r="N586" i="5"/>
  <c r="N584" i="5"/>
  <c r="N580" i="5"/>
  <c r="N578" i="5"/>
  <c r="N575" i="5"/>
  <c r="N573" i="5"/>
  <c r="N571" i="5"/>
  <c r="N569" i="5"/>
  <c r="N567" i="5"/>
  <c r="N565" i="5"/>
  <c r="N563" i="5"/>
  <c r="N561" i="5"/>
  <c r="N559" i="5"/>
  <c r="N556" i="5"/>
  <c r="N553" i="5"/>
  <c r="N552" i="5"/>
  <c r="N550" i="5"/>
  <c r="N548" i="5"/>
  <c r="N546" i="5"/>
  <c r="N544" i="5"/>
  <c r="N539" i="5"/>
  <c r="N537" i="5"/>
  <c r="N535" i="5"/>
  <c r="N533" i="5"/>
  <c r="N531" i="5"/>
  <c r="N529" i="5"/>
  <c r="N527" i="5"/>
  <c r="N519" i="5"/>
  <c r="N514" i="5"/>
  <c r="N512" i="5"/>
  <c r="N505" i="5"/>
  <c r="N503" i="5"/>
  <c r="N501" i="5"/>
  <c r="N499" i="5"/>
  <c r="N496" i="5"/>
  <c r="N495" i="5"/>
  <c r="N489" i="5"/>
  <c r="N487" i="5"/>
  <c r="N485" i="5"/>
  <c r="N483" i="5"/>
  <c r="N481" i="5"/>
  <c r="N479" i="5"/>
  <c r="N477" i="5"/>
  <c r="N469" i="5"/>
  <c r="N464" i="5"/>
  <c r="N462" i="5"/>
  <c r="N459" i="5"/>
  <c r="N457" i="5"/>
  <c r="N455" i="5"/>
  <c r="N450" i="5"/>
  <c r="N448" i="5"/>
  <c r="N446" i="5"/>
  <c r="N444" i="5"/>
  <c r="N442" i="5"/>
  <c r="N440" i="5"/>
  <c r="N438" i="5"/>
  <c r="N434" i="5"/>
  <c r="N429" i="5"/>
  <c r="N427" i="5"/>
  <c r="N425" i="5"/>
  <c r="N423" i="5"/>
  <c r="N421" i="5"/>
  <c r="N419" i="5"/>
  <c r="N417" i="5"/>
  <c r="N412" i="5"/>
  <c r="N408" i="5"/>
  <c r="N406" i="5"/>
  <c r="N404" i="5"/>
  <c r="N402" i="5"/>
  <c r="N399" i="5"/>
  <c r="N397" i="5"/>
  <c r="N391" i="5"/>
  <c r="N389" i="5"/>
  <c r="N387" i="5"/>
  <c r="N385" i="5"/>
  <c r="N383" i="5"/>
  <c r="N378" i="5"/>
  <c r="N374" i="5"/>
  <c r="N372" i="5"/>
  <c r="N365" i="5"/>
  <c r="N363" i="5"/>
  <c r="N360" i="5"/>
  <c r="N351" i="5"/>
  <c r="N349" i="5"/>
  <c r="N347" i="5"/>
  <c r="N345" i="5"/>
  <c r="N343" i="5"/>
  <c r="N341" i="5"/>
  <c r="N339" i="5"/>
  <c r="N337" i="5"/>
  <c r="N335" i="5"/>
  <c r="N333" i="5"/>
  <c r="N331" i="5"/>
  <c r="N329" i="5"/>
  <c r="N327" i="5"/>
  <c r="N323" i="5"/>
  <c r="N321" i="5"/>
  <c r="N319" i="5"/>
  <c r="N317" i="5"/>
  <c r="N315" i="5"/>
  <c r="N313" i="5"/>
  <c r="N311" i="5"/>
  <c r="N309" i="5"/>
  <c r="N307" i="5"/>
  <c r="N305" i="5"/>
  <c r="N303" i="5"/>
  <c r="N301" i="5"/>
  <c r="N299" i="5"/>
  <c r="N297" i="5"/>
  <c r="N295" i="5"/>
  <c r="N291" i="5"/>
  <c r="N287" i="5"/>
  <c r="N285" i="5"/>
  <c r="N283" i="5"/>
  <c r="N277" i="5"/>
  <c r="N274" i="5"/>
  <c r="N272" i="5"/>
  <c r="N269" i="5"/>
  <c r="N267" i="5"/>
  <c r="N265" i="5"/>
  <c r="N263" i="5"/>
  <c r="N261" i="5"/>
  <c r="N259" i="5"/>
  <c r="N257" i="5"/>
  <c r="N255" i="5"/>
  <c r="N253" i="5"/>
  <c r="N251" i="5"/>
  <c r="N241" i="5"/>
  <c r="N236" i="5"/>
  <c r="N227" i="5"/>
  <c r="N224" i="5"/>
  <c r="N222" i="5"/>
  <c r="N220" i="5"/>
  <c r="N216" i="5"/>
  <c r="N214" i="5"/>
  <c r="N212" i="5"/>
  <c r="N210" i="5"/>
  <c r="N208" i="5"/>
  <c r="N206" i="5"/>
  <c r="N204" i="5"/>
  <c r="N202" i="5"/>
  <c r="N200" i="5"/>
  <c r="N198" i="5"/>
  <c r="N196" i="5"/>
  <c r="N194" i="5"/>
  <c r="N192" i="5"/>
  <c r="N190" i="5"/>
  <c r="N186" i="5"/>
  <c r="N183" i="5"/>
  <c r="N181" i="5"/>
  <c r="N180" i="5"/>
  <c r="N178" i="5"/>
  <c r="N173" i="5"/>
  <c r="N170" i="5"/>
  <c r="N168" i="5"/>
  <c r="N166" i="5"/>
  <c r="N164" i="5"/>
  <c r="N162" i="5"/>
  <c r="N160" i="5"/>
  <c r="N158" i="5"/>
  <c r="N156" i="5"/>
  <c r="N154" i="5"/>
  <c r="N152" i="5"/>
  <c r="N147" i="5"/>
  <c r="N145" i="5"/>
  <c r="N143" i="5"/>
  <c r="N138" i="5"/>
  <c r="N131" i="5"/>
  <c r="N126" i="5"/>
  <c r="N123" i="5"/>
  <c r="N121" i="5"/>
  <c r="N119" i="5"/>
  <c r="N117" i="5"/>
  <c r="N115" i="5"/>
  <c r="N113" i="5"/>
  <c r="N111" i="5"/>
  <c r="N109" i="5"/>
  <c r="N107" i="5"/>
  <c r="N105" i="5"/>
  <c r="N103" i="5"/>
  <c r="N99" i="5"/>
  <c r="N95" i="5"/>
  <c r="N93" i="5"/>
  <c r="N88" i="5"/>
  <c r="N86" i="5"/>
  <c r="N84" i="5"/>
  <c r="N81" i="5"/>
  <c r="N79" i="5"/>
  <c r="N77" i="5"/>
  <c r="N74" i="5"/>
  <c r="N66" i="5"/>
  <c r="N63" i="5"/>
  <c r="N61" i="5"/>
  <c r="N58" i="5"/>
  <c r="N56" i="5"/>
  <c r="N51" i="5"/>
  <c r="N49" i="5"/>
  <c r="N45" i="5"/>
  <c r="N43" i="5"/>
  <c r="N41" i="5"/>
  <c r="N39" i="5"/>
  <c r="N34" i="5"/>
  <c r="N32" i="5"/>
  <c r="N30" i="5"/>
  <c r="N27" i="5"/>
  <c r="N24" i="5"/>
  <c r="N22" i="5"/>
  <c r="N20" i="5"/>
  <c r="N18" i="5"/>
  <c r="N16" i="5"/>
  <c r="N10" i="5"/>
  <c r="N8" i="5"/>
  <c r="Q497" i="5"/>
  <c r="Q509" i="5"/>
  <c r="Q554" i="5"/>
  <c r="Q581" i="5"/>
  <c r="T581" i="5" l="1"/>
  <c r="R581" i="5"/>
  <c r="T554" i="5"/>
  <c r="R554" i="5"/>
  <c r="T509" i="5"/>
  <c r="R509" i="5"/>
  <c r="T497" i="5"/>
  <c r="R497" i="5"/>
  <c r="Q8" i="5"/>
  <c r="Q10" i="5"/>
  <c r="Q16" i="5"/>
  <c r="Q18" i="5"/>
  <c r="Q20" i="5"/>
  <c r="Q22" i="5"/>
  <c r="Q24" i="5"/>
  <c r="Q27" i="5"/>
  <c r="Q30" i="5"/>
  <c r="Q32" i="5"/>
  <c r="Q34" i="5"/>
  <c r="Q39" i="5"/>
  <c r="Q41" i="5"/>
  <c r="Q43" i="5"/>
  <c r="Q45" i="5"/>
  <c r="Q49" i="5"/>
  <c r="Q51" i="5"/>
  <c r="Q56" i="5"/>
  <c r="Q58" i="5"/>
  <c r="Q61" i="5"/>
  <c r="Q63" i="5"/>
  <c r="Q66" i="5"/>
  <c r="Q74" i="5"/>
  <c r="Q77" i="5"/>
  <c r="Q79" i="5"/>
  <c r="Q81" i="5"/>
  <c r="Q84" i="5"/>
  <c r="Q86" i="5"/>
  <c r="Q88" i="5"/>
  <c r="Q93" i="5"/>
  <c r="Q95" i="5"/>
  <c r="Q99" i="5"/>
  <c r="Q103" i="5"/>
  <c r="Q105" i="5"/>
  <c r="Q107" i="5"/>
  <c r="Q109" i="5"/>
  <c r="Q111" i="5"/>
  <c r="Q113" i="5"/>
  <c r="Q115" i="5"/>
  <c r="Q117" i="5"/>
  <c r="Q119" i="5"/>
  <c r="Q121" i="5"/>
  <c r="Q123" i="5"/>
  <c r="Q126" i="5"/>
  <c r="Q131" i="5"/>
  <c r="Q138" i="5"/>
  <c r="Q143" i="5"/>
  <c r="Q145" i="5"/>
  <c r="Q147" i="5"/>
  <c r="Q152" i="5"/>
  <c r="Q154" i="5"/>
  <c r="Q156" i="5"/>
  <c r="Q158" i="5"/>
  <c r="Q160" i="5"/>
  <c r="Q162" i="5"/>
  <c r="Q164" i="5"/>
  <c r="Q166" i="5"/>
  <c r="Q168" i="5"/>
  <c r="Q170" i="5"/>
  <c r="Q173" i="5"/>
  <c r="Q178" i="5"/>
  <c r="Q180" i="5"/>
  <c r="Q181" i="5"/>
  <c r="Q183" i="5"/>
  <c r="Q186" i="5"/>
  <c r="Q190" i="5"/>
  <c r="Q192" i="5"/>
  <c r="Q194" i="5"/>
  <c r="Q196" i="5"/>
  <c r="Q198" i="5"/>
  <c r="Q200" i="5"/>
  <c r="Q202" i="5"/>
  <c r="Q204" i="5"/>
  <c r="Q206" i="5"/>
  <c r="Q208" i="5"/>
  <c r="Q210" i="5"/>
  <c r="Q212" i="5"/>
  <c r="Q214" i="5"/>
  <c r="Q216" i="5"/>
  <c r="Q220" i="5"/>
  <c r="Q222" i="5"/>
  <c r="Q224" i="5"/>
  <c r="Q227" i="5"/>
  <c r="Q236" i="5"/>
  <c r="Q241" i="5"/>
  <c r="Q251" i="5"/>
  <c r="Q253" i="5"/>
  <c r="Q255" i="5"/>
  <c r="Q257" i="5"/>
  <c r="Q259" i="5"/>
  <c r="Q261" i="5"/>
  <c r="Q263" i="5"/>
  <c r="Q265" i="5"/>
  <c r="Q267" i="5"/>
  <c r="Q269" i="5"/>
  <c r="Q272" i="5"/>
  <c r="Q274" i="5"/>
  <c r="Q277" i="5"/>
  <c r="Q283" i="5"/>
  <c r="Q285" i="5"/>
  <c r="Q287" i="5"/>
  <c r="Q291" i="5"/>
  <c r="Q295" i="5"/>
  <c r="Q297" i="5"/>
  <c r="Q299" i="5"/>
  <c r="Q301" i="5"/>
  <c r="Q303" i="5"/>
  <c r="Q305" i="5"/>
  <c r="Q307" i="5"/>
  <c r="Q309" i="5"/>
  <c r="Q311" i="5"/>
  <c r="Q313" i="5"/>
  <c r="Q315" i="5"/>
  <c r="Q317" i="5"/>
  <c r="Q319" i="5"/>
  <c r="Q321" i="5"/>
  <c r="Q323" i="5"/>
  <c r="Q327" i="5"/>
  <c r="Q329" i="5"/>
  <c r="Q331" i="5"/>
  <c r="Q333" i="5"/>
  <c r="Q335" i="5"/>
  <c r="Q337" i="5"/>
  <c r="Q339" i="5"/>
  <c r="Q341" i="5"/>
  <c r="Q343" i="5"/>
  <c r="Q345" i="5"/>
  <c r="Q347" i="5"/>
  <c r="Q349" i="5"/>
  <c r="Q351" i="5"/>
  <c r="Q360" i="5"/>
  <c r="Q363" i="5"/>
  <c r="Q365" i="5"/>
  <c r="Q372" i="5"/>
  <c r="Q374" i="5"/>
  <c r="Q378" i="5"/>
  <c r="Q383" i="5"/>
  <c r="Q385" i="5"/>
  <c r="Q387" i="5"/>
  <c r="Q389" i="5"/>
  <c r="Q391" i="5"/>
  <c r="Q397" i="5"/>
  <c r="Q399" i="5"/>
  <c r="Q402" i="5"/>
  <c r="Q404" i="5"/>
  <c r="Q406" i="5"/>
  <c r="Q408" i="5"/>
  <c r="Q412" i="5"/>
  <c r="Q417" i="5"/>
  <c r="Q419" i="5"/>
  <c r="Q421" i="5"/>
  <c r="Q423" i="5"/>
  <c r="Q425" i="5"/>
  <c r="Q427" i="5"/>
  <c r="Q429" i="5"/>
  <c r="Q434" i="5"/>
  <c r="Q438" i="5"/>
  <c r="Q440" i="5"/>
  <c r="Q442" i="5"/>
  <c r="Q444" i="5"/>
  <c r="Q446" i="5"/>
  <c r="Q448" i="5"/>
  <c r="Q450" i="5"/>
  <c r="Q455" i="5"/>
  <c r="Q457" i="5"/>
  <c r="Q459" i="5"/>
  <c r="Q462" i="5"/>
  <c r="Q464" i="5"/>
  <c r="Q469" i="5"/>
  <c r="Q477" i="5"/>
  <c r="Q479" i="5"/>
  <c r="Q481" i="5"/>
  <c r="Q483" i="5"/>
  <c r="Q485" i="5"/>
  <c r="Q487" i="5"/>
  <c r="Q489" i="5"/>
  <c r="Q495" i="5"/>
  <c r="Q496" i="5"/>
  <c r="Q499" i="5"/>
  <c r="Q501" i="5"/>
  <c r="Q503" i="5"/>
  <c r="Q505" i="5"/>
  <c r="Q512" i="5"/>
  <c r="Q514" i="5"/>
  <c r="Q519" i="5"/>
  <c r="Q527" i="5"/>
  <c r="Q529" i="5"/>
  <c r="Q531" i="5"/>
  <c r="Q533" i="5"/>
  <c r="Q535" i="5"/>
  <c r="Q537" i="5"/>
  <c r="Q539" i="5"/>
  <c r="Q544" i="5"/>
  <c r="Q546" i="5"/>
  <c r="Q548" i="5"/>
  <c r="Q550" i="5"/>
  <c r="Q552" i="5"/>
  <c r="Q553" i="5"/>
  <c r="Q556" i="5"/>
  <c r="Q559" i="5"/>
  <c r="Q561" i="5"/>
  <c r="Q563" i="5"/>
  <c r="Q565" i="5"/>
  <c r="Q567" i="5"/>
  <c r="Q569" i="5"/>
  <c r="Q571" i="5"/>
  <c r="Q573" i="5"/>
  <c r="Q575" i="5"/>
  <c r="Q578" i="5"/>
  <c r="Q580" i="5"/>
  <c r="Q584" i="5"/>
  <c r="Q586" i="5"/>
  <c r="Q14" i="5"/>
  <c r="Q26" i="5"/>
  <c r="Q28" i="5"/>
  <c r="Q29" i="5"/>
  <c r="Q31" i="5"/>
  <c r="Q33" i="5"/>
  <c r="Q37" i="5"/>
  <c r="Q38" i="5"/>
  <c r="Q40" i="5"/>
  <c r="Q42" i="5"/>
  <c r="Q44" i="5"/>
  <c r="Q46" i="5"/>
  <c r="Q48" i="5"/>
  <c r="Q55" i="5"/>
  <c r="Q57" i="5"/>
  <c r="Q60" i="5"/>
  <c r="Q62" i="5"/>
  <c r="Q65" i="5"/>
  <c r="Q80" i="5"/>
  <c r="Q89" i="5"/>
  <c r="Q92" i="5"/>
  <c r="Q94" i="5"/>
  <c r="Q102" i="5"/>
  <c r="Q118" i="5"/>
  <c r="Q129" i="5"/>
  <c r="Q137" i="5"/>
  <c r="Q142" i="5"/>
  <c r="Q148" i="5"/>
  <c r="Q150" i="5"/>
  <c r="Q171" i="5"/>
  <c r="Q172" i="5"/>
  <c r="Q174" i="5"/>
  <c r="Q177" i="5"/>
  <c r="Q179" i="5"/>
  <c r="Q184" i="5"/>
  <c r="Q185" i="5"/>
  <c r="Q223" i="5"/>
  <c r="Q226" i="5"/>
  <c r="Q235" i="5"/>
  <c r="Q238" i="5"/>
  <c r="Q239" i="5"/>
  <c r="Q240" i="5"/>
  <c r="Q270" i="5"/>
  <c r="Q273" i="5"/>
  <c r="Q276" i="5"/>
  <c r="Q278" i="5"/>
  <c r="Q282" i="5"/>
  <c r="Q284" i="5"/>
  <c r="Q290" i="5"/>
  <c r="Q354" i="5"/>
  <c r="Q359" i="5"/>
  <c r="Q362" i="5"/>
  <c r="Q364" i="5"/>
  <c r="Q371" i="5"/>
  <c r="Q373" i="5"/>
  <c r="Q377" i="5"/>
  <c r="Q393" i="5"/>
  <c r="Q394" i="5"/>
  <c r="Q396" i="5"/>
  <c r="Q401" i="5"/>
  <c r="Q407" i="5"/>
  <c r="Q413" i="5"/>
  <c r="Q414" i="5"/>
  <c r="Q415" i="5"/>
  <c r="Q424" i="5"/>
  <c r="Q426" i="5"/>
  <c r="Q431" i="5"/>
  <c r="Q454" i="5"/>
  <c r="Q461" i="5"/>
  <c r="Q463" i="5"/>
  <c r="Q473" i="5"/>
  <c r="Q502" i="5"/>
  <c r="Q511" i="5"/>
  <c r="Q513" i="5"/>
  <c r="Q523" i="5"/>
  <c r="Q551" i="5"/>
  <c r="Q560" i="5"/>
  <c r="Q562" i="5"/>
  <c r="Q583" i="5"/>
  <c r="Q585" i="5"/>
  <c r="Q76" i="5"/>
  <c r="Q510" i="5"/>
  <c r="Q67" i="5"/>
  <c r="Q73" i="5"/>
  <c r="Q75" i="5"/>
  <c r="Q78" i="5"/>
  <c r="Q82" i="5"/>
  <c r="Q141" i="5"/>
  <c r="Q149" i="5"/>
  <c r="Q187" i="5"/>
  <c r="Q188" i="5"/>
  <c r="Q225" i="5"/>
  <c r="Q228" i="5"/>
  <c r="Q247" i="5"/>
  <c r="Q271" i="5"/>
  <c r="Q275" i="5"/>
  <c r="Q279" i="5"/>
  <c r="Q292" i="5"/>
  <c r="Q293" i="5"/>
  <c r="Q320" i="5"/>
  <c r="Q357" i="5"/>
  <c r="Q358" i="5"/>
  <c r="Q361" i="5"/>
  <c r="Q375" i="5"/>
  <c r="Q376" i="5"/>
  <c r="Q395" i="5"/>
  <c r="Q398" i="5"/>
  <c r="Q400" i="5"/>
  <c r="Q428" i="5"/>
  <c r="Q432" i="5"/>
  <c r="Q436" i="5"/>
  <c r="Q474" i="5"/>
  <c r="Q475" i="5"/>
  <c r="Q488" i="5"/>
  <c r="Q506" i="5"/>
  <c r="Q538" i="5"/>
  <c r="Q557" i="5"/>
  <c r="Q574" i="5"/>
  <c r="Q582" i="5"/>
  <c r="Q133" i="5"/>
  <c r="Q135" i="5"/>
  <c r="Q35" i="5"/>
  <c r="Q36" i="5"/>
  <c r="Q54" i="5"/>
  <c r="Q68" i="5"/>
  <c r="Q90" i="5"/>
  <c r="Q91" i="5"/>
  <c r="Q132" i="5"/>
  <c r="Q134" i="5"/>
  <c r="Q136" i="5"/>
  <c r="Q175" i="5"/>
  <c r="Q176" i="5"/>
  <c r="Q233" i="5"/>
  <c r="Q234" i="5"/>
  <c r="Q237" i="5"/>
  <c r="Q243" i="5"/>
  <c r="Q280" i="5"/>
  <c r="Q281" i="5"/>
  <c r="Q288" i="5"/>
  <c r="Q352" i="5"/>
  <c r="Q353" i="5"/>
  <c r="Q367" i="5"/>
  <c r="Q392" i="5"/>
  <c r="Q430" i="5"/>
  <c r="Q451" i="5"/>
  <c r="Q452" i="5"/>
  <c r="Q467" i="5"/>
  <c r="Q470" i="5"/>
  <c r="Q490" i="5"/>
  <c r="Q491" i="5"/>
  <c r="Q492" i="5"/>
  <c r="Q493" i="5"/>
  <c r="Q517" i="5"/>
  <c r="Q520" i="5"/>
  <c r="Q540" i="5"/>
  <c r="Q541" i="5"/>
  <c r="Q542" i="5"/>
  <c r="Q576" i="5"/>
  <c r="Q579" i="5"/>
  <c r="Q127" i="5"/>
  <c r="Q128" i="5"/>
  <c r="Q219" i="5"/>
  <c r="Q221" i="5"/>
  <c r="Q338" i="5"/>
  <c r="Q342" i="5"/>
  <c r="Q344" i="5"/>
  <c r="Q498" i="5"/>
  <c r="Q545" i="5"/>
  <c r="Q547" i="5"/>
  <c r="Q564" i="5"/>
  <c r="Q110" i="5"/>
  <c r="Q456" i="5"/>
  <c r="Q555" i="5"/>
  <c r="Q350" i="5"/>
  <c r="Q322" i="5"/>
  <c r="Q326" i="5"/>
  <c r="Q418" i="5"/>
  <c r="Q453" i="5"/>
  <c r="Q558" i="5"/>
  <c r="Q324" i="5"/>
  <c r="Q325" i="5"/>
  <c r="Q6" i="5"/>
  <c r="Q7" i="5"/>
  <c r="Q21" i="5"/>
  <c r="Q23" i="5"/>
  <c r="Q25" i="5"/>
  <c r="Q50" i="5"/>
  <c r="Q83" i="5"/>
  <c r="Q87" i="5"/>
  <c r="Q98" i="5"/>
  <c r="Q104" i="5"/>
  <c r="Q106" i="5"/>
  <c r="Q108" i="5"/>
  <c r="Q112" i="5"/>
  <c r="Q114" i="5"/>
  <c r="Q116" i="5"/>
  <c r="Q124" i="5"/>
  <c r="Q130" i="5"/>
  <c r="Q193" i="5"/>
  <c r="Q195" i="5"/>
  <c r="Q197" i="5"/>
  <c r="Q199" i="5"/>
  <c r="Q201" i="5"/>
  <c r="Q203" i="5"/>
  <c r="Q205" i="5"/>
  <c r="Q207" i="5"/>
  <c r="Q209" i="5"/>
  <c r="Q211" i="5"/>
  <c r="Q213" i="5"/>
  <c r="Q217" i="5"/>
  <c r="Q250" i="5"/>
  <c r="Q252" i="5"/>
  <c r="Q254" i="5"/>
  <c r="Q256" i="5"/>
  <c r="Q258" i="5"/>
  <c r="Q260" i="5"/>
  <c r="Q262" i="5"/>
  <c r="Q264" i="5"/>
  <c r="Q266" i="5"/>
  <c r="Q294" i="5"/>
  <c r="Q296" i="5"/>
  <c r="Q298" i="5"/>
  <c r="Q330" i="5"/>
  <c r="Q332" i="5"/>
  <c r="Q334" i="5"/>
  <c r="Q336" i="5"/>
  <c r="Q346" i="5"/>
  <c r="Q355" i="5"/>
  <c r="Q356" i="5"/>
  <c r="Q379" i="5"/>
  <c r="Q380" i="5"/>
  <c r="Q381" i="5"/>
  <c r="Q382" i="5"/>
  <c r="Q384" i="5"/>
  <c r="Q386" i="5"/>
  <c r="Q388" i="5"/>
  <c r="Q390" i="5"/>
  <c r="Q403" i="5"/>
  <c r="Q405" i="5"/>
  <c r="Q416" i="5"/>
  <c r="Q420" i="5"/>
  <c r="Q422" i="5"/>
  <c r="Q476" i="5"/>
  <c r="Q478" i="5"/>
  <c r="Q480" i="5"/>
  <c r="Q482" i="5"/>
  <c r="Q484" i="5"/>
  <c r="Q486" i="5"/>
  <c r="Q494" i="5"/>
  <c r="Q500" i="5"/>
  <c r="Q504" i="5"/>
  <c r="Q526" i="5"/>
  <c r="Q528" i="5"/>
  <c r="Q530" i="5"/>
  <c r="Q532" i="5"/>
  <c r="Q534" i="5"/>
  <c r="Q536" i="5"/>
  <c r="Q543" i="5"/>
  <c r="Q549" i="5"/>
  <c r="Q566" i="5"/>
  <c r="Q568" i="5"/>
  <c r="Q570" i="5"/>
  <c r="Q572" i="5"/>
  <c r="Q53" i="5"/>
  <c r="Q96" i="5"/>
  <c r="Q97" i="5"/>
  <c r="Q242" i="5"/>
  <c r="Q366" i="5"/>
  <c r="Q465" i="5"/>
  <c r="Q466" i="5"/>
  <c r="Q515" i="5"/>
  <c r="Q516" i="5"/>
  <c r="Q69" i="5"/>
  <c r="Q47" i="5"/>
  <c r="Q71" i="5"/>
  <c r="Q289" i="5"/>
  <c r="Q471" i="5"/>
  <c r="Q521" i="5"/>
  <c r="Q5" i="5"/>
  <c r="Q70" i="5"/>
  <c r="Q249" i="5"/>
  <c r="Q472" i="5"/>
  <c r="Q522" i="5"/>
  <c r="Q525" i="5"/>
  <c r="Q52" i="5"/>
  <c r="Q144" i="5"/>
  <c r="Q437" i="5"/>
  <c r="Q59" i="5"/>
  <c r="Q64" i="5"/>
  <c r="Q139" i="5"/>
  <c r="Q140" i="5"/>
  <c r="Q435" i="5"/>
  <c r="Q100" i="5"/>
  <c r="Q101" i="5"/>
  <c r="Q244" i="5"/>
  <c r="Q245" i="5"/>
  <c r="Q246" i="5"/>
  <c r="Q368" i="5"/>
  <c r="Q369" i="5"/>
  <c r="Q370" i="5"/>
  <c r="Q12" i="5"/>
  <c r="Q232" i="5"/>
  <c r="Q17" i="5"/>
  <c r="Q19" i="5"/>
  <c r="Q85" i="5"/>
  <c r="Q120" i="5"/>
  <c r="Q125" i="5"/>
  <c r="Q146" i="5"/>
  <c r="Q151" i="5"/>
  <c r="Q153" i="5"/>
  <c r="Q155" i="5"/>
  <c r="Q157" i="5"/>
  <c r="Q159" i="5"/>
  <c r="Q161" i="5"/>
  <c r="Q163" i="5"/>
  <c r="Q165" i="5"/>
  <c r="Q167" i="5"/>
  <c r="Q189" i="5"/>
  <c r="Q191" i="5"/>
  <c r="Q215" i="5"/>
  <c r="Q218" i="5"/>
  <c r="Q229" i="5"/>
  <c r="Q230" i="5"/>
  <c r="Q231" i="5"/>
  <c r="Q248" i="5"/>
  <c r="Q268" i="5"/>
  <c r="Q286" i="5"/>
  <c r="Q300" i="5"/>
  <c r="Q302" i="5"/>
  <c r="Q304" i="5"/>
  <c r="Q306" i="5"/>
  <c r="Q308" i="5"/>
  <c r="Q310" i="5"/>
  <c r="Q312" i="5"/>
  <c r="Q314" i="5"/>
  <c r="Q316" i="5"/>
  <c r="Q318" i="5"/>
  <c r="Q328" i="5"/>
  <c r="Q348" i="5"/>
  <c r="Q411" i="5"/>
  <c r="Q433" i="5"/>
  <c r="Q439" i="5"/>
  <c r="Q441" i="5"/>
  <c r="Q443" i="5"/>
  <c r="Q445" i="5"/>
  <c r="Q447" i="5"/>
  <c r="Q449" i="5"/>
  <c r="Q468" i="5"/>
  <c r="Q518" i="5"/>
  <c r="Q577" i="5"/>
  <c r="Q9" i="5"/>
  <c r="Q340" i="5"/>
  <c r="Q458" i="5"/>
  <c r="Q460" i="5"/>
  <c r="Q508" i="5"/>
  <c r="K31" i="4"/>
  <c r="M6" i="4"/>
  <c r="Q13" i="5"/>
  <c r="Q15" i="5"/>
  <c r="Q72" i="5"/>
  <c r="Q122" i="5"/>
  <c r="Q169" i="5"/>
  <c r="Q182" i="5"/>
  <c r="Q507" i="5"/>
  <c r="Q587" i="5"/>
  <c r="Q13" i="2"/>
  <c r="P14" i="2" s="1"/>
  <c r="O13" i="2"/>
  <c r="N14" i="2" s="1"/>
  <c r="M13" i="2"/>
  <c r="L14" i="2" s="1"/>
  <c r="K13" i="2"/>
  <c r="J14" i="2" s="1"/>
  <c r="I13" i="2"/>
  <c r="H14" i="2" s="1"/>
  <c r="G13" i="2"/>
  <c r="F14" i="2" s="1"/>
  <c r="E13" i="2"/>
  <c r="D14" i="2" s="1"/>
  <c r="C13" i="2"/>
  <c r="B14" i="2" s="1"/>
  <c r="L6" i="9"/>
  <c r="K15" i="12"/>
  <c r="L6" i="12"/>
  <c r="L13" i="13"/>
  <c r="M13" i="13" s="1"/>
  <c r="M6" i="13"/>
  <c r="L21" i="13"/>
  <c r="M21" i="13" s="1"/>
  <c r="M16" i="13"/>
  <c r="T11" i="5"/>
  <c r="U11" i="5" s="1"/>
  <c r="S11" i="5"/>
  <c r="T524" i="5"/>
  <c r="U524" i="5" s="1"/>
  <c r="S524" i="5"/>
  <c r="K17" i="12" l="1"/>
  <c r="L15" i="12"/>
  <c r="C18" i="2"/>
  <c r="C17" i="2"/>
  <c r="C16" i="2"/>
  <c r="C15" i="2"/>
  <c r="B19" i="2" s="1"/>
  <c r="E18" i="2"/>
  <c r="E17" i="2"/>
  <c r="E16" i="2"/>
  <c r="E15" i="2"/>
  <c r="D19" i="2" s="1"/>
  <c r="G18" i="2"/>
  <c r="G17" i="2"/>
  <c r="G16" i="2"/>
  <c r="G15" i="2"/>
  <c r="F19" i="2" s="1"/>
  <c r="I18" i="2"/>
  <c r="I17" i="2"/>
  <c r="I16" i="2"/>
  <c r="I15" i="2"/>
  <c r="H19" i="2" s="1"/>
  <c r="K18" i="2"/>
  <c r="K17" i="2"/>
  <c r="K16" i="2"/>
  <c r="K15" i="2"/>
  <c r="J19" i="2" s="1"/>
  <c r="M18" i="2"/>
  <c r="M17" i="2"/>
  <c r="M16" i="2"/>
  <c r="M15" i="2"/>
  <c r="L19" i="2" s="1"/>
  <c r="O18" i="2"/>
  <c r="O17" i="2"/>
  <c r="O16" i="2"/>
  <c r="O15" i="2"/>
  <c r="N19" i="2" s="1"/>
  <c r="Q18" i="2"/>
  <c r="Q17" i="2"/>
  <c r="Q16" i="2"/>
  <c r="Q15" i="2"/>
  <c r="P19" i="2" s="1"/>
  <c r="T587" i="5"/>
  <c r="U587" i="5" s="1"/>
  <c r="S587" i="5"/>
  <c r="R587" i="5"/>
  <c r="T507" i="5"/>
  <c r="U507" i="5" s="1"/>
  <c r="S507" i="5"/>
  <c r="R507" i="5"/>
  <c r="T182" i="5"/>
  <c r="U182" i="5" s="1"/>
  <c r="S182" i="5"/>
  <c r="R182" i="5"/>
  <c r="T169" i="5"/>
  <c r="U169" i="5" s="1"/>
  <c r="S169" i="5"/>
  <c r="R169" i="5"/>
  <c r="T122" i="5"/>
  <c r="U122" i="5" s="1"/>
  <c r="S122" i="5"/>
  <c r="R122" i="5"/>
  <c r="T72" i="5"/>
  <c r="U72" i="5" s="1"/>
  <c r="S72" i="5"/>
  <c r="R72" i="5"/>
  <c r="T15" i="5"/>
  <c r="U15" i="5" s="1"/>
  <c r="S15" i="5"/>
  <c r="R15" i="5"/>
  <c r="T13" i="5"/>
  <c r="U13" i="5" s="1"/>
  <c r="S13" i="5"/>
  <c r="R13" i="5"/>
  <c r="M31" i="4"/>
  <c r="N6" i="4"/>
  <c r="T508" i="5"/>
  <c r="U508" i="5" s="1"/>
  <c r="S508" i="5"/>
  <c r="R508" i="5"/>
  <c r="T460" i="5"/>
  <c r="U460" i="5" s="1"/>
  <c r="S460" i="5"/>
  <c r="R460" i="5"/>
  <c r="T458" i="5"/>
  <c r="U458" i="5" s="1"/>
  <c r="S458" i="5"/>
  <c r="R458" i="5"/>
  <c r="T340" i="5"/>
  <c r="U340" i="5" s="1"/>
  <c r="S340" i="5"/>
  <c r="R340" i="5"/>
  <c r="T9" i="5"/>
  <c r="U9" i="5" s="1"/>
  <c r="S9" i="5"/>
  <c r="R9" i="5"/>
  <c r="T577" i="5"/>
  <c r="U577" i="5" s="1"/>
  <c r="S577" i="5"/>
  <c r="R577" i="5"/>
  <c r="T518" i="5"/>
  <c r="U518" i="5" s="1"/>
  <c r="S518" i="5"/>
  <c r="R518" i="5"/>
  <c r="T468" i="5"/>
  <c r="U468" i="5" s="1"/>
  <c r="S468" i="5"/>
  <c r="R468" i="5"/>
  <c r="T449" i="5"/>
  <c r="U449" i="5" s="1"/>
  <c r="S449" i="5"/>
  <c r="R449" i="5"/>
  <c r="T447" i="5"/>
  <c r="U447" i="5" s="1"/>
  <c r="S447" i="5"/>
  <c r="R447" i="5"/>
  <c r="T445" i="5"/>
  <c r="U445" i="5" s="1"/>
  <c r="S445" i="5"/>
  <c r="R445" i="5"/>
  <c r="T443" i="5"/>
  <c r="U443" i="5" s="1"/>
  <c r="S443" i="5"/>
  <c r="R443" i="5"/>
  <c r="T441" i="5"/>
  <c r="U441" i="5" s="1"/>
  <c r="S441" i="5"/>
  <c r="R441" i="5"/>
  <c r="T439" i="5"/>
  <c r="U439" i="5" s="1"/>
  <c r="S439" i="5"/>
  <c r="R439" i="5"/>
  <c r="T433" i="5"/>
  <c r="U433" i="5" s="1"/>
  <c r="S433" i="5"/>
  <c r="R433" i="5"/>
  <c r="Q588" i="5"/>
  <c r="T411" i="5"/>
  <c r="S411" i="5"/>
  <c r="S588" i="5" s="1"/>
  <c r="R411" i="5"/>
  <c r="R588" i="5" s="1"/>
  <c r="T348" i="5"/>
  <c r="U348" i="5" s="1"/>
  <c r="S348" i="5"/>
  <c r="R348" i="5"/>
  <c r="T328" i="5"/>
  <c r="U328" i="5" s="1"/>
  <c r="S328" i="5"/>
  <c r="R328" i="5"/>
  <c r="T318" i="5"/>
  <c r="U318" i="5" s="1"/>
  <c r="S318" i="5"/>
  <c r="R318" i="5"/>
  <c r="T316" i="5"/>
  <c r="U316" i="5" s="1"/>
  <c r="S316" i="5"/>
  <c r="R316" i="5"/>
  <c r="T314" i="5"/>
  <c r="U314" i="5" s="1"/>
  <c r="S314" i="5"/>
  <c r="R314" i="5"/>
  <c r="T312" i="5"/>
  <c r="U312" i="5" s="1"/>
  <c r="S312" i="5"/>
  <c r="R312" i="5"/>
  <c r="T310" i="5"/>
  <c r="U310" i="5" s="1"/>
  <c r="S310" i="5"/>
  <c r="R310" i="5"/>
  <c r="T308" i="5"/>
  <c r="U308" i="5" s="1"/>
  <c r="S308" i="5"/>
  <c r="R308" i="5"/>
  <c r="T306" i="5"/>
  <c r="U306" i="5" s="1"/>
  <c r="S306" i="5"/>
  <c r="R306" i="5"/>
  <c r="T304" i="5"/>
  <c r="U304" i="5" s="1"/>
  <c r="S304" i="5"/>
  <c r="R304" i="5"/>
  <c r="T302" i="5"/>
  <c r="U302" i="5" s="1"/>
  <c r="S302" i="5"/>
  <c r="R302" i="5"/>
  <c r="T300" i="5"/>
  <c r="U300" i="5" s="1"/>
  <c r="S300" i="5"/>
  <c r="R300" i="5"/>
  <c r="T286" i="5"/>
  <c r="U286" i="5" s="1"/>
  <c r="S286" i="5"/>
  <c r="R286" i="5"/>
  <c r="T268" i="5"/>
  <c r="U268" i="5" s="1"/>
  <c r="S268" i="5"/>
  <c r="R268" i="5"/>
  <c r="T248" i="5"/>
  <c r="U248" i="5" s="1"/>
  <c r="S248" i="5"/>
  <c r="R248" i="5"/>
  <c r="T231" i="5"/>
  <c r="U231" i="5" s="1"/>
  <c r="S231" i="5"/>
  <c r="R231" i="5"/>
  <c r="T230" i="5"/>
  <c r="U230" i="5" s="1"/>
  <c r="S230" i="5"/>
  <c r="R230" i="5"/>
  <c r="T229" i="5"/>
  <c r="U229" i="5" s="1"/>
  <c r="S229" i="5"/>
  <c r="R229" i="5"/>
  <c r="T218" i="5"/>
  <c r="U218" i="5" s="1"/>
  <c r="S218" i="5"/>
  <c r="R218" i="5"/>
  <c r="T215" i="5"/>
  <c r="U215" i="5" s="1"/>
  <c r="S215" i="5"/>
  <c r="R215" i="5"/>
  <c r="T191" i="5"/>
  <c r="U191" i="5" s="1"/>
  <c r="S191" i="5"/>
  <c r="R191" i="5"/>
  <c r="T189" i="5"/>
  <c r="U189" i="5" s="1"/>
  <c r="S189" i="5"/>
  <c r="R189" i="5"/>
  <c r="T167" i="5"/>
  <c r="U167" i="5" s="1"/>
  <c r="S167" i="5"/>
  <c r="R167" i="5"/>
  <c r="T165" i="5"/>
  <c r="U165" i="5" s="1"/>
  <c r="S165" i="5"/>
  <c r="R165" i="5"/>
  <c r="T163" i="5"/>
  <c r="U163" i="5" s="1"/>
  <c r="S163" i="5"/>
  <c r="R163" i="5"/>
  <c r="T161" i="5"/>
  <c r="U161" i="5" s="1"/>
  <c r="S161" i="5"/>
  <c r="R161" i="5"/>
  <c r="T159" i="5"/>
  <c r="U159" i="5" s="1"/>
  <c r="S159" i="5"/>
  <c r="R159" i="5"/>
  <c r="T157" i="5"/>
  <c r="U157" i="5" s="1"/>
  <c r="S157" i="5"/>
  <c r="R157" i="5"/>
  <c r="T155" i="5"/>
  <c r="U155" i="5" s="1"/>
  <c r="S155" i="5"/>
  <c r="R155" i="5"/>
  <c r="T153" i="5"/>
  <c r="U153" i="5" s="1"/>
  <c r="S153" i="5"/>
  <c r="R153" i="5"/>
  <c r="T151" i="5"/>
  <c r="U151" i="5" s="1"/>
  <c r="S151" i="5"/>
  <c r="R151" i="5"/>
  <c r="T146" i="5"/>
  <c r="U146" i="5" s="1"/>
  <c r="S146" i="5"/>
  <c r="R146" i="5"/>
  <c r="T125" i="5"/>
  <c r="U125" i="5" s="1"/>
  <c r="S125" i="5"/>
  <c r="R125" i="5"/>
  <c r="T120" i="5"/>
  <c r="U120" i="5" s="1"/>
  <c r="S120" i="5"/>
  <c r="R120" i="5"/>
  <c r="T85" i="5"/>
  <c r="U85" i="5" s="1"/>
  <c r="S85" i="5"/>
  <c r="R85" i="5"/>
  <c r="T19" i="5"/>
  <c r="U19" i="5" s="1"/>
  <c r="S19" i="5"/>
  <c r="R19" i="5"/>
  <c r="T17" i="5"/>
  <c r="U17" i="5" s="1"/>
  <c r="S17" i="5"/>
  <c r="R17" i="5"/>
  <c r="T232" i="5"/>
  <c r="U232" i="5" s="1"/>
  <c r="S232" i="5"/>
  <c r="R232" i="5"/>
  <c r="T12" i="5"/>
  <c r="U12" i="5" s="1"/>
  <c r="S12" i="5"/>
  <c r="R12" i="5"/>
  <c r="T370" i="5"/>
  <c r="U370" i="5" s="1"/>
  <c r="S370" i="5"/>
  <c r="R370" i="5"/>
  <c r="T369" i="5"/>
  <c r="U369" i="5" s="1"/>
  <c r="S369" i="5"/>
  <c r="R369" i="5"/>
  <c r="T368" i="5"/>
  <c r="U368" i="5" s="1"/>
  <c r="S368" i="5"/>
  <c r="R368" i="5"/>
  <c r="T246" i="5"/>
  <c r="U246" i="5" s="1"/>
  <c r="S246" i="5"/>
  <c r="R246" i="5"/>
  <c r="T245" i="5"/>
  <c r="U245" i="5" s="1"/>
  <c r="S245" i="5"/>
  <c r="R245" i="5"/>
  <c r="T244" i="5"/>
  <c r="U244" i="5" s="1"/>
  <c r="S244" i="5"/>
  <c r="R244" i="5"/>
  <c r="T101" i="5"/>
  <c r="U101" i="5" s="1"/>
  <c r="S101" i="5"/>
  <c r="R101" i="5"/>
  <c r="T100" i="5"/>
  <c r="U100" i="5" s="1"/>
  <c r="S100" i="5"/>
  <c r="R100" i="5"/>
  <c r="T435" i="5"/>
  <c r="U435" i="5" s="1"/>
  <c r="S435" i="5"/>
  <c r="R435" i="5"/>
  <c r="T140" i="5"/>
  <c r="U140" i="5" s="1"/>
  <c r="S140" i="5"/>
  <c r="R140" i="5"/>
  <c r="T139" i="5"/>
  <c r="U139" i="5" s="1"/>
  <c r="S139" i="5"/>
  <c r="R139" i="5"/>
  <c r="T64" i="5"/>
  <c r="U64" i="5" s="1"/>
  <c r="S64" i="5"/>
  <c r="R64" i="5"/>
  <c r="T59" i="5"/>
  <c r="U59" i="5" s="1"/>
  <c r="S59" i="5"/>
  <c r="R59" i="5"/>
  <c r="T437" i="5"/>
  <c r="U437" i="5" s="1"/>
  <c r="S437" i="5"/>
  <c r="R437" i="5"/>
  <c r="T144" i="5"/>
  <c r="U144" i="5" s="1"/>
  <c r="S144" i="5"/>
  <c r="R144" i="5"/>
  <c r="T52" i="5"/>
  <c r="U52" i="5" s="1"/>
  <c r="S52" i="5"/>
  <c r="R52" i="5"/>
  <c r="T525" i="5"/>
  <c r="U525" i="5" s="1"/>
  <c r="S525" i="5"/>
  <c r="R525" i="5"/>
  <c r="T522" i="5"/>
  <c r="U522" i="5" s="1"/>
  <c r="S522" i="5"/>
  <c r="R522" i="5"/>
  <c r="T472" i="5"/>
  <c r="U472" i="5" s="1"/>
  <c r="S472" i="5"/>
  <c r="R472" i="5"/>
  <c r="T249" i="5"/>
  <c r="U249" i="5" s="1"/>
  <c r="S249" i="5"/>
  <c r="R249" i="5"/>
  <c r="T70" i="5"/>
  <c r="U70" i="5" s="1"/>
  <c r="S70" i="5"/>
  <c r="R70" i="5"/>
  <c r="Q409" i="5"/>
  <c r="T5" i="5"/>
  <c r="S5" i="5"/>
  <c r="S409" i="5" s="1"/>
  <c r="R5" i="5"/>
  <c r="R409" i="5" s="1"/>
  <c r="T521" i="5"/>
  <c r="R521" i="5"/>
  <c r="T471" i="5"/>
  <c r="R471" i="5"/>
  <c r="T289" i="5"/>
  <c r="R289" i="5"/>
  <c r="T71" i="5"/>
  <c r="R71" i="5"/>
  <c r="T47" i="5"/>
  <c r="R47" i="5"/>
  <c r="T69" i="5"/>
  <c r="U69" i="5" s="1"/>
  <c r="S69" i="5"/>
  <c r="R69" i="5"/>
  <c r="T516" i="5"/>
  <c r="U516" i="5" s="1"/>
  <c r="S516" i="5"/>
  <c r="R516" i="5"/>
  <c r="T515" i="5"/>
  <c r="U515" i="5" s="1"/>
  <c r="S515" i="5"/>
  <c r="R515" i="5"/>
  <c r="T466" i="5"/>
  <c r="U466" i="5" s="1"/>
  <c r="S466" i="5"/>
  <c r="R466" i="5"/>
  <c r="T465" i="5"/>
  <c r="U465" i="5" s="1"/>
  <c r="S465" i="5"/>
  <c r="R465" i="5"/>
  <c r="T366" i="5"/>
  <c r="U366" i="5" s="1"/>
  <c r="S366" i="5"/>
  <c r="R366" i="5"/>
  <c r="T242" i="5"/>
  <c r="U242" i="5" s="1"/>
  <c r="S242" i="5"/>
  <c r="R242" i="5"/>
  <c r="T97" i="5"/>
  <c r="U97" i="5" s="1"/>
  <c r="S97" i="5"/>
  <c r="R97" i="5"/>
  <c r="T96" i="5"/>
  <c r="U96" i="5" s="1"/>
  <c r="S96" i="5"/>
  <c r="R96" i="5"/>
  <c r="T53" i="5"/>
  <c r="U53" i="5" s="1"/>
  <c r="S53" i="5"/>
  <c r="R53" i="5"/>
  <c r="T572" i="5"/>
  <c r="U572" i="5" s="1"/>
  <c r="S572" i="5"/>
  <c r="R572" i="5"/>
  <c r="T570" i="5"/>
  <c r="U570" i="5" s="1"/>
  <c r="S570" i="5"/>
  <c r="R570" i="5"/>
  <c r="T568" i="5"/>
  <c r="U568" i="5" s="1"/>
  <c r="S568" i="5"/>
  <c r="R568" i="5"/>
  <c r="T566" i="5"/>
  <c r="U566" i="5" s="1"/>
  <c r="S566" i="5"/>
  <c r="R566" i="5"/>
  <c r="T549" i="5"/>
  <c r="U549" i="5" s="1"/>
  <c r="S549" i="5"/>
  <c r="R549" i="5"/>
  <c r="T543" i="5"/>
  <c r="U543" i="5" s="1"/>
  <c r="S543" i="5"/>
  <c r="R543" i="5"/>
  <c r="T536" i="5"/>
  <c r="U536" i="5" s="1"/>
  <c r="S536" i="5"/>
  <c r="R536" i="5"/>
  <c r="T534" i="5"/>
  <c r="U534" i="5" s="1"/>
  <c r="S534" i="5"/>
  <c r="R534" i="5"/>
  <c r="T532" i="5"/>
  <c r="U532" i="5" s="1"/>
  <c r="S532" i="5"/>
  <c r="R532" i="5"/>
  <c r="T530" i="5"/>
  <c r="U530" i="5" s="1"/>
  <c r="S530" i="5"/>
  <c r="R530" i="5"/>
  <c r="T528" i="5"/>
  <c r="U528" i="5" s="1"/>
  <c r="S528" i="5"/>
  <c r="R528" i="5"/>
  <c r="T526" i="5"/>
  <c r="U526" i="5" s="1"/>
  <c r="S526" i="5"/>
  <c r="R526" i="5"/>
  <c r="T504" i="5"/>
  <c r="U504" i="5" s="1"/>
  <c r="S504" i="5"/>
  <c r="R504" i="5"/>
  <c r="T500" i="5"/>
  <c r="U500" i="5" s="1"/>
  <c r="S500" i="5"/>
  <c r="R500" i="5"/>
  <c r="T494" i="5"/>
  <c r="U494" i="5" s="1"/>
  <c r="S494" i="5"/>
  <c r="R494" i="5"/>
  <c r="T486" i="5"/>
  <c r="U486" i="5" s="1"/>
  <c r="S486" i="5"/>
  <c r="R486" i="5"/>
  <c r="T484" i="5"/>
  <c r="U484" i="5" s="1"/>
  <c r="S484" i="5"/>
  <c r="R484" i="5"/>
  <c r="T482" i="5"/>
  <c r="U482" i="5" s="1"/>
  <c r="S482" i="5"/>
  <c r="R482" i="5"/>
  <c r="T480" i="5"/>
  <c r="U480" i="5" s="1"/>
  <c r="S480" i="5"/>
  <c r="R480" i="5"/>
  <c r="T478" i="5"/>
  <c r="U478" i="5" s="1"/>
  <c r="S478" i="5"/>
  <c r="R478" i="5"/>
  <c r="T476" i="5"/>
  <c r="U476" i="5" s="1"/>
  <c r="S476" i="5"/>
  <c r="R476" i="5"/>
  <c r="T422" i="5"/>
  <c r="U422" i="5" s="1"/>
  <c r="S422" i="5"/>
  <c r="R422" i="5"/>
  <c r="T420" i="5"/>
  <c r="U420" i="5" s="1"/>
  <c r="S420" i="5"/>
  <c r="R420" i="5"/>
  <c r="T416" i="5"/>
  <c r="U416" i="5" s="1"/>
  <c r="S416" i="5"/>
  <c r="R416" i="5"/>
  <c r="T405" i="5"/>
  <c r="U405" i="5" s="1"/>
  <c r="S405" i="5"/>
  <c r="R405" i="5"/>
  <c r="T403" i="5"/>
  <c r="U403" i="5" s="1"/>
  <c r="S403" i="5"/>
  <c r="R403" i="5"/>
  <c r="T390" i="5"/>
  <c r="U390" i="5" s="1"/>
  <c r="S390" i="5"/>
  <c r="R390" i="5"/>
  <c r="T388" i="5"/>
  <c r="U388" i="5" s="1"/>
  <c r="S388" i="5"/>
  <c r="R388" i="5"/>
  <c r="T386" i="5"/>
  <c r="U386" i="5" s="1"/>
  <c r="S386" i="5"/>
  <c r="R386" i="5"/>
  <c r="T384" i="5"/>
  <c r="U384" i="5" s="1"/>
  <c r="S384" i="5"/>
  <c r="R384" i="5"/>
  <c r="T382" i="5"/>
  <c r="U382" i="5" s="1"/>
  <c r="S382" i="5"/>
  <c r="R382" i="5"/>
  <c r="T381" i="5"/>
  <c r="U381" i="5" s="1"/>
  <c r="S381" i="5"/>
  <c r="R381" i="5"/>
  <c r="T380" i="5"/>
  <c r="U380" i="5" s="1"/>
  <c r="S380" i="5"/>
  <c r="R380" i="5"/>
  <c r="T379" i="5"/>
  <c r="U379" i="5" s="1"/>
  <c r="S379" i="5"/>
  <c r="R379" i="5"/>
  <c r="T356" i="5"/>
  <c r="U356" i="5" s="1"/>
  <c r="S356" i="5"/>
  <c r="R356" i="5"/>
  <c r="T355" i="5"/>
  <c r="U355" i="5" s="1"/>
  <c r="S355" i="5"/>
  <c r="R355" i="5"/>
  <c r="T346" i="5"/>
  <c r="U346" i="5" s="1"/>
  <c r="S346" i="5"/>
  <c r="R346" i="5"/>
  <c r="T336" i="5"/>
  <c r="U336" i="5" s="1"/>
  <c r="S336" i="5"/>
  <c r="R336" i="5"/>
  <c r="T334" i="5"/>
  <c r="U334" i="5" s="1"/>
  <c r="S334" i="5"/>
  <c r="R334" i="5"/>
  <c r="T332" i="5"/>
  <c r="U332" i="5" s="1"/>
  <c r="S332" i="5"/>
  <c r="R332" i="5"/>
  <c r="T330" i="5"/>
  <c r="U330" i="5" s="1"/>
  <c r="S330" i="5"/>
  <c r="R330" i="5"/>
  <c r="T298" i="5"/>
  <c r="U298" i="5" s="1"/>
  <c r="S298" i="5"/>
  <c r="R298" i="5"/>
  <c r="T296" i="5"/>
  <c r="U296" i="5" s="1"/>
  <c r="S296" i="5"/>
  <c r="R296" i="5"/>
  <c r="T294" i="5"/>
  <c r="U294" i="5" s="1"/>
  <c r="S294" i="5"/>
  <c r="R294" i="5"/>
  <c r="T266" i="5"/>
  <c r="U266" i="5" s="1"/>
  <c r="S266" i="5"/>
  <c r="R266" i="5"/>
  <c r="T264" i="5"/>
  <c r="U264" i="5" s="1"/>
  <c r="S264" i="5"/>
  <c r="R264" i="5"/>
  <c r="T262" i="5"/>
  <c r="U262" i="5" s="1"/>
  <c r="S262" i="5"/>
  <c r="R262" i="5"/>
  <c r="T260" i="5"/>
  <c r="U260" i="5" s="1"/>
  <c r="S260" i="5"/>
  <c r="R260" i="5"/>
  <c r="T258" i="5"/>
  <c r="U258" i="5" s="1"/>
  <c r="S258" i="5"/>
  <c r="R258" i="5"/>
  <c r="T256" i="5"/>
  <c r="U256" i="5" s="1"/>
  <c r="S256" i="5"/>
  <c r="R256" i="5"/>
  <c r="T254" i="5"/>
  <c r="U254" i="5" s="1"/>
  <c r="S254" i="5"/>
  <c r="R254" i="5"/>
  <c r="T252" i="5"/>
  <c r="U252" i="5" s="1"/>
  <c r="S252" i="5"/>
  <c r="R252" i="5"/>
  <c r="T250" i="5"/>
  <c r="U250" i="5" s="1"/>
  <c r="S250" i="5"/>
  <c r="R250" i="5"/>
  <c r="T217" i="5"/>
  <c r="U217" i="5" s="1"/>
  <c r="S217" i="5"/>
  <c r="R217" i="5"/>
  <c r="T213" i="5"/>
  <c r="U213" i="5" s="1"/>
  <c r="S213" i="5"/>
  <c r="R213" i="5"/>
  <c r="T211" i="5"/>
  <c r="U211" i="5" s="1"/>
  <c r="S211" i="5"/>
  <c r="R211" i="5"/>
  <c r="T209" i="5"/>
  <c r="U209" i="5" s="1"/>
  <c r="S209" i="5"/>
  <c r="R209" i="5"/>
  <c r="T207" i="5"/>
  <c r="U207" i="5" s="1"/>
  <c r="S207" i="5"/>
  <c r="R207" i="5"/>
  <c r="T205" i="5"/>
  <c r="U205" i="5" s="1"/>
  <c r="S205" i="5"/>
  <c r="R205" i="5"/>
  <c r="T203" i="5"/>
  <c r="U203" i="5" s="1"/>
  <c r="S203" i="5"/>
  <c r="R203" i="5"/>
  <c r="T201" i="5"/>
  <c r="U201" i="5" s="1"/>
  <c r="S201" i="5"/>
  <c r="R201" i="5"/>
  <c r="T199" i="5"/>
  <c r="U199" i="5" s="1"/>
  <c r="S199" i="5"/>
  <c r="R199" i="5"/>
  <c r="T197" i="5"/>
  <c r="U197" i="5" s="1"/>
  <c r="S197" i="5"/>
  <c r="R197" i="5"/>
  <c r="T195" i="5"/>
  <c r="U195" i="5" s="1"/>
  <c r="S195" i="5"/>
  <c r="R195" i="5"/>
  <c r="T193" i="5"/>
  <c r="U193" i="5" s="1"/>
  <c r="S193" i="5"/>
  <c r="R193" i="5"/>
  <c r="T130" i="5"/>
  <c r="U130" i="5" s="1"/>
  <c r="S130" i="5"/>
  <c r="R130" i="5"/>
  <c r="T124" i="5"/>
  <c r="U124" i="5" s="1"/>
  <c r="S124" i="5"/>
  <c r="R124" i="5"/>
  <c r="T116" i="5"/>
  <c r="U116" i="5" s="1"/>
  <c r="S116" i="5"/>
  <c r="R116" i="5"/>
  <c r="T114" i="5"/>
  <c r="U114" i="5" s="1"/>
  <c r="S114" i="5"/>
  <c r="R114" i="5"/>
  <c r="T112" i="5"/>
  <c r="U112" i="5" s="1"/>
  <c r="S112" i="5"/>
  <c r="R112" i="5"/>
  <c r="T108" i="5"/>
  <c r="U108" i="5" s="1"/>
  <c r="S108" i="5"/>
  <c r="R108" i="5"/>
  <c r="T106" i="5"/>
  <c r="U106" i="5" s="1"/>
  <c r="S106" i="5"/>
  <c r="R106" i="5"/>
  <c r="T104" i="5"/>
  <c r="U104" i="5" s="1"/>
  <c r="S104" i="5"/>
  <c r="R104" i="5"/>
  <c r="T98" i="5"/>
  <c r="U98" i="5" s="1"/>
  <c r="S98" i="5"/>
  <c r="R98" i="5"/>
  <c r="T87" i="5"/>
  <c r="U87" i="5" s="1"/>
  <c r="S87" i="5"/>
  <c r="R87" i="5"/>
  <c r="T83" i="5"/>
  <c r="U83" i="5" s="1"/>
  <c r="S83" i="5"/>
  <c r="R83" i="5"/>
  <c r="T50" i="5"/>
  <c r="U50" i="5" s="1"/>
  <c r="S50" i="5"/>
  <c r="R50" i="5"/>
  <c r="T25" i="5"/>
  <c r="U25" i="5" s="1"/>
  <c r="S25" i="5"/>
  <c r="R25" i="5"/>
  <c r="T23" i="5"/>
  <c r="U23" i="5" s="1"/>
  <c r="S23" i="5"/>
  <c r="R23" i="5"/>
  <c r="T21" i="5"/>
  <c r="U21" i="5" s="1"/>
  <c r="S21" i="5"/>
  <c r="R21" i="5"/>
  <c r="T7" i="5"/>
  <c r="U7" i="5" s="1"/>
  <c r="S7" i="5"/>
  <c r="R7" i="5"/>
  <c r="T6" i="5"/>
  <c r="U6" i="5" s="1"/>
  <c r="S6" i="5"/>
  <c r="R6" i="5"/>
  <c r="T325" i="5"/>
  <c r="U325" i="5" s="1"/>
  <c r="S325" i="5"/>
  <c r="R325" i="5"/>
  <c r="T324" i="5"/>
  <c r="U324" i="5" s="1"/>
  <c r="S324" i="5"/>
  <c r="R324" i="5"/>
  <c r="T558" i="5"/>
  <c r="U558" i="5" s="1"/>
  <c r="S558" i="5"/>
  <c r="R558" i="5"/>
  <c r="T453" i="5"/>
  <c r="U453" i="5" s="1"/>
  <c r="S453" i="5"/>
  <c r="R453" i="5"/>
  <c r="T418" i="5"/>
  <c r="U418" i="5" s="1"/>
  <c r="S418" i="5"/>
  <c r="R418" i="5"/>
  <c r="T326" i="5"/>
  <c r="U326" i="5" s="1"/>
  <c r="S326" i="5"/>
  <c r="R326" i="5"/>
  <c r="T322" i="5"/>
  <c r="U322" i="5" s="1"/>
  <c r="S322" i="5"/>
  <c r="R322" i="5"/>
  <c r="T350" i="5"/>
  <c r="U350" i="5" s="1"/>
  <c r="S350" i="5"/>
  <c r="R350" i="5"/>
  <c r="T555" i="5"/>
  <c r="U555" i="5" s="1"/>
  <c r="S555" i="5"/>
  <c r="R555" i="5"/>
  <c r="T456" i="5"/>
  <c r="U456" i="5" s="1"/>
  <c r="S456" i="5"/>
  <c r="R456" i="5"/>
  <c r="T110" i="5"/>
  <c r="U110" i="5" s="1"/>
  <c r="S110" i="5"/>
  <c r="R110" i="5"/>
  <c r="T564" i="5"/>
  <c r="U564" i="5" s="1"/>
  <c r="S564" i="5"/>
  <c r="R564" i="5"/>
  <c r="T547" i="5"/>
  <c r="U547" i="5" s="1"/>
  <c r="S547" i="5"/>
  <c r="R547" i="5"/>
  <c r="T545" i="5"/>
  <c r="U545" i="5" s="1"/>
  <c r="S545" i="5"/>
  <c r="R545" i="5"/>
  <c r="T498" i="5"/>
  <c r="U498" i="5" s="1"/>
  <c r="S498" i="5"/>
  <c r="R498" i="5"/>
  <c r="T344" i="5"/>
  <c r="U344" i="5" s="1"/>
  <c r="S344" i="5"/>
  <c r="R344" i="5"/>
  <c r="T342" i="5"/>
  <c r="U342" i="5" s="1"/>
  <c r="S342" i="5"/>
  <c r="R342" i="5"/>
  <c r="T338" i="5"/>
  <c r="U338" i="5" s="1"/>
  <c r="S338" i="5"/>
  <c r="R338" i="5"/>
  <c r="T221" i="5"/>
  <c r="U221" i="5" s="1"/>
  <c r="S221" i="5"/>
  <c r="R221" i="5"/>
  <c r="T219" i="5"/>
  <c r="U219" i="5" s="1"/>
  <c r="S219" i="5"/>
  <c r="R219" i="5"/>
  <c r="T128" i="5"/>
  <c r="U128" i="5" s="1"/>
  <c r="S128" i="5"/>
  <c r="R128" i="5"/>
  <c r="T127" i="5"/>
  <c r="U127" i="5" s="1"/>
  <c r="S127" i="5"/>
  <c r="R127" i="5"/>
  <c r="T579" i="5"/>
  <c r="U579" i="5" s="1"/>
  <c r="S579" i="5"/>
  <c r="R579" i="5"/>
  <c r="T576" i="5"/>
  <c r="U576" i="5" s="1"/>
  <c r="S576" i="5"/>
  <c r="R576" i="5"/>
  <c r="T542" i="5"/>
  <c r="U542" i="5" s="1"/>
  <c r="S542" i="5"/>
  <c r="R542" i="5"/>
  <c r="T541" i="5"/>
  <c r="U541" i="5" s="1"/>
  <c r="S541" i="5"/>
  <c r="R541" i="5"/>
  <c r="T540" i="5"/>
  <c r="U540" i="5" s="1"/>
  <c r="S540" i="5"/>
  <c r="R540" i="5"/>
  <c r="T520" i="5"/>
  <c r="U520" i="5" s="1"/>
  <c r="S520" i="5"/>
  <c r="R520" i="5"/>
  <c r="T517" i="5"/>
  <c r="U517" i="5" s="1"/>
  <c r="S517" i="5"/>
  <c r="R517" i="5"/>
  <c r="T493" i="5"/>
  <c r="U493" i="5" s="1"/>
  <c r="S493" i="5"/>
  <c r="R493" i="5"/>
  <c r="T492" i="5"/>
  <c r="U492" i="5" s="1"/>
  <c r="S492" i="5"/>
  <c r="R492" i="5"/>
  <c r="T491" i="5"/>
  <c r="U491" i="5" s="1"/>
  <c r="S491" i="5"/>
  <c r="R491" i="5"/>
  <c r="T490" i="5"/>
  <c r="U490" i="5" s="1"/>
  <c r="S490" i="5"/>
  <c r="R490" i="5"/>
  <c r="T470" i="5"/>
  <c r="U470" i="5" s="1"/>
  <c r="S470" i="5"/>
  <c r="R470" i="5"/>
  <c r="T467" i="5"/>
  <c r="U467" i="5" s="1"/>
  <c r="S467" i="5"/>
  <c r="R467" i="5"/>
  <c r="T452" i="5"/>
  <c r="U452" i="5" s="1"/>
  <c r="S452" i="5"/>
  <c r="R452" i="5"/>
  <c r="T451" i="5"/>
  <c r="U451" i="5" s="1"/>
  <c r="S451" i="5"/>
  <c r="R451" i="5"/>
  <c r="T430" i="5"/>
  <c r="U430" i="5" s="1"/>
  <c r="S430" i="5"/>
  <c r="R430" i="5"/>
  <c r="T392" i="5"/>
  <c r="U392" i="5" s="1"/>
  <c r="S392" i="5"/>
  <c r="R392" i="5"/>
  <c r="T367" i="5"/>
  <c r="U367" i="5" s="1"/>
  <c r="S367" i="5"/>
  <c r="R367" i="5"/>
  <c r="T353" i="5"/>
  <c r="U353" i="5" s="1"/>
  <c r="S353" i="5"/>
  <c r="R353" i="5"/>
  <c r="T352" i="5"/>
  <c r="U352" i="5" s="1"/>
  <c r="S352" i="5"/>
  <c r="R352" i="5"/>
  <c r="T288" i="5"/>
  <c r="U288" i="5" s="1"/>
  <c r="S288" i="5"/>
  <c r="R288" i="5"/>
  <c r="T281" i="5"/>
  <c r="U281" i="5" s="1"/>
  <c r="S281" i="5"/>
  <c r="R281" i="5"/>
  <c r="T280" i="5"/>
  <c r="U280" i="5" s="1"/>
  <c r="S280" i="5"/>
  <c r="R280" i="5"/>
  <c r="T243" i="5"/>
  <c r="U243" i="5" s="1"/>
  <c r="S243" i="5"/>
  <c r="R243" i="5"/>
  <c r="T237" i="5"/>
  <c r="U237" i="5" s="1"/>
  <c r="S237" i="5"/>
  <c r="R237" i="5"/>
  <c r="T234" i="5"/>
  <c r="U234" i="5" s="1"/>
  <c r="S234" i="5"/>
  <c r="R234" i="5"/>
  <c r="T233" i="5"/>
  <c r="U233" i="5" s="1"/>
  <c r="S233" i="5"/>
  <c r="R233" i="5"/>
  <c r="T176" i="5"/>
  <c r="U176" i="5" s="1"/>
  <c r="S176" i="5"/>
  <c r="R176" i="5"/>
  <c r="T175" i="5"/>
  <c r="U175" i="5" s="1"/>
  <c r="S175" i="5"/>
  <c r="R175" i="5"/>
  <c r="T136" i="5"/>
  <c r="U136" i="5" s="1"/>
  <c r="S136" i="5"/>
  <c r="R136" i="5"/>
  <c r="T134" i="5"/>
  <c r="U134" i="5" s="1"/>
  <c r="S134" i="5"/>
  <c r="R134" i="5"/>
  <c r="T132" i="5"/>
  <c r="U132" i="5" s="1"/>
  <c r="S132" i="5"/>
  <c r="R132" i="5"/>
  <c r="T91" i="5"/>
  <c r="U91" i="5" s="1"/>
  <c r="S91" i="5"/>
  <c r="R91" i="5"/>
  <c r="T90" i="5"/>
  <c r="U90" i="5" s="1"/>
  <c r="S90" i="5"/>
  <c r="R90" i="5"/>
  <c r="T68" i="5"/>
  <c r="U68" i="5" s="1"/>
  <c r="S68" i="5"/>
  <c r="R68" i="5"/>
  <c r="T54" i="5"/>
  <c r="U54" i="5" s="1"/>
  <c r="S54" i="5"/>
  <c r="R54" i="5"/>
  <c r="T36" i="5"/>
  <c r="U36" i="5" s="1"/>
  <c r="S36" i="5"/>
  <c r="R36" i="5"/>
  <c r="T35" i="5"/>
  <c r="U35" i="5" s="1"/>
  <c r="S35" i="5"/>
  <c r="R35" i="5"/>
  <c r="T135" i="5"/>
  <c r="R135" i="5"/>
  <c r="T133" i="5"/>
  <c r="R133" i="5"/>
  <c r="T582" i="5"/>
  <c r="U582" i="5" s="1"/>
  <c r="S582" i="5"/>
  <c r="R582" i="5"/>
  <c r="T574" i="5"/>
  <c r="U574" i="5" s="1"/>
  <c r="S574" i="5"/>
  <c r="R574" i="5"/>
  <c r="T557" i="5"/>
  <c r="U557" i="5" s="1"/>
  <c r="S557" i="5"/>
  <c r="R557" i="5"/>
  <c r="T538" i="5"/>
  <c r="U538" i="5" s="1"/>
  <c r="S538" i="5"/>
  <c r="R538" i="5"/>
  <c r="T506" i="5"/>
  <c r="U506" i="5" s="1"/>
  <c r="S506" i="5"/>
  <c r="R506" i="5"/>
  <c r="T488" i="5"/>
  <c r="U488" i="5" s="1"/>
  <c r="S488" i="5"/>
  <c r="R488" i="5"/>
  <c r="T475" i="5"/>
  <c r="U475" i="5" s="1"/>
  <c r="S475" i="5"/>
  <c r="R475" i="5"/>
  <c r="T474" i="5"/>
  <c r="U474" i="5" s="1"/>
  <c r="S474" i="5"/>
  <c r="R474" i="5"/>
  <c r="T436" i="5"/>
  <c r="U436" i="5" s="1"/>
  <c r="S436" i="5"/>
  <c r="R436" i="5"/>
  <c r="T432" i="5"/>
  <c r="U432" i="5" s="1"/>
  <c r="S432" i="5"/>
  <c r="R432" i="5"/>
  <c r="T428" i="5"/>
  <c r="U428" i="5" s="1"/>
  <c r="S428" i="5"/>
  <c r="R428" i="5"/>
  <c r="T400" i="5"/>
  <c r="U400" i="5" s="1"/>
  <c r="S400" i="5"/>
  <c r="R400" i="5"/>
  <c r="T398" i="5"/>
  <c r="U398" i="5" s="1"/>
  <c r="S398" i="5"/>
  <c r="R398" i="5"/>
  <c r="T395" i="5"/>
  <c r="U395" i="5" s="1"/>
  <c r="S395" i="5"/>
  <c r="R395" i="5"/>
  <c r="T376" i="5"/>
  <c r="U376" i="5" s="1"/>
  <c r="S376" i="5"/>
  <c r="R376" i="5"/>
  <c r="T375" i="5"/>
  <c r="U375" i="5" s="1"/>
  <c r="S375" i="5"/>
  <c r="R375" i="5"/>
  <c r="T361" i="5"/>
  <c r="U361" i="5" s="1"/>
  <c r="S361" i="5"/>
  <c r="R361" i="5"/>
  <c r="T358" i="5"/>
  <c r="U358" i="5" s="1"/>
  <c r="S358" i="5"/>
  <c r="R358" i="5"/>
  <c r="T357" i="5"/>
  <c r="U357" i="5" s="1"/>
  <c r="S357" i="5"/>
  <c r="R357" i="5"/>
  <c r="T320" i="5"/>
  <c r="U320" i="5" s="1"/>
  <c r="S320" i="5"/>
  <c r="R320" i="5"/>
  <c r="T293" i="5"/>
  <c r="U293" i="5" s="1"/>
  <c r="S293" i="5"/>
  <c r="R293" i="5"/>
  <c r="T292" i="5"/>
  <c r="U292" i="5" s="1"/>
  <c r="S292" i="5"/>
  <c r="R292" i="5"/>
  <c r="T279" i="5"/>
  <c r="U279" i="5" s="1"/>
  <c r="S279" i="5"/>
  <c r="R279" i="5"/>
  <c r="T275" i="5"/>
  <c r="U275" i="5" s="1"/>
  <c r="S275" i="5"/>
  <c r="R275" i="5"/>
  <c r="T271" i="5"/>
  <c r="U271" i="5" s="1"/>
  <c r="S271" i="5"/>
  <c r="R271" i="5"/>
  <c r="T247" i="5"/>
  <c r="U247" i="5" s="1"/>
  <c r="S247" i="5"/>
  <c r="R247" i="5"/>
  <c r="T228" i="5"/>
  <c r="U228" i="5" s="1"/>
  <c r="S228" i="5"/>
  <c r="R228" i="5"/>
  <c r="T225" i="5"/>
  <c r="U225" i="5" s="1"/>
  <c r="S225" i="5"/>
  <c r="R225" i="5"/>
  <c r="T188" i="5"/>
  <c r="U188" i="5" s="1"/>
  <c r="S188" i="5"/>
  <c r="R188" i="5"/>
  <c r="T187" i="5"/>
  <c r="U187" i="5" s="1"/>
  <c r="S187" i="5"/>
  <c r="R187" i="5"/>
  <c r="T149" i="5"/>
  <c r="U149" i="5" s="1"/>
  <c r="S149" i="5"/>
  <c r="R149" i="5"/>
  <c r="T141" i="5"/>
  <c r="U141" i="5" s="1"/>
  <c r="S141" i="5"/>
  <c r="R141" i="5"/>
  <c r="T82" i="5"/>
  <c r="U82" i="5" s="1"/>
  <c r="S82" i="5"/>
  <c r="R82" i="5"/>
  <c r="T78" i="5"/>
  <c r="U78" i="5" s="1"/>
  <c r="S78" i="5"/>
  <c r="R78" i="5"/>
  <c r="T75" i="5"/>
  <c r="U75" i="5" s="1"/>
  <c r="S75" i="5"/>
  <c r="R75" i="5"/>
  <c r="T73" i="5"/>
  <c r="U73" i="5" s="1"/>
  <c r="S73" i="5"/>
  <c r="R73" i="5"/>
  <c r="T67" i="5"/>
  <c r="U67" i="5" s="1"/>
  <c r="S67" i="5"/>
  <c r="R67" i="5"/>
  <c r="T510" i="5"/>
  <c r="U510" i="5" s="1"/>
  <c r="S510" i="5"/>
  <c r="R510" i="5"/>
  <c r="T76" i="5"/>
  <c r="U76" i="5" s="1"/>
  <c r="S76" i="5"/>
  <c r="R76" i="5"/>
  <c r="T585" i="5"/>
  <c r="U585" i="5" s="1"/>
  <c r="S585" i="5"/>
  <c r="R585" i="5"/>
  <c r="T583" i="5"/>
  <c r="U583" i="5" s="1"/>
  <c r="S583" i="5"/>
  <c r="R583" i="5"/>
  <c r="T562" i="5"/>
  <c r="U562" i="5" s="1"/>
  <c r="S562" i="5"/>
  <c r="R562" i="5"/>
  <c r="T560" i="5"/>
  <c r="U560" i="5" s="1"/>
  <c r="S560" i="5"/>
  <c r="R560" i="5"/>
  <c r="T551" i="5"/>
  <c r="U551" i="5" s="1"/>
  <c r="S551" i="5"/>
  <c r="R551" i="5"/>
  <c r="T523" i="5"/>
  <c r="U523" i="5" s="1"/>
  <c r="S523" i="5"/>
  <c r="R523" i="5"/>
  <c r="T513" i="5"/>
  <c r="U513" i="5" s="1"/>
  <c r="S513" i="5"/>
  <c r="R513" i="5"/>
  <c r="T511" i="5"/>
  <c r="U511" i="5" s="1"/>
  <c r="S511" i="5"/>
  <c r="R511" i="5"/>
  <c r="T502" i="5"/>
  <c r="U502" i="5" s="1"/>
  <c r="S502" i="5"/>
  <c r="R502" i="5"/>
  <c r="T473" i="5"/>
  <c r="U473" i="5" s="1"/>
  <c r="S473" i="5"/>
  <c r="R473" i="5"/>
  <c r="T463" i="5"/>
  <c r="U463" i="5" s="1"/>
  <c r="S463" i="5"/>
  <c r="R463" i="5"/>
  <c r="T461" i="5"/>
  <c r="U461" i="5" s="1"/>
  <c r="S461" i="5"/>
  <c r="R461" i="5"/>
  <c r="T454" i="5"/>
  <c r="U454" i="5" s="1"/>
  <c r="S454" i="5"/>
  <c r="R454" i="5"/>
  <c r="T431" i="5"/>
  <c r="U431" i="5" s="1"/>
  <c r="S431" i="5"/>
  <c r="R431" i="5"/>
  <c r="T426" i="5"/>
  <c r="U426" i="5" s="1"/>
  <c r="S426" i="5"/>
  <c r="R426" i="5"/>
  <c r="T424" i="5"/>
  <c r="U424" i="5" s="1"/>
  <c r="S424" i="5"/>
  <c r="R424" i="5"/>
  <c r="T415" i="5"/>
  <c r="U415" i="5" s="1"/>
  <c r="S415" i="5"/>
  <c r="R415" i="5"/>
  <c r="T414" i="5"/>
  <c r="U414" i="5" s="1"/>
  <c r="S414" i="5"/>
  <c r="R414" i="5"/>
  <c r="T413" i="5"/>
  <c r="U413" i="5" s="1"/>
  <c r="S413" i="5"/>
  <c r="R413" i="5"/>
  <c r="T407" i="5"/>
  <c r="U407" i="5" s="1"/>
  <c r="S407" i="5"/>
  <c r="R407" i="5"/>
  <c r="T401" i="5"/>
  <c r="U401" i="5" s="1"/>
  <c r="S401" i="5"/>
  <c r="R401" i="5"/>
  <c r="T396" i="5"/>
  <c r="U396" i="5" s="1"/>
  <c r="S396" i="5"/>
  <c r="R396" i="5"/>
  <c r="T394" i="5"/>
  <c r="U394" i="5" s="1"/>
  <c r="S394" i="5"/>
  <c r="R394" i="5"/>
  <c r="T393" i="5"/>
  <c r="U393" i="5" s="1"/>
  <c r="S393" i="5"/>
  <c r="R393" i="5"/>
  <c r="T377" i="5"/>
  <c r="U377" i="5" s="1"/>
  <c r="S377" i="5"/>
  <c r="R377" i="5"/>
  <c r="T373" i="5"/>
  <c r="U373" i="5" s="1"/>
  <c r="S373" i="5"/>
  <c r="R373" i="5"/>
  <c r="T371" i="5"/>
  <c r="U371" i="5" s="1"/>
  <c r="S371" i="5"/>
  <c r="R371" i="5"/>
  <c r="T364" i="5"/>
  <c r="U364" i="5" s="1"/>
  <c r="S364" i="5"/>
  <c r="R364" i="5"/>
  <c r="T362" i="5"/>
  <c r="U362" i="5" s="1"/>
  <c r="S362" i="5"/>
  <c r="R362" i="5"/>
  <c r="T359" i="5"/>
  <c r="U359" i="5" s="1"/>
  <c r="S359" i="5"/>
  <c r="R359" i="5"/>
  <c r="T354" i="5"/>
  <c r="U354" i="5" s="1"/>
  <c r="S354" i="5"/>
  <c r="R354" i="5"/>
  <c r="T290" i="5"/>
  <c r="U290" i="5" s="1"/>
  <c r="S290" i="5"/>
  <c r="R290" i="5"/>
  <c r="T284" i="5"/>
  <c r="U284" i="5" s="1"/>
  <c r="S284" i="5"/>
  <c r="R284" i="5"/>
  <c r="T282" i="5"/>
  <c r="U282" i="5" s="1"/>
  <c r="S282" i="5"/>
  <c r="R282" i="5"/>
  <c r="T278" i="5"/>
  <c r="U278" i="5" s="1"/>
  <c r="S278" i="5"/>
  <c r="R278" i="5"/>
  <c r="T276" i="5"/>
  <c r="U276" i="5" s="1"/>
  <c r="S276" i="5"/>
  <c r="R276" i="5"/>
  <c r="T273" i="5"/>
  <c r="U273" i="5" s="1"/>
  <c r="S273" i="5"/>
  <c r="R273" i="5"/>
  <c r="T270" i="5"/>
  <c r="U270" i="5" s="1"/>
  <c r="S270" i="5"/>
  <c r="R270" i="5"/>
  <c r="T240" i="5"/>
  <c r="U240" i="5" s="1"/>
  <c r="S240" i="5"/>
  <c r="R240" i="5"/>
  <c r="T239" i="5"/>
  <c r="U239" i="5" s="1"/>
  <c r="S239" i="5"/>
  <c r="R239" i="5"/>
  <c r="T238" i="5"/>
  <c r="U238" i="5" s="1"/>
  <c r="S238" i="5"/>
  <c r="R238" i="5"/>
  <c r="T235" i="5"/>
  <c r="U235" i="5" s="1"/>
  <c r="S235" i="5"/>
  <c r="R235" i="5"/>
  <c r="T226" i="5"/>
  <c r="U226" i="5" s="1"/>
  <c r="S226" i="5"/>
  <c r="R226" i="5"/>
  <c r="T223" i="5"/>
  <c r="U223" i="5" s="1"/>
  <c r="S223" i="5"/>
  <c r="R223" i="5"/>
  <c r="T185" i="5"/>
  <c r="U185" i="5" s="1"/>
  <c r="S185" i="5"/>
  <c r="R185" i="5"/>
  <c r="T184" i="5"/>
  <c r="U184" i="5" s="1"/>
  <c r="S184" i="5"/>
  <c r="R184" i="5"/>
  <c r="T179" i="5"/>
  <c r="U179" i="5" s="1"/>
  <c r="S179" i="5"/>
  <c r="R179" i="5"/>
  <c r="T177" i="5"/>
  <c r="U177" i="5" s="1"/>
  <c r="S177" i="5"/>
  <c r="R177" i="5"/>
  <c r="T174" i="5"/>
  <c r="U174" i="5" s="1"/>
  <c r="S174" i="5"/>
  <c r="R174" i="5"/>
  <c r="T172" i="5"/>
  <c r="U172" i="5" s="1"/>
  <c r="S172" i="5"/>
  <c r="R172" i="5"/>
  <c r="T171" i="5"/>
  <c r="U171" i="5" s="1"/>
  <c r="S171" i="5"/>
  <c r="R171" i="5"/>
  <c r="T150" i="5"/>
  <c r="U150" i="5" s="1"/>
  <c r="S150" i="5"/>
  <c r="R150" i="5"/>
  <c r="T148" i="5"/>
  <c r="U148" i="5" s="1"/>
  <c r="S148" i="5"/>
  <c r="R148" i="5"/>
  <c r="T142" i="5"/>
  <c r="U142" i="5" s="1"/>
  <c r="S142" i="5"/>
  <c r="R142" i="5"/>
  <c r="T137" i="5"/>
  <c r="U137" i="5" s="1"/>
  <c r="S137" i="5"/>
  <c r="R137" i="5"/>
  <c r="T129" i="5"/>
  <c r="U129" i="5" s="1"/>
  <c r="S129" i="5"/>
  <c r="R129" i="5"/>
  <c r="T118" i="5"/>
  <c r="U118" i="5" s="1"/>
  <c r="S118" i="5"/>
  <c r="R118" i="5"/>
  <c r="T102" i="5"/>
  <c r="U102" i="5" s="1"/>
  <c r="S102" i="5"/>
  <c r="R102" i="5"/>
  <c r="T94" i="5"/>
  <c r="U94" i="5" s="1"/>
  <c r="S94" i="5"/>
  <c r="R94" i="5"/>
  <c r="T92" i="5"/>
  <c r="U92" i="5" s="1"/>
  <c r="S92" i="5"/>
  <c r="R92" i="5"/>
  <c r="T89" i="5"/>
  <c r="U89" i="5" s="1"/>
  <c r="S89" i="5"/>
  <c r="R89" i="5"/>
  <c r="T80" i="5"/>
  <c r="U80" i="5" s="1"/>
  <c r="S80" i="5"/>
  <c r="R80" i="5"/>
  <c r="T65" i="5"/>
  <c r="U65" i="5" s="1"/>
  <c r="S65" i="5"/>
  <c r="R65" i="5"/>
  <c r="T62" i="5"/>
  <c r="U62" i="5" s="1"/>
  <c r="S62" i="5"/>
  <c r="R62" i="5"/>
  <c r="T60" i="5"/>
  <c r="U60" i="5" s="1"/>
  <c r="S60" i="5"/>
  <c r="R60" i="5"/>
  <c r="T57" i="5"/>
  <c r="U57" i="5" s="1"/>
  <c r="S57" i="5"/>
  <c r="R57" i="5"/>
  <c r="T55" i="5"/>
  <c r="U55" i="5" s="1"/>
  <c r="S55" i="5"/>
  <c r="R55" i="5"/>
  <c r="T48" i="5"/>
  <c r="U48" i="5" s="1"/>
  <c r="S48" i="5"/>
  <c r="R48" i="5"/>
  <c r="T46" i="5"/>
  <c r="U46" i="5" s="1"/>
  <c r="S46" i="5"/>
  <c r="R46" i="5"/>
  <c r="T44" i="5"/>
  <c r="U44" i="5" s="1"/>
  <c r="S44" i="5"/>
  <c r="R44" i="5"/>
  <c r="T42" i="5"/>
  <c r="U42" i="5" s="1"/>
  <c r="S42" i="5"/>
  <c r="R42" i="5"/>
  <c r="T40" i="5"/>
  <c r="U40" i="5" s="1"/>
  <c r="S40" i="5"/>
  <c r="R40" i="5"/>
  <c r="T38" i="5"/>
  <c r="U38" i="5" s="1"/>
  <c r="S38" i="5"/>
  <c r="R38" i="5"/>
  <c r="T37" i="5"/>
  <c r="U37" i="5" s="1"/>
  <c r="S37" i="5"/>
  <c r="R37" i="5"/>
  <c r="T33" i="5"/>
  <c r="U33" i="5" s="1"/>
  <c r="S33" i="5"/>
  <c r="R33" i="5"/>
  <c r="T31" i="5"/>
  <c r="U31" i="5" s="1"/>
  <c r="S31" i="5"/>
  <c r="R31" i="5"/>
  <c r="T29" i="5"/>
  <c r="U29" i="5" s="1"/>
  <c r="S29" i="5"/>
  <c r="R29" i="5"/>
  <c r="T28" i="5"/>
  <c r="U28" i="5" s="1"/>
  <c r="S28" i="5"/>
  <c r="R28" i="5"/>
  <c r="T26" i="5"/>
  <c r="U26" i="5" s="1"/>
  <c r="S26" i="5"/>
  <c r="R26" i="5"/>
  <c r="T14" i="5"/>
  <c r="U14" i="5" s="1"/>
  <c r="S14" i="5"/>
  <c r="R14" i="5"/>
  <c r="T586" i="5"/>
  <c r="R586" i="5"/>
  <c r="T584" i="5"/>
  <c r="R584" i="5"/>
  <c r="T580" i="5"/>
  <c r="R580" i="5"/>
  <c r="T578" i="5"/>
  <c r="R578" i="5"/>
  <c r="T575" i="5"/>
  <c r="R575" i="5"/>
  <c r="T573" i="5"/>
  <c r="R573" i="5"/>
  <c r="T571" i="5"/>
  <c r="R571" i="5"/>
  <c r="T569" i="5"/>
  <c r="R569" i="5"/>
  <c r="T567" i="5"/>
  <c r="R567" i="5"/>
  <c r="T565" i="5"/>
  <c r="R565" i="5"/>
  <c r="T563" i="5"/>
  <c r="R563" i="5"/>
  <c r="T561" i="5"/>
  <c r="R561" i="5"/>
  <c r="T559" i="5"/>
  <c r="R559" i="5"/>
  <c r="T556" i="5"/>
  <c r="R556" i="5"/>
  <c r="T553" i="5"/>
  <c r="R553" i="5"/>
  <c r="T552" i="5"/>
  <c r="R552" i="5"/>
  <c r="T550" i="5"/>
  <c r="R550" i="5"/>
  <c r="T548" i="5"/>
  <c r="R548" i="5"/>
  <c r="T546" i="5"/>
  <c r="R546" i="5"/>
  <c r="T544" i="5"/>
  <c r="R544" i="5"/>
  <c r="T539" i="5"/>
  <c r="R539" i="5"/>
  <c r="T537" i="5"/>
  <c r="R537" i="5"/>
  <c r="T535" i="5"/>
  <c r="R535" i="5"/>
  <c r="T533" i="5"/>
  <c r="R533" i="5"/>
  <c r="T531" i="5"/>
  <c r="R531" i="5"/>
  <c r="T529" i="5"/>
  <c r="R529" i="5"/>
  <c r="T527" i="5"/>
  <c r="R527" i="5"/>
  <c r="T519" i="5"/>
  <c r="R519" i="5"/>
  <c r="T514" i="5"/>
  <c r="R514" i="5"/>
  <c r="T512" i="5"/>
  <c r="R512" i="5"/>
  <c r="T505" i="5"/>
  <c r="R505" i="5"/>
  <c r="T503" i="5"/>
  <c r="R503" i="5"/>
  <c r="T501" i="5"/>
  <c r="R501" i="5"/>
  <c r="T499" i="5"/>
  <c r="R499" i="5"/>
  <c r="T496" i="5"/>
  <c r="R496" i="5"/>
  <c r="T495" i="5"/>
  <c r="R495" i="5"/>
  <c r="T489" i="5"/>
  <c r="R489" i="5"/>
  <c r="T487" i="5"/>
  <c r="R487" i="5"/>
  <c r="T485" i="5"/>
  <c r="R485" i="5"/>
  <c r="T483" i="5"/>
  <c r="R483" i="5"/>
  <c r="T481" i="5"/>
  <c r="R481" i="5"/>
  <c r="T479" i="5"/>
  <c r="R479" i="5"/>
  <c r="T477" i="5"/>
  <c r="R477" i="5"/>
  <c r="T469" i="5"/>
  <c r="R469" i="5"/>
  <c r="T464" i="5"/>
  <c r="R464" i="5"/>
  <c r="T462" i="5"/>
  <c r="R462" i="5"/>
  <c r="T459" i="5"/>
  <c r="R459" i="5"/>
  <c r="T457" i="5"/>
  <c r="R457" i="5"/>
  <c r="T455" i="5"/>
  <c r="R455" i="5"/>
  <c r="T450" i="5"/>
  <c r="R450" i="5"/>
  <c r="T448" i="5"/>
  <c r="R448" i="5"/>
  <c r="T446" i="5"/>
  <c r="R446" i="5"/>
  <c r="T444" i="5"/>
  <c r="R444" i="5"/>
  <c r="T442" i="5"/>
  <c r="R442" i="5"/>
  <c r="T440" i="5"/>
  <c r="R440" i="5"/>
  <c r="T438" i="5"/>
  <c r="R438" i="5"/>
  <c r="T434" i="5"/>
  <c r="R434" i="5"/>
  <c r="T429" i="5"/>
  <c r="R429" i="5"/>
  <c r="T427" i="5"/>
  <c r="R427" i="5"/>
  <c r="T425" i="5"/>
  <c r="R425" i="5"/>
  <c r="T423" i="5"/>
  <c r="R423" i="5"/>
  <c r="T421" i="5"/>
  <c r="R421" i="5"/>
  <c r="T419" i="5"/>
  <c r="R419" i="5"/>
  <c r="T417" i="5"/>
  <c r="R417" i="5"/>
  <c r="T412" i="5"/>
  <c r="R412" i="5"/>
  <c r="T408" i="5"/>
  <c r="R408" i="5"/>
  <c r="T406" i="5"/>
  <c r="R406" i="5"/>
  <c r="T404" i="5"/>
  <c r="R404" i="5"/>
  <c r="T402" i="5"/>
  <c r="R402" i="5"/>
  <c r="T399" i="5"/>
  <c r="R399" i="5"/>
  <c r="T397" i="5"/>
  <c r="R397" i="5"/>
  <c r="T391" i="5"/>
  <c r="R391" i="5"/>
  <c r="T389" i="5"/>
  <c r="R389" i="5"/>
  <c r="T387" i="5"/>
  <c r="R387" i="5"/>
  <c r="T385" i="5"/>
  <c r="R385" i="5"/>
  <c r="T383" i="5"/>
  <c r="R383" i="5"/>
  <c r="T378" i="5"/>
  <c r="R378" i="5"/>
  <c r="T374" i="5"/>
  <c r="R374" i="5"/>
  <c r="T372" i="5"/>
  <c r="R372" i="5"/>
  <c r="T365" i="5"/>
  <c r="R365" i="5"/>
  <c r="T363" i="5"/>
  <c r="R363" i="5"/>
  <c r="T360" i="5"/>
  <c r="R360" i="5"/>
  <c r="T351" i="5"/>
  <c r="R351" i="5"/>
  <c r="T349" i="5"/>
  <c r="R349" i="5"/>
  <c r="T347" i="5"/>
  <c r="R347" i="5"/>
  <c r="T345" i="5"/>
  <c r="R345" i="5"/>
  <c r="T343" i="5"/>
  <c r="R343" i="5"/>
  <c r="T341" i="5"/>
  <c r="R341" i="5"/>
  <c r="T339" i="5"/>
  <c r="R339" i="5"/>
  <c r="T337" i="5"/>
  <c r="R337" i="5"/>
  <c r="T335" i="5"/>
  <c r="R335" i="5"/>
  <c r="T333" i="5"/>
  <c r="R333" i="5"/>
  <c r="T331" i="5"/>
  <c r="R331" i="5"/>
  <c r="T329" i="5"/>
  <c r="R329" i="5"/>
  <c r="T327" i="5"/>
  <c r="R327" i="5"/>
  <c r="T323" i="5"/>
  <c r="R323" i="5"/>
  <c r="T321" i="5"/>
  <c r="R321" i="5"/>
  <c r="T319" i="5"/>
  <c r="R319" i="5"/>
  <c r="T317" i="5"/>
  <c r="R317" i="5"/>
  <c r="T315" i="5"/>
  <c r="R315" i="5"/>
  <c r="T313" i="5"/>
  <c r="R313" i="5"/>
  <c r="T311" i="5"/>
  <c r="R311" i="5"/>
  <c r="T309" i="5"/>
  <c r="R309" i="5"/>
  <c r="T307" i="5"/>
  <c r="R307" i="5"/>
  <c r="T305" i="5"/>
  <c r="R305" i="5"/>
  <c r="T303" i="5"/>
  <c r="R303" i="5"/>
  <c r="T301" i="5"/>
  <c r="R301" i="5"/>
  <c r="T299" i="5"/>
  <c r="R299" i="5"/>
  <c r="T297" i="5"/>
  <c r="R297" i="5"/>
  <c r="T295" i="5"/>
  <c r="R295" i="5"/>
  <c r="T291" i="5"/>
  <c r="R291" i="5"/>
  <c r="T287" i="5"/>
  <c r="R287" i="5"/>
  <c r="T285" i="5"/>
  <c r="R285" i="5"/>
  <c r="T283" i="5"/>
  <c r="R283" i="5"/>
  <c r="T277" i="5"/>
  <c r="R277" i="5"/>
  <c r="T274" i="5"/>
  <c r="R274" i="5"/>
  <c r="T272" i="5"/>
  <c r="R272" i="5"/>
  <c r="T269" i="5"/>
  <c r="R269" i="5"/>
  <c r="T267" i="5"/>
  <c r="R267" i="5"/>
  <c r="T265" i="5"/>
  <c r="R265" i="5"/>
  <c r="T263" i="5"/>
  <c r="R263" i="5"/>
  <c r="T261" i="5"/>
  <c r="R261" i="5"/>
  <c r="T259" i="5"/>
  <c r="R259" i="5"/>
  <c r="T257" i="5"/>
  <c r="R257" i="5"/>
  <c r="T255" i="5"/>
  <c r="R255" i="5"/>
  <c r="T253" i="5"/>
  <c r="R253" i="5"/>
  <c r="T251" i="5"/>
  <c r="R251" i="5"/>
  <c r="T241" i="5"/>
  <c r="R241" i="5"/>
  <c r="T236" i="5"/>
  <c r="R236" i="5"/>
  <c r="T227" i="5"/>
  <c r="R227" i="5"/>
  <c r="T224" i="5"/>
  <c r="R224" i="5"/>
  <c r="T222" i="5"/>
  <c r="R222" i="5"/>
  <c r="T220" i="5"/>
  <c r="R220" i="5"/>
  <c r="T216" i="5"/>
  <c r="R216" i="5"/>
  <c r="T214" i="5"/>
  <c r="R214" i="5"/>
  <c r="T212" i="5"/>
  <c r="R212" i="5"/>
  <c r="T210" i="5"/>
  <c r="R210" i="5"/>
  <c r="T208" i="5"/>
  <c r="R208" i="5"/>
  <c r="T206" i="5"/>
  <c r="R206" i="5"/>
  <c r="T204" i="5"/>
  <c r="R204" i="5"/>
  <c r="T202" i="5"/>
  <c r="R202" i="5"/>
  <c r="T200" i="5"/>
  <c r="R200" i="5"/>
  <c r="T198" i="5"/>
  <c r="R198" i="5"/>
  <c r="T196" i="5"/>
  <c r="R196" i="5"/>
  <c r="T194" i="5"/>
  <c r="R194" i="5"/>
  <c r="T192" i="5"/>
  <c r="R192" i="5"/>
  <c r="T190" i="5"/>
  <c r="R190" i="5"/>
  <c r="T186" i="5"/>
  <c r="R186" i="5"/>
  <c r="T183" i="5"/>
  <c r="R183" i="5"/>
  <c r="T181" i="5"/>
  <c r="R181" i="5"/>
  <c r="T180" i="5"/>
  <c r="R180" i="5"/>
  <c r="T178" i="5"/>
  <c r="R178" i="5"/>
  <c r="T173" i="5"/>
  <c r="R173" i="5"/>
  <c r="T170" i="5"/>
  <c r="R170" i="5"/>
  <c r="T168" i="5"/>
  <c r="R168" i="5"/>
  <c r="T166" i="5"/>
  <c r="R166" i="5"/>
  <c r="T164" i="5"/>
  <c r="R164" i="5"/>
  <c r="T162" i="5"/>
  <c r="R162" i="5"/>
  <c r="T160" i="5"/>
  <c r="R160" i="5"/>
  <c r="T158" i="5"/>
  <c r="R158" i="5"/>
  <c r="T156" i="5"/>
  <c r="R156" i="5"/>
  <c r="T154" i="5"/>
  <c r="R154" i="5"/>
  <c r="T152" i="5"/>
  <c r="R152" i="5"/>
  <c r="T147" i="5"/>
  <c r="R147" i="5"/>
  <c r="T145" i="5"/>
  <c r="R145" i="5"/>
  <c r="T143" i="5"/>
  <c r="R143" i="5"/>
  <c r="T138" i="5"/>
  <c r="R138" i="5"/>
  <c r="T131" i="5"/>
  <c r="R131" i="5"/>
  <c r="T126" i="5"/>
  <c r="R126" i="5"/>
  <c r="T123" i="5"/>
  <c r="R123" i="5"/>
  <c r="T121" i="5"/>
  <c r="R121" i="5"/>
  <c r="T119" i="5"/>
  <c r="R119" i="5"/>
  <c r="T117" i="5"/>
  <c r="R117" i="5"/>
  <c r="T115" i="5"/>
  <c r="R115" i="5"/>
  <c r="T113" i="5"/>
  <c r="R113" i="5"/>
  <c r="T111" i="5"/>
  <c r="R111" i="5"/>
  <c r="T109" i="5"/>
  <c r="R109" i="5"/>
  <c r="T107" i="5"/>
  <c r="R107" i="5"/>
  <c r="T105" i="5"/>
  <c r="R105" i="5"/>
  <c r="T103" i="5"/>
  <c r="R103" i="5"/>
  <c r="T99" i="5"/>
  <c r="R99" i="5"/>
  <c r="T95" i="5"/>
  <c r="R95" i="5"/>
  <c r="T93" i="5"/>
  <c r="R93" i="5"/>
  <c r="T88" i="5"/>
  <c r="R88" i="5"/>
  <c r="T86" i="5"/>
  <c r="R86" i="5"/>
  <c r="T84" i="5"/>
  <c r="R84" i="5"/>
  <c r="T81" i="5"/>
  <c r="R81" i="5"/>
  <c r="T79" i="5"/>
  <c r="R79" i="5"/>
  <c r="T77" i="5"/>
  <c r="R77" i="5"/>
  <c r="T74" i="5"/>
  <c r="R74" i="5"/>
  <c r="T66" i="5"/>
  <c r="R66" i="5"/>
  <c r="T63" i="5"/>
  <c r="R63" i="5"/>
  <c r="T61" i="5"/>
  <c r="R61" i="5"/>
  <c r="T58" i="5"/>
  <c r="R58" i="5"/>
  <c r="T56" i="5"/>
  <c r="R56" i="5"/>
  <c r="T51" i="5"/>
  <c r="R51" i="5"/>
  <c r="T49" i="5"/>
  <c r="R49" i="5"/>
  <c r="T45" i="5"/>
  <c r="R45" i="5"/>
  <c r="T43" i="5"/>
  <c r="R43" i="5"/>
  <c r="T41" i="5"/>
  <c r="R41" i="5"/>
  <c r="T39" i="5"/>
  <c r="R39" i="5"/>
  <c r="T34" i="5"/>
  <c r="R34" i="5"/>
  <c r="T32" i="5"/>
  <c r="R32" i="5"/>
  <c r="T30" i="5"/>
  <c r="R30" i="5"/>
  <c r="T27" i="5"/>
  <c r="R27" i="5"/>
  <c r="T24" i="5"/>
  <c r="R24" i="5"/>
  <c r="T22" i="5"/>
  <c r="R22" i="5"/>
  <c r="T20" i="5"/>
  <c r="R20" i="5"/>
  <c r="T18" i="5"/>
  <c r="R18" i="5"/>
  <c r="T16" i="5"/>
  <c r="R16" i="5"/>
  <c r="T10" i="5"/>
  <c r="R10" i="5"/>
  <c r="T8" i="5"/>
  <c r="R8" i="5"/>
  <c r="T409" i="5" l="1"/>
  <c r="P409" i="5" s="1"/>
  <c r="U5" i="5"/>
  <c r="U409" i="5" s="1"/>
  <c r="T588" i="5"/>
  <c r="P588" i="5" s="1"/>
  <c r="U411" i="5"/>
  <c r="U588" i="5" s="1"/>
  <c r="M36" i="4"/>
  <c r="J33" i="4"/>
  <c r="Q25" i="2"/>
  <c r="Q24" i="2"/>
  <c r="Q23" i="2"/>
  <c r="Q22" i="2"/>
  <c r="Q21" i="2"/>
  <c r="Q20" i="2"/>
  <c r="P26" i="2" s="1"/>
  <c r="O25" i="2"/>
  <c r="O24" i="2"/>
  <c r="O23" i="2"/>
  <c r="O22" i="2"/>
  <c r="O21" i="2"/>
  <c r="O20" i="2"/>
  <c r="N26" i="2" s="1"/>
  <c r="M25" i="2"/>
  <c r="M24" i="2"/>
  <c r="M23" i="2"/>
  <c r="M22" i="2"/>
  <c r="M21" i="2"/>
  <c r="M20" i="2"/>
  <c r="L26" i="2" s="1"/>
  <c r="K25" i="2"/>
  <c r="K24" i="2"/>
  <c r="K23" i="2"/>
  <c r="K22" i="2"/>
  <c r="K21" i="2"/>
  <c r="K20" i="2"/>
  <c r="J26" i="2" s="1"/>
  <c r="I25" i="2"/>
  <c r="I24" i="2"/>
  <c r="I23" i="2"/>
  <c r="I22" i="2"/>
  <c r="I21" i="2"/>
  <c r="I20" i="2"/>
  <c r="H26" i="2" s="1"/>
  <c r="G25" i="2"/>
  <c r="G24" i="2"/>
  <c r="G23" i="2"/>
  <c r="G22" i="2"/>
  <c r="G21" i="2"/>
  <c r="G20" i="2"/>
  <c r="F26" i="2" s="1"/>
  <c r="E25" i="2"/>
  <c r="E24" i="2"/>
  <c r="E23" i="2"/>
  <c r="E22" i="2"/>
  <c r="E21" i="2"/>
  <c r="E20" i="2"/>
  <c r="D26" i="2" s="1"/>
  <c r="C25" i="2"/>
  <c r="C24" i="2"/>
  <c r="C23" i="2"/>
  <c r="C22" i="2"/>
  <c r="C21" i="2"/>
  <c r="C20" i="2"/>
  <c r="B26" i="2" s="1"/>
  <c r="D7" i="14"/>
  <c r="E7" i="14" s="1"/>
  <c r="L17" i="12"/>
  <c r="C34" i="2" l="1"/>
  <c r="C33" i="2"/>
  <c r="C32" i="2"/>
  <c r="C31" i="2"/>
  <c r="C30" i="2"/>
  <c r="C29" i="2"/>
  <c r="C28" i="2"/>
  <c r="B35" i="2" s="1"/>
  <c r="C43" i="2"/>
  <c r="I47" i="2" s="1"/>
  <c r="C42" i="2"/>
  <c r="G47" i="2" s="1"/>
  <c r="C41" i="2"/>
  <c r="E34" i="2"/>
  <c r="E33" i="2"/>
  <c r="E32" i="2"/>
  <c r="E31" i="2"/>
  <c r="E30" i="2"/>
  <c r="E29" i="2"/>
  <c r="E28" i="2"/>
  <c r="D35" i="2" s="1"/>
  <c r="E43" i="2"/>
  <c r="I48" i="2" s="1"/>
  <c r="E42" i="2"/>
  <c r="G48" i="2" s="1"/>
  <c r="E41" i="2"/>
  <c r="G34" i="2"/>
  <c r="G33" i="2"/>
  <c r="G32" i="2"/>
  <c r="G31" i="2"/>
  <c r="G30" i="2"/>
  <c r="G29" i="2"/>
  <c r="G28" i="2"/>
  <c r="F35" i="2" s="1"/>
  <c r="G43" i="2"/>
  <c r="I49" i="2" s="1"/>
  <c r="G42" i="2"/>
  <c r="G49" i="2" s="1"/>
  <c r="G41" i="2"/>
  <c r="I34" i="2"/>
  <c r="I33" i="2"/>
  <c r="I32" i="2"/>
  <c r="I31" i="2"/>
  <c r="I30" i="2"/>
  <c r="I29" i="2"/>
  <c r="I28" i="2"/>
  <c r="H35" i="2" s="1"/>
  <c r="I43" i="2"/>
  <c r="I51" i="2" s="1"/>
  <c r="I42" i="2"/>
  <c r="G51" i="2" s="1"/>
  <c r="I41" i="2"/>
  <c r="K34" i="2"/>
  <c r="K33" i="2"/>
  <c r="K32" i="2"/>
  <c r="K31" i="2"/>
  <c r="K30" i="2"/>
  <c r="K29" i="2"/>
  <c r="K28" i="2"/>
  <c r="J35" i="2" s="1"/>
  <c r="K43" i="2"/>
  <c r="I52" i="2" s="1"/>
  <c r="K42" i="2"/>
  <c r="G52" i="2" s="1"/>
  <c r="K41" i="2"/>
  <c r="M34" i="2"/>
  <c r="M33" i="2"/>
  <c r="M32" i="2"/>
  <c r="M31" i="2"/>
  <c r="M30" i="2"/>
  <c r="M29" i="2"/>
  <c r="M28" i="2"/>
  <c r="L35" i="2" s="1"/>
  <c r="M43" i="2"/>
  <c r="M42" i="2"/>
  <c r="M41" i="2"/>
  <c r="O34" i="2"/>
  <c r="O33" i="2"/>
  <c r="O32" i="2"/>
  <c r="O31" i="2"/>
  <c r="O30" i="2"/>
  <c r="O29" i="2"/>
  <c r="O28" i="2"/>
  <c r="N35" i="2" s="1"/>
  <c r="O43" i="2"/>
  <c r="O42" i="2"/>
  <c r="O41" i="2"/>
  <c r="Q34" i="2"/>
  <c r="Q33" i="2"/>
  <c r="Q32" i="2"/>
  <c r="Q31" i="2"/>
  <c r="Q30" i="2"/>
  <c r="Q29" i="2"/>
  <c r="Q28" i="2"/>
  <c r="P35" i="2" s="1"/>
  <c r="Q43" i="2"/>
  <c r="Q42" i="2"/>
  <c r="Q41" i="2"/>
  <c r="F7" i="7"/>
  <c r="M7" i="7" s="1"/>
  <c r="F6" i="7"/>
  <c r="M6" i="7" s="1"/>
  <c r="Q37" i="2" l="1"/>
  <c r="P39" i="2" s="1"/>
  <c r="O37" i="2"/>
  <c r="N39" i="2" s="1"/>
  <c r="M37" i="2"/>
  <c r="L39" i="2" s="1"/>
  <c r="K37" i="2"/>
  <c r="J39" i="2" s="1"/>
  <c r="I37" i="2"/>
  <c r="H39" i="2" s="1"/>
  <c r="G37" i="2"/>
  <c r="F39" i="2" s="1"/>
  <c r="E37" i="2"/>
  <c r="D39" i="2" s="1"/>
  <c r="C37" i="2"/>
  <c r="B39" i="2" s="1"/>
  <c r="E47" i="2" l="1"/>
  <c r="C47" i="2"/>
  <c r="E48" i="2"/>
  <c r="C48" i="2"/>
  <c r="E49" i="2"/>
  <c r="C49" i="2"/>
  <c r="E51" i="2"/>
  <c r="C51" i="2"/>
  <c r="E52" i="2"/>
  <c r="C52" i="2"/>
  <c r="G57" i="2"/>
  <c r="E57" i="2"/>
  <c r="C57" i="2"/>
  <c r="G58" i="2"/>
  <c r="E58" i="2"/>
  <c r="C58" i="2"/>
  <c r="G60" i="2"/>
  <c r="E60" i="2"/>
  <c r="C60" i="2"/>
  <c r="C50" i="2"/>
  <c r="B53" i="2"/>
  <c r="H33" i="3"/>
  <c r="J15" i="4"/>
  <c r="I14" i="6"/>
  <c r="H24" i="3"/>
  <c r="J25" i="4"/>
  <c r="I24" i="6"/>
  <c r="H40" i="3"/>
  <c r="J29" i="4"/>
  <c r="I28" i="6"/>
  <c r="J30" i="4"/>
  <c r="I29" i="6"/>
  <c r="L7" i="7"/>
  <c r="N7" i="7"/>
  <c r="Q7" i="7"/>
  <c r="R7" i="7"/>
  <c r="G5" i="8"/>
  <c r="H5" i="8"/>
  <c r="I5" i="8"/>
  <c r="H7" i="7"/>
  <c r="J7" i="7"/>
  <c r="O7" i="7"/>
  <c r="E5" i="8"/>
  <c r="G7" i="7"/>
  <c r="K7" i="7"/>
  <c r="P7" i="7"/>
  <c r="F5" i="8"/>
  <c r="L6" i="7"/>
  <c r="N6" i="7"/>
  <c r="Q6" i="7"/>
  <c r="R6" i="7"/>
  <c r="R8" i="7"/>
  <c r="R11" i="7"/>
  <c r="R13" i="7"/>
  <c r="Q8" i="7"/>
  <c r="Q11" i="7"/>
  <c r="Q13" i="7"/>
  <c r="G4" i="8"/>
  <c r="H4" i="8"/>
  <c r="I4" i="8"/>
  <c r="I7" i="8"/>
  <c r="H7" i="8"/>
  <c r="G7" i="8"/>
  <c r="D4" i="14"/>
  <c r="E4" i="14"/>
  <c r="G59" i="2"/>
  <c r="F61" i="2"/>
  <c r="G7" i="9"/>
  <c r="I7" i="9"/>
  <c r="J7" i="9"/>
  <c r="K7" i="9"/>
  <c r="K8" i="9"/>
  <c r="K10" i="9"/>
  <c r="D5" i="14"/>
  <c r="C59" i="2"/>
  <c r="B61" i="2"/>
  <c r="G6" i="11"/>
  <c r="I6" i="11"/>
  <c r="J6" i="11"/>
  <c r="K6" i="11"/>
  <c r="E59" i="2"/>
  <c r="D61" i="2"/>
  <c r="G7" i="11"/>
  <c r="I7" i="11"/>
  <c r="J7" i="11"/>
  <c r="K7" i="11"/>
  <c r="K8" i="11"/>
  <c r="K10" i="11"/>
  <c r="D6" i="14"/>
  <c r="D9" i="14"/>
  <c r="E9" i="14"/>
  <c r="H6" i="7"/>
  <c r="J6" i="7"/>
  <c r="O6" i="7"/>
  <c r="O8" i="7"/>
  <c r="O11" i="7"/>
  <c r="E4" i="8"/>
  <c r="E7" i="8"/>
  <c r="C4" i="14"/>
  <c r="C9" i="14"/>
  <c r="G6" i="7"/>
  <c r="K6" i="7"/>
  <c r="P6" i="7"/>
  <c r="P8" i="7"/>
  <c r="P11" i="7"/>
  <c r="F4" i="8"/>
  <c r="F7" i="8"/>
  <c r="B4" i="14"/>
  <c r="B9" i="14"/>
  <c r="G6" i="9"/>
  <c r="I50" i="2"/>
  <c r="H53" i="2"/>
  <c r="G50" i="2"/>
  <c r="F53" i="2"/>
  <c r="E50" i="2"/>
  <c r="D53" i="2"/>
  <c r="G6" i="12"/>
  <c r="H6" i="13"/>
  <c r="H16" i="13"/>
  <c r="G7" i="12"/>
  <c r="H7" i="13"/>
  <c r="H17" i="13"/>
  <c r="G8" i="12"/>
  <c r="H8" i="13"/>
  <c r="H18" i="13"/>
  <c r="G9" i="12"/>
  <c r="H9" i="13"/>
  <c r="G10" i="12"/>
  <c r="H19" i="13"/>
  <c r="G11" i="12"/>
  <c r="H10" i="13"/>
  <c r="G12" i="12"/>
  <c r="H20" i="13"/>
  <c r="G13" i="12"/>
  <c r="H11" i="13"/>
  <c r="G14" i="12"/>
  <c r="H12" i="1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L25" i="4"/>
  <c r="P133" i="5"/>
  <c r="S133" i="5"/>
  <c r="P135" i="5"/>
  <c r="S135" i="5"/>
  <c r="H25" i="3"/>
  <c r="H26" i="3"/>
  <c r="H27" i="3"/>
  <c r="H28" i="3"/>
  <c r="H29" i="3"/>
  <c r="H30" i="3"/>
  <c r="H31" i="3"/>
  <c r="H32" i="3"/>
  <c r="L15" i="4"/>
  <c r="P47" i="5"/>
  <c r="S47" i="5"/>
  <c r="P71" i="5"/>
  <c r="S71" i="5"/>
  <c r="P289" i="5"/>
  <c r="S289" i="5"/>
  <c r="P471" i="5"/>
  <c r="S471" i="5"/>
  <c r="P521" i="5"/>
  <c r="S521" i="5"/>
  <c r="H34" i="3"/>
  <c r="H35" i="3"/>
  <c r="H36" i="3"/>
  <c r="H37" i="3"/>
  <c r="H38" i="3"/>
  <c r="H39" i="3"/>
  <c r="L29" i="4"/>
  <c r="P8" i="5"/>
  <c r="S8" i="5"/>
  <c r="P10" i="5"/>
  <c r="S10" i="5"/>
  <c r="P16" i="5"/>
  <c r="S16" i="5"/>
  <c r="P18" i="5"/>
  <c r="S18" i="5"/>
  <c r="P20" i="5"/>
  <c r="S20" i="5"/>
  <c r="P22" i="5"/>
  <c r="S22" i="5"/>
  <c r="P24" i="5"/>
  <c r="S24" i="5"/>
  <c r="P27" i="5"/>
  <c r="S27" i="5"/>
  <c r="P30" i="5"/>
  <c r="S30" i="5"/>
  <c r="P32" i="5"/>
  <c r="S32" i="5"/>
  <c r="P34" i="5"/>
  <c r="S34" i="5"/>
  <c r="P39" i="5"/>
  <c r="S39" i="5"/>
  <c r="P41" i="5"/>
  <c r="S41" i="5"/>
  <c r="P43" i="5"/>
  <c r="S43" i="5"/>
  <c r="P45" i="5"/>
  <c r="S45" i="5"/>
  <c r="P49" i="5"/>
  <c r="S49" i="5"/>
  <c r="P51" i="5"/>
  <c r="S51" i="5"/>
  <c r="P56" i="5"/>
  <c r="S56" i="5"/>
  <c r="P58" i="5"/>
  <c r="S58" i="5"/>
  <c r="P61" i="5"/>
  <c r="S61" i="5"/>
  <c r="P63" i="5"/>
  <c r="S63" i="5"/>
  <c r="P66" i="5"/>
  <c r="S66" i="5"/>
  <c r="P74" i="5"/>
  <c r="S74" i="5"/>
  <c r="P77" i="5"/>
  <c r="S77" i="5"/>
  <c r="P79" i="5"/>
  <c r="S79" i="5"/>
  <c r="P81" i="5"/>
  <c r="S81" i="5"/>
  <c r="P84" i="5"/>
  <c r="S84" i="5"/>
  <c r="P86" i="5"/>
  <c r="S86" i="5"/>
  <c r="P88" i="5"/>
  <c r="S88" i="5"/>
  <c r="P93" i="5"/>
  <c r="S93" i="5"/>
  <c r="P95" i="5"/>
  <c r="S95" i="5"/>
  <c r="P99" i="5"/>
  <c r="S99" i="5"/>
  <c r="P103" i="5"/>
  <c r="S103" i="5"/>
  <c r="P105" i="5"/>
  <c r="S105" i="5"/>
  <c r="P107" i="5"/>
  <c r="S107" i="5"/>
  <c r="P109" i="5"/>
  <c r="S109" i="5"/>
  <c r="P111" i="5"/>
  <c r="S111" i="5"/>
  <c r="P113" i="5"/>
  <c r="S113" i="5"/>
  <c r="P115" i="5"/>
  <c r="S115" i="5"/>
  <c r="P117" i="5"/>
  <c r="S117" i="5"/>
  <c r="P119" i="5"/>
  <c r="S119" i="5"/>
  <c r="P121" i="5"/>
  <c r="S121" i="5"/>
  <c r="P123" i="5"/>
  <c r="S123" i="5"/>
  <c r="P126" i="5"/>
  <c r="S126" i="5"/>
  <c r="P131" i="5"/>
  <c r="S131" i="5"/>
  <c r="P138" i="5"/>
  <c r="S138" i="5"/>
  <c r="P143" i="5"/>
  <c r="S143" i="5"/>
  <c r="P145" i="5"/>
  <c r="S145" i="5"/>
  <c r="P147" i="5"/>
  <c r="S147" i="5"/>
  <c r="P152" i="5"/>
  <c r="S152" i="5"/>
  <c r="P154" i="5"/>
  <c r="S154" i="5"/>
  <c r="P156" i="5"/>
  <c r="S156" i="5"/>
  <c r="P158" i="5"/>
  <c r="S158" i="5"/>
  <c r="P160" i="5"/>
  <c r="S160" i="5"/>
  <c r="P162" i="5"/>
  <c r="S162" i="5"/>
  <c r="P164" i="5"/>
  <c r="S164" i="5"/>
  <c r="P166" i="5"/>
  <c r="S166" i="5"/>
  <c r="P168" i="5"/>
  <c r="S168" i="5"/>
  <c r="P170" i="5"/>
  <c r="S170" i="5"/>
  <c r="P173" i="5"/>
  <c r="S173" i="5"/>
  <c r="P178" i="5"/>
  <c r="S178" i="5"/>
  <c r="P180" i="5"/>
  <c r="S180" i="5"/>
  <c r="P181" i="5"/>
  <c r="S181" i="5"/>
  <c r="P183" i="5"/>
  <c r="S183" i="5"/>
  <c r="P186" i="5"/>
  <c r="S186" i="5"/>
  <c r="P190" i="5"/>
  <c r="S190" i="5"/>
  <c r="P192" i="5"/>
  <c r="S192" i="5"/>
  <c r="P194" i="5"/>
  <c r="S194" i="5"/>
  <c r="P196" i="5"/>
  <c r="S196" i="5"/>
  <c r="P198" i="5"/>
  <c r="S198" i="5"/>
  <c r="P200" i="5"/>
  <c r="S200" i="5"/>
  <c r="P202" i="5"/>
  <c r="S202" i="5"/>
  <c r="P204" i="5"/>
  <c r="S204" i="5"/>
  <c r="P206" i="5"/>
  <c r="S206" i="5"/>
  <c r="P208" i="5"/>
  <c r="S208" i="5"/>
  <c r="P210" i="5"/>
  <c r="S210" i="5"/>
  <c r="P212" i="5"/>
  <c r="S212" i="5"/>
  <c r="P214" i="5"/>
  <c r="S214" i="5"/>
  <c r="P216" i="5"/>
  <c r="S216" i="5"/>
  <c r="P220" i="5"/>
  <c r="S220" i="5"/>
  <c r="P222" i="5"/>
  <c r="S222" i="5"/>
  <c r="P224" i="5"/>
  <c r="S224" i="5"/>
  <c r="P227" i="5"/>
  <c r="S227" i="5"/>
  <c r="P236" i="5"/>
  <c r="S236" i="5"/>
  <c r="P241" i="5"/>
  <c r="S241" i="5"/>
  <c r="P251" i="5"/>
  <c r="S251" i="5"/>
  <c r="P253" i="5"/>
  <c r="S253" i="5"/>
  <c r="P255" i="5"/>
  <c r="S255" i="5"/>
  <c r="P257" i="5"/>
  <c r="S257" i="5"/>
  <c r="P259" i="5"/>
  <c r="S259" i="5"/>
  <c r="P261" i="5"/>
  <c r="S261" i="5"/>
  <c r="P263" i="5"/>
  <c r="S263" i="5"/>
  <c r="P265" i="5"/>
  <c r="S265" i="5"/>
  <c r="P267" i="5"/>
  <c r="S267" i="5"/>
  <c r="P269" i="5"/>
  <c r="S269" i="5"/>
  <c r="P272" i="5"/>
  <c r="S272" i="5"/>
  <c r="P274" i="5"/>
  <c r="S274" i="5"/>
  <c r="P277" i="5"/>
  <c r="S277" i="5"/>
  <c r="P283" i="5"/>
  <c r="S283" i="5"/>
  <c r="P285" i="5"/>
  <c r="S285" i="5"/>
  <c r="P287" i="5"/>
  <c r="S287" i="5"/>
  <c r="P291" i="5"/>
  <c r="S291" i="5"/>
  <c r="P295" i="5"/>
  <c r="S295" i="5"/>
  <c r="P297" i="5"/>
  <c r="S297" i="5"/>
  <c r="P299" i="5"/>
  <c r="S299" i="5"/>
  <c r="P301" i="5"/>
  <c r="S301" i="5"/>
  <c r="P303" i="5"/>
  <c r="S303" i="5"/>
  <c r="P305" i="5"/>
  <c r="S305" i="5"/>
  <c r="P307" i="5"/>
  <c r="S307" i="5"/>
  <c r="P309" i="5"/>
  <c r="S309" i="5"/>
  <c r="P311" i="5"/>
  <c r="S311" i="5"/>
  <c r="P313" i="5"/>
  <c r="S313" i="5"/>
  <c r="P315" i="5"/>
  <c r="S315" i="5"/>
  <c r="P317" i="5"/>
  <c r="S317" i="5"/>
  <c r="P319" i="5"/>
  <c r="S319" i="5"/>
  <c r="P321" i="5"/>
  <c r="S321" i="5"/>
  <c r="P323" i="5"/>
  <c r="S323" i="5"/>
  <c r="P327" i="5"/>
  <c r="S327" i="5"/>
  <c r="P329" i="5"/>
  <c r="S329" i="5"/>
  <c r="P331" i="5"/>
  <c r="S331" i="5"/>
  <c r="P333" i="5"/>
  <c r="S333" i="5"/>
  <c r="P335" i="5"/>
  <c r="S335" i="5"/>
  <c r="P337" i="5"/>
  <c r="S337" i="5"/>
  <c r="P339" i="5"/>
  <c r="S339" i="5"/>
  <c r="P341" i="5"/>
  <c r="S341" i="5"/>
  <c r="P343" i="5"/>
  <c r="S343" i="5"/>
  <c r="P345" i="5"/>
  <c r="S345" i="5"/>
  <c r="P347" i="5"/>
  <c r="S347" i="5"/>
  <c r="P349" i="5"/>
  <c r="S349" i="5"/>
  <c r="P351" i="5"/>
  <c r="S351" i="5"/>
  <c r="P360" i="5"/>
  <c r="S360" i="5"/>
  <c r="P363" i="5"/>
  <c r="S363" i="5"/>
  <c r="P365" i="5"/>
  <c r="S365" i="5"/>
  <c r="P372" i="5"/>
  <c r="S372" i="5"/>
  <c r="P374" i="5"/>
  <c r="S374" i="5"/>
  <c r="P378" i="5"/>
  <c r="S378" i="5"/>
  <c r="P383" i="5"/>
  <c r="S383" i="5"/>
  <c r="P385" i="5"/>
  <c r="S385" i="5"/>
  <c r="P387" i="5"/>
  <c r="S387" i="5"/>
  <c r="P389" i="5"/>
  <c r="S389" i="5"/>
  <c r="P391" i="5"/>
  <c r="S391" i="5"/>
  <c r="P397" i="5"/>
  <c r="S397" i="5"/>
  <c r="P399" i="5"/>
  <c r="S399" i="5"/>
  <c r="P402" i="5"/>
  <c r="S402" i="5"/>
  <c r="P404" i="5"/>
  <c r="S404" i="5"/>
  <c r="P406" i="5"/>
  <c r="S406" i="5"/>
  <c r="P408" i="5"/>
  <c r="S408" i="5"/>
  <c r="P412" i="5"/>
  <c r="S412" i="5"/>
  <c r="P417" i="5"/>
  <c r="S417" i="5"/>
  <c r="P419" i="5"/>
  <c r="S419" i="5"/>
  <c r="P421" i="5"/>
  <c r="S421" i="5"/>
  <c r="P423" i="5"/>
  <c r="S423" i="5"/>
  <c r="P425" i="5"/>
  <c r="S425" i="5"/>
  <c r="P427" i="5"/>
  <c r="S427" i="5"/>
  <c r="P429" i="5"/>
  <c r="S429" i="5"/>
  <c r="P434" i="5"/>
  <c r="S434" i="5"/>
  <c r="P438" i="5"/>
  <c r="S438" i="5"/>
  <c r="P440" i="5"/>
  <c r="S440" i="5"/>
  <c r="P442" i="5"/>
  <c r="S442" i="5"/>
  <c r="P444" i="5"/>
  <c r="S444" i="5"/>
  <c r="P446" i="5"/>
  <c r="S446" i="5"/>
  <c r="P448" i="5"/>
  <c r="S448" i="5"/>
  <c r="P450" i="5"/>
  <c r="S450" i="5"/>
  <c r="P455" i="5"/>
  <c r="S455" i="5"/>
  <c r="P457" i="5"/>
  <c r="S457" i="5"/>
  <c r="P459" i="5"/>
  <c r="S459" i="5"/>
  <c r="P462" i="5"/>
  <c r="S462" i="5"/>
  <c r="P464" i="5"/>
  <c r="S464" i="5"/>
  <c r="P469" i="5"/>
  <c r="S469" i="5"/>
  <c r="P477" i="5"/>
  <c r="S477" i="5"/>
  <c r="P479" i="5"/>
  <c r="S479" i="5"/>
  <c r="P481" i="5"/>
  <c r="S481" i="5"/>
  <c r="P483" i="5"/>
  <c r="S483" i="5"/>
  <c r="P485" i="5"/>
  <c r="S485" i="5"/>
  <c r="P487" i="5"/>
  <c r="S487" i="5"/>
  <c r="P489" i="5"/>
  <c r="S489" i="5"/>
  <c r="P495" i="5"/>
  <c r="S495" i="5"/>
  <c r="P496" i="5"/>
  <c r="S496" i="5"/>
  <c r="P499" i="5"/>
  <c r="S499" i="5"/>
  <c r="P501" i="5"/>
  <c r="S501" i="5"/>
  <c r="P503" i="5"/>
  <c r="S503" i="5"/>
  <c r="P505" i="5"/>
  <c r="S505" i="5"/>
  <c r="P512" i="5"/>
  <c r="S512" i="5"/>
  <c r="P514" i="5"/>
  <c r="S514" i="5"/>
  <c r="P519" i="5"/>
  <c r="S519" i="5"/>
  <c r="P527" i="5"/>
  <c r="S527" i="5"/>
  <c r="P529" i="5"/>
  <c r="S529" i="5"/>
  <c r="P531" i="5"/>
  <c r="S531" i="5"/>
  <c r="P533" i="5"/>
  <c r="S533" i="5"/>
  <c r="P535" i="5"/>
  <c r="S535" i="5"/>
  <c r="P537" i="5"/>
  <c r="S537" i="5"/>
  <c r="P539" i="5"/>
  <c r="S539" i="5"/>
  <c r="P544" i="5"/>
  <c r="S544" i="5"/>
  <c r="P546" i="5"/>
  <c r="S546" i="5"/>
  <c r="P548" i="5"/>
  <c r="S548" i="5"/>
  <c r="P550" i="5"/>
  <c r="S550" i="5"/>
  <c r="P552" i="5"/>
  <c r="S552" i="5"/>
  <c r="P553" i="5"/>
  <c r="S553" i="5"/>
  <c r="P556" i="5"/>
  <c r="S556" i="5"/>
  <c r="P559" i="5"/>
  <c r="S559" i="5"/>
  <c r="P561" i="5"/>
  <c r="S561" i="5"/>
  <c r="P563" i="5"/>
  <c r="S563" i="5"/>
  <c r="P565" i="5"/>
  <c r="S565" i="5"/>
  <c r="P567" i="5"/>
  <c r="S567" i="5"/>
  <c r="P569" i="5"/>
  <c r="S569" i="5"/>
  <c r="P571" i="5"/>
  <c r="S571" i="5"/>
  <c r="P573" i="5"/>
  <c r="S573" i="5"/>
  <c r="P575" i="5"/>
  <c r="S575" i="5"/>
  <c r="P578" i="5"/>
  <c r="S578" i="5"/>
  <c r="P580" i="5"/>
  <c r="S580" i="5"/>
  <c r="P584" i="5"/>
  <c r="S584" i="5"/>
  <c r="P586" i="5"/>
  <c r="S586" i="5"/>
  <c r="L30" i="4"/>
  <c r="P497" i="5"/>
  <c r="S497" i="5"/>
  <c r="P509" i="5"/>
  <c r="S509" i="5"/>
  <c r="P554" i="5"/>
  <c r="S554" i="5"/>
  <c r="P581" i="5"/>
  <c r="S581" i="5"/>
  <c r="L7" i="9"/>
  <c r="L7" i="11"/>
  <c r="L6" i="11"/>
  <c r="L8" i="11"/>
  <c r="L10" i="11"/>
  <c r="E6" i="14"/>
  <c r="N15" i="4"/>
  <c r="N25" i="4"/>
  <c r="N29" i="4"/>
  <c r="N30" i="4"/>
  <c r="U581" i="5"/>
  <c r="U554" i="5"/>
  <c r="U509" i="5"/>
  <c r="U497" i="5"/>
  <c r="L31" i="4"/>
  <c r="L8" i="9"/>
  <c r="L10" i="9"/>
  <c r="E5" i="14"/>
  <c r="D12" i="14"/>
  <c r="N31" i="4"/>
  <c r="N36" i="4"/>
  <c r="U521" i="5"/>
  <c r="U471" i="5"/>
  <c r="U289" i="5"/>
  <c r="U71" i="5"/>
  <c r="U47" i="5"/>
  <c r="U135" i="5"/>
  <c r="U133" i="5"/>
  <c r="U586" i="5"/>
  <c r="U584" i="5"/>
  <c r="U580" i="5"/>
  <c r="U578" i="5"/>
  <c r="U575" i="5"/>
  <c r="U573" i="5"/>
  <c r="U571" i="5"/>
  <c r="U569" i="5"/>
  <c r="U567" i="5"/>
  <c r="U565" i="5"/>
  <c r="U563" i="5"/>
  <c r="U561" i="5"/>
  <c r="U559" i="5"/>
  <c r="U556" i="5"/>
  <c r="U553" i="5"/>
  <c r="U552" i="5"/>
  <c r="U550" i="5"/>
  <c r="U548" i="5"/>
  <c r="U546" i="5"/>
  <c r="U544" i="5"/>
  <c r="U539" i="5"/>
  <c r="U537" i="5"/>
  <c r="U535" i="5"/>
  <c r="U533" i="5"/>
  <c r="U531" i="5"/>
  <c r="U529" i="5"/>
  <c r="U527" i="5"/>
  <c r="U519" i="5"/>
  <c r="U514" i="5"/>
  <c r="U512" i="5"/>
  <c r="U505" i="5"/>
  <c r="U503" i="5"/>
  <c r="U501" i="5"/>
  <c r="U499" i="5"/>
  <c r="U496" i="5"/>
  <c r="U495" i="5"/>
  <c r="U489" i="5"/>
  <c r="U487" i="5"/>
  <c r="U485" i="5"/>
  <c r="U483" i="5"/>
  <c r="U481" i="5"/>
  <c r="U479" i="5"/>
  <c r="U477" i="5"/>
  <c r="U469" i="5"/>
  <c r="U464" i="5"/>
  <c r="U462" i="5"/>
  <c r="U459" i="5"/>
  <c r="U457" i="5"/>
  <c r="U455" i="5"/>
  <c r="U450" i="5"/>
  <c r="U448" i="5"/>
  <c r="U446" i="5"/>
  <c r="U444" i="5"/>
  <c r="U442" i="5"/>
  <c r="U440" i="5"/>
  <c r="U438" i="5"/>
  <c r="U434" i="5"/>
  <c r="U429" i="5"/>
  <c r="U427" i="5"/>
  <c r="U425" i="5"/>
  <c r="U423" i="5"/>
  <c r="U421" i="5"/>
  <c r="U419" i="5"/>
  <c r="U417" i="5"/>
  <c r="U412" i="5"/>
  <c r="U408" i="5"/>
  <c r="U406" i="5"/>
  <c r="U404" i="5"/>
  <c r="U402" i="5"/>
  <c r="U399" i="5"/>
  <c r="U397" i="5"/>
  <c r="U391" i="5"/>
  <c r="U389" i="5"/>
  <c r="U387" i="5"/>
  <c r="U385" i="5"/>
  <c r="U383" i="5"/>
  <c r="U378" i="5"/>
  <c r="U374" i="5"/>
  <c r="U372" i="5"/>
  <c r="U365" i="5"/>
  <c r="U363" i="5"/>
  <c r="U360" i="5"/>
  <c r="U351" i="5"/>
  <c r="U349" i="5"/>
  <c r="U347" i="5"/>
  <c r="U345" i="5"/>
  <c r="U343" i="5"/>
  <c r="U341" i="5"/>
  <c r="U339" i="5"/>
  <c r="U337" i="5"/>
  <c r="U335" i="5"/>
  <c r="U333" i="5"/>
  <c r="U331" i="5"/>
  <c r="U329" i="5"/>
  <c r="U327" i="5"/>
  <c r="U323" i="5"/>
  <c r="U321" i="5"/>
  <c r="U319" i="5"/>
  <c r="U317" i="5"/>
  <c r="U315" i="5"/>
  <c r="U313" i="5"/>
  <c r="U311" i="5"/>
  <c r="U309" i="5"/>
  <c r="U307" i="5"/>
  <c r="U305" i="5"/>
  <c r="U303" i="5"/>
  <c r="U301" i="5"/>
  <c r="U299" i="5"/>
  <c r="U297" i="5"/>
  <c r="U295" i="5"/>
  <c r="U291" i="5"/>
  <c r="U287" i="5"/>
  <c r="U285" i="5"/>
  <c r="U283" i="5"/>
  <c r="U277" i="5"/>
  <c r="U274" i="5"/>
  <c r="U272" i="5"/>
  <c r="U269" i="5"/>
  <c r="U267" i="5"/>
  <c r="U265" i="5"/>
  <c r="U263" i="5"/>
  <c r="U261" i="5"/>
  <c r="U259" i="5"/>
  <c r="U257" i="5"/>
  <c r="U255" i="5"/>
  <c r="U253" i="5"/>
  <c r="U251" i="5"/>
  <c r="U241" i="5"/>
  <c r="U236" i="5"/>
  <c r="U227" i="5"/>
  <c r="U224" i="5"/>
  <c r="U222" i="5"/>
  <c r="U220" i="5"/>
  <c r="U216" i="5"/>
  <c r="U214" i="5"/>
  <c r="U212" i="5"/>
  <c r="U210" i="5"/>
  <c r="U208" i="5"/>
  <c r="U206" i="5"/>
  <c r="U204" i="5"/>
  <c r="U202" i="5"/>
  <c r="U200" i="5"/>
  <c r="U198" i="5"/>
  <c r="U196" i="5"/>
  <c r="U194" i="5"/>
  <c r="U192" i="5"/>
  <c r="U190" i="5"/>
  <c r="U186" i="5"/>
  <c r="U183" i="5"/>
  <c r="U181" i="5"/>
  <c r="U180" i="5"/>
  <c r="U178" i="5"/>
  <c r="U173" i="5"/>
  <c r="U170" i="5"/>
  <c r="U168" i="5"/>
  <c r="U166" i="5"/>
  <c r="U164" i="5"/>
  <c r="U162" i="5"/>
  <c r="U160" i="5"/>
  <c r="U158" i="5"/>
  <c r="U156" i="5"/>
  <c r="U154" i="5"/>
  <c r="U152" i="5"/>
  <c r="U147" i="5"/>
  <c r="U145" i="5"/>
  <c r="U143" i="5"/>
  <c r="U138" i="5"/>
  <c r="U131" i="5"/>
  <c r="U126" i="5"/>
  <c r="U123" i="5"/>
  <c r="U121" i="5"/>
  <c r="U119" i="5"/>
  <c r="U117" i="5"/>
  <c r="U115" i="5"/>
  <c r="U113" i="5"/>
  <c r="U111" i="5"/>
  <c r="U109" i="5"/>
  <c r="U107" i="5"/>
  <c r="U105" i="5"/>
  <c r="U103" i="5"/>
  <c r="U99" i="5"/>
  <c r="U95" i="5"/>
  <c r="U93" i="5"/>
  <c r="U88" i="5"/>
  <c r="U86" i="5"/>
  <c r="U84" i="5"/>
  <c r="U81" i="5"/>
  <c r="U79" i="5"/>
  <c r="U77" i="5"/>
  <c r="U74" i="5"/>
  <c r="U66" i="5"/>
  <c r="U63" i="5"/>
  <c r="U61" i="5"/>
  <c r="U58" i="5"/>
  <c r="U56" i="5"/>
  <c r="U51" i="5"/>
  <c r="U49" i="5"/>
  <c r="U45" i="5"/>
  <c r="U43" i="5"/>
  <c r="U41" i="5"/>
  <c r="U39" i="5"/>
  <c r="U34" i="5"/>
  <c r="U32" i="5"/>
  <c r="U30" i="5"/>
  <c r="U27" i="5"/>
  <c r="U24" i="5"/>
  <c r="U22" i="5"/>
  <c r="U20" i="5"/>
  <c r="U18" i="5"/>
  <c r="U16" i="5"/>
  <c r="U10" i="5"/>
  <c r="U8" i="5"/>
</calcChain>
</file>

<file path=xl/sharedStrings.xml><?xml version="1.0" encoding="utf-8"?>
<sst xmlns="http://schemas.openxmlformats.org/spreadsheetml/2006/main" count="7002" uniqueCount="965">
  <si>
    <t>Blad 'Omreken'</t>
  </si>
  <si>
    <t>Dit blad mag niet worden gewijzigd!</t>
  </si>
  <si>
    <t>Type:</t>
  </si>
  <si>
    <t>Invultabel</t>
  </si>
  <si>
    <t>werkdag</t>
  </si>
  <si>
    <t xml:space="preserve">per jaar: </t>
  </si>
  <si>
    <t xml:space="preserve">per week: </t>
  </si>
  <si>
    <t>FREQ</t>
  </si>
  <si>
    <t>FACTOR</t>
  </si>
  <si>
    <t>5W</t>
  </si>
  <si>
    <t>200J</t>
  </si>
  <si>
    <t>4W</t>
  </si>
  <si>
    <t>3W</t>
  </si>
  <si>
    <t>2W</t>
  </si>
  <si>
    <t>80J</t>
  </si>
  <si>
    <t>1W</t>
  </si>
  <si>
    <t>40J</t>
  </si>
  <si>
    <t>26J</t>
  </si>
  <si>
    <t>12J</t>
  </si>
  <si>
    <t>10J</t>
  </si>
  <si>
    <t>6J</t>
  </si>
  <si>
    <t>4J</t>
  </si>
  <si>
    <t>3J</t>
  </si>
  <si>
    <t>2J</t>
  </si>
  <si>
    <t>1J</t>
  </si>
  <si>
    <t>feestdag</t>
  </si>
  <si>
    <t>periodiek vakantie</t>
  </si>
  <si>
    <t>werkdag vakantie</t>
  </si>
  <si>
    <t>weekenddag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</si>
  <si>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</si>
  <si>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</si>
  <si>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</si>
  <si>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</si>
  <si>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</si>
  <si>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</si>
  <si>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</si>
  <si>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</si>
  <si>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</si>
  <si>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</si>
  <si>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</si>
  <si>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</si>
  <si>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</si>
  <si>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</si>
  <si>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</si>
  <si>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objectleider</t>
  </si>
  <si>
    <t>specialist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</si>
  <si>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</si>
  <si>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</si>
  <si>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</si>
  <si>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</si>
  <si>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</si>
  <si>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</si>
  <si>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</si>
  <si>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</si>
  <si>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</si>
  <si>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</si>
  <si>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</si>
  <si>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</si>
  <si>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</si>
  <si>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</si>
  <si>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</si>
  <si>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</si>
  <si>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</si>
  <si>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</si>
  <si>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</si>
  <si>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</si>
  <si>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</si>
  <si>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</si>
  <si>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</si>
  <si>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</si>
  <si>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</si>
  <si>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</si>
  <si>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</si>
  <si>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</si>
  <si>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</si>
  <si>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</si>
  <si>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</si>
  <si>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</si>
  <si>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</si>
  <si>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</si>
  <si>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</si>
  <si>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</si>
  <si>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TARIEVEN REGULIER WERK</t>
  </si>
  <si>
    <t>Werkdag</t>
  </si>
  <si>
    <t>Glasbewassing</t>
  </si>
  <si>
    <t>Weekend</t>
  </si>
  <si>
    <t>Feestdag</t>
  </si>
  <si>
    <t>Aandeel</t>
  </si>
  <si>
    <t>Tarief</t>
  </si>
  <si>
    <t>Gewogen tarief uitvoering</t>
  </si>
  <si>
    <t>Tarieven regulier werk</t>
  </si>
  <si>
    <t>TARIEVEN REGIE WERK</t>
  </si>
  <si>
    <t>Regie</t>
  </si>
  <si>
    <t>Regie specialistich</t>
  </si>
  <si>
    <t>Regie  medewerk met hoge druk unit</t>
  </si>
  <si>
    <t>Tarieven regie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</si>
  <si>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</si>
  <si>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</si>
  <si>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</si>
  <si>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</si>
  <si>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</si>
  <si>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</si>
  <si>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</si>
  <si>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</si>
  <si>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</si>
  <si>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BHB</t>
  </si>
  <si>
    <t xml:space="preserve">B    </t>
  </si>
  <si>
    <t>Kantoor-/personeels-/vergaderruimte hard (basis)</t>
  </si>
  <si>
    <t>m²/uur</t>
  </si>
  <si>
    <t>BHV</t>
  </si>
  <si>
    <t>Kantoor-/personeels-/vergaderruimte hard (volledig)</t>
  </si>
  <si>
    <t>BZB</t>
  </si>
  <si>
    <t>Kantoor-/personeels-/vergaderruimte zacht (basis)</t>
  </si>
  <si>
    <t>BZV</t>
  </si>
  <si>
    <t>Kantoor-/personeels-/vergaderruimte zacht (volledig)</t>
  </si>
  <si>
    <t>LHB</t>
  </si>
  <si>
    <t>Leslokalen/studieruimte hard (basis)</t>
  </si>
  <si>
    <t>LHV</t>
  </si>
  <si>
    <t>Leslokalen/studieruimte hard (volledig)</t>
  </si>
  <si>
    <t>LZB</t>
  </si>
  <si>
    <t>Leslokalen/studieruimte zacht (basis)</t>
  </si>
  <si>
    <t>LZV</t>
  </si>
  <si>
    <t>Leslokalen/studieruimte zacht (volledig)</t>
  </si>
  <si>
    <t>MHB</t>
  </si>
  <si>
    <t>Media-/bilbiotheek hard (basis)</t>
  </si>
  <si>
    <t>MHV</t>
  </si>
  <si>
    <t>Media-/bilbiotheek hard (volledig)</t>
  </si>
  <si>
    <t>PMHB</t>
  </si>
  <si>
    <t xml:space="preserve">PM   </t>
  </si>
  <si>
    <t>Praktijklokaal minimaal hard (basis)</t>
  </si>
  <si>
    <t>PMHV</t>
  </si>
  <si>
    <t>Praktijklokaal minimaal hard (volledig)</t>
  </si>
  <si>
    <t>PUHB</t>
  </si>
  <si>
    <t xml:space="preserve">PU   </t>
  </si>
  <si>
    <t>Praktijklokaal uitgebreid hard (basis)</t>
  </si>
  <si>
    <t>PUHV</t>
  </si>
  <si>
    <t>Praktijklokaal uitgebreid hard (volledig)</t>
  </si>
  <si>
    <t>DHB</t>
  </si>
  <si>
    <t xml:space="preserve">S    </t>
  </si>
  <si>
    <t>Douche/wasruimte hard (basis)</t>
  </si>
  <si>
    <t>DHV</t>
  </si>
  <si>
    <t>Douche/wasruimte hard (volledig)</t>
  </si>
  <si>
    <t>KHB</t>
  </si>
  <si>
    <t>Kleedruimte hard (basis)</t>
  </si>
  <si>
    <t>KHV</t>
  </si>
  <si>
    <t>Kleedruimte hard (volledig)</t>
  </si>
  <si>
    <t>SHB</t>
  </si>
  <si>
    <t>Sanitaire ruimte/toiletten hard (basis)</t>
  </si>
  <si>
    <t>SHV</t>
  </si>
  <si>
    <t>Sanitaire ruimte/toiletten hard (volledig)</t>
  </si>
  <si>
    <t>AHB</t>
  </si>
  <si>
    <t xml:space="preserve">V    </t>
  </si>
  <si>
    <t>Aula/pauzeruimte hard (basis)</t>
  </si>
  <si>
    <t>AHV</t>
  </si>
  <si>
    <t>Aula/pauzeruimte hard (volledig)</t>
  </si>
  <si>
    <t>EZB</t>
  </si>
  <si>
    <t>Entree zacht (basis)</t>
  </si>
  <si>
    <t>EZV</t>
  </si>
  <si>
    <t>Entree zacht (volledig)</t>
  </si>
  <si>
    <t>FHB</t>
  </si>
  <si>
    <t>Lift hard (basis)</t>
  </si>
  <si>
    <t>FHV</t>
  </si>
  <si>
    <t>Lift hard (volledig)</t>
  </si>
  <si>
    <t>GHB</t>
  </si>
  <si>
    <t>Gymzaal/sportruimte hard (basis)</t>
  </si>
  <si>
    <t>GHV</t>
  </si>
  <si>
    <t>Gymzaal/sportruimte hard (volledig)</t>
  </si>
  <si>
    <t>PHB</t>
  </si>
  <si>
    <t>Pantry/keuken hard (basis)</t>
  </si>
  <si>
    <t>PHV</t>
  </si>
  <si>
    <t>Pantry/keuken hard (volledig)</t>
  </si>
  <si>
    <t>THB</t>
  </si>
  <si>
    <t>Trap hard (basis)</t>
  </si>
  <si>
    <t>THV</t>
  </si>
  <si>
    <t>Trap hard (volledig)</t>
  </si>
  <si>
    <t>VHB</t>
  </si>
  <si>
    <t>Verkeersruimte/garderobe/reprografie hard (basis)</t>
  </si>
  <si>
    <t>VHV</t>
  </si>
  <si>
    <t>Verkeersruimte/garderobe/reprografie hard (volledig)</t>
  </si>
  <si>
    <t>XBB</t>
  </si>
  <si>
    <t xml:space="preserve">X    </t>
  </si>
  <si>
    <t>Periodiek vloeren beschermd (basis)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</si>
  <si>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</si>
  <si>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</si>
  <si>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</si>
  <si>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</si>
  <si>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</si>
  <si>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</si>
  <si>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</si>
  <si>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</si>
  <si>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</si>
  <si>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</si>
  <si>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 harde vloer</t>
  </si>
  <si>
    <t>BH</t>
  </si>
  <si>
    <t>Kantoor/personeels-/vergaderrruimte harde vloer</t>
  </si>
  <si>
    <t>BZ</t>
  </si>
  <si>
    <t>Kantoor/personeels-/vergaderrruimte zachte vloer</t>
  </si>
  <si>
    <t>DH</t>
  </si>
  <si>
    <t>Douche/wasruimte harde vloer</t>
  </si>
  <si>
    <t>EZ</t>
  </si>
  <si>
    <t>Entree zachte vloer</t>
  </si>
  <si>
    <t>FH</t>
  </si>
  <si>
    <t>Lift harde vloer</t>
  </si>
  <si>
    <t>GH</t>
  </si>
  <si>
    <t>Gymzaal/sportruimte/toestelberging harde vloer</t>
  </si>
  <si>
    <t>KH</t>
  </si>
  <si>
    <t>Kleedruimte harde vloer</t>
  </si>
  <si>
    <t>LH</t>
  </si>
  <si>
    <t>Leslokaal/studieruimte hardev loer</t>
  </si>
  <si>
    <t>LZ</t>
  </si>
  <si>
    <t>Leslokaal/studieruimte zachte vloer</t>
  </si>
  <si>
    <t>MH</t>
  </si>
  <si>
    <t>Media-/bibliotheek harde vloer</t>
  </si>
  <si>
    <t>PH</t>
  </si>
  <si>
    <t>Pantry/keuken harde vloer</t>
  </si>
  <si>
    <t>PMH</t>
  </si>
  <si>
    <t>Praktijklokaal minimaal harde vloer</t>
  </si>
  <si>
    <t>PUH</t>
  </si>
  <si>
    <t>Praktijklokaal uitgebreid harde vloer</t>
  </si>
  <si>
    <t>SH</t>
  </si>
  <si>
    <t>Sanitaire ruimte/toiletten harde vloer</t>
  </si>
  <si>
    <t>SHN</t>
  </si>
  <si>
    <t>Sanitaire ruimte/toiletten harde vloer - naloop</t>
  </si>
  <si>
    <t>TH</t>
  </si>
  <si>
    <t>Trap harde vloer</t>
  </si>
  <si>
    <t>VH</t>
  </si>
  <si>
    <t>Verkeersruimte/garderobe/reprografie harde vloer</t>
  </si>
  <si>
    <t>XB</t>
  </si>
  <si>
    <t>Periodiek vloeren beschermd</t>
  </si>
  <si>
    <t>Z001</t>
  </si>
  <si>
    <t>Vloerenprogramma</t>
  </si>
  <si>
    <t xml:space="preserve">Totaal werkdag                  </t>
  </si>
  <si>
    <t xml:space="preserve">Gemiddeld uurtarief werkdag     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</si>
  <si>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</si>
  <si>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</si>
  <si>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</si>
  <si>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</si>
  <si>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</si>
  <si>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</si>
  <si>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</si>
  <si>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</si>
  <si>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DAG-KRACHT</t>
  </si>
  <si>
    <t>UREN HOOG-FREQUENT/ DAG</t>
  </si>
  <si>
    <t>005000 - Segbroek College, Klaverstraat 7, Den Haag</t>
  </si>
  <si>
    <t>005000</t>
  </si>
  <si>
    <t>-1</t>
  </si>
  <si>
    <t>K0.01</t>
  </si>
  <si>
    <t>gymzaal</t>
  </si>
  <si>
    <t>sportvloer</t>
  </si>
  <si>
    <t>K0.02</t>
  </si>
  <si>
    <t>dramalokaal</t>
  </si>
  <si>
    <t>K0.03</t>
  </si>
  <si>
    <t>muzieklokaal</t>
  </si>
  <si>
    <t>marmoleum</t>
  </si>
  <si>
    <t>K0.04a</t>
  </si>
  <si>
    <t>docentenruimte</t>
  </si>
  <si>
    <t>K0.05</t>
  </si>
  <si>
    <t>fitnessruimte</t>
  </si>
  <si>
    <t>Z002</t>
  </si>
  <si>
    <t>extra</t>
  </si>
  <si>
    <t>uur</t>
  </si>
  <si>
    <t>K0.06a</t>
  </si>
  <si>
    <t>conciergeruimte</t>
  </si>
  <si>
    <t>tapijt</t>
  </si>
  <si>
    <t>K0.07a</t>
  </si>
  <si>
    <t>kantine kelder 1</t>
  </si>
  <si>
    <t>topshield2-2021</t>
  </si>
  <si>
    <t>K0.07b</t>
  </si>
  <si>
    <t>hal</t>
  </si>
  <si>
    <t>dhgt</t>
  </si>
  <si>
    <t>K0.08a</t>
  </si>
  <si>
    <t>kantine kelder 2</t>
  </si>
  <si>
    <t>K0.08aa</t>
  </si>
  <si>
    <t>kantoor</t>
  </si>
  <si>
    <t>K0.08bb</t>
  </si>
  <si>
    <t>K0.09</t>
  </si>
  <si>
    <t>leslokaal K09</t>
  </si>
  <si>
    <t>linoleum</t>
  </si>
  <si>
    <t>K0.10</t>
  </si>
  <si>
    <t>leslokaal K10</t>
  </si>
  <si>
    <t>K0.11</t>
  </si>
  <si>
    <t>leslokaal amenuensis</t>
  </si>
  <si>
    <t>tarket</t>
  </si>
  <si>
    <t>K0.14</t>
  </si>
  <si>
    <t>gang</t>
  </si>
  <si>
    <t>K0.15</t>
  </si>
  <si>
    <t>Trap</t>
  </si>
  <si>
    <t>graniet</t>
  </si>
  <si>
    <t>K0.16</t>
  </si>
  <si>
    <t>K0.17</t>
  </si>
  <si>
    <t>K0.21</t>
  </si>
  <si>
    <t>K0.28</t>
  </si>
  <si>
    <t>toiletten dames</t>
  </si>
  <si>
    <t>K0.29</t>
  </si>
  <si>
    <t>toiletten heren</t>
  </si>
  <si>
    <t>K0.31</t>
  </si>
  <si>
    <t>pvc</t>
  </si>
  <si>
    <t>K0.32</t>
  </si>
  <si>
    <t>K0.34</t>
  </si>
  <si>
    <t>grote kluisruimte</t>
  </si>
  <si>
    <t>K0.35</t>
  </si>
  <si>
    <t>K0.36</t>
  </si>
  <si>
    <t>K0.37</t>
  </si>
  <si>
    <t>tribune</t>
  </si>
  <si>
    <t>K0.38</t>
  </si>
  <si>
    <t>berging</t>
  </si>
  <si>
    <t>K0.39</t>
  </si>
  <si>
    <t>K0.40</t>
  </si>
  <si>
    <t>muziekruimte</t>
  </si>
  <si>
    <t>K0.41</t>
  </si>
  <si>
    <t>lift</t>
  </si>
  <si>
    <t>gietvloer (ruw)</t>
  </si>
  <si>
    <t>K0.42</t>
  </si>
  <si>
    <t>kleed-/doucheruimte</t>
  </si>
  <si>
    <t>gietvloer</t>
  </si>
  <si>
    <t>K0.43</t>
  </si>
  <si>
    <t>toilet</t>
  </si>
  <si>
    <t>K0.44</t>
  </si>
  <si>
    <t>kluisruimte</t>
  </si>
  <si>
    <t>K0.45</t>
  </si>
  <si>
    <t>K0.46</t>
  </si>
  <si>
    <t>entree</t>
  </si>
  <si>
    <t>-1 N</t>
  </si>
  <si>
    <t>K0.47</t>
  </si>
  <si>
    <t>trappenhuis</t>
  </si>
  <si>
    <t>K0.48</t>
  </si>
  <si>
    <t>K0.49</t>
  </si>
  <si>
    <t>inloopmat</t>
  </si>
  <si>
    <t>K0.51</t>
  </si>
  <si>
    <t>K0.52</t>
  </si>
  <si>
    <t>beton</t>
  </si>
  <si>
    <t>K0.53</t>
  </si>
  <si>
    <t>K0.54</t>
  </si>
  <si>
    <t>Dansruimte 2</t>
  </si>
  <si>
    <t>gymvloer</t>
  </si>
  <si>
    <t>K0.55</t>
  </si>
  <si>
    <t>K0.56</t>
  </si>
  <si>
    <t>gymzaal berging</t>
  </si>
  <si>
    <t>K0.57</t>
  </si>
  <si>
    <t>Verlaagde ruimte kantine</t>
  </si>
  <si>
    <t>K0.58</t>
  </si>
  <si>
    <t>trap</t>
  </si>
  <si>
    <t>K0.59</t>
  </si>
  <si>
    <t>K0.60</t>
  </si>
  <si>
    <t>trap atrium gym</t>
  </si>
  <si>
    <t>K0.61</t>
  </si>
  <si>
    <t>trap atrium</t>
  </si>
  <si>
    <t>K0.62</t>
  </si>
  <si>
    <t>overloop</t>
  </si>
  <si>
    <t>K0.65</t>
  </si>
  <si>
    <t>0</t>
  </si>
  <si>
    <t>0.02a</t>
  </si>
  <si>
    <t>Muziekstudio</t>
  </si>
  <si>
    <t>0.03A</t>
  </si>
  <si>
    <t>kantoorruimte</t>
  </si>
  <si>
    <t>0.76</t>
  </si>
  <si>
    <t>0.77</t>
  </si>
  <si>
    <t>0.78</t>
  </si>
  <si>
    <t>toiletgroep</t>
  </si>
  <si>
    <t>0.79</t>
  </si>
  <si>
    <t>0.80</t>
  </si>
  <si>
    <t>balkon</t>
  </si>
  <si>
    <t>0.81</t>
  </si>
  <si>
    <t>0.82</t>
  </si>
  <si>
    <t>kleedruimte</t>
  </si>
  <si>
    <t>0.83</t>
  </si>
  <si>
    <t>0.84</t>
  </si>
  <si>
    <t>0.85</t>
  </si>
  <si>
    <t>doucheruimte</t>
  </si>
  <si>
    <t>0.86</t>
  </si>
  <si>
    <t>0.87</t>
  </si>
  <si>
    <t>gang/trappenhuis</t>
  </si>
  <si>
    <t>00</t>
  </si>
  <si>
    <t>0.04</t>
  </si>
  <si>
    <t>theorielokaal</t>
  </si>
  <si>
    <t>0.05</t>
  </si>
  <si>
    <t>0.06a</t>
  </si>
  <si>
    <t>Leerlingwerkplekken</t>
  </si>
  <si>
    <t>0.07</t>
  </si>
  <si>
    <t>Praktijklokaal</t>
  </si>
  <si>
    <t>0.08a</t>
  </si>
  <si>
    <t>0.09</t>
  </si>
  <si>
    <t>0.10</t>
  </si>
  <si>
    <t>0.11a</t>
  </si>
  <si>
    <t>repro</t>
  </si>
  <si>
    <t>0.12a</t>
  </si>
  <si>
    <t>0.14A</t>
  </si>
  <si>
    <t>aula/hal/podium</t>
  </si>
  <si>
    <t>0.16</t>
  </si>
  <si>
    <t>leslokaal 0.14</t>
  </si>
  <si>
    <t>0.17a</t>
  </si>
  <si>
    <t>kabinet</t>
  </si>
  <si>
    <t>0.18</t>
  </si>
  <si>
    <t>leslokaal biologie 0.15</t>
  </si>
  <si>
    <t>0.19</t>
  </si>
  <si>
    <t>leslokaal biologie  0.16</t>
  </si>
  <si>
    <t>0.40</t>
  </si>
  <si>
    <t>hal + trap</t>
  </si>
  <si>
    <t>0.43</t>
  </si>
  <si>
    <t>Theorielokaal</t>
  </si>
  <si>
    <t>0.45</t>
  </si>
  <si>
    <t>coating</t>
  </si>
  <si>
    <t>0.46</t>
  </si>
  <si>
    <t>0.47</t>
  </si>
  <si>
    <t>invalide toilet</t>
  </si>
  <si>
    <t>0.49</t>
  </si>
  <si>
    <t>0.50</t>
  </si>
  <si>
    <t>Leveranciersingang</t>
  </si>
  <si>
    <t>0.52</t>
  </si>
  <si>
    <t>coral</t>
  </si>
  <si>
    <t>0.53</t>
  </si>
  <si>
    <t>0.54</t>
  </si>
  <si>
    <t>0.54a</t>
  </si>
  <si>
    <t>0.55</t>
  </si>
  <si>
    <t>0.56</t>
  </si>
  <si>
    <t>0.57</t>
  </si>
  <si>
    <t>trapjes</t>
  </si>
  <si>
    <t>0.58</t>
  </si>
  <si>
    <t>00 N</t>
  </si>
  <si>
    <t>0.25a</t>
  </si>
  <si>
    <t>0.26a</t>
  </si>
  <si>
    <t>0.27a</t>
  </si>
  <si>
    <t>administratie</t>
  </si>
  <si>
    <t>0.28a</t>
  </si>
  <si>
    <t>Kantoor</t>
  </si>
  <si>
    <t>0.29a</t>
  </si>
  <si>
    <t>0.31a</t>
  </si>
  <si>
    <t>0.32a</t>
  </si>
  <si>
    <t>0.33a</t>
  </si>
  <si>
    <t>0.34a</t>
  </si>
  <si>
    <t>0.59</t>
  </si>
  <si>
    <t>atrium klein</t>
  </si>
  <si>
    <t>0.60</t>
  </si>
  <si>
    <t>overloopjes</t>
  </si>
  <si>
    <t>hout</t>
  </si>
  <si>
    <t>0.61</t>
  </si>
  <si>
    <t>halletje</t>
  </si>
  <si>
    <t>0.62</t>
  </si>
  <si>
    <t>steen (ruw)</t>
  </si>
  <si>
    <t>0.63</t>
  </si>
  <si>
    <t>0.64</t>
  </si>
  <si>
    <t>0.66</t>
  </si>
  <si>
    <t>0.67</t>
  </si>
  <si>
    <t>linoleum/beton</t>
  </si>
  <si>
    <t>0.70</t>
  </si>
  <si>
    <t>kantine</t>
  </si>
  <si>
    <t>0.71</t>
  </si>
  <si>
    <t>atrium groot</t>
  </si>
  <si>
    <t>0.72</t>
  </si>
  <si>
    <t>0.73</t>
  </si>
  <si>
    <t>0.74</t>
  </si>
  <si>
    <t>0.75</t>
  </si>
  <si>
    <t>01</t>
  </si>
  <si>
    <t>1.01a</t>
  </si>
  <si>
    <t>1.02a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</si>
  <si>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</si>
  <si>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</si>
  <si>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</si>
  <si>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</si>
  <si>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</si>
  <si>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</si>
  <si>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</si>
  <si>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</si>
  <si>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</si>
  <si>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</si>
  <si>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</si>
  <si>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1.16a</t>
  </si>
  <si>
    <t>1.17</t>
  </si>
  <si>
    <t>1.18</t>
  </si>
  <si>
    <t>1.19</t>
  </si>
  <si>
    <t>natuurkundelokaal</t>
  </si>
  <si>
    <t>1.20</t>
  </si>
  <si>
    <t>Natuurkundelokaal</t>
  </si>
  <si>
    <t>1.41</t>
  </si>
  <si>
    <t>1.42</t>
  </si>
  <si>
    <t>1.43</t>
  </si>
  <si>
    <t>1.44</t>
  </si>
  <si>
    <t>1.45</t>
  </si>
  <si>
    <t>werkruimte docenten</t>
  </si>
  <si>
    <t>1.46</t>
  </si>
  <si>
    <t>docentenkamer</t>
  </si>
  <si>
    <t>1.47</t>
  </si>
  <si>
    <t>Docentenkamer</t>
  </si>
  <si>
    <t>1.48</t>
  </si>
  <si>
    <t>1.49</t>
  </si>
  <si>
    <t>toiletten docenten</t>
  </si>
  <si>
    <t>1.50</t>
  </si>
  <si>
    <t>1.51</t>
  </si>
  <si>
    <t>1.52</t>
  </si>
  <si>
    <t>toiletten</t>
  </si>
  <si>
    <t>1.53</t>
  </si>
  <si>
    <t>1.54</t>
  </si>
  <si>
    <t>1.55</t>
  </si>
  <si>
    <t>01 N</t>
  </si>
  <si>
    <t>0.22</t>
  </si>
  <si>
    <t>kleedruimte (tussenverdieping)</t>
  </si>
  <si>
    <t>0.22a</t>
  </si>
  <si>
    <t>toilet (tussenverdieping)</t>
  </si>
  <si>
    <t>0.22b</t>
  </si>
  <si>
    <t>douche (tussenverdieping)</t>
  </si>
  <si>
    <t>0.22c</t>
  </si>
  <si>
    <t>0.22d</t>
  </si>
  <si>
    <t>0.22f</t>
  </si>
  <si>
    <t>trap (tussenverdeiping)</t>
  </si>
  <si>
    <t>1.24a</t>
  </si>
  <si>
    <t>rubber</t>
  </si>
  <si>
    <t>1.25</t>
  </si>
  <si>
    <t>1.26</t>
  </si>
  <si>
    <t>1.27</t>
  </si>
  <si>
    <t>1.28</t>
  </si>
  <si>
    <t>1.29</t>
  </si>
  <si>
    <t>1.30</t>
  </si>
  <si>
    <t>1.31</t>
  </si>
  <si>
    <t>1.32</t>
  </si>
  <si>
    <t>aardrijkskunde lokaal</t>
  </si>
  <si>
    <t>1.33</t>
  </si>
  <si>
    <t>1.34</t>
  </si>
  <si>
    <t>natuurkunde lokaal</t>
  </si>
  <si>
    <t>1.55a</t>
  </si>
  <si>
    <t>Docentenwerkplek</t>
  </si>
  <si>
    <t>1.56</t>
  </si>
  <si>
    <t>loopbrug 2x</t>
  </si>
  <si>
    <t>1.57</t>
  </si>
  <si>
    <t>1.58</t>
  </si>
  <si>
    <t>1.59</t>
  </si>
  <si>
    <t>1.62</t>
  </si>
  <si>
    <t>1.63</t>
  </si>
  <si>
    <t>overloop 3x</t>
  </si>
  <si>
    <t>1.64</t>
  </si>
  <si>
    <t>1.66</t>
  </si>
  <si>
    <t>1.67</t>
  </si>
  <si>
    <t>1.68</t>
  </si>
  <si>
    <t>1.69</t>
  </si>
  <si>
    <t>hal/gang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</si>
  <si>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</si>
  <si>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</si>
  <si>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</si>
  <si>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</si>
  <si>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</si>
  <si>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</si>
  <si>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</si>
  <si>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</si>
  <si>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</si>
  <si>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</si>
  <si>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02</t>
  </si>
  <si>
    <t>2.01a</t>
  </si>
  <si>
    <t>2.02a</t>
  </si>
  <si>
    <t>2.03a</t>
  </si>
  <si>
    <t>2.03b</t>
  </si>
  <si>
    <t>2.04a</t>
  </si>
  <si>
    <t>Docenten werkplek</t>
  </si>
  <si>
    <t>2.04b</t>
  </si>
  <si>
    <t>Spreekkamer</t>
  </si>
  <si>
    <t>2.06a</t>
  </si>
  <si>
    <t>2.07a</t>
  </si>
  <si>
    <t>2.08a</t>
  </si>
  <si>
    <t>2.41</t>
  </si>
  <si>
    <t>2.42</t>
  </si>
  <si>
    <t>Mediatheek</t>
  </si>
  <si>
    <t>02 N</t>
  </si>
  <si>
    <t>2.09a</t>
  </si>
  <si>
    <t>2.10a</t>
  </si>
  <si>
    <t>2.11</t>
  </si>
  <si>
    <t>computerlokaal</t>
  </si>
  <si>
    <t>2.13a</t>
  </si>
  <si>
    <t>kantoor sport</t>
  </si>
  <si>
    <t>2.14</t>
  </si>
  <si>
    <t>2.15</t>
  </si>
  <si>
    <t>2.16</t>
  </si>
  <si>
    <t>2.17</t>
  </si>
  <si>
    <t>2.18</t>
  </si>
  <si>
    <t>BINAS lokaal</t>
  </si>
  <si>
    <t>2.19a</t>
  </si>
  <si>
    <t>2.20</t>
  </si>
  <si>
    <t>2.21</t>
  </si>
  <si>
    <t>2.21a</t>
  </si>
  <si>
    <t>Leerling werkplekken</t>
  </si>
  <si>
    <t>2.22a</t>
  </si>
  <si>
    <t>2.43</t>
  </si>
  <si>
    <t>pantry</t>
  </si>
  <si>
    <t>2.44</t>
  </si>
  <si>
    <t>2.45</t>
  </si>
  <si>
    <t>2.46</t>
  </si>
  <si>
    <t>2.49</t>
  </si>
  <si>
    <t>2.50</t>
  </si>
  <si>
    <t>2.51</t>
  </si>
  <si>
    <t>2.52</t>
  </si>
  <si>
    <t>2.53</t>
  </si>
  <si>
    <t>2.54</t>
  </si>
  <si>
    <t>2.55</t>
  </si>
  <si>
    <t>2.56</t>
  </si>
  <si>
    <t>portaal</t>
  </si>
  <si>
    <t>2.57</t>
  </si>
  <si>
    <t>2.58</t>
  </si>
  <si>
    <t>2.59</t>
  </si>
  <si>
    <t>douche</t>
  </si>
  <si>
    <t>2.60</t>
  </si>
  <si>
    <t>2.61</t>
  </si>
  <si>
    <t>2.62</t>
  </si>
  <si>
    <t>2.63</t>
  </si>
  <si>
    <t>2.64</t>
  </si>
  <si>
    <t>2.66</t>
  </si>
  <si>
    <t>2.68</t>
  </si>
  <si>
    <t>Gang</t>
  </si>
  <si>
    <t>03 N</t>
  </si>
  <si>
    <t>3.01</t>
  </si>
  <si>
    <t>topshield2</t>
  </si>
  <si>
    <t>3.02</t>
  </si>
  <si>
    <t>3.03a</t>
  </si>
  <si>
    <t>Stilte werkplekken leerlingen</t>
  </si>
  <si>
    <t>3.04</t>
  </si>
  <si>
    <t>3.05</t>
  </si>
  <si>
    <t>3.06</t>
  </si>
  <si>
    <t>3.07</t>
  </si>
  <si>
    <t>3.08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</si>
  <si>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</si>
  <si>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</si>
  <si>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</si>
  <si>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</si>
  <si>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</si>
  <si>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</si>
  <si>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</si>
  <si>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</si>
  <si>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</si>
  <si>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Groepswerkplekken</t>
  </si>
  <si>
    <t>3.29</t>
  </si>
  <si>
    <t>3.30</t>
  </si>
  <si>
    <t>Totaal werkdag</t>
  </si>
  <si>
    <t>005100 - Segbroek College, Goudsbloemlaan 131, Den Haag</t>
  </si>
  <si>
    <t>005100</t>
  </si>
  <si>
    <t>0.12</t>
  </si>
  <si>
    <t>repro ruimte</t>
  </si>
  <si>
    <t>-1.08</t>
  </si>
  <si>
    <t>Lockerruimte</t>
  </si>
  <si>
    <t>-1.12</t>
  </si>
  <si>
    <t>-1.16</t>
  </si>
  <si>
    <t>gang en trapje</t>
  </si>
  <si>
    <t>0.01</t>
  </si>
  <si>
    <t>leslokaal (A) - topshield 2-2014</t>
  </si>
  <si>
    <t>0.02</t>
  </si>
  <si>
    <t>mediatheek (A) - topshield 2-2014</t>
  </si>
  <si>
    <t>0.03</t>
  </si>
  <si>
    <t>gang (A) - topshield 2-2014</t>
  </si>
  <si>
    <t>0.06</t>
  </si>
  <si>
    <t>trappenhuis (a) - topshield 2-2014</t>
  </si>
  <si>
    <t>0.08</t>
  </si>
  <si>
    <t>toiletten dames (a)</t>
  </si>
  <si>
    <t>gang (A)</t>
  </si>
  <si>
    <t>trap (A)</t>
  </si>
  <si>
    <t>m. rooster</t>
  </si>
  <si>
    <t>0.11</t>
  </si>
  <si>
    <t>administratie (A) - topshield 2-2014</t>
  </si>
  <si>
    <t>0.13</t>
  </si>
  <si>
    <t>entree (A)</t>
  </si>
  <si>
    <t>rubber ringmat</t>
  </si>
  <si>
    <t>0.14</t>
  </si>
  <si>
    <t>trappenhuis (a)</t>
  </si>
  <si>
    <t>tegels</t>
  </si>
  <si>
    <t>0.14a</t>
  </si>
  <si>
    <t>0.15</t>
  </si>
  <si>
    <t>kantoor (a)</t>
  </si>
  <si>
    <t>0.17</t>
  </si>
  <si>
    <t>0.20</t>
  </si>
  <si>
    <t>0.21</t>
  </si>
  <si>
    <t>toilet Dames (A)</t>
  </si>
  <si>
    <t>toilet Heren (A)</t>
  </si>
  <si>
    <t>0.23</t>
  </si>
  <si>
    <t>studieruimte (B)</t>
  </si>
  <si>
    <t>0.24</t>
  </si>
  <si>
    <t>halletje(A)</t>
  </si>
  <si>
    <t>0.29</t>
  </si>
  <si>
    <t>Muzieklokaal (A)</t>
  </si>
  <si>
    <t>0.33</t>
  </si>
  <si>
    <t>personeelsruimte  (a)</t>
  </si>
  <si>
    <t>0.34</t>
  </si>
  <si>
    <t>0.35</t>
  </si>
  <si>
    <t>0.37</t>
  </si>
  <si>
    <t>halletje (A)</t>
  </si>
  <si>
    <t>0.38</t>
  </si>
  <si>
    <t>kleedruimte (B, gym)</t>
  </si>
  <si>
    <t>0.39</t>
  </si>
  <si>
    <t>Kleedruimte (B, gym(</t>
  </si>
  <si>
    <t>toiletten (b.gym)</t>
  </si>
  <si>
    <t>0.42</t>
  </si>
  <si>
    <t>docentenruimte (B, gym)</t>
  </si>
  <si>
    <t>0.42a</t>
  </si>
  <si>
    <t>docentenkamer sanitair  (B, gym)</t>
  </si>
  <si>
    <t>toestelberging (b)</t>
  </si>
  <si>
    <t>descol</t>
  </si>
  <si>
    <t>0.44</t>
  </si>
  <si>
    <t>gymzaal (B)</t>
  </si>
  <si>
    <t>gang (B, gym)</t>
  </si>
  <si>
    <t>trappenhuis/hal (b.gym)</t>
  </si>
  <si>
    <t>Trap naar fitness (b.gym)</t>
  </si>
  <si>
    <t>1.01</t>
  </si>
  <si>
    <t>leslokaal (B)</t>
  </si>
  <si>
    <t>1.02</t>
  </si>
  <si>
    <t>trappenhuis (b)</t>
  </si>
  <si>
    <t>Toiletten</t>
  </si>
  <si>
    <t>toiletten Dames (b)</t>
  </si>
  <si>
    <t>toiletten Heren (b)</t>
  </si>
  <si>
    <t>1.14</t>
  </si>
  <si>
    <t>schei of bio lokaal</t>
  </si>
  <si>
    <t>1.15</t>
  </si>
  <si>
    <t>TOA</t>
  </si>
  <si>
    <t>1.16</t>
  </si>
  <si>
    <t>lab</t>
  </si>
  <si>
    <t>biologie lokaal</t>
  </si>
  <si>
    <t>leslokaal</t>
  </si>
  <si>
    <t>1.21</t>
  </si>
  <si>
    <t>aula (B)</t>
  </si>
  <si>
    <t>parket</t>
  </si>
  <si>
    <t>1.22</t>
  </si>
  <si>
    <t>toneel (B)</t>
  </si>
  <si>
    <t>1.23</t>
  </si>
  <si>
    <t>1.24</t>
  </si>
  <si>
    <t>gang (B)</t>
  </si>
  <si>
    <t>Kleedruimten (B, gym)</t>
  </si>
  <si>
    <t>docentenkamer (B, gym)</t>
  </si>
  <si>
    <t>1.30a</t>
  </si>
  <si>
    <t>Docentenkamer sanitair (B, gym)</t>
  </si>
  <si>
    <t>1.36</t>
  </si>
  <si>
    <t>Fitnessruimte</t>
  </si>
  <si>
    <t>Z003</t>
  </si>
  <si>
    <t>2.01</t>
  </si>
  <si>
    <t>leslokaal (C)</t>
  </si>
  <si>
    <t>2.02</t>
  </si>
  <si>
    <t>2.03</t>
  </si>
  <si>
    <t>2.04</t>
  </si>
  <si>
    <t>2.05</t>
  </si>
  <si>
    <t>2.06</t>
  </si>
  <si>
    <t>2.07</t>
  </si>
  <si>
    <t>trappenhuis (c)</t>
  </si>
  <si>
    <t>2.08</t>
  </si>
  <si>
    <t>toiletten Dames (c)</t>
  </si>
  <si>
    <t>2.10</t>
  </si>
  <si>
    <t>toiletten heren (c)</t>
  </si>
  <si>
    <t>2.13</t>
  </si>
  <si>
    <t>techniek lokaal</t>
  </si>
  <si>
    <t>techniek (lokaal)</t>
  </si>
  <si>
    <t>praktijklokaal</t>
  </si>
  <si>
    <t>trappenhuis/hal (c)</t>
  </si>
  <si>
    <t>2.22</t>
  </si>
  <si>
    <t>Meditheek</t>
  </si>
  <si>
    <t>2.23</t>
  </si>
  <si>
    <t>gang (C)</t>
  </si>
  <si>
    <t>2.24</t>
  </si>
  <si>
    <t>03</t>
  </si>
  <si>
    <t>vaklokaal (D)</t>
  </si>
  <si>
    <t>leslokaal (D)</t>
  </si>
  <si>
    <t>3.03</t>
  </si>
  <si>
    <t>trappenhuis (d)</t>
  </si>
  <si>
    <t>toiletten Dames (d)</t>
  </si>
  <si>
    <t>3.09</t>
  </si>
  <si>
    <t>kantoor (D)</t>
  </si>
  <si>
    <t>3.10</t>
  </si>
  <si>
    <t>3.11</t>
  </si>
  <si>
    <t>3.12</t>
  </si>
  <si>
    <t>Trap (d)</t>
  </si>
  <si>
    <t>3.13</t>
  </si>
  <si>
    <t>gang (D)</t>
  </si>
  <si>
    <t>3.14</t>
  </si>
  <si>
    <t>3.15</t>
  </si>
  <si>
    <t>Kantineplek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</si>
  <si>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</si>
  <si>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</si>
  <si>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</si>
  <si>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</si>
  <si>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</si>
  <si>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</si>
  <si>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 xml:space="preserve">% HOOG-FREQUENT </t>
  </si>
  <si>
    <t>TARIEF</t>
  </si>
  <si>
    <t xml:space="preserve">  005000</t>
  </si>
  <si>
    <t xml:space="preserve">  005100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</si>
  <si>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</si>
  <si>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</si>
  <si>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</si>
  <si>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</si>
  <si>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</si>
  <si>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</si>
  <si>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</si>
  <si>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</si>
  <si>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</si>
  <si>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</si>
  <si>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</si>
  <si>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</si>
  <si>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</si>
  <si>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MAAND (EURO)</t>
  </si>
  <si>
    <t>Segbroek College</t>
  </si>
  <si>
    <t>Klaverstraat 7</t>
  </si>
  <si>
    <t>Den Haag</t>
  </si>
  <si>
    <t>Goudsbloemlaan 131</t>
  </si>
  <si>
    <t>Totaal regulier werk incl. suppleties (excl. BTW)</t>
  </si>
  <si>
    <t>Totaal regulier werk incl. suppleties (incl. BTW)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</si>
  <si>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</si>
  <si>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</si>
  <si>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</si>
  <si>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</si>
  <si>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</si>
  <si>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</si>
  <si>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</si>
  <si>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</si>
  <si>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</si>
  <si>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</si>
  <si>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9200</t>
  </si>
  <si>
    <t>Tapijtreinigign sproei extractie methode</t>
  </si>
  <si>
    <t>tijdsnorm in vloer m²/uur</t>
  </si>
  <si>
    <t>Mbv hoge druk buiten zitkluil leerlingen/buiten muurtjes schoon maken</t>
  </si>
  <si>
    <t>prijs per uur</t>
  </si>
  <si>
    <t>Totaal additioneel werk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</si>
  <si>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</si>
  <si>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</si>
  <si>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</si>
  <si>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</si>
  <si>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</si>
  <si>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</si>
  <si>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</si>
  <si>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</si>
  <si>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</si>
  <si>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</si>
  <si>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</si>
  <si>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</si>
  <si>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</si>
  <si>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</si>
  <si>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</si>
  <si>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</si>
  <si>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</si>
  <si>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</si>
  <si>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</si>
  <si>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</si>
  <si>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</si>
  <si>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</si>
  <si>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</si>
  <si>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</si>
  <si>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</si>
  <si>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</si>
  <si>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</si>
  <si>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</si>
  <si>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</si>
  <si>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</si>
  <si>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</si>
  <si>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</si>
  <si>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</si>
  <si>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</si>
  <si>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</si>
  <si>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</si>
  <si>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</si>
  <si>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</si>
  <si>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</si>
  <si>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</si>
  <si>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</si>
  <si>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</si>
  <si>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</si>
  <si>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</si>
  <si>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</si>
  <si>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</si>
  <si>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</si>
  <si>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</si>
  <si>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</si>
  <si>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</si>
  <si>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</si>
  <si>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</si>
  <si>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</si>
  <si>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</si>
  <si>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</si>
  <si>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</si>
  <si>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</si>
  <si>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</si>
  <si>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</si>
  <si>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</si>
  <si>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</si>
  <si>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</si>
  <si>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</si>
  <si>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</si>
  <si>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</si>
  <si>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</si>
  <si>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</si>
  <si>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</si>
  <si>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</si>
  <si>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</si>
  <si>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</si>
  <si>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</si>
  <si>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</si>
  <si>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</si>
  <si>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</si>
  <si>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</si>
  <si>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</si>
  <si>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</si>
  <si>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</si>
  <si>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</si>
  <si>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</si>
  <si>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</si>
  <si>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</si>
  <si>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</si>
  <si>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</si>
  <si>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</si>
  <si>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</si>
  <si>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</si>
  <si>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</si>
  <si>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</si>
  <si>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4060A</t>
  </si>
  <si>
    <t>Tapijt reinigen sproei/extractie methode</t>
  </si>
  <si>
    <t>4060B</t>
  </si>
  <si>
    <t>4060C</t>
  </si>
  <si>
    <t>4060D</t>
  </si>
  <si>
    <t>4065A</t>
  </si>
  <si>
    <t>Tapijt reinigen encapulation methode</t>
  </si>
  <si>
    <t>4065B</t>
  </si>
  <si>
    <t>4065C</t>
  </si>
  <si>
    <t>4065D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</si>
  <si>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</si>
  <si>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</si>
  <si>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</si>
  <si>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</si>
  <si>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</si>
  <si>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</si>
  <si>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</si>
  <si>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</si>
  <si>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</si>
  <si>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</si>
  <si>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</si>
  <si>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Inloopmatten uitkloppen</t>
  </si>
  <si>
    <t>4090B</t>
  </si>
  <si>
    <t>4090C</t>
  </si>
  <si>
    <t>4090D</t>
  </si>
  <si>
    <t>Totaal afroep incidenteel excl. BTW</t>
  </si>
  <si>
    <t>9000</t>
  </si>
  <si>
    <t>Medewerker regiewerkzaamheden</t>
  </si>
  <si>
    <t>9100</t>
  </si>
  <si>
    <t>Medewerker specialistische werkzaamheden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</si>
  <si>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</si>
  <si>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</si>
  <si>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</si>
  <si>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</si>
  <si>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</si>
  <si>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</si>
  <si>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</si>
  <si>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8210</t>
  </si>
  <si>
    <t>Tuckerpool Klaverstraat</t>
  </si>
  <si>
    <t>prijs per dag</t>
  </si>
  <si>
    <t>8211</t>
  </si>
  <si>
    <t>Tuckerpool Goudsbloemlaan</t>
  </si>
  <si>
    <t>8220</t>
  </si>
  <si>
    <t>Hoogwerker klaverstraat</t>
  </si>
  <si>
    <t>8221</t>
  </si>
  <si>
    <t>Hoogwerker Goudsblroemstraat</t>
  </si>
  <si>
    <t>8225</t>
  </si>
  <si>
    <t>Hoogwerker binnen/achter Klaverstraat</t>
  </si>
  <si>
    <t>8230</t>
  </si>
  <si>
    <t>Steiger</t>
  </si>
  <si>
    <t>Totaal glas excl. BTW</t>
  </si>
  <si>
    <t>Totaal 005000 - Segbroek College, Klaverstraat 7, Den Haag</t>
  </si>
  <si>
    <t>Totaal 005100 - Segbroek College, Goudsbloemlaan 131, Den Haag</t>
  </si>
  <si>
    <t>Soort werk</t>
  </si>
  <si>
    <t>Uren per jaar uitvoering</t>
  </si>
  <si>
    <t>Uren hoogfrequent per jaar uitvoering</t>
  </si>
  <si>
    <t>Bedrag per jaar excl. BTW (euro)</t>
  </si>
  <si>
    <t>Bedrag per jaar incl. BTW (euro)</t>
  </si>
  <si>
    <t xml:space="preserve">Regulier werk </t>
  </si>
  <si>
    <t>Additioneel werk</t>
  </si>
  <si>
    <t>Regie (geschat)</t>
  </si>
  <si>
    <t>Glas</t>
  </si>
  <si>
    <t>Totaal generaal</t>
  </si>
  <si>
    <t>VERGELIJKINGSPRIJS</t>
  </si>
  <si>
    <t>WERK IN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</si>
</sst>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1" fillId="3" borderId="12" xfId="0" applyNumberFormat="1" applyFont="1" applyFill="1" applyBorder="1"/>
    <xf numFmtId="49" fontId="1" fillId="3" borderId="13" xfId="0" applyNumberFormat="1" applyFont="1" applyFill="1" applyBorder="1"/>
    <xf numFmtId="49" fontId="1" fillId="3" borderId="14" xfId="0" applyNumberFormat="1" applyFont="1" applyFill="1" applyBorder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1" fillId="3" borderId="15" xfId="0" applyNumberFormat="1" applyFont="1" applyFill="1" applyBorder="1" applyAlignment="1">
      <alignment wrapText="1"/>
    </xf>
    <xf numFmtId="49" fontId="1" fillId="4" borderId="16" xfId="0" applyNumberFormat="1" applyFont="1" applyFill="1" applyBorder="1" applyAlignment="1">
      <alignment wrapText="1"/>
    </xf>
    <xf numFmtId="49" fontId="1" fillId="4" borderId="17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1" fillId="0" borderId="16" xfId="0" applyNumberFormat="1" applyFont="1" applyBorder="1" applyAlignment="1" applyProtection="1">
      <alignment wrapText="1"/>
      <protection locked="0"/>
    </xf>
    <xf numFmtId="49" fontId="1" fillId="0" borderId="17" xfId="0" applyNumberFormat="1" applyFont="1" applyBorder="1" applyAlignment="1" applyProtection="1">
      <alignment wrapText="1"/>
      <protection locked="0"/>
    </xf>
    <xf numFmtId="49" fontId="0" fillId="3" borderId="15" xfId="0" applyNumberFormat="1" applyFill="1" applyBorder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10" fontId="0" fillId="4" borderId="16" xfId="0" applyNumberFormat="1" applyFill="1" applyBorder="1" applyProtection="1">
      <protection locked="0"/>
    </xf>
    <xf numFmtId="49" fontId="1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49" fontId="1" fillId="3" borderId="13" xfId="0" applyNumberFormat="1" applyFont="1" applyFill="1" applyBorder="1" applyAlignment="1">
      <alignment wrapText="1"/>
    </xf>
    <xf numFmtId="49" fontId="1" fillId="3" borderId="14" xfId="0" applyNumberFormat="1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10" fontId="0" fillId="2" borderId="16" xfId="0" applyNumberFormat="1" applyFill="1" applyBorder="1"/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24" xfId="0" applyNumberFormat="1" applyFill="1" applyBorder="1"/>
    <xf numFmtId="1" fontId="0" fillId="2" borderId="24" xfId="0" applyNumberFormat="1" applyFill="1" applyBorder="1"/>
    <xf numFmtId="4" fontId="0" fillId="0" borderId="24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164" fontId="0" fillId="2" borderId="24" xfId="0" applyNumberFormat="1" applyFill="1" applyBorder="1"/>
    <xf numFmtId="49" fontId="0" fillId="2" borderId="25" xfId="0" applyNumberFormat="1" applyFill="1" applyBorder="1"/>
    <xf numFmtId="1" fontId="0" fillId="2" borderId="25" xfId="0" applyNumberFormat="1" applyFill="1" applyBorder="1"/>
    <xf numFmtId="4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164" fontId="0" fillId="2" borderId="25" xfId="0" applyNumberFormat="1" applyFill="1" applyBorder="1"/>
    <xf numFmtId="49" fontId="0" fillId="2" borderId="26" xfId="0" applyNumberFormat="1" applyFill="1" applyBorder="1"/>
    <xf numFmtId="1" fontId="0" fillId="2" borderId="26" xfId="0" applyNumberFormat="1" applyFill="1" applyBorder="1"/>
    <xf numFmtId="4" fontId="0" fillId="0" borderId="26" xfId="0" applyNumberFormat="1" applyBorder="1" applyProtection="1">
      <protection locked="0"/>
    </xf>
    <xf numFmtId="10" fontId="0" fillId="0" borderId="26" xfId="0" applyNumberFormat="1" applyBorder="1" applyProtection="1">
      <protection locked="0"/>
    </xf>
    <xf numFmtId="164" fontId="0" fillId="2" borderId="26" xfId="0" applyNumberFormat="1" applyFill="1" applyBorder="1"/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4" fontId="0" fillId="2" borderId="25" xfId="0" applyNumberFormat="1" applyFill="1" applyBorder="1"/>
    <xf numFmtId="165" fontId="0" fillId="2" borderId="25" xfId="0" applyNumberFormat="1" applyFill="1" applyBorder="1"/>
    <xf numFmtId="10" fontId="0" fillId="2" borderId="25" xfId="0" applyNumberFormat="1" applyFill="1" applyBorder="1"/>
    <xf numFmtId="4" fontId="0" fillId="2" borderId="26" xfId="0" applyNumberFormat="1" applyFill="1" applyBorder="1"/>
    <xf numFmtId="165" fontId="0" fillId="0" borderId="26" xfId="0" applyNumberFormat="1" applyBorder="1" applyProtection="1">
      <protection locked="0"/>
    </xf>
    <xf numFmtId="0" fontId="0" fillId="3" borderId="28" xfId="0" applyFill="1" applyBorder="1"/>
    <xf numFmtId="49" fontId="0" fillId="3" borderId="21" xfId="0" applyNumberFormat="1" applyFill="1" applyBorder="1"/>
    <xf numFmtId="0" fontId="0" fillId="3" borderId="22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1" xfId="0" applyFill="1" applyBorder="1"/>
    <xf numFmtId="0" fontId="0" fillId="3" borderId="29" xfId="0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0" fontId="0" fillId="2" borderId="13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0" borderId="16" xfId="0" applyNumberFormat="1" applyBorder="1"/>
    <xf numFmtId="0" fontId="0" fillId="2" borderId="16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10" fontId="0" fillId="2" borderId="19" xfId="0" applyNumberFormat="1" applyFill="1" applyBorder="1"/>
    <xf numFmtId="49" fontId="0" fillId="3" borderId="32" xfId="0" applyNumberFormat="1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10" fontId="0" fillId="2" borderId="26" xfId="0" applyNumberFormat="1" applyFill="1" applyBorder="1"/>
    <xf numFmtId="0" fontId="0" fillId="3" borderId="6" xfId="0" applyFill="1" applyBorder="1"/>
    <xf numFmtId="49" fontId="0" fillId="4" borderId="24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49" fontId="0" fillId="4" borderId="26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4" fontId="0" fillId="4" borderId="24" xfId="0" applyNumberFormat="1" applyFill="1" applyBorder="1"/>
    <xf numFmtId="164" fontId="0" fillId="2" borderId="24" xfId="0" applyNumberFormat="1" applyFill="1" applyBorder="1" applyProtection="1"/>
    <xf numFmtId="164" fontId="0" fillId="3" borderId="24" xfId="0" applyNumberFormat="1" applyFill="1" applyBorder="1" applyProtection="1"/>
    <xf numFmtId="4" fontId="0" fillId="4" borderId="26" xfId="0" applyNumberFormat="1" applyFill="1" applyBorder="1"/>
    <xf numFmtId="164" fontId="0" fillId="2" borderId="26" xfId="0" applyNumberFormat="1" applyFill="1" applyBorder="1" applyProtection="1"/>
    <xf numFmtId="4" fontId="0" fillId="3" borderId="26" xfId="0" applyNumberFormat="1" applyFill="1" applyBorder="1" applyProtection="1"/>
    <xf numFmtId="164" fontId="0" fillId="3" borderId="23" xfId="0" applyNumberFormat="1" applyFill="1" applyBorder="1"/>
    <xf numFmtId="164" fontId="0" fillId="0" borderId="24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0" fontId="0" fillId="3" borderId="23" xfId="0" applyFill="1" applyBorder="1"/>
    <xf numFmtId="4" fontId="0" fillId="3" borderId="24" xfId="0" applyNumberFormat="1" applyFill="1" applyBorder="1" applyProtection="1"/>
    <xf numFmtId="4" fontId="0" fillId="4" borderId="25" xfId="0" applyNumberFormat="1" applyFill="1" applyBorder="1"/>
    <xf numFmtId="164" fontId="0" fillId="2" borderId="25" xfId="0" applyNumberFormat="1" applyFill="1" applyBorder="1" applyProtection="1"/>
    <xf numFmtId="4" fontId="0" fillId="3" borderId="25" xfId="0" applyNumberFormat="1" applyFill="1" applyBorder="1" applyProtection="1"/>
    <xf numFmtId="0" fontId="0" fillId="3" borderId="21" xfId="0" applyFill="1" applyBorder="1" applyAlignment="1"/>
    <xf numFmtId="49" fontId="0" fillId="3" borderId="21" xfId="0" applyNumberFormat="1" applyFill="1" applyBorder="1" applyAlignment="1"/>
    <xf numFmtId="49" fontId="0" fillId="3" borderId="24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4" fontId="0" fillId="3" borderId="25" xfId="0" applyNumberFormat="1" applyFill="1" applyBorder="1"/>
    <xf numFmtId="49" fontId="0" fillId="3" borderId="26" xfId="0" applyNumberFormat="1" applyFill="1" applyBorder="1" applyAlignment="1">
      <alignment wrapText="1"/>
    </xf>
    <xf numFmtId="4" fontId="0" fillId="3" borderId="26" xfId="0" applyNumberFormat="1" applyFill="1" applyBorder="1"/>
    <xf numFmtId="49" fontId="1" fillId="3" borderId="6" xfId="0" applyNumberFormat="1" applyFont="1" applyFill="1" applyBorder="1"/>
    <xf numFmtId="164" fontId="1" fillId="2" borderId="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F669-EA01-4585-AAE9-C3777927F394}">
  <dimension ref="A1:N28"/>
  <sheetViews>
    <sheetView workbookViewId="0"/>
  </sheetViews>
  <sheetFormatPr defaultRowHeight="12.75" x14ac:dyDescent="0.2"/>
  <sheetData>
    <row r="1" spans="1:14" x14ac:dyDescent="0.2">
      <c r="A1" s="1" t="s">
        <v>0</v>
      </c>
    </row>
    <row r="3" spans="1:14" x14ac:dyDescent="0.2">
      <c r="A3" t="s">
        <v>1</v>
      </c>
    </row>
    <row r="5" spans="1:14" x14ac:dyDescent="0.2">
      <c r="A5" t="s">
        <v>2</v>
      </c>
      <c r="B5" t="s">
        <v>3</v>
      </c>
    </row>
    <row r="7" spans="1:14" x14ac:dyDescent="0.2">
      <c r="A7" s="4" t="s">
        <v>4</v>
      </c>
      <c r="B7" s="5"/>
      <c r="D7" s="4" t="s">
        <v>25</v>
      </c>
      <c r="E7" s="5"/>
      <c r="G7" s="4" t="s">
        <v>26</v>
      </c>
      <c r="H7" s="5"/>
      <c r="J7" s="4" t="s">
        <v>27</v>
      </c>
      <c r="K7" s="5"/>
      <c r="M7" s="4" t="s">
        <v>28</v>
      </c>
      <c r="N7" s="5"/>
    </row>
    <row r="8" spans="1:14" x14ac:dyDescent="0.2">
      <c r="A8" s="2"/>
      <c r="B8" s="3"/>
      <c r="D8" s="2"/>
      <c r="E8" s="3"/>
      <c r="G8" s="2"/>
      <c r="H8" s="3"/>
      <c r="J8" s="2"/>
      <c r="K8" s="3"/>
      <c r="M8" s="2"/>
      <c r="N8" s="3"/>
    </row>
    <row r="9" spans="1:14" x14ac:dyDescent="0.2">
      <c r="A9" s="2" t="s">
        <v>5</v>
      </c>
      <c r="B9" s="3">
        <v>200</v>
      </c>
      <c r="D9" s="2" t="s">
        <v>5</v>
      </c>
      <c r="E9" s="3">
        <v>11</v>
      </c>
      <c r="G9" s="2" t="s">
        <v>5</v>
      </c>
      <c r="H9" s="3">
        <v>1</v>
      </c>
      <c r="J9" s="2" t="s">
        <v>5</v>
      </c>
      <c r="K9" s="3">
        <v>51</v>
      </c>
      <c r="M9" s="2" t="s">
        <v>5</v>
      </c>
      <c r="N9" s="3">
        <v>102</v>
      </c>
    </row>
    <row r="10" spans="1:14" x14ac:dyDescent="0.2">
      <c r="A10" s="2" t="s">
        <v>6</v>
      </c>
      <c r="B10" s="3">
        <v>5</v>
      </c>
      <c r="D10" s="2" t="s">
        <v>6</v>
      </c>
      <c r="E10" s="3">
        <v>1</v>
      </c>
      <c r="G10" s="2" t="s">
        <v>6</v>
      </c>
      <c r="H10" s="3">
        <v>1</v>
      </c>
      <c r="J10" s="2" t="s">
        <v>6</v>
      </c>
      <c r="K10" s="3">
        <v>5</v>
      </c>
      <c r="M10" s="2" t="s">
        <v>6</v>
      </c>
      <c r="N10" s="3">
        <v>2</v>
      </c>
    </row>
    <row r="11" spans="1:14" x14ac:dyDescent="0.2">
      <c r="A11" s="2"/>
      <c r="B11" s="3"/>
      <c r="D11" s="2"/>
      <c r="E11" s="3"/>
      <c r="G11" s="2"/>
      <c r="H11" s="3"/>
      <c r="J11" s="2"/>
      <c r="K11" s="3"/>
      <c r="M11" s="2"/>
      <c r="N11" s="3"/>
    </row>
    <row r="12" spans="1:14" x14ac:dyDescent="0.2">
      <c r="A12" s="2" t="s">
        <v>7</v>
      </c>
      <c r="B12" s="3" t="s">
        <v>8</v>
      </c>
      <c r="D12" s="2" t="s">
        <v>7</v>
      </c>
      <c r="E12" s="3" t="s">
        <v>8</v>
      </c>
      <c r="G12" s="2" t="s">
        <v>7</v>
      </c>
      <c r="H12" s="3" t="s">
        <v>8</v>
      </c>
      <c r="J12" s="2" t="s">
        <v>7</v>
      </c>
      <c r="K12" s="3" t="s">
        <v>8</v>
      </c>
      <c r="M12" s="2" t="s">
        <v>7</v>
      </c>
      <c r="N12" s="3" t="s">
        <v>8</v>
      </c>
    </row>
    <row r="13" spans="1:14" x14ac:dyDescent="0.2">
      <c r="A13" s="2" t="s">
        <v>9</v>
      </c>
      <c r="B13" s="3">
        <f>IF(A13="2½W",2.5/dagenperweek1,IF(RIGHT(A13,1)="W",VALUE(LEFT(A13,LEN(A13)-1))/dagenperweek1,IF(RIGHT(A13,1)="J",VALUE(LEFT(A13,LEN(A13)-1))/dagenperjaar1,IF(RIGHT(A13,1)="D",VALUE(LEFT(A13,LEN(A13)-1)),"handmatig!"))))</f>
        <v>1</v>
      </c>
      <c r="D13" s="2" t="s">
        <v>9</v>
      </c>
      <c r="E13" s="3">
        <f>IF(D13="2½W",2.5/dagenperweek2,IF(RIGHT(D13,1)="W",VALUE(LEFT(D13,LEN(D13)-1))/dagenperweek2,IF(RIGHT(D13,1)="J",VALUE(LEFT(D13,LEN(D13)-1))/dagenperjaar2,IF(RIGHT(D13,1)="D",VALUE(LEFT(D13,LEN(D13)-1)),"handmatig!"))))</f>
        <v>5</v>
      </c>
      <c r="G13" s="2" t="s">
        <v>9</v>
      </c>
      <c r="H13" s="3">
        <f>IF(G13="2½W",2.5/dagenperweek3,IF(RIGHT(G13,1)="W",VALUE(LEFT(G13,LEN(G13)-1))/dagenperweek3,IF(RIGHT(G13,1)="J",VALUE(LEFT(G13,LEN(G13)-1))/dagenperjaar3,IF(RIGHT(G13,1)="D",VALUE(LEFT(G13,LEN(G13)-1)),"handmatig!"))))</f>
        <v>5</v>
      </c>
      <c r="J13" s="2" t="s">
        <v>9</v>
      </c>
      <c r="K13" s="3">
        <f>IF(J13="2½W",2.5/dagenperweek4,IF(RIGHT(J13,1)="W",VALUE(LEFT(J13,LEN(J13)-1))/dagenperweek4,IF(RIGHT(J13,1)="J",VALUE(LEFT(J13,LEN(J13)-1))/dagenperjaar4,IF(RIGHT(J13,1)="D",VALUE(LEFT(J13,LEN(J13)-1)),"handmatig!"))))</f>
        <v>1</v>
      </c>
      <c r="M13" s="2" t="s">
        <v>13</v>
      </c>
      <c r="N13" s="3">
        <f>IF(M13="2½W",2.5/dagenperweek5,IF(RIGHT(M13,1)="W",VALUE(LEFT(M13,LEN(M13)-1))/dagenperweek5,IF(RIGHT(M13,1)="J",VALUE(LEFT(M13,LEN(M13)-1))/dagenperjaar5,IF(RIGHT(M13,1)="D",VALUE(LEFT(M13,LEN(M13)-1)),"handmatig!"))))</f>
        <v>1</v>
      </c>
    </row>
    <row r="14" spans="1:14" x14ac:dyDescent="0.2">
      <c r="A14" s="2" t="s">
        <v>10</v>
      </c>
      <c r="B14" s="3">
        <f>IF(A14="2½W",2.5/dagenperweek1,IF(RIGHT(A14,1)="W",VALUE(LEFT(A14,LEN(A14)-1))/dagenperweek1,IF(RIGHT(A14,1)="J",VALUE(LEFT(A14,LEN(A14)-1))/dagenperjaar1,IF(RIGHT(A14,1)="D",VALUE(LEFT(A14,LEN(A14)-1)),"handmatig!"))))</f>
        <v>1</v>
      </c>
      <c r="D14" s="2" t="s">
        <v>11</v>
      </c>
      <c r="E14" s="3">
        <f>IF(D14="2½W",2.5/dagenperweek2,IF(RIGHT(D14,1)="W",VALUE(LEFT(D14,LEN(D14)-1))/dagenperweek2,IF(RIGHT(D14,1)="J",VALUE(LEFT(D14,LEN(D14)-1))/dagenperjaar2,IF(RIGHT(D14,1)="D",VALUE(LEFT(D14,LEN(D14)-1)),"handmatig!"))))</f>
        <v>4</v>
      </c>
      <c r="G14" s="2" t="s">
        <v>11</v>
      </c>
      <c r="H14" s="3">
        <f>IF(G14="2½W",2.5/dagenperweek3,IF(RIGHT(G14,1)="W",VALUE(LEFT(G14,LEN(G14)-1))/dagenperweek3,IF(RIGHT(G14,1)="J",VALUE(LEFT(G14,LEN(G14)-1))/dagenperjaar3,IF(RIGHT(G14,1)="D",VALUE(LEFT(G14,LEN(G14)-1)),"handmatig!"))))</f>
        <v>4</v>
      </c>
      <c r="J14" s="2" t="s">
        <v>11</v>
      </c>
      <c r="K14" s="3">
        <f>IF(J14="2½W",2.5/dagenperweek4,IF(RIGHT(J14,1)="W",VALUE(LEFT(J14,LEN(J14)-1))/dagenperweek4,IF(RIGHT(J14,1)="J",VALUE(LEFT(J14,LEN(J14)-1))/dagenperjaar4,IF(RIGHT(J14,1)="D",VALUE(LEFT(J14,LEN(J14)-1)),"handmatig!"))))</f>
        <v>0.8</v>
      </c>
      <c r="M14" s="2" t="s">
        <v>15</v>
      </c>
      <c r="N14" s="3">
        <f>IF(M14="2½W",2.5/dagenperweek5,IF(RIGHT(M14,1)="W",VALUE(LEFT(M14,LEN(M14)-1))/dagenperweek5,IF(RIGHT(M14,1)="J",VALUE(LEFT(M14,LEN(M14)-1))/dagenperjaar5,IF(RIGHT(M14,1)="D",VALUE(LEFT(M14,LEN(M14)-1)),"handmatig!"))))</f>
        <v>0.5</v>
      </c>
    </row>
    <row r="15" spans="1:14" x14ac:dyDescent="0.2">
      <c r="A15" s="2" t="s">
        <v>11</v>
      </c>
      <c r="B15" s="3">
        <f>IF(A15="2½W",2.5/dagenperweek1,IF(RIGHT(A15,1)="W",VALUE(LEFT(A15,LEN(A15)-1))/dagenperweek1,IF(RIGHT(A15,1)="J",VALUE(LEFT(A15,LEN(A15)-1))/dagenperjaar1,IF(RIGHT(A15,1)="D",VALUE(LEFT(A15,LEN(A15)-1)),"handmatig!"))))</f>
        <v>0.8</v>
      </c>
      <c r="D15" s="2" t="s">
        <v>12</v>
      </c>
      <c r="E15" s="3">
        <f>IF(D15="2½W",2.5/dagenperweek2,IF(RIGHT(D15,1)="W",VALUE(LEFT(D15,LEN(D15)-1))/dagenperweek2,IF(RIGHT(D15,1)="J",VALUE(LEFT(D15,LEN(D15)-1))/dagenperjaar2,IF(RIGHT(D15,1)="D",VALUE(LEFT(D15,LEN(D15)-1)),"handmatig!"))))</f>
        <v>3</v>
      </c>
      <c r="G15" s="2" t="s">
        <v>12</v>
      </c>
      <c r="H15" s="3">
        <f>IF(G15="2½W",2.5/dagenperweek3,IF(RIGHT(G15,1)="W",VALUE(LEFT(G15,LEN(G15)-1))/dagenperweek3,IF(RIGHT(G15,1)="J",VALUE(LEFT(G15,LEN(G15)-1))/dagenperjaar3,IF(RIGHT(G15,1)="D",VALUE(LEFT(G15,LEN(G15)-1)),"handmatig!"))))</f>
        <v>3</v>
      </c>
      <c r="J15" s="2" t="s">
        <v>12</v>
      </c>
      <c r="K15" s="3">
        <f>IF(J15="2½W",2.5/dagenperweek4,IF(RIGHT(J15,1)="W",VALUE(LEFT(J15,LEN(J15)-1))/dagenperweek4,IF(RIGHT(J15,1)="J",VALUE(LEFT(J15,LEN(J15)-1))/dagenperjaar4,IF(RIGHT(J15,1)="D",VALUE(LEFT(J15,LEN(J15)-1)),"handmatig!"))))</f>
        <v>0.6</v>
      </c>
      <c r="M15" s="6" t="s">
        <v>24</v>
      </c>
      <c r="N15" s="7">
        <f>IF(M15="2½W",2.5/dagenperweek5,IF(RIGHT(M15,1)="W",VALUE(LEFT(M15,LEN(M15)-1))/dagenperweek5,IF(RIGHT(M15,1)="J",VALUE(LEFT(M15,LEN(M15)-1))/dagenperjaar5,IF(RIGHT(M15,1)="D",VALUE(LEFT(M15,LEN(M15)-1)),"handmatig!"))))</f>
        <v>9.8039215686274508E-3</v>
      </c>
    </row>
    <row r="16" spans="1:14" x14ac:dyDescent="0.2">
      <c r="A16" s="2" t="s">
        <v>12</v>
      </c>
      <c r="B16" s="3">
        <f>IF(A16="2½W",2.5/dagenperweek1,IF(RIGHT(A16,1)="W",VALUE(LEFT(A16,LEN(A16)-1))/dagenperweek1,IF(RIGHT(A16,1)="J",VALUE(LEFT(A16,LEN(A16)-1))/dagenperjaar1,IF(RIGHT(A16,1)="D",VALUE(LEFT(A16,LEN(A16)-1)),"handmatig!"))))</f>
        <v>0.6</v>
      </c>
      <c r="D16" s="2" t="s">
        <v>13</v>
      </c>
      <c r="E16" s="3">
        <f>IF(D16="2½W",2.5/dagenperweek2,IF(RIGHT(D16,1)="W",VALUE(LEFT(D16,LEN(D16)-1))/dagenperweek2,IF(RIGHT(D16,1)="J",VALUE(LEFT(D16,LEN(D16)-1))/dagenperjaar2,IF(RIGHT(D16,1)="D",VALUE(LEFT(D16,LEN(D16)-1)),"handmatig!"))))</f>
        <v>2</v>
      </c>
      <c r="G16" s="2" t="s">
        <v>13</v>
      </c>
      <c r="H16" s="3">
        <f>IF(G16="2½W",2.5/dagenperweek3,IF(RIGHT(G16,1)="W",VALUE(LEFT(G16,LEN(G16)-1))/dagenperweek3,IF(RIGHT(G16,1)="J",VALUE(LEFT(G16,LEN(G16)-1))/dagenperjaar3,IF(RIGHT(G16,1)="D",VALUE(LEFT(G16,LEN(G16)-1)),"handmatig!"))))</f>
        <v>2</v>
      </c>
      <c r="J16" s="2" t="s">
        <v>13</v>
      </c>
      <c r="K16" s="3">
        <f>IF(J16="2½W",2.5/dagenperweek4,IF(RIGHT(J16,1)="W",VALUE(LEFT(J16,LEN(J16)-1))/dagenperweek4,IF(RIGHT(J16,1)="J",VALUE(LEFT(J16,LEN(J16)-1))/dagenperjaar4,IF(RIGHT(J16,1)="D",VALUE(LEFT(J16,LEN(J16)-1)),"handmatig!"))))</f>
        <v>0.4</v>
      </c>
    </row>
    <row r="17" spans="1:11" x14ac:dyDescent="0.2">
      <c r="A17" s="2" t="s">
        <v>13</v>
      </c>
      <c r="B17" s="3">
        <f>IF(A17="2½W",2.5/dagenperweek1,IF(RIGHT(A17,1)="W",VALUE(LEFT(A17,LEN(A17)-1))/dagenperweek1,IF(RIGHT(A17,1)="J",VALUE(LEFT(A17,LEN(A17)-1))/dagenperjaar1,IF(RIGHT(A17,1)="D",VALUE(LEFT(A17,LEN(A17)-1)),"handmatig!"))))</f>
        <v>0.4</v>
      </c>
      <c r="D17" s="2" t="s">
        <v>15</v>
      </c>
      <c r="E17" s="3">
        <f>IF(D17="2½W",2.5/dagenperweek2,IF(RIGHT(D17,1)="W",VALUE(LEFT(D17,LEN(D17)-1))/dagenperweek2,IF(RIGHT(D17,1)="J",VALUE(LEFT(D17,LEN(D17)-1))/dagenperjaar2,IF(RIGHT(D17,1)="D",VALUE(LEFT(D17,LEN(D17)-1)),"handmatig!"))))</f>
        <v>1</v>
      </c>
      <c r="G17" s="2" t="s">
        <v>15</v>
      </c>
      <c r="H17" s="3">
        <f>IF(G17="2½W",2.5/dagenperweek3,IF(RIGHT(G17,1)="W",VALUE(LEFT(G17,LEN(G17)-1))/dagenperweek3,IF(RIGHT(G17,1)="J",VALUE(LEFT(G17,LEN(G17)-1))/dagenperjaar3,IF(RIGHT(G17,1)="D",VALUE(LEFT(G17,LEN(G17)-1)),"handmatig!"))))</f>
        <v>1</v>
      </c>
      <c r="J17" s="2" t="s">
        <v>15</v>
      </c>
      <c r="K17" s="3">
        <f>IF(J17="2½W",2.5/dagenperweek4,IF(RIGHT(J17,1)="W",VALUE(LEFT(J17,LEN(J17)-1))/dagenperweek4,IF(RIGHT(J17,1)="J",VALUE(LEFT(J17,LEN(J17)-1))/dagenperjaar4,IF(RIGHT(J17,1)="D",VALUE(LEFT(J17,LEN(J17)-1)),"handmatig!"))))</f>
        <v>0.2</v>
      </c>
    </row>
    <row r="18" spans="1:11" x14ac:dyDescent="0.2">
      <c r="A18" s="2" t="s">
        <v>14</v>
      </c>
      <c r="B18" s="3">
        <f>IF(A18="2½W",2.5/dagenperweek1,IF(RIGHT(A18,1)="W",VALUE(LEFT(A18,LEN(A18)-1))/dagenperweek1,IF(RIGHT(A18,1)="J",VALUE(LEFT(A18,LEN(A18)-1))/dagenperjaar1,IF(RIGHT(A18,1)="D",VALUE(LEFT(A18,LEN(A18)-1)),"handmatig!"))))</f>
        <v>0.4</v>
      </c>
      <c r="D18" s="2" t="s">
        <v>17</v>
      </c>
      <c r="E18" s="3">
        <f>IF(D18="2½W",2.5/dagenperweek2,IF(RIGHT(D18,1)="W",VALUE(LEFT(D18,LEN(D18)-1))/dagenperweek2,IF(RIGHT(D18,1)="J",VALUE(LEFT(D18,LEN(D18)-1))/dagenperjaar2,IF(RIGHT(D18,1)="D",VALUE(LEFT(D18,LEN(D18)-1)),"handmatig!"))))</f>
        <v>2.3636363636363638</v>
      </c>
      <c r="G18" s="2" t="s">
        <v>17</v>
      </c>
      <c r="H18" s="3">
        <f>IF(G18="2½W",2.5/dagenperweek3,IF(RIGHT(G18,1)="W",VALUE(LEFT(G18,LEN(G18)-1))/dagenperweek3,IF(RIGHT(G18,1)="J",VALUE(LEFT(G18,LEN(G18)-1))/dagenperjaar3,IF(RIGHT(G18,1)="D",VALUE(LEFT(G18,LEN(G18)-1)),"handmatig!"))))</f>
        <v>26</v>
      </c>
      <c r="J18" s="2" t="s">
        <v>17</v>
      </c>
      <c r="K18" s="3">
        <f>IF(J18="2½W",2.5/dagenperweek4,IF(RIGHT(J18,1)="W",VALUE(LEFT(J18,LEN(J18)-1))/dagenperweek4,IF(RIGHT(J18,1)="J",VALUE(LEFT(J18,LEN(J18)-1))/dagenperjaar4,IF(RIGHT(J18,1)="D",VALUE(LEFT(J18,LEN(J18)-1)),"handmatig!"))))</f>
        <v>0.50980392156862742</v>
      </c>
    </row>
    <row r="19" spans="1:11" x14ac:dyDescent="0.2">
      <c r="A19" s="2" t="s">
        <v>15</v>
      </c>
      <c r="B19" s="3">
        <f>IF(A19="2½W",2.5/dagenperweek1,IF(RIGHT(A19,1)="W",VALUE(LEFT(A19,LEN(A19)-1))/dagenperweek1,IF(RIGHT(A19,1)="J",VALUE(LEFT(A19,LEN(A19)-1))/dagenperjaar1,IF(RIGHT(A19,1)="D",VALUE(LEFT(A19,LEN(A19)-1)),"handmatig!"))))</f>
        <v>0.2</v>
      </c>
      <c r="D19" s="2" t="s">
        <v>18</v>
      </c>
      <c r="E19" s="3">
        <f>IF(D19="2½W",2.5/dagenperweek2,IF(RIGHT(D19,1)="W",VALUE(LEFT(D19,LEN(D19)-1))/dagenperweek2,IF(RIGHT(D19,1)="J",VALUE(LEFT(D19,LEN(D19)-1))/dagenperjaar2,IF(RIGHT(D19,1)="D",VALUE(LEFT(D19,LEN(D19)-1)),"handmatig!"))))</f>
        <v>1.0909090909090908</v>
      </c>
      <c r="G19" s="2" t="s">
        <v>18</v>
      </c>
      <c r="H19" s="3">
        <f>IF(G19="2½W",2.5/dagenperweek3,IF(RIGHT(G19,1)="W",VALUE(LEFT(G19,LEN(G19)-1))/dagenperweek3,IF(RIGHT(G19,1)="J",VALUE(LEFT(G19,LEN(G19)-1))/dagenperjaar3,IF(RIGHT(G19,1)="D",VALUE(LEFT(G19,LEN(G19)-1)),"handmatig!"))))</f>
        <v>12</v>
      </c>
      <c r="J19" s="2" t="s">
        <v>18</v>
      </c>
      <c r="K19" s="3">
        <f>IF(J19="2½W",2.5/dagenperweek4,IF(RIGHT(J19,1)="W",VALUE(LEFT(J19,LEN(J19)-1))/dagenperweek4,IF(RIGHT(J19,1)="J",VALUE(LEFT(J19,LEN(J19)-1))/dagenperjaar4,IF(RIGHT(J19,1)="D",VALUE(LEFT(J19,LEN(J19)-1)),"handmatig!"))))</f>
        <v>0.23529411764705882</v>
      </c>
    </row>
    <row r="20" spans="1:11" x14ac:dyDescent="0.2">
      <c r="A20" s="2" t="s">
        <v>16</v>
      </c>
      <c r="B20" s="3">
        <f>IF(A20="2½W",2.5/dagenperweek1,IF(RIGHT(A20,1)="W",VALUE(LEFT(A20,LEN(A20)-1))/dagenperweek1,IF(RIGHT(A20,1)="J",VALUE(LEFT(A20,LEN(A20)-1))/dagenperjaar1,IF(RIGHT(A20,1)="D",VALUE(LEFT(A20,LEN(A20)-1)),"handmatig!"))))</f>
        <v>0.2</v>
      </c>
      <c r="D20" s="2" t="s">
        <v>20</v>
      </c>
      <c r="E20" s="3">
        <f>IF(D20="2½W",2.5/dagenperweek2,IF(RIGHT(D20,1)="W",VALUE(LEFT(D20,LEN(D20)-1))/dagenperweek2,IF(RIGHT(D20,1)="J",VALUE(LEFT(D20,LEN(D20)-1))/dagenperjaar2,IF(RIGHT(D20,1)="D",VALUE(LEFT(D20,LEN(D20)-1)),"handmatig!"))))</f>
        <v>0.54545454545454541</v>
      </c>
      <c r="G20" s="2" t="s">
        <v>20</v>
      </c>
      <c r="H20" s="3">
        <f>IF(G20="2½W",2.5/dagenperweek3,IF(RIGHT(G20,1)="W",VALUE(LEFT(G20,LEN(G20)-1))/dagenperweek3,IF(RIGHT(G20,1)="J",VALUE(LEFT(G20,LEN(G20)-1))/dagenperjaar3,IF(RIGHT(G20,1)="D",VALUE(LEFT(G20,LEN(G20)-1)),"handmatig!"))))</f>
        <v>6</v>
      </c>
      <c r="J20" s="2" t="s">
        <v>20</v>
      </c>
      <c r="K20" s="3">
        <f>IF(J20="2½W",2.5/dagenperweek4,IF(RIGHT(J20,1)="W",VALUE(LEFT(J20,LEN(J20)-1))/dagenperweek4,IF(RIGHT(J20,1)="J",VALUE(LEFT(J20,LEN(J20)-1))/dagenperjaar4,IF(RIGHT(J20,1)="D",VALUE(LEFT(J20,LEN(J20)-1)),"handmatig!"))))</f>
        <v>0.11764705882352941</v>
      </c>
    </row>
    <row r="21" spans="1:11" x14ac:dyDescent="0.2">
      <c r="A21" s="2" t="s">
        <v>17</v>
      </c>
      <c r="B21" s="3">
        <f>IF(A21="2½W",2.5/dagenperweek1,IF(RIGHT(A21,1)="W",VALUE(LEFT(A21,LEN(A21)-1))/dagenperweek1,IF(RIGHT(A21,1)="J",VALUE(LEFT(A21,LEN(A21)-1))/dagenperjaar1,IF(RIGHT(A21,1)="D",VALUE(LEFT(A21,LEN(A21)-1)),"handmatig!"))))</f>
        <v>0.13</v>
      </c>
      <c r="D21" s="2" t="s">
        <v>21</v>
      </c>
      <c r="E21" s="3">
        <f>IF(D21="2½W",2.5/dagenperweek2,IF(RIGHT(D21,1)="W",VALUE(LEFT(D21,LEN(D21)-1))/dagenperweek2,IF(RIGHT(D21,1)="J",VALUE(LEFT(D21,LEN(D21)-1))/dagenperjaar2,IF(RIGHT(D21,1)="D",VALUE(LEFT(D21,LEN(D21)-1)),"handmatig!"))))</f>
        <v>0.36363636363636365</v>
      </c>
      <c r="G21" s="2" t="s">
        <v>21</v>
      </c>
      <c r="H21" s="3">
        <f>IF(G21="2½W",2.5/dagenperweek3,IF(RIGHT(G21,1)="W",VALUE(LEFT(G21,LEN(G21)-1))/dagenperweek3,IF(RIGHT(G21,1)="J",VALUE(LEFT(G21,LEN(G21)-1))/dagenperjaar3,IF(RIGHT(G21,1)="D",VALUE(LEFT(G21,LEN(G21)-1)),"handmatig!"))))</f>
        <v>4</v>
      </c>
      <c r="J21" s="2" t="s">
        <v>21</v>
      </c>
      <c r="K21" s="3">
        <f>IF(J21="2½W",2.5/dagenperweek4,IF(RIGHT(J21,1)="W",VALUE(LEFT(J21,LEN(J21)-1))/dagenperweek4,IF(RIGHT(J21,1)="J",VALUE(LEFT(J21,LEN(J21)-1))/dagenperjaar4,IF(RIGHT(J21,1)="D",VALUE(LEFT(J21,LEN(J21)-1)),"handmatig!"))))</f>
        <v>7.8431372549019607E-2</v>
      </c>
    </row>
    <row r="22" spans="1:11" x14ac:dyDescent="0.2">
      <c r="A22" s="2" t="s">
        <v>18</v>
      </c>
      <c r="B22" s="3">
        <f>IF(A22="2½W",2.5/dagenperweek1,IF(RIGHT(A22,1)="W",VALUE(LEFT(A22,LEN(A22)-1))/dagenperweek1,IF(RIGHT(A22,1)="J",VALUE(LEFT(A22,LEN(A22)-1))/dagenperjaar1,IF(RIGHT(A22,1)="D",VALUE(LEFT(A22,LEN(A22)-1)),"handmatig!"))))</f>
        <v>0.06</v>
      </c>
      <c r="D22" s="2" t="s">
        <v>22</v>
      </c>
      <c r="E22" s="3">
        <f>IF(D22="2½W",2.5/dagenperweek2,IF(RIGHT(D22,1)="W",VALUE(LEFT(D22,LEN(D22)-1))/dagenperweek2,IF(RIGHT(D22,1)="J",VALUE(LEFT(D22,LEN(D22)-1))/dagenperjaar2,IF(RIGHT(D22,1)="D",VALUE(LEFT(D22,LEN(D22)-1)),"handmatig!"))))</f>
        <v>0.27272727272727271</v>
      </c>
      <c r="G22" s="2" t="s">
        <v>22</v>
      </c>
      <c r="H22" s="3">
        <f>IF(G22="2½W",2.5/dagenperweek3,IF(RIGHT(G22,1)="W",VALUE(LEFT(G22,LEN(G22)-1))/dagenperweek3,IF(RIGHT(G22,1)="J",VALUE(LEFT(G22,LEN(G22)-1))/dagenperjaar3,IF(RIGHT(G22,1)="D",VALUE(LEFT(G22,LEN(G22)-1)),"handmatig!"))))</f>
        <v>3</v>
      </c>
      <c r="J22" s="2" t="s">
        <v>22</v>
      </c>
      <c r="K22" s="3">
        <f>IF(J22="2½W",2.5/dagenperweek4,IF(RIGHT(J22,1)="W",VALUE(LEFT(J22,LEN(J22)-1))/dagenperweek4,IF(RIGHT(J22,1)="J",VALUE(LEFT(J22,LEN(J22)-1))/dagenperjaar4,IF(RIGHT(J22,1)="D",VALUE(LEFT(J22,LEN(J22)-1)),"handmatig!"))))</f>
        <v>5.8823529411764705E-2</v>
      </c>
    </row>
    <row r="23" spans="1:11" x14ac:dyDescent="0.2">
      <c r="A23" s="2" t="s">
        <v>19</v>
      </c>
      <c r="B23" s="3">
        <f>IF(A23="2½W",2.5/dagenperweek1,IF(RIGHT(A23,1)="W",VALUE(LEFT(A23,LEN(A23)-1))/dagenperweek1,IF(RIGHT(A23,1)="J",VALUE(LEFT(A23,LEN(A23)-1))/dagenperjaar1,IF(RIGHT(A23,1)="D",VALUE(LEFT(A23,LEN(A23)-1)),"handmatig!"))))</f>
        <v>0.05</v>
      </c>
      <c r="D23" s="2" t="s">
        <v>23</v>
      </c>
      <c r="E23" s="3">
        <f>IF(D23="2½W",2.5/dagenperweek2,IF(RIGHT(D23,1)="W",VALUE(LEFT(D23,LEN(D23)-1))/dagenperweek2,IF(RIGHT(D23,1)="J",VALUE(LEFT(D23,LEN(D23)-1))/dagenperjaar2,IF(RIGHT(D23,1)="D",VALUE(LEFT(D23,LEN(D23)-1)),"handmatig!"))))</f>
        <v>0.18181818181818182</v>
      </c>
      <c r="G23" s="2" t="s">
        <v>23</v>
      </c>
      <c r="H23" s="3">
        <f>IF(G23="2½W",2.5/dagenperweek3,IF(RIGHT(G23,1)="W",VALUE(LEFT(G23,LEN(G23)-1))/dagenperweek3,IF(RIGHT(G23,1)="J",VALUE(LEFT(G23,LEN(G23)-1))/dagenperjaar3,IF(RIGHT(G23,1)="D",VALUE(LEFT(G23,LEN(G23)-1)),"handmatig!"))))</f>
        <v>2</v>
      </c>
      <c r="J23" s="2" t="s">
        <v>23</v>
      </c>
      <c r="K23" s="3">
        <f>IF(J23="2½W",2.5/dagenperweek4,IF(RIGHT(J23,1)="W",VALUE(LEFT(J23,LEN(J23)-1))/dagenperweek4,IF(RIGHT(J23,1)="J",VALUE(LEFT(J23,LEN(J23)-1))/dagenperjaar4,IF(RIGHT(J23,1)="D",VALUE(LEFT(J23,LEN(J23)-1)),"handmatig!"))))</f>
        <v>3.9215686274509803E-2</v>
      </c>
    </row>
    <row r="24" spans="1:11" x14ac:dyDescent="0.2">
      <c r="A24" s="2" t="s">
        <v>20</v>
      </c>
      <c r="B24" s="3">
        <f>IF(A24="2½W",2.5/dagenperweek1,IF(RIGHT(A24,1)="W",VALUE(LEFT(A24,LEN(A24)-1))/dagenperweek1,IF(RIGHT(A24,1)="J",VALUE(LEFT(A24,LEN(A24)-1))/dagenperjaar1,IF(RIGHT(A24,1)="D",VALUE(LEFT(A24,LEN(A24)-1)),"handmatig!"))))</f>
        <v>0.03</v>
      </c>
      <c r="D24" s="6" t="s">
        <v>24</v>
      </c>
      <c r="E24" s="7">
        <f>IF(D24="2½W",2.5/dagenperweek2,IF(RIGHT(D24,1)="W",VALUE(LEFT(D24,LEN(D24)-1))/dagenperweek2,IF(RIGHT(D24,1)="J",VALUE(LEFT(D24,LEN(D24)-1))/dagenperjaar2,IF(RIGHT(D24,1)="D",VALUE(LEFT(D24,LEN(D24)-1)),"handmatig!"))))</f>
        <v>9.0909090909090912E-2</v>
      </c>
      <c r="G24" s="6" t="s">
        <v>24</v>
      </c>
      <c r="H24" s="7">
        <f>IF(G24="2½W",2.5/dagenperweek3,IF(RIGHT(G24,1)="W",VALUE(LEFT(G24,LEN(G24)-1))/dagenperweek3,IF(RIGHT(G24,1)="J",VALUE(LEFT(G24,LEN(G24)-1))/dagenperjaar3,IF(RIGHT(G24,1)="D",VALUE(LEFT(G24,LEN(G24)-1)),"handmatig!"))))</f>
        <v>1</v>
      </c>
      <c r="J24" s="6" t="s">
        <v>24</v>
      </c>
      <c r="K24" s="7">
        <f>IF(J24="2½W",2.5/dagenperweek4,IF(RIGHT(J24,1)="W",VALUE(LEFT(J24,LEN(J24)-1))/dagenperweek4,IF(RIGHT(J24,1)="J",VALUE(LEFT(J24,LEN(J24)-1))/dagenperjaar4,IF(RIGHT(J24,1)="D",VALUE(LEFT(J24,LEN(J24)-1)),"handmatig!"))))</f>
        <v>1.9607843137254902E-2</v>
      </c>
    </row>
    <row r="25" spans="1:11" x14ac:dyDescent="0.2">
      <c r="A25" s="2" t="s">
        <v>21</v>
      </c>
      <c r="B25" s="3">
        <f>IF(A25="2½W",2.5/dagenperweek1,IF(RIGHT(A25,1)="W",VALUE(LEFT(A25,LEN(A25)-1))/dagenperweek1,IF(RIGHT(A25,1)="J",VALUE(LEFT(A25,LEN(A25)-1))/dagenperjaar1,IF(RIGHT(A25,1)="D",VALUE(LEFT(A25,LEN(A25)-1)),"handmatig!"))))</f>
        <v>0.02</v>
      </c>
    </row>
    <row r="26" spans="1:11" x14ac:dyDescent="0.2">
      <c r="A26" s="2" t="s">
        <v>22</v>
      </c>
      <c r="B26" s="3">
        <f>IF(A26="2½W",2.5/dagenperweek1,IF(RIGHT(A26,1)="W",VALUE(LEFT(A26,LEN(A26)-1))/dagenperweek1,IF(RIGHT(A26,1)="J",VALUE(LEFT(A26,LEN(A26)-1))/dagenperjaar1,IF(RIGHT(A26,1)="D",VALUE(LEFT(A26,LEN(A26)-1)),"handmatig!"))))</f>
        <v>1.4999999999999999E-2</v>
      </c>
    </row>
    <row r="27" spans="1:11" x14ac:dyDescent="0.2">
      <c r="A27" s="2" t="s">
        <v>23</v>
      </c>
      <c r="B27" s="3">
        <f>IF(A27="2½W",2.5/dagenperweek1,IF(RIGHT(A27,1)="W",VALUE(LEFT(A27,LEN(A27)-1))/dagenperweek1,IF(RIGHT(A27,1)="J",VALUE(LEFT(A27,LEN(A27)-1))/dagenperjaar1,IF(RIGHT(A27,1)="D",VALUE(LEFT(A27,LEN(A27)-1)),"handmatig!"))))</f>
        <v>0.01</v>
      </c>
    </row>
    <row r="28" spans="1:11" x14ac:dyDescent="0.2">
      <c r="A28" s="6" t="s">
        <v>24</v>
      </c>
      <c r="B28" s="7">
        <f>IF(A28="2½W",2.5/dagenperweek1,IF(RIGHT(A28,1)="W",VALUE(LEFT(A28,LEN(A28)-1))/dagenperweek1,IF(RIGHT(A28,1)="J",VALUE(LEFT(A28,LEN(A28)-1))/dagenperjaar1,IF(RIGHT(A28,1)="D",VALUE(LEFT(A28,LEN(A28)-1)),"handmatig!"))))</f>
        <v>5.0000000000000001E-3</v>
      </c>
    </row>
  </sheetData>
  <sheetProtection algorithmName="SHA-512" hashValue="MgLssHZ+zelQ0yS/bnCPP8sNSt9r5XQDwSPbK+fQzY0n4zEFThpAwORsRPW4tNlv17owpfjARm3dwm3UJODxpg==" saltValue="Ec9BZYYNIdALTI+FhrkQtQ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7746-95A9-43CA-A560-04E72BC463BB}">
  <dimension ref="A1:E88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G.7: ",tabeltype," afroep incidenteel")</f>
        <v>Bijlage G.7: Invultabel afroep incidenteel</v>
      </c>
    </row>
    <row r="3" spans="1:5" ht="38.25" x14ac:dyDescent="0.2">
      <c r="A3" s="44" t="s">
        <v>797</v>
      </c>
      <c r="B3" s="44" t="s">
        <v>99</v>
      </c>
      <c r="C3" s="44" t="s">
        <v>102</v>
      </c>
      <c r="D3" s="44" t="s">
        <v>810</v>
      </c>
      <c r="E3" s="44" t="s">
        <v>802</v>
      </c>
    </row>
    <row r="4" spans="1:5" x14ac:dyDescent="0.2">
      <c r="A4" s="45"/>
      <c r="B4" s="46"/>
      <c r="C4" s="46"/>
      <c r="D4" s="46"/>
      <c r="E4" s="47"/>
    </row>
    <row r="5" spans="1:5" x14ac:dyDescent="0.2">
      <c r="A5" s="48" t="s">
        <v>104</v>
      </c>
      <c r="B5" s="49"/>
      <c r="C5" s="49"/>
      <c r="D5" s="49"/>
      <c r="E5" s="50"/>
    </row>
    <row r="6" spans="1:5" x14ac:dyDescent="0.2">
      <c r="A6" s="51" t="s">
        <v>811</v>
      </c>
      <c r="B6" s="51" t="s">
        <v>812</v>
      </c>
      <c r="C6" s="51" t="s">
        <v>813</v>
      </c>
      <c r="D6" s="51" t="s">
        <v>814</v>
      </c>
      <c r="E6" s="124"/>
    </row>
    <row r="7" spans="1:5" x14ac:dyDescent="0.2">
      <c r="A7" s="56" t="s">
        <v>815</v>
      </c>
      <c r="B7" s="56" t="s">
        <v>812</v>
      </c>
      <c r="C7" s="56" t="s">
        <v>813</v>
      </c>
      <c r="D7" s="56" t="s">
        <v>816</v>
      </c>
      <c r="E7" s="125"/>
    </row>
    <row r="8" spans="1:5" x14ac:dyDescent="0.2">
      <c r="A8" s="56" t="s">
        <v>817</v>
      </c>
      <c r="B8" s="56" t="s">
        <v>812</v>
      </c>
      <c r="C8" s="56" t="s">
        <v>813</v>
      </c>
      <c r="D8" s="56" t="s">
        <v>818</v>
      </c>
      <c r="E8" s="125"/>
    </row>
    <row r="9" spans="1:5" x14ac:dyDescent="0.2">
      <c r="A9" s="56" t="s">
        <v>819</v>
      </c>
      <c r="B9" s="56" t="s">
        <v>812</v>
      </c>
      <c r="C9" s="56" t="s">
        <v>813</v>
      </c>
      <c r="D9" s="56" t="s">
        <v>820</v>
      </c>
      <c r="E9" s="125"/>
    </row>
    <row r="10" spans="1:5" x14ac:dyDescent="0.2">
      <c r="A10" s="56" t="s">
        <v>821</v>
      </c>
      <c r="B10" s="56" t="s">
        <v>822</v>
      </c>
      <c r="C10" s="56" t="s">
        <v>813</v>
      </c>
      <c r="D10" s="56" t="s">
        <v>814</v>
      </c>
      <c r="E10" s="125"/>
    </row>
    <row r="11" spans="1:5" x14ac:dyDescent="0.2">
      <c r="A11" s="56" t="s">
        <v>823</v>
      </c>
      <c r="B11" s="56" t="s">
        <v>822</v>
      </c>
      <c r="C11" s="56" t="s">
        <v>813</v>
      </c>
      <c r="D11" s="56" t="s">
        <v>816</v>
      </c>
      <c r="E11" s="125"/>
    </row>
    <row r="12" spans="1:5" x14ac:dyDescent="0.2">
      <c r="A12" s="56" t="s">
        <v>824</v>
      </c>
      <c r="B12" s="56" t="s">
        <v>822</v>
      </c>
      <c r="C12" s="56" t="s">
        <v>813</v>
      </c>
      <c r="D12" s="56" t="s">
        <v>818</v>
      </c>
      <c r="E12" s="125"/>
    </row>
    <row r="13" spans="1:5" x14ac:dyDescent="0.2">
      <c r="A13" s="56" t="s">
        <v>825</v>
      </c>
      <c r="B13" s="56" t="s">
        <v>822</v>
      </c>
      <c r="C13" s="56" t="s">
        <v>813</v>
      </c>
      <c r="D13" s="56" t="s">
        <v>820</v>
      </c>
      <c r="E13" s="125"/>
    </row>
    <row r="14" spans="1:5" x14ac:dyDescent="0.2">
      <c r="A14" s="56" t="s">
        <v>826</v>
      </c>
      <c r="B14" s="56" t="s">
        <v>827</v>
      </c>
      <c r="C14" s="56" t="s">
        <v>813</v>
      </c>
      <c r="D14" s="56" t="s">
        <v>814</v>
      </c>
      <c r="E14" s="125"/>
    </row>
    <row r="15" spans="1:5" x14ac:dyDescent="0.2">
      <c r="A15" s="56" t="s">
        <v>828</v>
      </c>
      <c r="B15" s="56" t="s">
        <v>827</v>
      </c>
      <c r="C15" s="56" t="s">
        <v>813</v>
      </c>
      <c r="D15" s="56" t="s">
        <v>816</v>
      </c>
      <c r="E15" s="125"/>
    </row>
    <row r="16" spans="1:5" x14ac:dyDescent="0.2">
      <c r="A16" s="56" t="s">
        <v>829</v>
      </c>
      <c r="B16" s="56" t="s">
        <v>827</v>
      </c>
      <c r="C16" s="56" t="s">
        <v>813</v>
      </c>
      <c r="D16" s="56" t="s">
        <v>818</v>
      </c>
      <c r="E16" s="125"/>
    </row>
    <row r="17" spans="1:5" x14ac:dyDescent="0.2">
      <c r="A17" s="56" t="s">
        <v>830</v>
      </c>
      <c r="B17" s="56" t="s">
        <v>827</v>
      </c>
      <c r="C17" s="56" t="s">
        <v>813</v>
      </c>
      <c r="D17" s="56" t="s">
        <v>820</v>
      </c>
      <c r="E17" s="125"/>
    </row>
    <row r="18" spans="1:5" x14ac:dyDescent="0.2">
      <c r="A18" s="56" t="s">
        <v>831</v>
      </c>
      <c r="B18" s="56" t="s">
        <v>832</v>
      </c>
      <c r="C18" s="56" t="s">
        <v>833</v>
      </c>
      <c r="D18" s="56" t="s">
        <v>834</v>
      </c>
      <c r="E18" s="125"/>
    </row>
    <row r="19" spans="1:5" x14ac:dyDescent="0.2">
      <c r="A19" s="56" t="s">
        <v>835</v>
      </c>
      <c r="B19" s="56" t="s">
        <v>832</v>
      </c>
      <c r="C19" s="56" t="s">
        <v>833</v>
      </c>
      <c r="D19" s="56" t="s">
        <v>836</v>
      </c>
      <c r="E19" s="125"/>
    </row>
    <row r="20" spans="1:5" x14ac:dyDescent="0.2">
      <c r="A20" s="56" t="s">
        <v>837</v>
      </c>
      <c r="B20" s="56" t="s">
        <v>832</v>
      </c>
      <c r="C20" s="56" t="s">
        <v>833</v>
      </c>
      <c r="D20" s="56" t="s">
        <v>838</v>
      </c>
      <c r="E20" s="125"/>
    </row>
    <row r="21" spans="1:5" x14ac:dyDescent="0.2">
      <c r="A21" s="56" t="s">
        <v>839</v>
      </c>
      <c r="B21" s="56" t="s">
        <v>832</v>
      </c>
      <c r="C21" s="56" t="s">
        <v>833</v>
      </c>
      <c r="D21" s="56" t="s">
        <v>840</v>
      </c>
      <c r="E21" s="125"/>
    </row>
    <row r="22" spans="1:5" x14ac:dyDescent="0.2">
      <c r="A22" s="56" t="s">
        <v>841</v>
      </c>
      <c r="B22" s="56" t="s">
        <v>842</v>
      </c>
      <c r="C22" s="56" t="s">
        <v>833</v>
      </c>
      <c r="D22" s="56" t="s">
        <v>834</v>
      </c>
      <c r="E22" s="125"/>
    </row>
    <row r="23" spans="1:5" x14ac:dyDescent="0.2">
      <c r="A23" s="56" t="s">
        <v>843</v>
      </c>
      <c r="B23" s="56" t="s">
        <v>842</v>
      </c>
      <c r="C23" s="56" t="s">
        <v>833</v>
      </c>
      <c r="D23" s="56" t="s">
        <v>836</v>
      </c>
      <c r="E23" s="125"/>
    </row>
    <row r="24" spans="1:5" x14ac:dyDescent="0.2">
      <c r="A24" s="56" t="s">
        <v>844</v>
      </c>
      <c r="B24" s="56" t="s">
        <v>842</v>
      </c>
      <c r="C24" s="56" t="s">
        <v>833</v>
      </c>
      <c r="D24" s="56" t="s">
        <v>838</v>
      </c>
      <c r="E24" s="125"/>
    </row>
    <row r="25" spans="1:5" x14ac:dyDescent="0.2">
      <c r="A25" s="56" t="s">
        <v>845</v>
      </c>
      <c r="B25" s="56" t="s">
        <v>842</v>
      </c>
      <c r="C25" s="56" t="s">
        <v>833</v>
      </c>
      <c r="D25" s="56" t="s">
        <v>840</v>
      </c>
      <c r="E25" s="125"/>
    </row>
    <row r="26" spans="1:5" x14ac:dyDescent="0.2">
      <c r="A26" s="56" t="s">
        <v>846</v>
      </c>
      <c r="B26" s="56" t="s">
        <v>847</v>
      </c>
      <c r="C26" s="56" t="s">
        <v>833</v>
      </c>
      <c r="D26" s="56" t="s">
        <v>834</v>
      </c>
      <c r="E26" s="125"/>
    </row>
    <row r="27" spans="1:5" x14ac:dyDescent="0.2">
      <c r="A27" s="56" t="s">
        <v>848</v>
      </c>
      <c r="B27" s="56" t="s">
        <v>847</v>
      </c>
      <c r="C27" s="56" t="s">
        <v>833</v>
      </c>
      <c r="D27" s="56" t="s">
        <v>836</v>
      </c>
      <c r="E27" s="125"/>
    </row>
    <row r="28" spans="1:5" x14ac:dyDescent="0.2">
      <c r="A28" s="56" t="s">
        <v>849</v>
      </c>
      <c r="B28" s="56" t="s">
        <v>847</v>
      </c>
      <c r="C28" s="56" t="s">
        <v>833</v>
      </c>
      <c r="D28" s="56" t="s">
        <v>838</v>
      </c>
      <c r="E28" s="125"/>
    </row>
    <row r="29" spans="1:5" x14ac:dyDescent="0.2">
      <c r="A29" s="56" t="s">
        <v>850</v>
      </c>
      <c r="B29" s="56" t="s">
        <v>847</v>
      </c>
      <c r="C29" s="56" t="s">
        <v>833</v>
      </c>
      <c r="D29" s="56" t="s">
        <v>840</v>
      </c>
      <c r="E29" s="125"/>
    </row>
    <row r="30" spans="1:5" x14ac:dyDescent="0.2">
      <c r="A30" s="56" t="s">
        <v>851</v>
      </c>
      <c r="B30" s="56" t="s">
        <v>852</v>
      </c>
      <c r="C30" s="56" t="s">
        <v>833</v>
      </c>
      <c r="D30" s="56" t="s">
        <v>834</v>
      </c>
      <c r="E30" s="125"/>
    </row>
    <row r="31" spans="1:5" x14ac:dyDescent="0.2">
      <c r="A31" s="56" t="s">
        <v>853</v>
      </c>
      <c r="B31" s="56" t="s">
        <v>852</v>
      </c>
      <c r="C31" s="56" t="s">
        <v>833</v>
      </c>
      <c r="D31" s="56" t="s">
        <v>836</v>
      </c>
      <c r="E31" s="125"/>
    </row>
    <row r="32" spans="1:5" x14ac:dyDescent="0.2">
      <c r="A32" s="56" t="s">
        <v>854</v>
      </c>
      <c r="B32" s="56" t="s">
        <v>852</v>
      </c>
      <c r="C32" s="56" t="s">
        <v>833</v>
      </c>
      <c r="D32" s="56" t="s">
        <v>838</v>
      </c>
      <c r="E32" s="125"/>
    </row>
    <row r="33" spans="1:5" x14ac:dyDescent="0.2">
      <c r="A33" s="56" t="s">
        <v>855</v>
      </c>
      <c r="B33" s="56" t="s">
        <v>852</v>
      </c>
      <c r="C33" s="56" t="s">
        <v>833</v>
      </c>
      <c r="D33" s="56" t="s">
        <v>840</v>
      </c>
      <c r="E33" s="125"/>
    </row>
    <row r="34" spans="1:5" x14ac:dyDescent="0.2">
      <c r="A34" s="56" t="s">
        <v>856</v>
      </c>
      <c r="B34" s="56" t="s">
        <v>857</v>
      </c>
      <c r="C34" s="56" t="s">
        <v>833</v>
      </c>
      <c r="D34" s="56" t="s">
        <v>834</v>
      </c>
      <c r="E34" s="125"/>
    </row>
    <row r="35" spans="1:5" x14ac:dyDescent="0.2">
      <c r="A35" s="56" t="s">
        <v>858</v>
      </c>
      <c r="B35" s="56" t="s">
        <v>857</v>
      </c>
      <c r="C35" s="56" t="s">
        <v>833</v>
      </c>
      <c r="D35" s="56" t="s">
        <v>836</v>
      </c>
      <c r="E35" s="125"/>
    </row>
    <row r="36" spans="1:5" x14ac:dyDescent="0.2">
      <c r="A36" s="56" t="s">
        <v>859</v>
      </c>
      <c r="B36" s="56" t="s">
        <v>857</v>
      </c>
      <c r="C36" s="56" t="s">
        <v>833</v>
      </c>
      <c r="D36" s="56" t="s">
        <v>838</v>
      </c>
      <c r="E36" s="125"/>
    </row>
    <row r="37" spans="1:5" x14ac:dyDescent="0.2">
      <c r="A37" s="56" t="s">
        <v>860</v>
      </c>
      <c r="B37" s="56" t="s">
        <v>857</v>
      </c>
      <c r="C37" s="56" t="s">
        <v>833</v>
      </c>
      <c r="D37" s="56" t="s">
        <v>840</v>
      </c>
      <c r="E37" s="125"/>
    </row>
    <row r="38" spans="1:5" x14ac:dyDescent="0.2">
      <c r="A38" s="56" t="s">
        <v>861</v>
      </c>
      <c r="B38" s="56" t="s">
        <v>862</v>
      </c>
      <c r="C38" s="56" t="s">
        <v>833</v>
      </c>
      <c r="D38" s="56" t="s">
        <v>834</v>
      </c>
      <c r="E38" s="125"/>
    </row>
    <row r="39" spans="1:5" x14ac:dyDescent="0.2">
      <c r="A39" s="56" t="s">
        <v>863</v>
      </c>
      <c r="B39" s="56" t="s">
        <v>862</v>
      </c>
      <c r="C39" s="56" t="s">
        <v>833</v>
      </c>
      <c r="D39" s="56" t="s">
        <v>836</v>
      </c>
      <c r="E39" s="125"/>
    </row>
    <row r="40" spans="1:5" x14ac:dyDescent="0.2">
      <c r="A40" s="56" t="s">
        <v>864</v>
      </c>
      <c r="B40" s="56" t="s">
        <v>862</v>
      </c>
      <c r="C40" s="56" t="s">
        <v>833</v>
      </c>
      <c r="D40" s="56" t="s">
        <v>838</v>
      </c>
      <c r="E40" s="125"/>
    </row>
    <row r="41" spans="1:5" x14ac:dyDescent="0.2">
      <c r="A41" s="56" t="s">
        <v>865</v>
      </c>
      <c r="B41" s="56" t="s">
        <v>862</v>
      </c>
      <c r="C41" s="56" t="s">
        <v>833</v>
      </c>
      <c r="D41" s="56" t="s">
        <v>840</v>
      </c>
      <c r="E41" s="125"/>
    </row>
    <row r="42" spans="1:5" x14ac:dyDescent="0.2">
      <c r="A42" s="56" t="s">
        <v>866</v>
      </c>
      <c r="B42" s="56" t="s">
        <v>867</v>
      </c>
      <c r="C42" s="56" t="s">
        <v>833</v>
      </c>
      <c r="D42" s="56" t="s">
        <v>834</v>
      </c>
      <c r="E42" s="125"/>
    </row>
    <row r="43" spans="1:5" x14ac:dyDescent="0.2">
      <c r="A43" s="56" t="s">
        <v>868</v>
      </c>
      <c r="B43" s="56" t="s">
        <v>867</v>
      </c>
      <c r="C43" s="56" t="s">
        <v>833</v>
      </c>
      <c r="D43" s="56" t="s">
        <v>836</v>
      </c>
      <c r="E43" s="125"/>
    </row>
    <row r="44" spans="1:5" x14ac:dyDescent="0.2">
      <c r="A44" s="56" t="s">
        <v>869</v>
      </c>
      <c r="B44" s="56" t="s">
        <v>867</v>
      </c>
      <c r="C44" s="56" t="s">
        <v>833</v>
      </c>
      <c r="D44" s="56" t="s">
        <v>838</v>
      </c>
      <c r="E44" s="125"/>
    </row>
    <row r="45" spans="1:5" x14ac:dyDescent="0.2">
      <c r="A45" s="56" t="s">
        <v>870</v>
      </c>
      <c r="B45" s="56" t="s">
        <v>867</v>
      </c>
      <c r="C45" s="56" t="s">
        <v>833</v>
      </c>
      <c r="D45" s="56" t="s">
        <v>840</v>
      </c>
      <c r="E45" s="125"/>
    </row>
    <row r="46" spans="1:5" x14ac:dyDescent="0.2">
      <c r="A46" s="56" t="s">
        <v>871</v>
      </c>
      <c r="B46" s="56" t="s">
        <v>872</v>
      </c>
      <c r="C46" s="56" t="s">
        <v>833</v>
      </c>
      <c r="D46" s="56" t="s">
        <v>873</v>
      </c>
      <c r="E46" s="125"/>
    </row>
    <row r="47" spans="1:5" x14ac:dyDescent="0.2">
      <c r="A47" s="56" t="s">
        <v>874</v>
      </c>
      <c r="B47" s="56" t="s">
        <v>872</v>
      </c>
      <c r="C47" s="56" t="s">
        <v>833</v>
      </c>
      <c r="D47" s="56" t="s">
        <v>875</v>
      </c>
      <c r="E47" s="125"/>
    </row>
    <row r="48" spans="1:5" x14ac:dyDescent="0.2">
      <c r="A48" s="56" t="s">
        <v>876</v>
      </c>
      <c r="B48" s="56" t="s">
        <v>872</v>
      </c>
      <c r="C48" s="56" t="s">
        <v>833</v>
      </c>
      <c r="D48" s="56" t="s">
        <v>877</v>
      </c>
      <c r="E48" s="125"/>
    </row>
    <row r="49" spans="1:5" x14ac:dyDescent="0.2">
      <c r="A49" s="56" t="s">
        <v>878</v>
      </c>
      <c r="B49" s="56" t="s">
        <v>872</v>
      </c>
      <c r="C49" s="56" t="s">
        <v>833</v>
      </c>
      <c r="D49" s="56" t="s">
        <v>879</v>
      </c>
      <c r="E49" s="125"/>
    </row>
    <row r="50" spans="1:5" x14ac:dyDescent="0.2">
      <c r="A50" s="56" t="s">
        <v>880</v>
      </c>
      <c r="B50" s="56" t="s">
        <v>881</v>
      </c>
      <c r="C50" s="56" t="s">
        <v>833</v>
      </c>
      <c r="D50" s="56" t="s">
        <v>873</v>
      </c>
      <c r="E50" s="125"/>
    </row>
    <row r="51" spans="1:5" x14ac:dyDescent="0.2">
      <c r="A51" s="56" t="s">
        <v>882</v>
      </c>
      <c r="B51" s="56" t="s">
        <v>881</v>
      </c>
      <c r="C51" s="56" t="s">
        <v>833</v>
      </c>
      <c r="D51" s="56" t="s">
        <v>875</v>
      </c>
      <c r="E51" s="125"/>
    </row>
    <row r="52" spans="1:5" x14ac:dyDescent="0.2">
      <c r="A52" s="56" t="s">
        <v>883</v>
      </c>
      <c r="B52" s="56" t="s">
        <v>881</v>
      </c>
      <c r="C52" s="56" t="s">
        <v>833</v>
      </c>
      <c r="D52" s="56" t="s">
        <v>877</v>
      </c>
      <c r="E52" s="125"/>
    </row>
    <row r="53" spans="1:5" x14ac:dyDescent="0.2">
      <c r="A53" s="56" t="s">
        <v>884</v>
      </c>
      <c r="B53" s="56" t="s">
        <v>881</v>
      </c>
      <c r="C53" s="56" t="s">
        <v>833</v>
      </c>
      <c r="D53" s="56" t="s">
        <v>879</v>
      </c>
      <c r="E53" s="125"/>
    </row>
    <row r="54" spans="1:5" x14ac:dyDescent="0.2">
      <c r="A54" s="56" t="s">
        <v>885</v>
      </c>
      <c r="B54" s="56" t="s">
        <v>886</v>
      </c>
      <c r="C54" s="56" t="s">
        <v>833</v>
      </c>
      <c r="D54" s="56" t="s">
        <v>873</v>
      </c>
      <c r="E54" s="125"/>
    </row>
    <row r="55" spans="1:5" x14ac:dyDescent="0.2">
      <c r="A55" s="56" t="s">
        <v>887</v>
      </c>
      <c r="B55" s="56" t="s">
        <v>886</v>
      </c>
      <c r="C55" s="56" t="s">
        <v>833</v>
      </c>
      <c r="D55" s="56" t="s">
        <v>875</v>
      </c>
      <c r="E55" s="125"/>
    </row>
    <row r="56" spans="1:5" x14ac:dyDescent="0.2">
      <c r="A56" s="56" t="s">
        <v>888</v>
      </c>
      <c r="B56" s="56" t="s">
        <v>886</v>
      </c>
      <c r="C56" s="56" t="s">
        <v>833</v>
      </c>
      <c r="D56" s="56" t="s">
        <v>877</v>
      </c>
      <c r="E56" s="125"/>
    </row>
    <row r="57" spans="1:5" x14ac:dyDescent="0.2">
      <c r="A57" s="56" t="s">
        <v>889</v>
      </c>
      <c r="B57" s="56" t="s">
        <v>886</v>
      </c>
      <c r="C57" s="56" t="s">
        <v>833</v>
      </c>
      <c r="D57" s="56" t="s">
        <v>879</v>
      </c>
      <c r="E57" s="125"/>
    </row>
    <row r="58" spans="1:5" x14ac:dyDescent="0.2">
      <c r="A58" s="56" t="s">
        <v>890</v>
      </c>
      <c r="B58" s="56" t="s">
        <v>891</v>
      </c>
      <c r="C58" s="56" t="s">
        <v>833</v>
      </c>
      <c r="D58" s="56" t="s">
        <v>873</v>
      </c>
      <c r="E58" s="125"/>
    </row>
    <row r="59" spans="1:5" x14ac:dyDescent="0.2">
      <c r="A59" s="56" t="s">
        <v>892</v>
      </c>
      <c r="B59" s="56" t="s">
        <v>891</v>
      </c>
      <c r="C59" s="56" t="s">
        <v>833</v>
      </c>
      <c r="D59" s="56" t="s">
        <v>875</v>
      </c>
      <c r="E59" s="125"/>
    </row>
    <row r="60" spans="1:5" x14ac:dyDescent="0.2">
      <c r="A60" s="56" t="s">
        <v>893</v>
      </c>
      <c r="B60" s="56" t="s">
        <v>891</v>
      </c>
      <c r="C60" s="56" t="s">
        <v>833</v>
      </c>
      <c r="D60" s="56" t="s">
        <v>877</v>
      </c>
      <c r="E60" s="125"/>
    </row>
    <row r="61" spans="1:5" x14ac:dyDescent="0.2">
      <c r="A61" s="56" t="s">
        <v>894</v>
      </c>
      <c r="B61" s="56" t="s">
        <v>891</v>
      </c>
      <c r="C61" s="56" t="s">
        <v>833</v>
      </c>
      <c r="D61" s="56" t="s">
        <v>879</v>
      </c>
      <c r="E61" s="125"/>
    </row>
    <row r="62" spans="1:5" x14ac:dyDescent="0.2">
      <c r="A62" s="56" t="s">
        <v>895</v>
      </c>
      <c r="B62" s="56" t="s">
        <v>896</v>
      </c>
      <c r="C62" s="56" t="s">
        <v>833</v>
      </c>
      <c r="D62" s="56" t="s">
        <v>873</v>
      </c>
      <c r="E62" s="125"/>
    </row>
    <row r="63" spans="1:5" x14ac:dyDescent="0.2">
      <c r="A63" s="56" t="s">
        <v>897</v>
      </c>
      <c r="B63" s="56" t="s">
        <v>896</v>
      </c>
      <c r="C63" s="56" t="s">
        <v>833</v>
      </c>
      <c r="D63" s="56" t="s">
        <v>875</v>
      </c>
      <c r="E63" s="125"/>
    </row>
    <row r="64" spans="1:5" x14ac:dyDescent="0.2">
      <c r="A64" s="56" t="s">
        <v>898</v>
      </c>
      <c r="B64" s="56" t="s">
        <v>896</v>
      </c>
      <c r="C64" s="56" t="s">
        <v>833</v>
      </c>
      <c r="D64" s="56" t="s">
        <v>877</v>
      </c>
      <c r="E64" s="125"/>
    </row>
    <row r="65" spans="1:5" x14ac:dyDescent="0.2">
      <c r="A65" s="56" t="s">
        <v>899</v>
      </c>
      <c r="B65" s="56" t="s">
        <v>896</v>
      </c>
      <c r="C65" s="56" t="s">
        <v>833</v>
      </c>
      <c r="D65" s="56" t="s">
        <v>879</v>
      </c>
      <c r="E65" s="125"/>
    </row>
    <row r="66" spans="1:5" x14ac:dyDescent="0.2">
      <c r="A66" s="56" t="s">
        <v>900</v>
      </c>
      <c r="B66" s="56" t="s">
        <v>901</v>
      </c>
      <c r="C66" s="56" t="s">
        <v>833</v>
      </c>
      <c r="D66" s="56" t="s">
        <v>873</v>
      </c>
      <c r="E66" s="125"/>
    </row>
    <row r="67" spans="1:5" x14ac:dyDescent="0.2">
      <c r="A67" s="56" t="s">
        <v>902</v>
      </c>
      <c r="B67" s="56" t="s">
        <v>901</v>
      </c>
      <c r="C67" s="56" t="s">
        <v>833</v>
      </c>
      <c r="D67" s="56" t="s">
        <v>875</v>
      </c>
      <c r="E67" s="125"/>
    </row>
    <row r="68" spans="1:5" x14ac:dyDescent="0.2">
      <c r="A68" s="56" t="s">
        <v>903</v>
      </c>
      <c r="B68" s="56" t="s">
        <v>901</v>
      </c>
      <c r="C68" s="56" t="s">
        <v>833</v>
      </c>
      <c r="D68" s="56" t="s">
        <v>877</v>
      </c>
      <c r="E68" s="125"/>
    </row>
    <row r="69" spans="1:5" x14ac:dyDescent="0.2">
      <c r="A69" s="56" t="s">
        <v>904</v>
      </c>
      <c r="B69" s="56" t="s">
        <v>901</v>
      </c>
      <c r="C69" s="56" t="s">
        <v>833</v>
      </c>
      <c r="D69" s="56" t="s">
        <v>879</v>
      </c>
      <c r="E69" s="125"/>
    </row>
    <row r="70" spans="1:5" x14ac:dyDescent="0.2">
      <c r="A70" s="56" t="s">
        <v>905</v>
      </c>
      <c r="B70" s="56" t="s">
        <v>906</v>
      </c>
      <c r="C70" s="56" t="s">
        <v>833</v>
      </c>
      <c r="D70" s="56" t="s">
        <v>873</v>
      </c>
      <c r="E70" s="125"/>
    </row>
    <row r="71" spans="1:5" x14ac:dyDescent="0.2">
      <c r="A71" s="56" t="s">
        <v>907</v>
      </c>
      <c r="B71" s="56" t="s">
        <v>906</v>
      </c>
      <c r="C71" s="56" t="s">
        <v>833</v>
      </c>
      <c r="D71" s="56" t="s">
        <v>875</v>
      </c>
      <c r="E71" s="125"/>
    </row>
    <row r="72" spans="1:5" x14ac:dyDescent="0.2">
      <c r="A72" s="56" t="s">
        <v>908</v>
      </c>
      <c r="B72" s="56" t="s">
        <v>906</v>
      </c>
      <c r="C72" s="56" t="s">
        <v>833</v>
      </c>
      <c r="D72" s="56" t="s">
        <v>877</v>
      </c>
      <c r="E72" s="125"/>
    </row>
    <row r="73" spans="1:5" x14ac:dyDescent="0.2">
      <c r="A73" s="56" t="s">
        <v>909</v>
      </c>
      <c r="B73" s="56" t="s">
        <v>906</v>
      </c>
      <c r="C73" s="56" t="s">
        <v>833</v>
      </c>
      <c r="D73" s="56" t="s">
        <v>879</v>
      </c>
      <c r="E73" s="125"/>
    </row>
    <row r="74" spans="1:5" x14ac:dyDescent="0.2">
      <c r="A74" s="56" t="s">
        <v>910</v>
      </c>
      <c r="B74" s="56" t="s">
        <v>911</v>
      </c>
      <c r="C74" s="56" t="s">
        <v>833</v>
      </c>
      <c r="D74" s="56" t="s">
        <v>873</v>
      </c>
      <c r="E74" s="125"/>
    </row>
    <row r="75" spans="1:5" x14ac:dyDescent="0.2">
      <c r="A75" s="56" t="s">
        <v>912</v>
      </c>
      <c r="B75" s="56" t="s">
        <v>911</v>
      </c>
      <c r="C75" s="56" t="s">
        <v>833</v>
      </c>
      <c r="D75" s="56" t="s">
        <v>875</v>
      </c>
      <c r="E75" s="125"/>
    </row>
    <row r="76" spans="1:5" x14ac:dyDescent="0.2">
      <c r="A76" s="56" t="s">
        <v>913</v>
      </c>
      <c r="B76" s="56" t="s">
        <v>911</v>
      </c>
      <c r="C76" s="56" t="s">
        <v>833</v>
      </c>
      <c r="D76" s="56" t="s">
        <v>877</v>
      </c>
      <c r="E76" s="125"/>
    </row>
    <row r="77" spans="1:5" x14ac:dyDescent="0.2">
      <c r="A77" s="56" t="s">
        <v>914</v>
      </c>
      <c r="B77" s="56" t="s">
        <v>911</v>
      </c>
      <c r="C77" s="56" t="s">
        <v>833</v>
      </c>
      <c r="D77" s="56" t="s">
        <v>879</v>
      </c>
      <c r="E77" s="125"/>
    </row>
    <row r="78" spans="1:5" x14ac:dyDescent="0.2">
      <c r="A78" s="56" t="s">
        <v>915</v>
      </c>
      <c r="B78" s="56" t="s">
        <v>916</v>
      </c>
      <c r="C78" s="56" t="s">
        <v>833</v>
      </c>
      <c r="D78" s="56" t="s">
        <v>873</v>
      </c>
      <c r="E78" s="125"/>
    </row>
    <row r="79" spans="1:5" x14ac:dyDescent="0.2">
      <c r="A79" s="56" t="s">
        <v>917</v>
      </c>
      <c r="B79" s="56" t="s">
        <v>916</v>
      </c>
      <c r="C79" s="56" t="s">
        <v>833</v>
      </c>
      <c r="D79" s="56" t="s">
        <v>875</v>
      </c>
      <c r="E79" s="125"/>
    </row>
    <row r="80" spans="1:5" x14ac:dyDescent="0.2">
      <c r="A80" s="56" t="s">
        <v>918</v>
      </c>
      <c r="B80" s="56" t="s">
        <v>916</v>
      </c>
      <c r="C80" s="56" t="s">
        <v>833</v>
      </c>
      <c r="D80" s="56" t="s">
        <v>877</v>
      </c>
      <c r="E80" s="125"/>
    </row>
    <row r="81" spans="1:5" x14ac:dyDescent="0.2">
      <c r="A81" s="56" t="s">
        <v>919</v>
      </c>
      <c r="B81" s="56" t="s">
        <v>916</v>
      </c>
      <c r="C81" s="56" t="s">
        <v>833</v>
      </c>
      <c r="D81" s="56" t="s">
        <v>879</v>
      </c>
      <c r="E81" s="125"/>
    </row>
    <row r="82" spans="1:5" x14ac:dyDescent="0.2">
      <c r="A82" s="56" t="s">
        <v>920</v>
      </c>
      <c r="B82" s="56" t="s">
        <v>921</v>
      </c>
      <c r="C82" s="56" t="s">
        <v>813</v>
      </c>
      <c r="D82" s="56" t="s">
        <v>814</v>
      </c>
      <c r="E82" s="125"/>
    </row>
    <row r="83" spans="1:5" x14ac:dyDescent="0.2">
      <c r="A83" s="56" t="s">
        <v>922</v>
      </c>
      <c r="B83" s="56" t="s">
        <v>921</v>
      </c>
      <c r="C83" s="56" t="s">
        <v>813</v>
      </c>
      <c r="D83" s="56" t="s">
        <v>816</v>
      </c>
      <c r="E83" s="125"/>
    </row>
    <row r="84" spans="1:5" x14ac:dyDescent="0.2">
      <c r="A84" s="56" t="s">
        <v>923</v>
      </c>
      <c r="B84" s="56" t="s">
        <v>921</v>
      </c>
      <c r="C84" s="56" t="s">
        <v>813</v>
      </c>
      <c r="D84" s="56" t="s">
        <v>818</v>
      </c>
      <c r="E84" s="125"/>
    </row>
    <row r="85" spans="1:5" x14ac:dyDescent="0.2">
      <c r="A85" s="61" t="s">
        <v>924</v>
      </c>
      <c r="B85" s="61" t="s">
        <v>921</v>
      </c>
      <c r="C85" s="61" t="s">
        <v>813</v>
      </c>
      <c r="D85" s="61" t="s">
        <v>820</v>
      </c>
      <c r="E85" s="126"/>
    </row>
    <row r="86" spans="1:5" x14ac:dyDescent="0.2">
      <c r="A86" s="75" t="s">
        <v>231</v>
      </c>
      <c r="B86" s="76"/>
      <c r="C86" s="76"/>
      <c r="D86" s="76"/>
      <c r="E86" s="127"/>
    </row>
    <row r="88" spans="1:5" x14ac:dyDescent="0.2">
      <c r="A88" s="75" t="s">
        <v>925</v>
      </c>
      <c r="B88" s="76"/>
      <c r="C88" s="76"/>
      <c r="D88" s="76"/>
      <c r="E88" s="127"/>
    </row>
  </sheetData>
  <sheetProtection algorithmName="SHA-512" hashValue="m508uxIaG7KQULgF4Ng89qPe3DS7FYKGkK6OcdMyFLKmucIJPTlVOKgQTaeXBZccrd+E0BV1tWi11bm0RR6R0A==" saltValue="4xWdndl01QBvc1A84rP9pQ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3E5F-68D8-4964-860A-8A85779B7F97}">
  <dimension ref="A1:L1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G.8: ",tabeltype," regiewerk")</f>
        <v>Bijlage G.8: Invultabel regiewerk</v>
      </c>
    </row>
    <row r="3" spans="1:12" ht="38.25" x14ac:dyDescent="0.2">
      <c r="A3" s="44" t="s">
        <v>797</v>
      </c>
      <c r="B3" s="44" t="s">
        <v>7</v>
      </c>
      <c r="C3" s="44" t="s">
        <v>798</v>
      </c>
      <c r="D3" s="44" t="s">
        <v>99</v>
      </c>
      <c r="E3" s="44" t="s">
        <v>102</v>
      </c>
      <c r="F3" s="44" t="s">
        <v>799</v>
      </c>
      <c r="G3" s="44" t="s">
        <v>800</v>
      </c>
      <c r="H3" s="44" t="s">
        <v>801</v>
      </c>
      <c r="I3" s="44" t="s">
        <v>802</v>
      </c>
      <c r="J3" s="44" t="s">
        <v>803</v>
      </c>
      <c r="K3" s="44" t="s">
        <v>189</v>
      </c>
      <c r="L3" s="44" t="s">
        <v>787</v>
      </c>
    </row>
    <row r="4" spans="1:12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2">
      <c r="A5" s="48" t="s">
        <v>104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2">
      <c r="A6" s="51" t="s">
        <v>926</v>
      </c>
      <c r="B6" s="51" t="s">
        <v>19</v>
      </c>
      <c r="C6" s="52">
        <f>IF(ISBLANK(B6),0,IF(ISERROR(VALUE(B6)),VLOOKUP(B6,dagsoorttabel1,2,FALSE)*dagenperjaar1,VALUE(B6)))</f>
        <v>10</v>
      </c>
      <c r="D6" s="51" t="s">
        <v>927</v>
      </c>
      <c r="E6" s="51" t="s">
        <v>808</v>
      </c>
      <c r="F6" s="117">
        <v>20</v>
      </c>
      <c r="G6" s="118">
        <f>Tariefopbouw3</f>
        <v>0</v>
      </c>
      <c r="H6" s="128"/>
      <c r="I6" s="118">
        <f>G6</f>
        <v>0</v>
      </c>
      <c r="J6" s="55">
        <f>IF(ISBLANK(F6),0,F6)*ROUND(I6,2)</f>
        <v>0</v>
      </c>
      <c r="K6" s="55">
        <f>C6*J6</f>
        <v>0</v>
      </c>
      <c r="L6" s="55">
        <f>K6/12</f>
        <v>0</v>
      </c>
    </row>
    <row r="7" spans="1:12" x14ac:dyDescent="0.2">
      <c r="A7" s="61" t="s">
        <v>928</v>
      </c>
      <c r="B7" s="61" t="s">
        <v>19</v>
      </c>
      <c r="C7" s="62">
        <f>IF(ISBLANK(B7),0,IF(ISERROR(VALUE(B7)),VLOOKUP(B7,dagsoorttabel1,2,FALSE)*dagenperjaar1,VALUE(B7)))</f>
        <v>10</v>
      </c>
      <c r="D7" s="61" t="s">
        <v>929</v>
      </c>
      <c r="E7" s="61" t="s">
        <v>808</v>
      </c>
      <c r="F7" s="120">
        <v>4</v>
      </c>
      <c r="G7" s="121">
        <f>Tariefopbouw4</f>
        <v>0</v>
      </c>
      <c r="H7" s="122"/>
      <c r="I7" s="121">
        <f>G7</f>
        <v>0</v>
      </c>
      <c r="J7" s="65">
        <f>IF(ISBLANK(F7),0,F7)*ROUND(I7,2)</f>
        <v>0</v>
      </c>
      <c r="K7" s="65">
        <f>C7*J7</f>
        <v>0</v>
      </c>
      <c r="L7" s="65">
        <f>K7/12</f>
        <v>0</v>
      </c>
    </row>
    <row r="8" spans="1:12" x14ac:dyDescent="0.2">
      <c r="A8" s="75" t="s">
        <v>231</v>
      </c>
      <c r="B8" s="76"/>
      <c r="C8" s="76"/>
      <c r="D8" s="76"/>
      <c r="E8" s="76"/>
      <c r="F8" s="76"/>
      <c r="G8" s="76"/>
      <c r="H8" s="76"/>
      <c r="I8" s="76"/>
      <c r="J8" s="76"/>
      <c r="K8" s="78">
        <f>SUM(K6:K7)</f>
        <v>0</v>
      </c>
      <c r="L8" s="123">
        <f>K8/12</f>
        <v>0</v>
      </c>
    </row>
    <row r="10" spans="1:12" x14ac:dyDescent="0.2">
      <c r="A10" s="75" t="s">
        <v>930</v>
      </c>
      <c r="B10" s="76"/>
      <c r="C10" s="76"/>
      <c r="D10" s="76"/>
      <c r="E10" s="76"/>
      <c r="F10" s="76"/>
      <c r="G10" s="76"/>
      <c r="H10" s="76"/>
      <c r="I10" s="76"/>
      <c r="J10" s="76"/>
      <c r="K10" s="78">
        <f>prijsjaarregie1</f>
        <v>0</v>
      </c>
      <c r="L10" s="123">
        <f>K10/12</f>
        <v>0</v>
      </c>
    </row>
  </sheetData>
  <sheetProtection algorithmName="SHA-512" hashValue="6L/n3CanR0ha4V26S1kKG2SrCcQwrHytjfyy1ddAuU8b3ONmmcHjLxe3ySfubRMjLtT3/LFK8gn7iAdZDQpTRg==" saltValue="ATQxew0ZPF6b/ck+w+2KAw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2B64-611B-4319-BF18-D7C096C7F266}">
  <dimension ref="A1:L17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G.9: ",tabeltype," glas")</f>
        <v>Bijlage G.9: Invultabel glas</v>
      </c>
    </row>
    <row r="3" spans="1:12" ht="38.25" x14ac:dyDescent="0.2">
      <c r="A3" s="44" t="s">
        <v>797</v>
      </c>
      <c r="B3" s="44" t="s">
        <v>7</v>
      </c>
      <c r="C3" s="44" t="s">
        <v>798</v>
      </c>
      <c r="D3" s="44" t="s">
        <v>99</v>
      </c>
      <c r="E3" s="44" t="s">
        <v>102</v>
      </c>
      <c r="F3" s="44" t="s">
        <v>799</v>
      </c>
      <c r="G3" s="44" t="s">
        <v>800</v>
      </c>
      <c r="H3" s="44" t="s">
        <v>801</v>
      </c>
      <c r="I3" s="44" t="s">
        <v>802</v>
      </c>
      <c r="J3" s="44" t="s">
        <v>803</v>
      </c>
      <c r="K3" s="44" t="s">
        <v>189</v>
      </c>
      <c r="L3" s="44" t="s">
        <v>787</v>
      </c>
    </row>
    <row r="4" spans="1:12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2">
      <c r="A5" s="48" t="s">
        <v>104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2">
      <c r="A6" s="51" t="s">
        <v>931</v>
      </c>
      <c r="B6" s="51" t="s">
        <v>23</v>
      </c>
      <c r="C6" s="52">
        <f>IF(ISBLANK(B6),0,IF(ISERROR(VALUE(B6)),VLOOKUP(B6,dagsoorttabel1,2,FALSE)*dagenperjaar1,VALUE(B6)))</f>
        <v>2</v>
      </c>
      <c r="D6" s="51" t="s">
        <v>932</v>
      </c>
      <c r="E6" s="51" t="s">
        <v>833</v>
      </c>
      <c r="F6" s="117">
        <v>6305.38</v>
      </c>
      <c r="G6" s="118">
        <f>Tariefopbouw2</f>
        <v>0</v>
      </c>
      <c r="H6" s="128"/>
      <c r="I6" s="124"/>
      <c r="J6" s="55">
        <f>IF(ISBLANK(F6),0,F6)*ROUND(I6,2)</f>
        <v>0</v>
      </c>
      <c r="K6" s="55">
        <f>C6*J6</f>
        <v>0</v>
      </c>
      <c r="L6" s="55">
        <f>K6/12</f>
        <v>0</v>
      </c>
    </row>
    <row r="7" spans="1:12" x14ac:dyDescent="0.2">
      <c r="A7" s="56" t="s">
        <v>933</v>
      </c>
      <c r="B7" s="56" t="s">
        <v>23</v>
      </c>
      <c r="C7" s="57">
        <f>IF(ISBLANK(B7),0,IF(ISERROR(VALUE(B7)),VLOOKUP(B7,dagsoorttabel1,2,FALSE)*dagenperjaar1,VALUE(B7)))</f>
        <v>2</v>
      </c>
      <c r="D7" s="56" t="s">
        <v>934</v>
      </c>
      <c r="E7" s="56" t="s">
        <v>833</v>
      </c>
      <c r="F7" s="129">
        <v>6305.38</v>
      </c>
      <c r="G7" s="130">
        <f>Tariefopbouw2</f>
        <v>0</v>
      </c>
      <c r="H7" s="131"/>
      <c r="I7" s="125"/>
      <c r="J7" s="60">
        <f>IF(ISBLANK(F7),0,F7)*ROUND(I7,2)</f>
        <v>0</v>
      </c>
      <c r="K7" s="60">
        <f>C7*J7</f>
        <v>0</v>
      </c>
      <c r="L7" s="60">
        <f>K7/12</f>
        <v>0</v>
      </c>
    </row>
    <row r="8" spans="1:12" x14ac:dyDescent="0.2">
      <c r="A8" s="56" t="s">
        <v>935</v>
      </c>
      <c r="B8" s="56" t="s">
        <v>23</v>
      </c>
      <c r="C8" s="57">
        <f>IF(ISBLANK(B8),0,IF(ISERROR(VALUE(B8)),VLOOKUP(B8,dagsoorttabel1,2,FALSE)*dagenperjaar1,VALUE(B8)))</f>
        <v>2</v>
      </c>
      <c r="D8" s="56" t="s">
        <v>936</v>
      </c>
      <c r="E8" s="56" t="s">
        <v>833</v>
      </c>
      <c r="F8" s="129">
        <v>3921.5899999999997</v>
      </c>
      <c r="G8" s="130">
        <f>Tariefopbouw2</f>
        <v>0</v>
      </c>
      <c r="H8" s="131"/>
      <c r="I8" s="125"/>
      <c r="J8" s="60">
        <f>IF(ISBLANK(F8),0,F8)*ROUND(I8,2)</f>
        <v>0</v>
      </c>
      <c r="K8" s="60">
        <f>C8*J8</f>
        <v>0</v>
      </c>
      <c r="L8" s="60">
        <f>K8/12</f>
        <v>0</v>
      </c>
    </row>
    <row r="9" spans="1:12" x14ac:dyDescent="0.2">
      <c r="A9" s="56" t="s">
        <v>937</v>
      </c>
      <c r="B9" s="56" t="s">
        <v>23</v>
      </c>
      <c r="C9" s="57">
        <f>IF(ISBLANK(B9),0,IF(ISERROR(VALUE(B9)),VLOOKUP(B9,dagsoorttabel1,2,FALSE)*dagenperjaar1,VALUE(B9)))</f>
        <v>2</v>
      </c>
      <c r="D9" s="56" t="s">
        <v>938</v>
      </c>
      <c r="E9" s="56" t="s">
        <v>939</v>
      </c>
      <c r="F9" s="129">
        <v>1</v>
      </c>
      <c r="G9" s="130">
        <f>Tariefopbouw2</f>
        <v>0</v>
      </c>
      <c r="H9" s="131"/>
      <c r="I9" s="125"/>
      <c r="J9" s="60">
        <f>IF(ISBLANK(F9),0,F9)*ROUND(I9,2)</f>
        <v>0</v>
      </c>
      <c r="K9" s="60">
        <f>C9*J9</f>
        <v>0</v>
      </c>
      <c r="L9" s="60">
        <f>K9/12</f>
        <v>0</v>
      </c>
    </row>
    <row r="10" spans="1:12" x14ac:dyDescent="0.2">
      <c r="A10" s="56" t="s">
        <v>940</v>
      </c>
      <c r="B10" s="56" t="s">
        <v>23</v>
      </c>
      <c r="C10" s="57">
        <f>IF(ISBLANK(B10),0,IF(ISERROR(VALUE(B10)),VLOOKUP(B10,dagsoorttabel1,2,FALSE)*dagenperjaar1,VALUE(B10)))</f>
        <v>2</v>
      </c>
      <c r="D10" s="56" t="s">
        <v>941</v>
      </c>
      <c r="E10" s="56" t="s">
        <v>939</v>
      </c>
      <c r="F10" s="129">
        <v>1</v>
      </c>
      <c r="G10" s="130">
        <f>Tariefopbouw2</f>
        <v>0</v>
      </c>
      <c r="H10" s="131"/>
      <c r="I10" s="125"/>
      <c r="J10" s="60">
        <f>IF(ISBLANK(F10),0,F10)*ROUND(I10,2)</f>
        <v>0</v>
      </c>
      <c r="K10" s="60">
        <f>C10*J10</f>
        <v>0</v>
      </c>
      <c r="L10" s="60">
        <f>K10/12</f>
        <v>0</v>
      </c>
    </row>
    <row r="11" spans="1:12" x14ac:dyDescent="0.2">
      <c r="A11" s="56" t="s">
        <v>942</v>
      </c>
      <c r="B11" s="56" t="s">
        <v>23</v>
      </c>
      <c r="C11" s="57">
        <f>IF(ISBLANK(B11),0,IF(ISERROR(VALUE(B11)),VLOOKUP(B11,dagsoorttabel1,2,FALSE)*dagenperjaar1,VALUE(B11)))</f>
        <v>2</v>
      </c>
      <c r="D11" s="56" t="s">
        <v>943</v>
      </c>
      <c r="E11" s="56" t="s">
        <v>939</v>
      </c>
      <c r="F11" s="129">
        <v>1</v>
      </c>
      <c r="G11" s="130">
        <f>Tariefopbouw2</f>
        <v>0</v>
      </c>
      <c r="H11" s="131"/>
      <c r="I11" s="125"/>
      <c r="J11" s="60">
        <f>IF(ISBLANK(F11),0,F11)*ROUND(I11,2)</f>
        <v>0</v>
      </c>
      <c r="K11" s="60">
        <f>C11*J11</f>
        <v>0</v>
      </c>
      <c r="L11" s="60">
        <f>K11/12</f>
        <v>0</v>
      </c>
    </row>
    <row r="12" spans="1:12" x14ac:dyDescent="0.2">
      <c r="A12" s="56" t="s">
        <v>944</v>
      </c>
      <c r="B12" s="56" t="s">
        <v>23</v>
      </c>
      <c r="C12" s="57">
        <f>IF(ISBLANK(B12),0,IF(ISERROR(VALUE(B12)),VLOOKUP(B12,dagsoorttabel1,2,FALSE)*dagenperjaar1,VALUE(B12)))</f>
        <v>2</v>
      </c>
      <c r="D12" s="56" t="s">
        <v>945</v>
      </c>
      <c r="E12" s="56" t="s">
        <v>939</v>
      </c>
      <c r="F12" s="129">
        <v>1</v>
      </c>
      <c r="G12" s="130">
        <f>Tariefopbouw2</f>
        <v>0</v>
      </c>
      <c r="H12" s="131"/>
      <c r="I12" s="125"/>
      <c r="J12" s="60">
        <f>IF(ISBLANK(F12),0,F12)*ROUND(I12,2)</f>
        <v>0</v>
      </c>
      <c r="K12" s="60">
        <f>C12*J12</f>
        <v>0</v>
      </c>
      <c r="L12" s="60">
        <f>K12/12</f>
        <v>0</v>
      </c>
    </row>
    <row r="13" spans="1:12" x14ac:dyDescent="0.2">
      <c r="A13" s="56" t="s">
        <v>946</v>
      </c>
      <c r="B13" s="56" t="s">
        <v>23</v>
      </c>
      <c r="C13" s="57">
        <f>IF(ISBLANK(B13),0,IF(ISERROR(VALUE(B13)),VLOOKUP(B13,dagsoorttabel1,2,FALSE)*dagenperjaar1,VALUE(B13)))</f>
        <v>2</v>
      </c>
      <c r="D13" s="56" t="s">
        <v>947</v>
      </c>
      <c r="E13" s="56" t="s">
        <v>939</v>
      </c>
      <c r="F13" s="129">
        <v>1</v>
      </c>
      <c r="G13" s="130">
        <f>Tariefopbouw2</f>
        <v>0</v>
      </c>
      <c r="H13" s="131"/>
      <c r="I13" s="125"/>
      <c r="J13" s="60">
        <f>IF(ISBLANK(F13),0,F13)*ROUND(I13,2)</f>
        <v>0</v>
      </c>
      <c r="K13" s="60">
        <f>C13*J13</f>
        <v>0</v>
      </c>
      <c r="L13" s="60">
        <f>K13/12</f>
        <v>0</v>
      </c>
    </row>
    <row r="14" spans="1:12" x14ac:dyDescent="0.2">
      <c r="A14" s="61" t="s">
        <v>948</v>
      </c>
      <c r="B14" s="61" t="s">
        <v>23</v>
      </c>
      <c r="C14" s="62">
        <f>IF(ISBLANK(B14),0,IF(ISERROR(VALUE(B14)),VLOOKUP(B14,dagsoorttabel1,2,FALSE)*dagenperjaar1,VALUE(B14)))</f>
        <v>2</v>
      </c>
      <c r="D14" s="61" t="s">
        <v>949</v>
      </c>
      <c r="E14" s="61" t="s">
        <v>939</v>
      </c>
      <c r="F14" s="120">
        <v>1</v>
      </c>
      <c r="G14" s="121">
        <f>Tariefopbouw2</f>
        <v>0</v>
      </c>
      <c r="H14" s="122"/>
      <c r="I14" s="126"/>
      <c r="J14" s="65">
        <f>IF(ISBLANK(F14),0,F14)*ROUND(I14,2)</f>
        <v>0</v>
      </c>
      <c r="K14" s="65">
        <f>C14*J14</f>
        <v>0</v>
      </c>
      <c r="L14" s="65">
        <f>K14/12</f>
        <v>0</v>
      </c>
    </row>
    <row r="15" spans="1:12" x14ac:dyDescent="0.2">
      <c r="A15" s="75" t="s">
        <v>231</v>
      </c>
      <c r="B15" s="76"/>
      <c r="C15" s="76"/>
      <c r="D15" s="76"/>
      <c r="E15" s="76"/>
      <c r="F15" s="76"/>
      <c r="G15" s="76"/>
      <c r="H15" s="76"/>
      <c r="I15" s="76"/>
      <c r="J15" s="76"/>
      <c r="K15" s="78">
        <f>SUM(K6:K14)</f>
        <v>0</v>
      </c>
      <c r="L15" s="123">
        <f>K15/12</f>
        <v>0</v>
      </c>
    </row>
    <row r="17" spans="1:12" x14ac:dyDescent="0.2">
      <c r="A17" s="75" t="s">
        <v>950</v>
      </c>
      <c r="B17" s="76"/>
      <c r="C17" s="76"/>
      <c r="D17" s="76"/>
      <c r="E17" s="76"/>
      <c r="F17" s="76"/>
      <c r="G17" s="76"/>
      <c r="H17" s="76"/>
      <c r="I17" s="76"/>
      <c r="J17" s="76"/>
      <c r="K17" s="78">
        <f>prijsjaarglas1</f>
        <v>0</v>
      </c>
      <c r="L17" s="123">
        <f>K17/12</f>
        <v>0</v>
      </c>
    </row>
  </sheetData>
  <sheetProtection algorithmName="SHA-512" hashValue="6FwZ053dWgoArIUxpiaMP2chSfAnbcGl2PW9ulijXk264BnCsRGJjJMeJed3maCgzePjg6W6FXfOTF5TdTUX3A==" saltValue="EX5V+JXoHpC8y53RzDbHCg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C5C5-91E1-4D6D-925A-A87F4F281B8F}">
  <dimension ref="A1:M2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11.625" customWidth="1"/>
    <col min="5" max="5" width="50.625" customWidth="1"/>
    <col min="6" max="7" width="14.625" customWidth="1"/>
    <col min="8" max="10" width="11.625" customWidth="1"/>
    <col min="11" max="11" width="12.625" customWidth="1"/>
    <col min="12" max="12" width="14.625" customWidth="1"/>
    <col min="13" max="13" width="13.625" customWidth="1"/>
  </cols>
  <sheetData>
    <row r="1" spans="1:13" x14ac:dyDescent="0.2">
      <c r="A1" s="1" t="str">
        <f>CONCATENATE("Bijlage G.10: ",tabeltype," glas per locatie")</f>
        <v>Bijlage G.10: Invultabel glas per locatie</v>
      </c>
    </row>
    <row r="3" spans="1:13" ht="38.25" x14ac:dyDescent="0.2">
      <c r="A3" s="44" t="s">
        <v>797</v>
      </c>
      <c r="B3" s="44" t="s">
        <v>7</v>
      </c>
      <c r="C3" s="44" t="s">
        <v>798</v>
      </c>
      <c r="D3" s="44" t="s">
        <v>765</v>
      </c>
      <c r="E3" s="44" t="s">
        <v>99</v>
      </c>
      <c r="F3" s="44" t="s">
        <v>102</v>
      </c>
      <c r="G3" s="44" t="s">
        <v>799</v>
      </c>
      <c r="H3" s="44" t="s">
        <v>800</v>
      </c>
      <c r="I3" s="44" t="s">
        <v>801</v>
      </c>
      <c r="J3" s="44" t="s">
        <v>802</v>
      </c>
      <c r="K3" s="44" t="s">
        <v>803</v>
      </c>
      <c r="L3" s="44" t="s">
        <v>189</v>
      </c>
      <c r="M3" s="44" t="s">
        <v>787</v>
      </c>
    </row>
    <row r="5" spans="1:13" x14ac:dyDescent="0.2">
      <c r="A5" s="132" t="s">
        <v>243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27"/>
    </row>
    <row r="6" spans="1:13" x14ac:dyDescent="0.2">
      <c r="A6" s="51" t="s">
        <v>931</v>
      </c>
      <c r="B6" s="51" t="s">
        <v>23</v>
      </c>
      <c r="C6" s="52">
        <f>IF(ISBLANK(B6),0,IF(ISERROR(VALUE(B6)),VLOOKUP(B6,dagsoorttabel1,2,FALSE)*dagenperjaar1,VALUE(B6)))</f>
        <v>2</v>
      </c>
      <c r="D6" s="51" t="s">
        <v>4</v>
      </c>
      <c r="E6" s="51" t="s">
        <v>932</v>
      </c>
      <c r="F6" s="51" t="s">
        <v>833</v>
      </c>
      <c r="G6" s="117">
        <v>5060.38</v>
      </c>
      <c r="H6" s="118">
        <f>Glas!G6</f>
        <v>0</v>
      </c>
      <c r="I6" s="128"/>
      <c r="J6" s="118">
        <f>Glas!I6</f>
        <v>0</v>
      </c>
      <c r="K6" s="55">
        <f>IF(ISBLANK(G6),0,G6)*ROUND(J6,2)</f>
        <v>0</v>
      </c>
      <c r="L6" s="55">
        <f>C6*K6</f>
        <v>0</v>
      </c>
      <c r="M6" s="55">
        <f>L6/12</f>
        <v>0</v>
      </c>
    </row>
    <row r="7" spans="1:13" x14ac:dyDescent="0.2">
      <c r="A7" s="56" t="s">
        <v>933</v>
      </c>
      <c r="B7" s="56" t="s">
        <v>23</v>
      </c>
      <c r="C7" s="57">
        <f>IF(ISBLANK(B7),0,IF(ISERROR(VALUE(B7)),VLOOKUP(B7,dagsoorttabel1,2,FALSE)*dagenperjaar1,VALUE(B7)))</f>
        <v>2</v>
      </c>
      <c r="D7" s="56" t="s">
        <v>4</v>
      </c>
      <c r="E7" s="56" t="s">
        <v>934</v>
      </c>
      <c r="F7" s="56" t="s">
        <v>833</v>
      </c>
      <c r="G7" s="129">
        <v>5060.38</v>
      </c>
      <c r="H7" s="130">
        <f>Glas!G7</f>
        <v>0</v>
      </c>
      <c r="I7" s="131"/>
      <c r="J7" s="130">
        <f>Glas!I7</f>
        <v>0</v>
      </c>
      <c r="K7" s="60">
        <f>IF(ISBLANK(G7),0,G7)*ROUND(J7,2)</f>
        <v>0</v>
      </c>
      <c r="L7" s="60">
        <f>C7*K7</f>
        <v>0</v>
      </c>
      <c r="M7" s="60">
        <f>L7/12</f>
        <v>0</v>
      </c>
    </row>
    <row r="8" spans="1:13" x14ac:dyDescent="0.2">
      <c r="A8" s="56" t="s">
        <v>935</v>
      </c>
      <c r="B8" s="56" t="s">
        <v>23</v>
      </c>
      <c r="C8" s="57">
        <f>IF(ISBLANK(B8),0,IF(ISERROR(VALUE(B8)),VLOOKUP(B8,dagsoorttabel1,2,FALSE)*dagenperjaar1,VALUE(B8)))</f>
        <v>2</v>
      </c>
      <c r="D8" s="56" t="s">
        <v>4</v>
      </c>
      <c r="E8" s="56" t="s">
        <v>936</v>
      </c>
      <c r="F8" s="56" t="s">
        <v>833</v>
      </c>
      <c r="G8" s="129">
        <v>2545.7799999999997</v>
      </c>
      <c r="H8" s="130">
        <f>Glas!G8</f>
        <v>0</v>
      </c>
      <c r="I8" s="131"/>
      <c r="J8" s="130">
        <f>Glas!I8</f>
        <v>0</v>
      </c>
      <c r="K8" s="60">
        <f>IF(ISBLANK(G8),0,G8)*ROUND(J8,2)</f>
        <v>0</v>
      </c>
      <c r="L8" s="60">
        <f>C8*K8</f>
        <v>0</v>
      </c>
      <c r="M8" s="60">
        <f>L8/12</f>
        <v>0</v>
      </c>
    </row>
    <row r="9" spans="1:13" x14ac:dyDescent="0.2">
      <c r="A9" s="56" t="s">
        <v>937</v>
      </c>
      <c r="B9" s="56" t="s">
        <v>23</v>
      </c>
      <c r="C9" s="57">
        <f>IF(ISBLANK(B9),0,IF(ISERROR(VALUE(B9)),VLOOKUP(B9,dagsoorttabel1,2,FALSE)*dagenperjaar1,VALUE(B9)))</f>
        <v>2</v>
      </c>
      <c r="D9" s="56" t="s">
        <v>4</v>
      </c>
      <c r="E9" s="56" t="s">
        <v>938</v>
      </c>
      <c r="F9" s="56" t="s">
        <v>939</v>
      </c>
      <c r="G9" s="129">
        <v>1</v>
      </c>
      <c r="H9" s="130">
        <f>Glas!G9</f>
        <v>0</v>
      </c>
      <c r="I9" s="131"/>
      <c r="J9" s="130">
        <f>Glas!I9</f>
        <v>0</v>
      </c>
      <c r="K9" s="60">
        <f>IF(ISBLANK(G9),0,G9)*ROUND(J9,2)</f>
        <v>0</v>
      </c>
      <c r="L9" s="60">
        <f>C9*K9</f>
        <v>0</v>
      </c>
      <c r="M9" s="60">
        <f>L9/12</f>
        <v>0</v>
      </c>
    </row>
    <row r="10" spans="1:13" x14ac:dyDescent="0.2">
      <c r="A10" s="56" t="s">
        <v>942</v>
      </c>
      <c r="B10" s="56" t="s">
        <v>23</v>
      </c>
      <c r="C10" s="57">
        <f>IF(ISBLANK(B10),0,IF(ISERROR(VALUE(B10)),VLOOKUP(B10,dagsoorttabel1,2,FALSE)*dagenperjaar1,VALUE(B10)))</f>
        <v>2</v>
      </c>
      <c r="D10" s="56" t="s">
        <v>4</v>
      </c>
      <c r="E10" s="56" t="s">
        <v>943</v>
      </c>
      <c r="F10" s="56" t="s">
        <v>939</v>
      </c>
      <c r="G10" s="129">
        <v>1</v>
      </c>
      <c r="H10" s="130">
        <f>Glas!G11</f>
        <v>0</v>
      </c>
      <c r="I10" s="131"/>
      <c r="J10" s="130">
        <f>Glas!I11</f>
        <v>0</v>
      </c>
      <c r="K10" s="60">
        <f>IF(ISBLANK(G10),0,G10)*ROUND(J10,2)</f>
        <v>0</v>
      </c>
      <c r="L10" s="60">
        <f>C10*K10</f>
        <v>0</v>
      </c>
      <c r="M10" s="60">
        <f>L10/12</f>
        <v>0</v>
      </c>
    </row>
    <row r="11" spans="1:13" x14ac:dyDescent="0.2">
      <c r="A11" s="56" t="s">
        <v>946</v>
      </c>
      <c r="B11" s="56" t="s">
        <v>23</v>
      </c>
      <c r="C11" s="57">
        <f>IF(ISBLANK(B11),0,IF(ISERROR(VALUE(B11)),VLOOKUP(B11,dagsoorttabel1,2,FALSE)*dagenperjaar1,VALUE(B11)))</f>
        <v>2</v>
      </c>
      <c r="D11" s="56" t="s">
        <v>4</v>
      </c>
      <c r="E11" s="56" t="s">
        <v>947</v>
      </c>
      <c r="F11" s="56" t="s">
        <v>939</v>
      </c>
      <c r="G11" s="129">
        <v>1</v>
      </c>
      <c r="H11" s="130">
        <f>Glas!G13</f>
        <v>0</v>
      </c>
      <c r="I11" s="131"/>
      <c r="J11" s="130">
        <f>Glas!I13</f>
        <v>0</v>
      </c>
      <c r="K11" s="60">
        <f>IF(ISBLANK(G11),0,G11)*ROUND(J11,2)</f>
        <v>0</v>
      </c>
      <c r="L11" s="60">
        <f>C11*K11</f>
        <v>0</v>
      </c>
      <c r="M11" s="60">
        <f>L11/12</f>
        <v>0</v>
      </c>
    </row>
    <row r="12" spans="1:13" x14ac:dyDescent="0.2">
      <c r="A12" s="61" t="s">
        <v>948</v>
      </c>
      <c r="B12" s="61" t="s">
        <v>23</v>
      </c>
      <c r="C12" s="62">
        <f>IF(ISBLANK(B12),0,IF(ISERROR(VALUE(B12)),VLOOKUP(B12,dagsoorttabel1,2,FALSE)*dagenperjaar1,VALUE(B12)))</f>
        <v>2</v>
      </c>
      <c r="D12" s="61" t="s">
        <v>4</v>
      </c>
      <c r="E12" s="61" t="s">
        <v>949</v>
      </c>
      <c r="F12" s="61" t="s">
        <v>939</v>
      </c>
      <c r="G12" s="120">
        <v>1</v>
      </c>
      <c r="H12" s="121">
        <f>Glas!G14</f>
        <v>0</v>
      </c>
      <c r="I12" s="122"/>
      <c r="J12" s="121">
        <f>Glas!I14</f>
        <v>0</v>
      </c>
      <c r="K12" s="65">
        <f>IF(ISBLANK(G12),0,G12)*ROUND(J12,2)</f>
        <v>0</v>
      </c>
      <c r="L12" s="65">
        <f>C12*K12</f>
        <v>0</v>
      </c>
      <c r="M12" s="65">
        <f>L12/12</f>
        <v>0</v>
      </c>
    </row>
    <row r="13" spans="1:13" x14ac:dyDescent="0.2">
      <c r="A13" s="133" t="s">
        <v>951</v>
      </c>
      <c r="B13" s="76"/>
      <c r="C13" s="76"/>
      <c r="D13" s="76"/>
      <c r="E13" s="76"/>
      <c r="F13" s="76"/>
      <c r="G13" s="76"/>
      <c r="H13" s="76"/>
      <c r="I13" s="76"/>
      <c r="J13" s="76"/>
      <c r="K13" s="78">
        <f>SUM(K6:K12)</f>
        <v>0</v>
      </c>
      <c r="L13" s="78">
        <f>SUM(L6:L12)</f>
        <v>0</v>
      </c>
      <c r="M13" s="123">
        <f>L13/12</f>
        <v>0</v>
      </c>
    </row>
    <row r="15" spans="1:13" x14ac:dyDescent="0.2">
      <c r="A15" s="132" t="s">
        <v>628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127"/>
    </row>
    <row r="16" spans="1:13" x14ac:dyDescent="0.2">
      <c r="A16" s="51" t="s">
        <v>931</v>
      </c>
      <c r="B16" s="51" t="s">
        <v>23</v>
      </c>
      <c r="C16" s="52">
        <f>IF(ISBLANK(B16),0,IF(ISERROR(VALUE(B16)),VLOOKUP(B16,dagsoorttabel1,2,FALSE)*dagenperjaar1,VALUE(B16)))</f>
        <v>2</v>
      </c>
      <c r="D16" s="51" t="s">
        <v>4</v>
      </c>
      <c r="E16" s="51" t="s">
        <v>932</v>
      </c>
      <c r="F16" s="51" t="s">
        <v>833</v>
      </c>
      <c r="G16" s="117">
        <v>1245</v>
      </c>
      <c r="H16" s="118">
        <f>Glas!G6</f>
        <v>0</v>
      </c>
      <c r="I16" s="128"/>
      <c r="J16" s="118">
        <f>Glas!I6</f>
        <v>0</v>
      </c>
      <c r="K16" s="55">
        <f>IF(ISBLANK(G16),0,G16)*ROUND(J16,2)</f>
        <v>0</v>
      </c>
      <c r="L16" s="55">
        <f>C16*K16</f>
        <v>0</v>
      </c>
      <c r="M16" s="55">
        <f>L16/12</f>
        <v>0</v>
      </c>
    </row>
    <row r="17" spans="1:13" x14ac:dyDescent="0.2">
      <c r="A17" s="56" t="s">
        <v>933</v>
      </c>
      <c r="B17" s="56" t="s">
        <v>23</v>
      </c>
      <c r="C17" s="57">
        <f>IF(ISBLANK(B17),0,IF(ISERROR(VALUE(B17)),VLOOKUP(B17,dagsoorttabel1,2,FALSE)*dagenperjaar1,VALUE(B17)))</f>
        <v>2</v>
      </c>
      <c r="D17" s="56" t="s">
        <v>4</v>
      </c>
      <c r="E17" s="56" t="s">
        <v>934</v>
      </c>
      <c r="F17" s="56" t="s">
        <v>833</v>
      </c>
      <c r="G17" s="129">
        <v>1245</v>
      </c>
      <c r="H17" s="130">
        <f>Glas!G7</f>
        <v>0</v>
      </c>
      <c r="I17" s="131"/>
      <c r="J17" s="130">
        <f>Glas!I7</f>
        <v>0</v>
      </c>
      <c r="K17" s="60">
        <f>IF(ISBLANK(G17),0,G17)*ROUND(J17,2)</f>
        <v>0</v>
      </c>
      <c r="L17" s="60">
        <f>C17*K17</f>
        <v>0</v>
      </c>
      <c r="M17" s="60">
        <f>L17/12</f>
        <v>0</v>
      </c>
    </row>
    <row r="18" spans="1:13" x14ac:dyDescent="0.2">
      <c r="A18" s="56" t="s">
        <v>935</v>
      </c>
      <c r="B18" s="56" t="s">
        <v>23</v>
      </c>
      <c r="C18" s="57">
        <f>IF(ISBLANK(B18),0,IF(ISERROR(VALUE(B18)),VLOOKUP(B18,dagsoorttabel1,2,FALSE)*dagenperjaar1,VALUE(B18)))</f>
        <v>2</v>
      </c>
      <c r="D18" s="56" t="s">
        <v>4</v>
      </c>
      <c r="E18" s="56" t="s">
        <v>936</v>
      </c>
      <c r="F18" s="56" t="s">
        <v>833</v>
      </c>
      <c r="G18" s="129">
        <v>1375.81</v>
      </c>
      <c r="H18" s="130">
        <f>Glas!G8</f>
        <v>0</v>
      </c>
      <c r="I18" s="131"/>
      <c r="J18" s="130">
        <f>Glas!I8</f>
        <v>0</v>
      </c>
      <c r="K18" s="60">
        <f>IF(ISBLANK(G18),0,G18)*ROUND(J18,2)</f>
        <v>0</v>
      </c>
      <c r="L18" s="60">
        <f>C18*K18</f>
        <v>0</v>
      </c>
      <c r="M18" s="60">
        <f>L18/12</f>
        <v>0</v>
      </c>
    </row>
    <row r="19" spans="1:13" x14ac:dyDescent="0.2">
      <c r="A19" s="56" t="s">
        <v>940</v>
      </c>
      <c r="B19" s="56" t="s">
        <v>23</v>
      </c>
      <c r="C19" s="57">
        <f>IF(ISBLANK(B19),0,IF(ISERROR(VALUE(B19)),VLOOKUP(B19,dagsoorttabel1,2,FALSE)*dagenperjaar1,VALUE(B19)))</f>
        <v>2</v>
      </c>
      <c r="D19" s="56" t="s">
        <v>4</v>
      </c>
      <c r="E19" s="56" t="s">
        <v>941</v>
      </c>
      <c r="F19" s="56" t="s">
        <v>939</v>
      </c>
      <c r="G19" s="129">
        <v>1</v>
      </c>
      <c r="H19" s="130">
        <f>Glas!G10</f>
        <v>0</v>
      </c>
      <c r="I19" s="131"/>
      <c r="J19" s="130">
        <f>Glas!I10</f>
        <v>0</v>
      </c>
      <c r="K19" s="60">
        <f>IF(ISBLANK(G19),0,G19)*ROUND(J19,2)</f>
        <v>0</v>
      </c>
      <c r="L19" s="60">
        <f>C19*K19</f>
        <v>0</v>
      </c>
      <c r="M19" s="60">
        <f>L19/12</f>
        <v>0</v>
      </c>
    </row>
    <row r="20" spans="1:13" x14ac:dyDescent="0.2">
      <c r="A20" s="61" t="s">
        <v>944</v>
      </c>
      <c r="B20" s="61" t="s">
        <v>23</v>
      </c>
      <c r="C20" s="62">
        <f>IF(ISBLANK(B20),0,IF(ISERROR(VALUE(B20)),VLOOKUP(B20,dagsoorttabel1,2,FALSE)*dagenperjaar1,VALUE(B20)))</f>
        <v>2</v>
      </c>
      <c r="D20" s="61" t="s">
        <v>4</v>
      </c>
      <c r="E20" s="61" t="s">
        <v>945</v>
      </c>
      <c r="F20" s="61" t="s">
        <v>939</v>
      </c>
      <c r="G20" s="120">
        <v>1</v>
      </c>
      <c r="H20" s="121">
        <f>Glas!G12</f>
        <v>0</v>
      </c>
      <c r="I20" s="122"/>
      <c r="J20" s="121">
        <f>Glas!I12</f>
        <v>0</v>
      </c>
      <c r="K20" s="65">
        <f>IF(ISBLANK(G20),0,G20)*ROUND(J20,2)</f>
        <v>0</v>
      </c>
      <c r="L20" s="65">
        <f>C20*K20</f>
        <v>0</v>
      </c>
      <c r="M20" s="65">
        <f>L20/12</f>
        <v>0</v>
      </c>
    </row>
    <row r="21" spans="1:13" x14ac:dyDescent="0.2">
      <c r="A21" s="133" t="s">
        <v>952</v>
      </c>
      <c r="B21" s="76"/>
      <c r="C21" s="76"/>
      <c r="D21" s="76"/>
      <c r="E21" s="76"/>
      <c r="F21" s="76"/>
      <c r="G21" s="76"/>
      <c r="H21" s="76"/>
      <c r="I21" s="76"/>
      <c r="J21" s="76"/>
      <c r="K21" s="78">
        <f>SUM(K16:K20)</f>
        <v>0</v>
      </c>
      <c r="L21" s="78">
        <f>SUM(L16:L20)</f>
        <v>0</v>
      </c>
      <c r="M21" s="123">
        <f>L21/12</f>
        <v>0</v>
      </c>
    </row>
  </sheetData>
  <sheetProtection algorithmName="SHA-512" hashValue="oF2PAgHyPUc9bErMzWnI4UbK+CLpWhzrPc9mIbQ/BShAtFx3EsS3/bPng2aBls/74/1a6o9WHoAxtcIazLgvUg==" saltValue="2MKpuDZD/U9gKDWpTFX8zA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9400-DF88-4104-A82C-99984FBCC898}">
  <dimension ref="A1:E12"/>
  <sheetViews>
    <sheetView tabSelected="1" workbookViewId="0">
      <selection activeCell="D14" sqref="D14"/>
    </sheetView>
  </sheetViews>
  <sheetFormatPr defaultRowHeight="12.75" x14ac:dyDescent="0.2"/>
  <cols>
    <col min="1" max="1" width="30.625" customWidth="1"/>
    <col min="2" max="5" width="20.625" customWidth="1"/>
  </cols>
  <sheetData>
    <row r="1" spans="1:5" x14ac:dyDescent="0.2">
      <c r="A1" s="1" t="str">
        <f>CONCATENATE("Bijlage G.11: ",tabeltype," totaalblad schoonmaakwerk")</f>
        <v>Bijlage G.11: Invultabel totaalblad schoonmaakwerk</v>
      </c>
    </row>
    <row r="3" spans="1:5" ht="25.5" x14ac:dyDescent="0.2">
      <c r="A3" s="44" t="s">
        <v>953</v>
      </c>
      <c r="B3" s="44" t="s">
        <v>954</v>
      </c>
      <c r="C3" s="44" t="s">
        <v>955</v>
      </c>
      <c r="D3" s="44" t="s">
        <v>956</v>
      </c>
      <c r="E3" s="44" t="s">
        <v>957</v>
      </c>
    </row>
    <row r="4" spans="1:5" x14ac:dyDescent="0.2">
      <c r="A4" s="134" t="s">
        <v>958</v>
      </c>
      <c r="B4" s="66">
        <f>urenjaartotaaloverzicht</f>
        <v>0</v>
      </c>
      <c r="C4" s="66">
        <f>urenjaartotaaloverzichthf</f>
        <v>0</v>
      </c>
      <c r="D4" s="55">
        <f>prijsjaartotaaloverzicht</f>
        <v>0</v>
      </c>
      <c r="E4" s="55">
        <f>D4*1.21</f>
        <v>0</v>
      </c>
    </row>
    <row r="5" spans="1:5" x14ac:dyDescent="0.2">
      <c r="A5" s="135" t="s">
        <v>959</v>
      </c>
      <c r="B5" s="136"/>
      <c r="C5" s="136"/>
      <c r="D5" s="60">
        <f>prijsjaaradditioneel</f>
        <v>0</v>
      </c>
      <c r="E5" s="60">
        <f>D5*1.21</f>
        <v>0</v>
      </c>
    </row>
    <row r="6" spans="1:5" x14ac:dyDescent="0.2">
      <c r="A6" s="135" t="s">
        <v>960</v>
      </c>
      <c r="B6" s="136"/>
      <c r="C6" s="136"/>
      <c r="D6" s="60">
        <f>prijsjaarregie</f>
        <v>0</v>
      </c>
      <c r="E6" s="60">
        <f>D6*1.21</f>
        <v>0</v>
      </c>
    </row>
    <row r="7" spans="1:5" x14ac:dyDescent="0.2">
      <c r="A7" s="137" t="s">
        <v>961</v>
      </c>
      <c r="B7" s="138"/>
      <c r="C7" s="138"/>
      <c r="D7" s="65">
        <f>prijsjaarglas</f>
        <v>0</v>
      </c>
      <c r="E7" s="65">
        <f>D7*1.21</f>
        <v>0</v>
      </c>
    </row>
    <row r="9" spans="1:5" x14ac:dyDescent="0.2">
      <c r="A9" s="44" t="s">
        <v>962</v>
      </c>
      <c r="B9" s="77">
        <f>SUM(B4:B7)</f>
        <v>0</v>
      </c>
      <c r="C9" s="77">
        <f>SUM(C4:C7)</f>
        <v>0</v>
      </c>
      <c r="D9" s="78">
        <f>SUM(D4:D7)</f>
        <v>0</v>
      </c>
      <c r="E9" s="78">
        <f>D9*1.21</f>
        <v>0</v>
      </c>
    </row>
    <row r="11" spans="1:5" x14ac:dyDescent="0.2">
      <c r="A11" s="139" t="s">
        <v>964</v>
      </c>
      <c r="B11" s="77"/>
      <c r="C11" s="112"/>
      <c r="D11" s="140">
        <f>D4+D7</f>
        <v>0</v>
      </c>
      <c r="E11" s="112"/>
    </row>
    <row r="12" spans="1:5" x14ac:dyDescent="0.2">
      <c r="A12" s="139" t="s">
        <v>963</v>
      </c>
      <c r="B12" s="77"/>
      <c r="C12" s="112"/>
      <c r="D12" s="140">
        <f>ROUND(SUM(vp_additioneel,vp_regie),2)</f>
        <v>0</v>
      </c>
      <c r="E12" s="112"/>
    </row>
  </sheetData>
  <sheetProtection algorithmName="SHA-512" hashValue="eyV3cIKP1hbfR9a0DSn0xcXouuRYicEhwuXlVj8/gAh1KeKokdm5KdMPnFB4p8o2eeVOhy4vQMN730Z1XwCYSQ==" saltValue="rx35pxFNxcWvo9OtyHofGA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E1A6-FE1B-483A-9E06-691349F2B83B}">
  <dimension ref="A1:Q61"/>
  <sheetViews>
    <sheetView workbookViewId="0"/>
  </sheetViews>
  <sheetFormatPr defaultRowHeight="12.75" x14ac:dyDescent="0.2"/>
  <cols>
    <col min="1" max="1" width="40.625" customWidth="1"/>
    <col min="2" max="2" width="8.125" customWidth="1"/>
    <col min="3" max="3" width="10.625" customWidth="1"/>
    <col min="4" max="4" width="8.125" customWidth="1"/>
    <col min="5" max="5" width="10.625" customWidth="1"/>
    <col min="6" max="6" width="8.125" customWidth="1"/>
    <col min="7" max="7" width="10.625" customWidth="1"/>
    <col min="8" max="8" width="8.125" customWidth="1"/>
    <col min="9" max="9" width="10.625" customWidth="1"/>
    <col min="10" max="10" width="8.125" customWidth="1"/>
    <col min="11" max="11" width="10.625" customWidth="1"/>
    <col min="12" max="12" width="8.125" customWidth="1"/>
    <col min="13" max="13" width="10.625" customWidth="1"/>
    <col min="14" max="14" width="8.125" customWidth="1"/>
    <col min="15" max="15" width="10.625" customWidth="1"/>
    <col min="16" max="16" width="8.125" customWidth="1"/>
    <col min="17" max="17" width="10.625" customWidth="1"/>
  </cols>
  <sheetData>
    <row r="1" spans="1:17" x14ac:dyDescent="0.2">
      <c r="A1" s="1" t="s">
        <v>29</v>
      </c>
    </row>
    <row r="3" spans="1:17" x14ac:dyDescent="0.2">
      <c r="A3" s="8"/>
      <c r="B3" s="9" t="s">
        <v>30</v>
      </c>
      <c r="C3" s="9"/>
      <c r="D3" s="9" t="s">
        <v>30</v>
      </c>
      <c r="E3" s="9"/>
      <c r="F3" s="9" t="s">
        <v>30</v>
      </c>
      <c r="G3" s="9"/>
      <c r="H3" s="9" t="s">
        <v>30</v>
      </c>
      <c r="I3" s="9"/>
      <c r="J3" s="9" t="s">
        <v>30</v>
      </c>
      <c r="K3" s="9"/>
      <c r="L3" s="9" t="s">
        <v>31</v>
      </c>
      <c r="M3" s="9"/>
      <c r="N3" s="9" t="s">
        <v>31</v>
      </c>
      <c r="O3" s="9"/>
      <c r="P3" s="9" t="s">
        <v>31</v>
      </c>
      <c r="Q3" s="10"/>
    </row>
    <row r="4" spans="1:17" x14ac:dyDescent="0.2">
      <c r="A4" s="11"/>
      <c r="B4" s="12" t="s">
        <v>32</v>
      </c>
      <c r="C4" s="12"/>
      <c r="D4" s="12" t="s">
        <v>32</v>
      </c>
      <c r="E4" s="12"/>
      <c r="F4" s="12" t="s">
        <v>32</v>
      </c>
      <c r="G4" s="12"/>
      <c r="H4" s="12" t="s">
        <v>33</v>
      </c>
      <c r="I4" s="12"/>
      <c r="J4" s="12" t="s">
        <v>33</v>
      </c>
      <c r="K4" s="12"/>
      <c r="L4" s="12" t="s">
        <v>32</v>
      </c>
      <c r="M4" s="12"/>
      <c r="N4" s="12" t="s">
        <v>32</v>
      </c>
      <c r="O4" s="12"/>
      <c r="P4" s="12" t="s">
        <v>33</v>
      </c>
      <c r="Q4" s="13"/>
    </row>
    <row r="5" spans="1:17" ht="25.5" customHeight="1" x14ac:dyDescent="0.2">
      <c r="A5" s="14" t="s">
        <v>34</v>
      </c>
      <c r="B5" s="15" t="s">
        <v>35</v>
      </c>
      <c r="C5" s="15"/>
      <c r="D5" s="15" t="s">
        <v>35</v>
      </c>
      <c r="E5" s="15"/>
      <c r="F5" s="15" t="s">
        <v>36</v>
      </c>
      <c r="G5" s="15"/>
      <c r="H5" s="15" t="s">
        <v>37</v>
      </c>
      <c r="I5" s="15"/>
      <c r="J5" s="15" t="s">
        <v>37</v>
      </c>
      <c r="K5" s="15"/>
      <c r="L5" s="15" t="s">
        <v>38</v>
      </c>
      <c r="M5" s="15"/>
      <c r="N5" s="15" t="s">
        <v>38</v>
      </c>
      <c r="O5" s="15"/>
      <c r="P5" s="15" t="s">
        <v>39</v>
      </c>
      <c r="Q5" s="16"/>
    </row>
    <row r="6" spans="1:17" ht="38.25" customHeight="1" x14ac:dyDescent="0.2">
      <c r="A6" s="17" t="s">
        <v>40</v>
      </c>
      <c r="B6" s="15" t="s">
        <v>41</v>
      </c>
      <c r="C6" s="15"/>
      <c r="D6" s="18" t="s">
        <v>42</v>
      </c>
      <c r="E6" s="18"/>
      <c r="F6" s="15" t="s">
        <v>43</v>
      </c>
      <c r="G6" s="15"/>
      <c r="H6" s="15" t="s">
        <v>43</v>
      </c>
      <c r="I6" s="15"/>
      <c r="J6" s="15" t="s">
        <v>44</v>
      </c>
      <c r="K6" s="15"/>
      <c r="L6" s="18" t="s">
        <v>42</v>
      </c>
      <c r="M6" s="18"/>
      <c r="N6" s="15" t="s">
        <v>45</v>
      </c>
      <c r="O6" s="15"/>
      <c r="P6" s="18" t="s">
        <v>42</v>
      </c>
      <c r="Q6" s="19"/>
    </row>
    <row r="7" spans="1:17" x14ac:dyDescent="0.2">
      <c r="A7" s="20" t="s">
        <v>46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x14ac:dyDescent="0.2">
      <c r="A8" s="20" t="s">
        <v>47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</row>
    <row r="9" spans="1:17" x14ac:dyDescent="0.2">
      <c r="A9" s="11" t="s">
        <v>48</v>
      </c>
      <c r="B9" s="23">
        <f>SUM(B7:B8)</f>
        <v>0</v>
      </c>
      <c r="C9" s="23"/>
      <c r="D9" s="23">
        <f>SUM(D7:D8)</f>
        <v>0</v>
      </c>
      <c r="E9" s="23"/>
      <c r="F9" s="23">
        <f>SUM(F7:F8)</f>
        <v>0</v>
      </c>
      <c r="G9" s="23"/>
      <c r="H9" s="23">
        <f>SUM(H7:H8)</f>
        <v>0</v>
      </c>
      <c r="I9" s="23"/>
      <c r="J9" s="23">
        <f>SUM(J7:J8)</f>
        <v>0</v>
      </c>
      <c r="K9" s="23"/>
      <c r="L9" s="23">
        <f>SUM(L7:L8)</f>
        <v>0</v>
      </c>
      <c r="M9" s="23"/>
      <c r="N9" s="23">
        <f>SUM(N7:N8)</f>
        <v>0</v>
      </c>
      <c r="O9" s="23"/>
      <c r="P9" s="23">
        <f>SUM(P7:P8)</f>
        <v>0</v>
      </c>
      <c r="Q9" s="24"/>
    </row>
    <row r="10" spans="1:17" x14ac:dyDescent="0.2">
      <c r="A10" s="20" t="s">
        <v>49</v>
      </c>
      <c r="B10" s="25"/>
      <c r="C10" s="26">
        <f>TariefOpbouwBasisloon1*B10</f>
        <v>0</v>
      </c>
      <c r="D10" s="25"/>
      <c r="E10" s="26">
        <f>TariefOpbouwBasisloon2*D10</f>
        <v>0</v>
      </c>
      <c r="F10" s="25"/>
      <c r="G10" s="26">
        <f>TariefOpbouwBasisloon3*F10</f>
        <v>0</v>
      </c>
      <c r="H10" s="25"/>
      <c r="I10" s="26">
        <f>TariefOpbouwBasisloon4*H10</f>
        <v>0</v>
      </c>
      <c r="J10" s="25"/>
      <c r="K10" s="26">
        <f>TariefOpbouwBasisloon5*J10</f>
        <v>0</v>
      </c>
      <c r="L10" s="25"/>
      <c r="M10" s="26">
        <f>TariefOpbouwBasisloon6*L10</f>
        <v>0</v>
      </c>
      <c r="N10" s="25"/>
      <c r="O10" s="26">
        <f>TariefOpbouwBasisloon7*N10</f>
        <v>0</v>
      </c>
      <c r="P10" s="25"/>
      <c r="Q10" s="27">
        <f>TariefOpbouwBasisloon8*P10</f>
        <v>0</v>
      </c>
    </row>
    <row r="11" spans="1:17" x14ac:dyDescent="0.2">
      <c r="A11" s="20" t="s">
        <v>50</v>
      </c>
      <c r="B11" s="25"/>
      <c r="C11" s="26">
        <f>TariefOpbouwBasisloon1*B11</f>
        <v>0</v>
      </c>
      <c r="D11" s="25"/>
      <c r="E11" s="26">
        <f>TariefOpbouwBasisloon2*D11</f>
        <v>0</v>
      </c>
      <c r="F11" s="25"/>
      <c r="G11" s="26">
        <f>TariefOpbouwBasisloon3*F11</f>
        <v>0</v>
      </c>
      <c r="H11" s="25"/>
      <c r="I11" s="26">
        <f>TariefOpbouwBasisloon4*H11</f>
        <v>0</v>
      </c>
      <c r="J11" s="25"/>
      <c r="K11" s="26">
        <f>TariefOpbouwBasisloon5*J11</f>
        <v>0</v>
      </c>
      <c r="L11" s="25"/>
      <c r="M11" s="26">
        <f>TariefOpbouwBasisloon6*L11</f>
        <v>0</v>
      </c>
      <c r="N11" s="25"/>
      <c r="O11" s="26">
        <f>TariefOpbouwBasisloon7*N11</f>
        <v>0</v>
      </c>
      <c r="P11" s="25"/>
      <c r="Q11" s="27">
        <f>TariefOpbouwBasisloon8*P11</f>
        <v>0</v>
      </c>
    </row>
    <row r="12" spans="1:17" x14ac:dyDescent="0.2">
      <c r="A12" s="11" t="s">
        <v>51</v>
      </c>
      <c r="B12" s="23">
        <f>SUM(TariefOpbouwBasisloon1,C10:C11)</f>
        <v>0</v>
      </c>
      <c r="C12" s="23"/>
      <c r="D12" s="23">
        <f>SUM(TariefOpbouwBasisloon2,E10:E11)</f>
        <v>0</v>
      </c>
      <c r="E12" s="23"/>
      <c r="F12" s="23">
        <f>SUM(TariefOpbouwBasisloon3,G10:G11)</f>
        <v>0</v>
      </c>
      <c r="G12" s="23"/>
      <c r="H12" s="23">
        <f>SUM(TariefOpbouwBasisloon4,I10:I11)</f>
        <v>0</v>
      </c>
      <c r="I12" s="23"/>
      <c r="J12" s="23">
        <f>SUM(TariefOpbouwBasisloon5,K10:K11)</f>
        <v>0</v>
      </c>
      <c r="K12" s="23"/>
      <c r="L12" s="23">
        <f>SUM(TariefOpbouwBasisloon6,M10:M11)</f>
        <v>0</v>
      </c>
      <c r="M12" s="23"/>
      <c r="N12" s="23">
        <f>SUM(TariefOpbouwBasisloon7,O10:O11)</f>
        <v>0</v>
      </c>
      <c r="O12" s="23"/>
      <c r="P12" s="23">
        <f>SUM(TariefOpbouwBasisloon8,Q10:Q11)</f>
        <v>0</v>
      </c>
      <c r="Q12" s="24"/>
    </row>
    <row r="13" spans="1:17" x14ac:dyDescent="0.2">
      <c r="A13" s="20" t="s">
        <v>52</v>
      </c>
      <c r="B13" s="25"/>
      <c r="C13" s="26">
        <f>TariefOpbouwUurloon1*B13</f>
        <v>0</v>
      </c>
      <c r="D13" s="25"/>
      <c r="E13" s="26">
        <f>TariefOpbouwUurloon2*D13</f>
        <v>0</v>
      </c>
      <c r="F13" s="25"/>
      <c r="G13" s="26">
        <f>TariefOpbouwUurloon3*F13</f>
        <v>0</v>
      </c>
      <c r="H13" s="25"/>
      <c r="I13" s="26">
        <f>TariefOpbouwUurloon4*H13</f>
        <v>0</v>
      </c>
      <c r="J13" s="25"/>
      <c r="K13" s="26">
        <f>TariefOpbouwUurloon5*J13</f>
        <v>0</v>
      </c>
      <c r="L13" s="25"/>
      <c r="M13" s="26">
        <f>TariefOpbouwUurloon6*L13</f>
        <v>0</v>
      </c>
      <c r="N13" s="25"/>
      <c r="O13" s="26">
        <f>TariefOpbouwUurloon7*N13</f>
        <v>0</v>
      </c>
      <c r="P13" s="25"/>
      <c r="Q13" s="27">
        <f>TariefOpbouwUurloon8*P13</f>
        <v>0</v>
      </c>
    </row>
    <row r="14" spans="1:17" x14ac:dyDescent="0.2">
      <c r="A14" s="11" t="s">
        <v>53</v>
      </c>
      <c r="B14" s="23">
        <f>SUM(TariefOpbouwUurloon1,C13:C13)</f>
        <v>0</v>
      </c>
      <c r="C14" s="23"/>
      <c r="D14" s="23">
        <f>SUM(TariefOpbouwUurloon2,E13:E13)</f>
        <v>0</v>
      </c>
      <c r="E14" s="23"/>
      <c r="F14" s="23">
        <f>SUM(TariefOpbouwUurloon3,G13:G13)</f>
        <v>0</v>
      </c>
      <c r="G14" s="23"/>
      <c r="H14" s="23">
        <f>SUM(TariefOpbouwUurloon4,I13:I13)</f>
        <v>0</v>
      </c>
      <c r="I14" s="23"/>
      <c r="J14" s="23">
        <f>SUM(TariefOpbouwUurloon5,K13:K13)</f>
        <v>0</v>
      </c>
      <c r="K14" s="23"/>
      <c r="L14" s="23">
        <f>SUM(TariefOpbouwUurloon6,M13:M13)</f>
        <v>0</v>
      </c>
      <c r="M14" s="23"/>
      <c r="N14" s="23">
        <f>SUM(TariefOpbouwUurloon7,O13:O13)</f>
        <v>0</v>
      </c>
      <c r="O14" s="23"/>
      <c r="P14" s="23">
        <f>SUM(TariefOpbouwUurloon8,Q13:Q13)</f>
        <v>0</v>
      </c>
      <c r="Q14" s="24"/>
    </row>
    <row r="15" spans="1:17" x14ac:dyDescent="0.2">
      <c r="A15" s="20" t="s">
        <v>54</v>
      </c>
      <c r="B15" s="25"/>
      <c r="C15" s="26">
        <f>TariefOpbouwUurloonkosten1*B15</f>
        <v>0</v>
      </c>
      <c r="D15" s="25"/>
      <c r="E15" s="26">
        <f>TariefOpbouwUurloonkosten2*D15</f>
        <v>0</v>
      </c>
      <c r="F15" s="25"/>
      <c r="G15" s="26">
        <f>TariefOpbouwUurloonkosten3*F15</f>
        <v>0</v>
      </c>
      <c r="H15" s="25"/>
      <c r="I15" s="26">
        <f>TariefOpbouwUurloonkosten4*H15</f>
        <v>0</v>
      </c>
      <c r="J15" s="25"/>
      <c r="K15" s="26">
        <f>TariefOpbouwUurloonkosten5*J15</f>
        <v>0</v>
      </c>
      <c r="L15" s="25"/>
      <c r="M15" s="26">
        <f>TariefOpbouwUurloonkosten6*L15</f>
        <v>0</v>
      </c>
      <c r="N15" s="25"/>
      <c r="O15" s="26">
        <f>TariefOpbouwUurloonkosten7*N15</f>
        <v>0</v>
      </c>
      <c r="P15" s="25"/>
      <c r="Q15" s="27">
        <f>TariefOpbouwUurloonkosten8*P15</f>
        <v>0</v>
      </c>
    </row>
    <row r="16" spans="1:17" x14ac:dyDescent="0.2">
      <c r="A16" s="20" t="s">
        <v>55</v>
      </c>
      <c r="B16" s="25"/>
      <c r="C16" s="26">
        <f>TariefOpbouwUurloonkosten1*B16</f>
        <v>0</v>
      </c>
      <c r="D16" s="25"/>
      <c r="E16" s="26">
        <f>TariefOpbouwUurloonkosten2*D16</f>
        <v>0</v>
      </c>
      <c r="F16" s="25"/>
      <c r="G16" s="26">
        <f>TariefOpbouwUurloonkosten3*F16</f>
        <v>0</v>
      </c>
      <c r="H16" s="25"/>
      <c r="I16" s="26">
        <f>TariefOpbouwUurloonkosten4*H16</f>
        <v>0</v>
      </c>
      <c r="J16" s="25"/>
      <c r="K16" s="26">
        <f>TariefOpbouwUurloonkosten5*J16</f>
        <v>0</v>
      </c>
      <c r="L16" s="25"/>
      <c r="M16" s="26">
        <f>TariefOpbouwUurloonkosten6*L16</f>
        <v>0</v>
      </c>
      <c r="N16" s="25"/>
      <c r="O16" s="26">
        <f>TariefOpbouwUurloonkosten7*N16</f>
        <v>0</v>
      </c>
      <c r="P16" s="25"/>
      <c r="Q16" s="27">
        <f>TariefOpbouwUurloonkosten8*P16</f>
        <v>0</v>
      </c>
    </row>
    <row r="17" spans="1:17" x14ac:dyDescent="0.2">
      <c r="A17" s="20" t="s">
        <v>56</v>
      </c>
      <c r="B17" s="25"/>
      <c r="C17" s="26">
        <f>TariefOpbouwUurloonkosten1*B17</f>
        <v>0</v>
      </c>
      <c r="D17" s="25"/>
      <c r="E17" s="26">
        <f>TariefOpbouwUurloonkosten2*D17</f>
        <v>0</v>
      </c>
      <c r="F17" s="25"/>
      <c r="G17" s="26">
        <f>TariefOpbouwUurloonkosten3*F17</f>
        <v>0</v>
      </c>
      <c r="H17" s="25"/>
      <c r="I17" s="26">
        <f>TariefOpbouwUurloonkosten4*H17</f>
        <v>0</v>
      </c>
      <c r="J17" s="25"/>
      <c r="K17" s="26">
        <f>TariefOpbouwUurloonkosten5*J17</f>
        <v>0</v>
      </c>
      <c r="L17" s="25"/>
      <c r="M17" s="26">
        <f>TariefOpbouwUurloonkosten6*L17</f>
        <v>0</v>
      </c>
      <c r="N17" s="25"/>
      <c r="O17" s="26">
        <f>TariefOpbouwUurloonkosten7*N17</f>
        <v>0</v>
      </c>
      <c r="P17" s="25"/>
      <c r="Q17" s="27">
        <f>TariefOpbouwUurloonkosten8*P17</f>
        <v>0</v>
      </c>
    </row>
    <row r="18" spans="1:17" x14ac:dyDescent="0.2">
      <c r="A18" s="20" t="s">
        <v>57</v>
      </c>
      <c r="B18" s="25"/>
      <c r="C18" s="26">
        <f>TariefOpbouwUurloonkosten1*B18</f>
        <v>0</v>
      </c>
      <c r="D18" s="25"/>
      <c r="E18" s="26">
        <f>TariefOpbouwUurloonkosten2*D18</f>
        <v>0</v>
      </c>
      <c r="F18" s="25"/>
      <c r="G18" s="26">
        <f>TariefOpbouwUurloonkosten3*F18</f>
        <v>0</v>
      </c>
      <c r="H18" s="25"/>
      <c r="I18" s="26">
        <f>TariefOpbouwUurloonkosten4*H18</f>
        <v>0</v>
      </c>
      <c r="J18" s="25"/>
      <c r="K18" s="26">
        <f>TariefOpbouwUurloonkosten5*J18</f>
        <v>0</v>
      </c>
      <c r="L18" s="25"/>
      <c r="M18" s="26">
        <f>TariefOpbouwUurloonkosten6*L18</f>
        <v>0</v>
      </c>
      <c r="N18" s="25"/>
      <c r="O18" s="26">
        <f>TariefOpbouwUurloonkosten7*N18</f>
        <v>0</v>
      </c>
      <c r="P18" s="25"/>
      <c r="Q18" s="27">
        <f>TariefOpbouwUurloonkosten8*P18</f>
        <v>0</v>
      </c>
    </row>
    <row r="19" spans="1:17" x14ac:dyDescent="0.2">
      <c r="A19" s="11" t="s">
        <v>58</v>
      </c>
      <c r="B19" s="23">
        <f>SUM(TariefOpbouwUurloonkosten1,C15:C18)</f>
        <v>0</v>
      </c>
      <c r="C19" s="23"/>
      <c r="D19" s="23">
        <f>SUM(TariefOpbouwUurloonkosten2,E15:E18)</f>
        <v>0</v>
      </c>
      <c r="E19" s="23"/>
      <c r="F19" s="23">
        <f>SUM(TariefOpbouwUurloonkosten3,G15:G18)</f>
        <v>0</v>
      </c>
      <c r="G19" s="23"/>
      <c r="H19" s="23">
        <f>SUM(TariefOpbouwUurloonkosten4,I15:I18)</f>
        <v>0</v>
      </c>
      <c r="I19" s="23"/>
      <c r="J19" s="23">
        <f>SUM(TariefOpbouwUurloonkosten5,K15:K18)</f>
        <v>0</v>
      </c>
      <c r="K19" s="23"/>
      <c r="L19" s="23">
        <f>SUM(TariefOpbouwUurloonkosten6,M15:M18)</f>
        <v>0</v>
      </c>
      <c r="M19" s="23"/>
      <c r="N19" s="23">
        <f>SUM(TariefOpbouwUurloonkosten7,O15:O18)</f>
        <v>0</v>
      </c>
      <c r="O19" s="23"/>
      <c r="P19" s="23">
        <f>SUM(TariefOpbouwUurloonkosten8,Q15:Q18)</f>
        <v>0</v>
      </c>
      <c r="Q19" s="24"/>
    </row>
    <row r="20" spans="1:17" x14ac:dyDescent="0.2">
      <c r="A20" s="20" t="s">
        <v>59</v>
      </c>
      <c r="B20" s="25"/>
      <c r="C20" s="26">
        <f>TariefOpbouwTotaalLoonkosten1*B20</f>
        <v>0</v>
      </c>
      <c r="D20" s="25"/>
      <c r="E20" s="26">
        <f>TariefOpbouwTotaalLoonkosten2*D20</f>
        <v>0</v>
      </c>
      <c r="F20" s="25"/>
      <c r="G20" s="26">
        <f>TariefOpbouwTotaalLoonkosten3*F20</f>
        <v>0</v>
      </c>
      <c r="H20" s="25"/>
      <c r="I20" s="26">
        <f>TariefOpbouwTotaalLoonkosten4*H20</f>
        <v>0</v>
      </c>
      <c r="J20" s="25"/>
      <c r="K20" s="26">
        <f>TariefOpbouwTotaalLoonkosten5*J20</f>
        <v>0</v>
      </c>
      <c r="L20" s="25"/>
      <c r="M20" s="26">
        <f>TariefOpbouwTotaalLoonkosten6*L20</f>
        <v>0</v>
      </c>
      <c r="N20" s="25"/>
      <c r="O20" s="26">
        <f>TariefOpbouwTotaalLoonkosten7*N20</f>
        <v>0</v>
      </c>
      <c r="P20" s="25"/>
      <c r="Q20" s="27">
        <f>TariefOpbouwTotaalLoonkosten8*P20</f>
        <v>0</v>
      </c>
    </row>
    <row r="21" spans="1:17" x14ac:dyDescent="0.2">
      <c r="A21" s="20" t="s">
        <v>60</v>
      </c>
      <c r="B21" s="25"/>
      <c r="C21" s="26">
        <f>TariefOpbouwTotaalLoonkosten1*B21</f>
        <v>0</v>
      </c>
      <c r="D21" s="25"/>
      <c r="E21" s="26">
        <f>TariefOpbouwTotaalLoonkosten2*D21</f>
        <v>0</v>
      </c>
      <c r="F21" s="25"/>
      <c r="G21" s="26">
        <f>TariefOpbouwTotaalLoonkosten3*F21</f>
        <v>0</v>
      </c>
      <c r="H21" s="25"/>
      <c r="I21" s="26">
        <f>TariefOpbouwTotaalLoonkosten4*H21</f>
        <v>0</v>
      </c>
      <c r="J21" s="25"/>
      <c r="K21" s="26">
        <f>TariefOpbouwTotaalLoonkosten5*J21</f>
        <v>0</v>
      </c>
      <c r="L21" s="25"/>
      <c r="M21" s="26">
        <f>TariefOpbouwTotaalLoonkosten6*L21</f>
        <v>0</v>
      </c>
      <c r="N21" s="25"/>
      <c r="O21" s="26">
        <f>TariefOpbouwTotaalLoonkosten7*N21</f>
        <v>0</v>
      </c>
      <c r="P21" s="25"/>
      <c r="Q21" s="27">
        <f>TariefOpbouwTotaalLoonkosten8*P21</f>
        <v>0</v>
      </c>
    </row>
    <row r="22" spans="1:17" x14ac:dyDescent="0.2">
      <c r="A22" s="20" t="s">
        <v>61</v>
      </c>
      <c r="B22" s="25"/>
      <c r="C22" s="26">
        <f>TariefOpbouwTotaalLoonkosten1*B22</f>
        <v>0</v>
      </c>
      <c r="D22" s="25"/>
      <c r="E22" s="26">
        <f>TariefOpbouwTotaalLoonkosten2*D22</f>
        <v>0</v>
      </c>
      <c r="F22" s="25"/>
      <c r="G22" s="26">
        <f>TariefOpbouwTotaalLoonkosten3*F22</f>
        <v>0</v>
      </c>
      <c r="H22" s="25"/>
      <c r="I22" s="26">
        <f>TariefOpbouwTotaalLoonkosten4*H22</f>
        <v>0</v>
      </c>
      <c r="J22" s="25"/>
      <c r="K22" s="26">
        <f>TariefOpbouwTotaalLoonkosten5*J22</f>
        <v>0</v>
      </c>
      <c r="L22" s="25"/>
      <c r="M22" s="26">
        <f>TariefOpbouwTotaalLoonkosten6*L22</f>
        <v>0</v>
      </c>
      <c r="N22" s="25"/>
      <c r="O22" s="26">
        <f>TariefOpbouwTotaalLoonkosten7*N22</f>
        <v>0</v>
      </c>
      <c r="P22" s="25"/>
      <c r="Q22" s="27">
        <f>TariefOpbouwTotaalLoonkosten8*P22</f>
        <v>0</v>
      </c>
    </row>
    <row r="23" spans="1:17" x14ac:dyDescent="0.2">
      <c r="A23" s="20" t="s">
        <v>62</v>
      </c>
      <c r="B23" s="25"/>
      <c r="C23" s="26">
        <f>TariefOpbouwTotaalLoonkosten1*B23</f>
        <v>0</v>
      </c>
      <c r="D23" s="25"/>
      <c r="E23" s="26">
        <f>TariefOpbouwTotaalLoonkosten2*D23</f>
        <v>0</v>
      </c>
      <c r="F23" s="25"/>
      <c r="G23" s="26">
        <f>TariefOpbouwTotaalLoonkosten3*F23</f>
        <v>0</v>
      </c>
      <c r="H23" s="25"/>
      <c r="I23" s="26">
        <f>TariefOpbouwTotaalLoonkosten4*H23</f>
        <v>0</v>
      </c>
      <c r="J23" s="25"/>
      <c r="K23" s="26">
        <f>TariefOpbouwTotaalLoonkosten5*J23</f>
        <v>0</v>
      </c>
      <c r="L23" s="25"/>
      <c r="M23" s="26">
        <f>TariefOpbouwTotaalLoonkosten6*L23</f>
        <v>0</v>
      </c>
      <c r="N23" s="25"/>
      <c r="O23" s="26">
        <f>TariefOpbouwTotaalLoonkosten7*N23</f>
        <v>0</v>
      </c>
      <c r="P23" s="25"/>
      <c r="Q23" s="27">
        <f>TariefOpbouwTotaalLoonkosten8*P23</f>
        <v>0</v>
      </c>
    </row>
    <row r="24" spans="1:17" x14ac:dyDescent="0.2">
      <c r="A24" s="20" t="s">
        <v>63</v>
      </c>
      <c r="B24" s="25"/>
      <c r="C24" s="26">
        <f>TariefOpbouwTotaalLoonkosten1*B24</f>
        <v>0</v>
      </c>
      <c r="D24" s="25"/>
      <c r="E24" s="26">
        <f>TariefOpbouwTotaalLoonkosten2*D24</f>
        <v>0</v>
      </c>
      <c r="F24" s="25"/>
      <c r="G24" s="26">
        <f>TariefOpbouwTotaalLoonkosten3*F24</f>
        <v>0</v>
      </c>
      <c r="H24" s="25"/>
      <c r="I24" s="26">
        <f>TariefOpbouwTotaalLoonkosten4*H24</f>
        <v>0</v>
      </c>
      <c r="J24" s="25"/>
      <c r="K24" s="26">
        <f>TariefOpbouwTotaalLoonkosten5*J24</f>
        <v>0</v>
      </c>
      <c r="L24" s="25"/>
      <c r="M24" s="26">
        <f>TariefOpbouwTotaalLoonkosten6*L24</f>
        <v>0</v>
      </c>
      <c r="N24" s="25"/>
      <c r="O24" s="26">
        <f>TariefOpbouwTotaalLoonkosten7*N24</f>
        <v>0</v>
      </c>
      <c r="P24" s="25"/>
      <c r="Q24" s="27">
        <f>TariefOpbouwTotaalLoonkosten8*P24</f>
        <v>0</v>
      </c>
    </row>
    <row r="25" spans="1:17" x14ac:dyDescent="0.2">
      <c r="A25" s="20" t="s">
        <v>64</v>
      </c>
      <c r="B25" s="25"/>
      <c r="C25" s="26">
        <f>TariefOpbouwTotaalLoonkosten1*B25</f>
        <v>0</v>
      </c>
      <c r="D25" s="25"/>
      <c r="E25" s="26">
        <f>TariefOpbouwTotaalLoonkosten2*D25</f>
        <v>0</v>
      </c>
      <c r="F25" s="25"/>
      <c r="G25" s="26">
        <f>TariefOpbouwTotaalLoonkosten3*F25</f>
        <v>0</v>
      </c>
      <c r="H25" s="25"/>
      <c r="I25" s="26">
        <f>TariefOpbouwTotaalLoonkosten4*H25</f>
        <v>0</v>
      </c>
      <c r="J25" s="25"/>
      <c r="K25" s="26">
        <f>TariefOpbouwTotaalLoonkosten5*J25</f>
        <v>0</v>
      </c>
      <c r="L25" s="25"/>
      <c r="M25" s="26">
        <f>TariefOpbouwTotaalLoonkosten6*L25</f>
        <v>0</v>
      </c>
      <c r="N25" s="25"/>
      <c r="O25" s="26">
        <f>TariefOpbouwTotaalLoonkosten7*N25</f>
        <v>0</v>
      </c>
      <c r="P25" s="25"/>
      <c r="Q25" s="27">
        <f>TariefOpbouwTotaalLoonkosten8*P25</f>
        <v>0</v>
      </c>
    </row>
    <row r="26" spans="1:17" x14ac:dyDescent="0.2">
      <c r="A26" s="11" t="s">
        <v>65</v>
      </c>
      <c r="B26" s="23">
        <f>SUM(TariefOpbouwTotaalLoonkosten1,C20:C25)</f>
        <v>0</v>
      </c>
      <c r="C26" s="23"/>
      <c r="D26" s="23">
        <f>SUM(TariefOpbouwTotaalLoonkosten2,E20:E25)</f>
        <v>0</v>
      </c>
      <c r="E26" s="23"/>
      <c r="F26" s="23">
        <f>SUM(TariefOpbouwTotaalLoonkosten3,G20:G25)</f>
        <v>0</v>
      </c>
      <c r="G26" s="23"/>
      <c r="H26" s="23">
        <f>SUM(TariefOpbouwTotaalLoonkosten4,I20:I25)</f>
        <v>0</v>
      </c>
      <c r="I26" s="23"/>
      <c r="J26" s="23">
        <f>SUM(TariefOpbouwTotaalLoonkosten5,K20:K25)</f>
        <v>0</v>
      </c>
      <c r="K26" s="23"/>
      <c r="L26" s="23">
        <f>SUM(TariefOpbouwTotaalLoonkosten6,M20:M25)</f>
        <v>0</v>
      </c>
      <c r="M26" s="23"/>
      <c r="N26" s="23">
        <f>SUM(TariefOpbouwTotaalLoonkosten7,O20:O25)</f>
        <v>0</v>
      </c>
      <c r="O26" s="23"/>
      <c r="P26" s="23">
        <f>SUM(TariefOpbouwTotaalLoonkosten8,Q20:Q25)</f>
        <v>0</v>
      </c>
      <c r="Q26" s="24"/>
    </row>
    <row r="27" spans="1:17" x14ac:dyDescent="0.2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</row>
    <row r="28" spans="1:17" x14ac:dyDescent="0.2">
      <c r="A28" s="20" t="s">
        <v>66</v>
      </c>
      <c r="B28" s="25"/>
      <c r="C28" s="26">
        <f>TariefOpbouwDirecteKosten1*B28</f>
        <v>0</v>
      </c>
      <c r="D28" s="25"/>
      <c r="E28" s="26">
        <f>TariefOpbouwDirecteKosten2*D28</f>
        <v>0</v>
      </c>
      <c r="F28" s="25"/>
      <c r="G28" s="26">
        <f>TariefOpbouwDirecteKosten3*F28</f>
        <v>0</v>
      </c>
      <c r="H28" s="25"/>
      <c r="I28" s="26">
        <f>TariefOpbouwDirecteKosten4*H28</f>
        <v>0</v>
      </c>
      <c r="J28" s="25"/>
      <c r="K28" s="26">
        <f>TariefOpbouwDirecteKosten5*J28</f>
        <v>0</v>
      </c>
      <c r="L28" s="25"/>
      <c r="M28" s="26">
        <f>TariefOpbouwDirecteKosten6*L28</f>
        <v>0</v>
      </c>
      <c r="N28" s="25"/>
      <c r="O28" s="26">
        <f>TariefOpbouwDirecteKosten7*N28</f>
        <v>0</v>
      </c>
      <c r="P28" s="25"/>
      <c r="Q28" s="27">
        <f>TariefOpbouwDirecteKosten8*P28</f>
        <v>0</v>
      </c>
    </row>
    <row r="29" spans="1:17" x14ac:dyDescent="0.2">
      <c r="A29" s="20" t="s">
        <v>67</v>
      </c>
      <c r="B29" s="25"/>
      <c r="C29" s="26">
        <f>TariefOpbouwDirecteKosten1*B29</f>
        <v>0</v>
      </c>
      <c r="D29" s="25"/>
      <c r="E29" s="26">
        <f>TariefOpbouwDirecteKosten2*D29</f>
        <v>0</v>
      </c>
      <c r="F29" s="25"/>
      <c r="G29" s="26">
        <f>TariefOpbouwDirecteKosten3*F29</f>
        <v>0</v>
      </c>
      <c r="H29" s="25"/>
      <c r="I29" s="26">
        <f>TariefOpbouwDirecteKosten4*H29</f>
        <v>0</v>
      </c>
      <c r="J29" s="25"/>
      <c r="K29" s="26">
        <f>TariefOpbouwDirecteKosten5*J29</f>
        <v>0</v>
      </c>
      <c r="L29" s="25"/>
      <c r="M29" s="26">
        <f>TariefOpbouwDirecteKosten6*L29</f>
        <v>0</v>
      </c>
      <c r="N29" s="25"/>
      <c r="O29" s="26">
        <f>TariefOpbouwDirecteKosten7*N29</f>
        <v>0</v>
      </c>
      <c r="P29" s="25"/>
      <c r="Q29" s="27">
        <f>TariefOpbouwDirecteKosten8*P29</f>
        <v>0</v>
      </c>
    </row>
    <row r="30" spans="1:17" x14ac:dyDescent="0.2">
      <c r="A30" s="20" t="s">
        <v>68</v>
      </c>
      <c r="B30" s="25"/>
      <c r="C30" s="26">
        <f>TariefOpbouwDirecteKosten1*B30</f>
        <v>0</v>
      </c>
      <c r="D30" s="25"/>
      <c r="E30" s="26">
        <f>TariefOpbouwDirecteKosten2*D30</f>
        <v>0</v>
      </c>
      <c r="F30" s="25"/>
      <c r="G30" s="26">
        <f>TariefOpbouwDirecteKosten3*F30</f>
        <v>0</v>
      </c>
      <c r="H30" s="25"/>
      <c r="I30" s="26">
        <f>TariefOpbouwDirecteKosten4*H30</f>
        <v>0</v>
      </c>
      <c r="J30" s="25"/>
      <c r="K30" s="26">
        <f>TariefOpbouwDirecteKosten5*J30</f>
        <v>0</v>
      </c>
      <c r="L30" s="25"/>
      <c r="M30" s="26">
        <f>TariefOpbouwDirecteKosten6*L30</f>
        <v>0</v>
      </c>
      <c r="N30" s="25"/>
      <c r="O30" s="26">
        <f>TariefOpbouwDirecteKosten7*N30</f>
        <v>0</v>
      </c>
      <c r="P30" s="25"/>
      <c r="Q30" s="27">
        <f>TariefOpbouwDirecteKosten8*P30</f>
        <v>0</v>
      </c>
    </row>
    <row r="31" spans="1:17" x14ac:dyDescent="0.2">
      <c r="A31" s="20" t="s">
        <v>69</v>
      </c>
      <c r="B31" s="25"/>
      <c r="C31" s="26">
        <f>TariefOpbouwDirecteKosten1*B31</f>
        <v>0</v>
      </c>
      <c r="D31" s="25"/>
      <c r="E31" s="26">
        <f>TariefOpbouwDirecteKosten2*D31</f>
        <v>0</v>
      </c>
      <c r="F31" s="25"/>
      <c r="G31" s="26">
        <f>TariefOpbouwDirecteKosten3*F31</f>
        <v>0</v>
      </c>
      <c r="H31" s="25"/>
      <c r="I31" s="26">
        <f>TariefOpbouwDirecteKosten4*H31</f>
        <v>0</v>
      </c>
      <c r="J31" s="25"/>
      <c r="K31" s="26">
        <f>TariefOpbouwDirecteKosten5*J31</f>
        <v>0</v>
      </c>
      <c r="L31" s="25"/>
      <c r="M31" s="26">
        <f>TariefOpbouwDirecteKosten6*L31</f>
        <v>0</v>
      </c>
      <c r="N31" s="25"/>
      <c r="O31" s="26">
        <f>TariefOpbouwDirecteKosten7*N31</f>
        <v>0</v>
      </c>
      <c r="P31" s="25"/>
      <c r="Q31" s="27">
        <f>TariefOpbouwDirecteKosten8*P31</f>
        <v>0</v>
      </c>
    </row>
    <row r="32" spans="1:17" x14ac:dyDescent="0.2">
      <c r="A32" s="20" t="s">
        <v>70</v>
      </c>
      <c r="B32" s="25"/>
      <c r="C32" s="26">
        <f>TariefOpbouwDirecteKosten1*B32</f>
        <v>0</v>
      </c>
      <c r="D32" s="25"/>
      <c r="E32" s="26">
        <f>TariefOpbouwDirecteKosten2*D32</f>
        <v>0</v>
      </c>
      <c r="F32" s="25"/>
      <c r="G32" s="26">
        <f>TariefOpbouwDirecteKosten3*F32</f>
        <v>0</v>
      </c>
      <c r="H32" s="25"/>
      <c r="I32" s="26">
        <f>TariefOpbouwDirecteKosten4*H32</f>
        <v>0</v>
      </c>
      <c r="J32" s="25"/>
      <c r="K32" s="26">
        <f>TariefOpbouwDirecteKosten5*J32</f>
        <v>0</v>
      </c>
      <c r="L32" s="25"/>
      <c r="M32" s="26">
        <f>TariefOpbouwDirecteKosten6*L32</f>
        <v>0</v>
      </c>
      <c r="N32" s="25"/>
      <c r="O32" s="26">
        <f>TariefOpbouwDirecteKosten7*N32</f>
        <v>0</v>
      </c>
      <c r="P32" s="25"/>
      <c r="Q32" s="27">
        <f>TariefOpbouwDirecteKosten8*P32</f>
        <v>0</v>
      </c>
    </row>
    <row r="33" spans="1:17" x14ac:dyDescent="0.2">
      <c r="A33" s="20" t="s">
        <v>71</v>
      </c>
      <c r="B33" s="25"/>
      <c r="C33" s="26">
        <f>TariefOpbouwDirecteKosten1*B33</f>
        <v>0</v>
      </c>
      <c r="D33" s="25"/>
      <c r="E33" s="26">
        <f>TariefOpbouwDirecteKosten2*D33</f>
        <v>0</v>
      </c>
      <c r="F33" s="25"/>
      <c r="G33" s="26">
        <f>TariefOpbouwDirecteKosten3*F33</f>
        <v>0</v>
      </c>
      <c r="H33" s="25"/>
      <c r="I33" s="26">
        <f>TariefOpbouwDirecteKosten4*H33</f>
        <v>0</v>
      </c>
      <c r="J33" s="25"/>
      <c r="K33" s="26">
        <f>TariefOpbouwDirecteKosten5*J33</f>
        <v>0</v>
      </c>
      <c r="L33" s="25"/>
      <c r="M33" s="26">
        <f>TariefOpbouwDirecteKosten6*L33</f>
        <v>0</v>
      </c>
      <c r="N33" s="25"/>
      <c r="O33" s="26">
        <f>TariefOpbouwDirecteKosten7*N33</f>
        <v>0</v>
      </c>
      <c r="P33" s="25"/>
      <c r="Q33" s="27">
        <f>TariefOpbouwDirecteKosten8*P33</f>
        <v>0</v>
      </c>
    </row>
    <row r="34" spans="1:17" x14ac:dyDescent="0.2">
      <c r="A34" s="20" t="s">
        <v>72</v>
      </c>
      <c r="B34" s="25"/>
      <c r="C34" s="26">
        <f>TariefOpbouwDirecteKosten1*B34</f>
        <v>0</v>
      </c>
      <c r="D34" s="25"/>
      <c r="E34" s="26">
        <f>TariefOpbouwDirecteKosten2*D34</f>
        <v>0</v>
      </c>
      <c r="F34" s="25"/>
      <c r="G34" s="26">
        <f>TariefOpbouwDirecteKosten3*F34</f>
        <v>0</v>
      </c>
      <c r="H34" s="25"/>
      <c r="I34" s="26">
        <f>TariefOpbouwDirecteKosten4*H34</f>
        <v>0</v>
      </c>
      <c r="J34" s="25"/>
      <c r="K34" s="26">
        <f>TariefOpbouwDirecteKosten5*J34</f>
        <v>0</v>
      </c>
      <c r="L34" s="25"/>
      <c r="M34" s="26">
        <f>TariefOpbouwDirecteKosten6*L34</f>
        <v>0</v>
      </c>
      <c r="N34" s="25"/>
      <c r="O34" s="26">
        <f>TariefOpbouwDirecteKosten7*N34</f>
        <v>0</v>
      </c>
      <c r="P34" s="25"/>
      <c r="Q34" s="27">
        <f>TariefOpbouwDirecteKosten8*P34</f>
        <v>0</v>
      </c>
    </row>
    <row r="35" spans="1:17" x14ac:dyDescent="0.2">
      <c r="A35" s="11" t="s">
        <v>73</v>
      </c>
      <c r="B35" s="23">
        <f>SUM(C28:C34)</f>
        <v>0</v>
      </c>
      <c r="C35" s="23"/>
      <c r="D35" s="23">
        <f>SUM(E28:E34)</f>
        <v>0</v>
      </c>
      <c r="E35" s="23"/>
      <c r="F35" s="23">
        <f>SUM(G28:G34)</f>
        <v>0</v>
      </c>
      <c r="G35" s="23"/>
      <c r="H35" s="23">
        <f>SUM(I28:I34)</f>
        <v>0</v>
      </c>
      <c r="I35" s="23"/>
      <c r="J35" s="23">
        <f>SUM(K28:K34)</f>
        <v>0</v>
      </c>
      <c r="K35" s="23"/>
      <c r="L35" s="23">
        <f>SUM(M28:M34)</f>
        <v>0</v>
      </c>
      <c r="M35" s="23"/>
      <c r="N35" s="23">
        <f>SUM(O28:O34)</f>
        <v>0</v>
      </c>
      <c r="O35" s="23"/>
      <c r="P35" s="23">
        <f>SUM(Q28:Q34)</f>
        <v>0</v>
      </c>
      <c r="Q35" s="24"/>
    </row>
    <row r="36" spans="1:17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x14ac:dyDescent="0.2">
      <c r="A37" s="11" t="s">
        <v>74</v>
      </c>
      <c r="B37" s="25"/>
      <c r="C37" s="26">
        <f>(TariefOpbouwDirecteKosten1+TariefOpbouwIndirecteKosten1)*B37</f>
        <v>0</v>
      </c>
      <c r="D37" s="25"/>
      <c r="E37" s="26">
        <f>(TariefOpbouwDirecteKosten2+TariefOpbouwIndirecteKosten2)*D37</f>
        <v>0</v>
      </c>
      <c r="F37" s="25"/>
      <c r="G37" s="26">
        <f>(TariefOpbouwDirecteKosten3+TariefOpbouwIndirecteKosten3)*F37</f>
        <v>0</v>
      </c>
      <c r="H37" s="25"/>
      <c r="I37" s="26">
        <f>(TariefOpbouwDirecteKosten4+TariefOpbouwIndirecteKosten4)*H37</f>
        <v>0</v>
      </c>
      <c r="J37" s="25"/>
      <c r="K37" s="26">
        <f>(TariefOpbouwDirecteKosten5+TariefOpbouwIndirecteKosten5)*J37</f>
        <v>0</v>
      </c>
      <c r="L37" s="25"/>
      <c r="M37" s="26">
        <f>(TariefOpbouwDirecteKosten6+TariefOpbouwIndirecteKosten6)*L37</f>
        <v>0</v>
      </c>
      <c r="N37" s="25"/>
      <c r="O37" s="26">
        <f>(TariefOpbouwDirecteKosten7+TariefOpbouwIndirecteKosten7)*N37</f>
        <v>0</v>
      </c>
      <c r="P37" s="25"/>
      <c r="Q37" s="27">
        <f>(TariefOpbouwDirecteKosten8+TariefOpbouwIndirecteKosten8)*P37</f>
        <v>0</v>
      </c>
    </row>
    <row r="38" spans="1:17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x14ac:dyDescent="0.2">
      <c r="A39" s="11" t="s">
        <v>75</v>
      </c>
      <c r="B39" s="23">
        <f>TariefOpbouwDirecteKosten1+TariefOpbouwIndirecteKosten1+TariefOpbouwRisicoWinst1</f>
        <v>0</v>
      </c>
      <c r="C39" s="23"/>
      <c r="D39" s="23">
        <f>TariefOpbouwDirecteKosten2+TariefOpbouwIndirecteKosten2+TariefOpbouwRisicoWinst2</f>
        <v>0</v>
      </c>
      <c r="E39" s="23"/>
      <c r="F39" s="23">
        <f>TariefOpbouwDirecteKosten3+TariefOpbouwIndirecteKosten3+TariefOpbouwRisicoWinst3</f>
        <v>0</v>
      </c>
      <c r="G39" s="23"/>
      <c r="H39" s="23">
        <f>TariefOpbouwDirecteKosten4+TariefOpbouwIndirecteKosten4+TariefOpbouwRisicoWinst4</f>
        <v>0</v>
      </c>
      <c r="I39" s="23"/>
      <c r="J39" s="23">
        <f>TariefOpbouwDirecteKosten5+TariefOpbouwIndirecteKosten5+TariefOpbouwRisicoWinst5</f>
        <v>0</v>
      </c>
      <c r="K39" s="23"/>
      <c r="L39" s="23">
        <f>TariefOpbouwDirecteKosten6+TariefOpbouwIndirecteKosten6+TariefOpbouwRisicoWinst6</f>
        <v>0</v>
      </c>
      <c r="M39" s="23"/>
      <c r="N39" s="23">
        <f>TariefOpbouwDirecteKosten7+TariefOpbouwIndirecteKosten7+TariefOpbouwRisicoWinst7</f>
        <v>0</v>
      </c>
      <c r="O39" s="23"/>
      <c r="P39" s="23">
        <f>TariefOpbouwDirecteKosten8+TariefOpbouwIndirecteKosten8+TariefOpbouwRisicoWinst8</f>
        <v>0</v>
      </c>
      <c r="Q39" s="24"/>
    </row>
    <row r="40" spans="1:17" x14ac:dyDescent="0.2">
      <c r="A40" s="11" t="s">
        <v>76</v>
      </c>
      <c r="B40" s="31" t="s">
        <v>77</v>
      </c>
      <c r="C40" s="31" t="s">
        <v>78</v>
      </c>
      <c r="D40" s="31" t="s">
        <v>77</v>
      </c>
      <c r="E40" s="31" t="s">
        <v>78</v>
      </c>
      <c r="F40" s="31" t="s">
        <v>77</v>
      </c>
      <c r="G40" s="31" t="s">
        <v>78</v>
      </c>
      <c r="H40" s="31" t="s">
        <v>77</v>
      </c>
      <c r="I40" s="31" t="s">
        <v>78</v>
      </c>
      <c r="J40" s="31" t="s">
        <v>77</v>
      </c>
      <c r="K40" s="31" t="s">
        <v>78</v>
      </c>
      <c r="L40" s="31" t="s">
        <v>77</v>
      </c>
      <c r="M40" s="31" t="s">
        <v>78</v>
      </c>
      <c r="N40" s="31" t="s">
        <v>77</v>
      </c>
      <c r="O40" s="31" t="s">
        <v>78</v>
      </c>
      <c r="P40" s="31" t="s">
        <v>77</v>
      </c>
      <c r="Q40" s="32" t="s">
        <v>78</v>
      </c>
    </row>
    <row r="41" spans="1:17" x14ac:dyDescent="0.2">
      <c r="A41" s="11" t="s">
        <v>79</v>
      </c>
      <c r="B41" s="33">
        <v>0.3</v>
      </c>
      <c r="C41" s="26">
        <f>((1+B41)*TariefOpbouwTotaalLoonkosten1+TariefOpbouwDirecteKosten1-TariefOpbouwTotaalLoonkosten1+TariefOpbouwIndirecteKosten1)*(1+TariefOpbouwRisicoWinstPercentage1)</f>
        <v>0</v>
      </c>
      <c r="D41" s="33">
        <v>0.3</v>
      </c>
      <c r="E41" s="26">
        <f>((1+D41)*TariefOpbouwTotaalLoonkosten2+TariefOpbouwDirecteKosten2-TariefOpbouwTotaalLoonkosten2+TariefOpbouwIndirecteKosten2)*(1+TariefOpbouwRisicoWinstPercentage2)</f>
        <v>0</v>
      </c>
      <c r="F41" s="33">
        <v>0.3</v>
      </c>
      <c r="G41" s="26">
        <f>((1+F41)*TariefOpbouwTotaalLoonkosten3+TariefOpbouwDirecteKosten3-TariefOpbouwTotaalLoonkosten3+TariefOpbouwIndirecteKosten3)*(1+TariefOpbouwRisicoWinstPercentage3)</f>
        <v>0</v>
      </c>
      <c r="H41" s="33">
        <v>0.3</v>
      </c>
      <c r="I41" s="26">
        <f>((1+H41)*TariefOpbouwTotaalLoonkosten4+TariefOpbouwDirecteKosten4-TariefOpbouwTotaalLoonkosten4+TariefOpbouwIndirecteKosten4)*(1+TariefOpbouwRisicoWinstPercentage4)</f>
        <v>0</v>
      </c>
      <c r="J41" s="33">
        <v>0.3</v>
      </c>
      <c r="K41" s="26">
        <f>((1+J41)*TariefOpbouwTotaalLoonkosten5+TariefOpbouwDirecteKosten5-TariefOpbouwTotaalLoonkosten5+TariefOpbouwIndirecteKosten5)*(1+TariefOpbouwRisicoWinstPercentage5)</f>
        <v>0</v>
      </c>
      <c r="L41" s="33">
        <v>0.3</v>
      </c>
      <c r="M41" s="26">
        <f>((1+L41)*TariefOpbouwTotaalLoonkosten6+TariefOpbouwDirecteKosten6-TariefOpbouwTotaalLoonkosten6+TariefOpbouwIndirecteKosten6)*(1+TariefOpbouwRisicoWinstPercentage6)</f>
        <v>0</v>
      </c>
      <c r="N41" s="33">
        <v>0.3</v>
      </c>
      <c r="O41" s="26">
        <f>((1+N41)*TariefOpbouwTotaalLoonkosten7+TariefOpbouwDirecteKosten7-TariefOpbouwTotaalLoonkosten7+TariefOpbouwIndirecteKosten7)*(1+TariefOpbouwRisicoWinstPercentage7)</f>
        <v>0</v>
      </c>
      <c r="P41" s="33">
        <v>0.3</v>
      </c>
      <c r="Q41" s="27">
        <f>((1+P41)*TariefOpbouwTotaalLoonkosten8+TariefOpbouwDirecteKosten8-TariefOpbouwTotaalLoonkosten8+TariefOpbouwIndirecteKosten8)*(1+TariefOpbouwRisicoWinstPercentage8)</f>
        <v>0</v>
      </c>
    </row>
    <row r="42" spans="1:17" x14ac:dyDescent="0.2">
      <c r="A42" s="11" t="s">
        <v>80</v>
      </c>
      <c r="B42" s="33">
        <v>0.5</v>
      </c>
      <c r="C42" s="26">
        <f>((1+B42)*TariefOpbouwTotaalLoonkosten1+TariefOpbouwDirecteKosten1-TariefOpbouwTotaalLoonkosten1+TariefOpbouwIndirecteKosten1)*(1+TariefOpbouwRisicoWinstPercentage1)</f>
        <v>0</v>
      </c>
      <c r="D42" s="33">
        <v>0.5</v>
      </c>
      <c r="E42" s="26">
        <f>((1+D42)*TariefOpbouwTotaalLoonkosten2+TariefOpbouwDirecteKosten2-TariefOpbouwTotaalLoonkosten2+TariefOpbouwIndirecteKosten2)*(1+TariefOpbouwRisicoWinstPercentage2)</f>
        <v>0</v>
      </c>
      <c r="F42" s="33">
        <v>0.5</v>
      </c>
      <c r="G42" s="26">
        <f>((1+F42)*TariefOpbouwTotaalLoonkosten3+TariefOpbouwDirecteKosten3-TariefOpbouwTotaalLoonkosten3+TariefOpbouwIndirecteKosten3)*(1+TariefOpbouwRisicoWinstPercentage3)</f>
        <v>0</v>
      </c>
      <c r="H42" s="33">
        <v>0.5</v>
      </c>
      <c r="I42" s="26">
        <f>((1+H42)*TariefOpbouwTotaalLoonkosten4+TariefOpbouwDirecteKosten4-TariefOpbouwTotaalLoonkosten4+TariefOpbouwIndirecteKosten4)*(1+TariefOpbouwRisicoWinstPercentage4)</f>
        <v>0</v>
      </c>
      <c r="J42" s="33">
        <v>0.5</v>
      </c>
      <c r="K42" s="26">
        <f>((1+J42)*TariefOpbouwTotaalLoonkosten5+TariefOpbouwDirecteKosten5-TariefOpbouwTotaalLoonkosten5+TariefOpbouwIndirecteKosten5)*(1+TariefOpbouwRisicoWinstPercentage5)</f>
        <v>0</v>
      </c>
      <c r="L42" s="33">
        <v>0.5</v>
      </c>
      <c r="M42" s="26">
        <f>((1+L42)*TariefOpbouwTotaalLoonkosten6+TariefOpbouwDirecteKosten6-TariefOpbouwTotaalLoonkosten6+TariefOpbouwIndirecteKosten6)*(1+TariefOpbouwRisicoWinstPercentage6)</f>
        <v>0</v>
      </c>
      <c r="N42" s="33">
        <v>0.5</v>
      </c>
      <c r="O42" s="26">
        <f>((1+N42)*TariefOpbouwTotaalLoonkosten7+TariefOpbouwDirecteKosten7-TariefOpbouwTotaalLoonkosten7+TariefOpbouwIndirecteKosten7)*(1+TariefOpbouwRisicoWinstPercentage7)</f>
        <v>0</v>
      </c>
      <c r="P42" s="33">
        <v>0.5</v>
      </c>
      <c r="Q42" s="27">
        <f>((1+P42)*TariefOpbouwTotaalLoonkosten8+TariefOpbouwDirecteKosten8-TariefOpbouwTotaalLoonkosten8+TariefOpbouwIndirecteKosten8)*(1+TariefOpbouwRisicoWinstPercentage8)</f>
        <v>0</v>
      </c>
    </row>
    <row r="43" spans="1:17" x14ac:dyDescent="0.2">
      <c r="A43" s="34" t="s">
        <v>81</v>
      </c>
      <c r="B43" s="35">
        <v>1.5</v>
      </c>
      <c r="C43" s="36">
        <f>((1+B43)*TariefOpbouwTotaalLoonkosten1+TariefOpbouwDirecteKosten1-TariefOpbouwTotaalLoonkosten1+TariefOpbouwIndirecteKosten1)*(1+TariefOpbouwRisicoWinstPercentage1)</f>
        <v>0</v>
      </c>
      <c r="D43" s="35">
        <v>1.5</v>
      </c>
      <c r="E43" s="36">
        <f>((1+D43)*TariefOpbouwTotaalLoonkosten2+TariefOpbouwDirecteKosten2-TariefOpbouwTotaalLoonkosten2+TariefOpbouwIndirecteKosten2)*(1+TariefOpbouwRisicoWinstPercentage2)</f>
        <v>0</v>
      </c>
      <c r="F43" s="35">
        <v>1.5</v>
      </c>
      <c r="G43" s="36">
        <f>((1+F43)*TariefOpbouwTotaalLoonkosten3+TariefOpbouwDirecteKosten3-TariefOpbouwTotaalLoonkosten3+TariefOpbouwIndirecteKosten3)*(1+TariefOpbouwRisicoWinstPercentage3)</f>
        <v>0</v>
      </c>
      <c r="H43" s="35">
        <v>1.5</v>
      </c>
      <c r="I43" s="36">
        <f>((1+H43)*TariefOpbouwTotaalLoonkosten4+TariefOpbouwDirecteKosten4-TariefOpbouwTotaalLoonkosten4+TariefOpbouwIndirecteKosten4)*(1+TariefOpbouwRisicoWinstPercentage4)</f>
        <v>0</v>
      </c>
      <c r="J43" s="35">
        <v>1.5</v>
      </c>
      <c r="K43" s="36">
        <f>((1+J43)*TariefOpbouwTotaalLoonkosten5+TariefOpbouwDirecteKosten5-TariefOpbouwTotaalLoonkosten5+TariefOpbouwIndirecteKosten5)*(1+TariefOpbouwRisicoWinstPercentage5)</f>
        <v>0</v>
      </c>
      <c r="L43" s="35">
        <v>1.5</v>
      </c>
      <c r="M43" s="36">
        <f>((1+L43)*TariefOpbouwTotaalLoonkosten6+TariefOpbouwDirecteKosten6-TariefOpbouwTotaalLoonkosten6+TariefOpbouwIndirecteKosten6)*(1+TariefOpbouwRisicoWinstPercentage6)</f>
        <v>0</v>
      </c>
      <c r="N43" s="35">
        <v>1.5</v>
      </c>
      <c r="O43" s="36">
        <f>((1+N43)*TariefOpbouwTotaalLoonkosten7+TariefOpbouwDirecteKosten7-TariefOpbouwTotaalLoonkosten7+TariefOpbouwIndirecteKosten7)*(1+TariefOpbouwRisicoWinstPercentage7)</f>
        <v>0</v>
      </c>
      <c r="P43" s="35">
        <v>1.5</v>
      </c>
      <c r="Q43" s="37">
        <f>((1+P43)*TariefOpbouwTotaalLoonkosten8+TariefOpbouwDirecteKosten8-TariefOpbouwTotaalLoonkosten8+TariefOpbouwIndirecteKosten8)*(1+TariefOpbouwRisicoWinstPercentage8)</f>
        <v>0</v>
      </c>
    </row>
    <row r="45" spans="1:17" ht="25.5" customHeight="1" x14ac:dyDescent="0.2">
      <c r="A45" s="8" t="s">
        <v>82</v>
      </c>
      <c r="B45" s="38" t="s">
        <v>83</v>
      </c>
      <c r="C45" s="38"/>
      <c r="D45" s="38" t="s">
        <v>84</v>
      </c>
      <c r="E45" s="38"/>
      <c r="F45" s="38" t="s">
        <v>85</v>
      </c>
      <c r="G45" s="38"/>
      <c r="H45" s="38" t="s">
        <v>86</v>
      </c>
      <c r="I45" s="39"/>
    </row>
    <row r="46" spans="1:17" x14ac:dyDescent="0.2">
      <c r="A46" s="28"/>
      <c r="B46" s="31" t="s">
        <v>87</v>
      </c>
      <c r="C46" s="31" t="s">
        <v>88</v>
      </c>
      <c r="D46" s="31" t="s">
        <v>87</v>
      </c>
      <c r="E46" s="31" t="s">
        <v>88</v>
      </c>
      <c r="F46" s="31" t="s">
        <v>87</v>
      </c>
      <c r="G46" s="31" t="s">
        <v>88</v>
      </c>
      <c r="H46" s="31" t="s">
        <v>87</v>
      </c>
      <c r="I46" s="32" t="s">
        <v>88</v>
      </c>
    </row>
    <row r="47" spans="1:17" x14ac:dyDescent="0.2">
      <c r="A47" s="40" t="str">
        <f>TariefOpbouwNaam1&amp;" "&amp;TariefOpbouwErvaring1</f>
        <v>Vakvolwassene &gt;3 dienstjaren</v>
      </c>
      <c r="B47" s="25"/>
      <c r="C47" s="26">
        <f>TariefOpbouwTarief1</f>
        <v>0</v>
      </c>
      <c r="D47" s="25"/>
      <c r="E47" s="26">
        <f>TariefOpbouwTarief1</f>
        <v>0</v>
      </c>
      <c r="F47" s="25"/>
      <c r="G47" s="26">
        <f>TariefOpbouwTarief1W</f>
        <v>0</v>
      </c>
      <c r="H47" s="25"/>
      <c r="I47" s="27">
        <f>TariefOpbouwTarief1X</f>
        <v>0</v>
      </c>
    </row>
    <row r="48" spans="1:17" x14ac:dyDescent="0.2">
      <c r="A48" s="40" t="str">
        <f>TariefOpbouwNaam2&amp;" "&amp;TariefOpbouwErvaring2</f>
        <v xml:space="preserve">Vakvolwassene </v>
      </c>
      <c r="B48" s="25"/>
      <c r="C48" s="26">
        <f>TariefOpbouwTarief2</f>
        <v>0</v>
      </c>
      <c r="D48" s="25"/>
      <c r="E48" s="26">
        <f>TariefOpbouwTarief2</f>
        <v>0</v>
      </c>
      <c r="F48" s="25"/>
      <c r="G48" s="26">
        <f>TariefOpbouwTarief2W</f>
        <v>0</v>
      </c>
      <c r="H48" s="25"/>
      <c r="I48" s="27">
        <f>TariefOpbouwTarief2X</f>
        <v>0</v>
      </c>
    </row>
    <row r="49" spans="1:9" x14ac:dyDescent="0.2">
      <c r="A49" s="40" t="str">
        <f>TariefOpbouwNaam3&amp;" "&amp;TariefOpbouwErvaring3</f>
        <v>Leiding (meewerkend) voorman/vrouw</v>
      </c>
      <c r="B49" s="25"/>
      <c r="C49" s="26">
        <f>TariefOpbouwTarief3</f>
        <v>0</v>
      </c>
      <c r="D49" s="25"/>
      <c r="E49" s="26">
        <f>TariefOpbouwTarief3</f>
        <v>0</v>
      </c>
      <c r="F49" s="25"/>
      <c r="G49" s="26">
        <f>TariefOpbouwTarief3W</f>
        <v>0</v>
      </c>
      <c r="H49" s="25"/>
      <c r="I49" s="27">
        <f>TariefOpbouwTarief3X</f>
        <v>0</v>
      </c>
    </row>
    <row r="50" spans="1:9" x14ac:dyDescent="0.2">
      <c r="A50" s="11" t="s">
        <v>89</v>
      </c>
      <c r="B50" s="41" t="str">
        <f>IF(SUM(B47:B49)=1,SUM(B47:B49),"ongeldig")</f>
        <v>ongeldig</v>
      </c>
      <c r="C50" s="26">
        <f>SUMPRODUCT(B47:B49,C47:C49)</f>
        <v>0</v>
      </c>
      <c r="D50" s="41" t="str">
        <f>IF(SUM(D47:D49)=1,SUM(D47:D49),"ongeldig")</f>
        <v>ongeldig</v>
      </c>
      <c r="E50" s="26">
        <f>SUMPRODUCT(D47:D49,E47:E49)</f>
        <v>0</v>
      </c>
      <c r="F50" s="41" t="str">
        <f>IF(SUM(F47:F49)=1,SUM(F47:F49),"ongeldig")</f>
        <v>ongeldig</v>
      </c>
      <c r="G50" s="26">
        <f>SUMPRODUCT(F47:F49,G47:G49)</f>
        <v>0</v>
      </c>
      <c r="H50" s="41" t="str">
        <f>IF(SUM(H47:H49)=1,SUM(H47:H49),"ongeldig")</f>
        <v>ongeldig</v>
      </c>
      <c r="I50" s="27">
        <f>SUMPRODUCT(H47:H49,I47:I49)</f>
        <v>0</v>
      </c>
    </row>
    <row r="51" spans="1:9" x14ac:dyDescent="0.2">
      <c r="A51" s="40" t="str">
        <f>TariefOpbouwNaam4&amp;" "&amp;TariefOpbouwErvaring4</f>
        <v>Leiding (niet-meewerkend) voorman/vrouw</v>
      </c>
      <c r="B51" s="25"/>
      <c r="C51" s="26">
        <f>TariefOpbouwTarief4</f>
        <v>0</v>
      </c>
      <c r="D51" s="25"/>
      <c r="E51" s="26">
        <f>TariefOpbouwTarief4</f>
        <v>0</v>
      </c>
      <c r="F51" s="25"/>
      <c r="G51" s="26">
        <f>TariefOpbouwTarief4W</f>
        <v>0</v>
      </c>
      <c r="H51" s="25"/>
      <c r="I51" s="27">
        <f>TariefOpbouwTarief4X</f>
        <v>0</v>
      </c>
    </row>
    <row r="52" spans="1:9" x14ac:dyDescent="0.2">
      <c r="A52" s="40" t="str">
        <f>TariefOpbouwNaam5&amp;" "&amp;TariefOpbouwErvaring5</f>
        <v>Leiding (niet-meewerkend) objectleider</v>
      </c>
      <c r="B52" s="25"/>
      <c r="C52" s="26">
        <f>TariefOpbouwTarief5</f>
        <v>0</v>
      </c>
      <c r="D52" s="25"/>
      <c r="E52" s="26">
        <f>TariefOpbouwTarief5</f>
        <v>0</v>
      </c>
      <c r="F52" s="25"/>
      <c r="G52" s="26">
        <f>TariefOpbouwTarief5W</f>
        <v>0</v>
      </c>
      <c r="H52" s="25"/>
      <c r="I52" s="27">
        <f>TariefOpbouwTarief5X</f>
        <v>0</v>
      </c>
    </row>
    <row r="53" spans="1:9" x14ac:dyDescent="0.2">
      <c r="A53" s="34" t="s">
        <v>90</v>
      </c>
      <c r="B53" s="42">
        <f>TariefUitvoering1+IF(SUM(B51:B52)&gt;0,SUMPRODUCT(B51:B52,C51:C52))</f>
        <v>0</v>
      </c>
      <c r="C53" s="42"/>
      <c r="D53" s="42">
        <f>TariefUitvoering2+IF(SUM(D51:D52)&gt;0,SUMPRODUCT(D51:D52,E51:E52))</f>
        <v>0</v>
      </c>
      <c r="E53" s="42"/>
      <c r="F53" s="42">
        <f>TariefUitvoering6+IF(SUM(F51:F52)&gt;0,SUMPRODUCT(F51:F52,G51:G52))</f>
        <v>0</v>
      </c>
      <c r="G53" s="42"/>
      <c r="H53" s="42">
        <f>TariefUitvoering7+IF(SUM(H51:H52)&gt;0,SUMPRODUCT(H51:H52,I51:I52))</f>
        <v>0</v>
      </c>
      <c r="I53" s="43"/>
    </row>
    <row r="55" spans="1:9" ht="38.25" customHeight="1" x14ac:dyDescent="0.2">
      <c r="A55" s="8" t="s">
        <v>91</v>
      </c>
      <c r="B55" s="38" t="s">
        <v>92</v>
      </c>
      <c r="C55" s="38"/>
      <c r="D55" s="38" t="s">
        <v>93</v>
      </c>
      <c r="E55" s="38"/>
      <c r="F55" s="38" t="s">
        <v>94</v>
      </c>
      <c r="G55" s="39"/>
    </row>
    <row r="56" spans="1:9" x14ac:dyDescent="0.2">
      <c r="A56" s="28"/>
      <c r="B56" s="31" t="s">
        <v>87</v>
      </c>
      <c r="C56" s="31" t="s">
        <v>88</v>
      </c>
      <c r="D56" s="31" t="s">
        <v>87</v>
      </c>
      <c r="E56" s="31" t="s">
        <v>88</v>
      </c>
      <c r="F56" s="31" t="s">
        <v>87</v>
      </c>
      <c r="G56" s="32" t="s">
        <v>88</v>
      </c>
    </row>
    <row r="57" spans="1:9" x14ac:dyDescent="0.2">
      <c r="A57" s="40" t="str">
        <f>TariefOpbouwNaam6&amp;" "&amp;TariefOpbouwErvaring6</f>
        <v xml:space="preserve">Vakvolwassene regie </v>
      </c>
      <c r="B57" s="25"/>
      <c r="C57" s="26">
        <f>TariefOpbouwTarief6</f>
        <v>0</v>
      </c>
      <c r="D57" s="25"/>
      <c r="E57" s="26">
        <f>TariefOpbouwTarief6</f>
        <v>0</v>
      </c>
      <c r="F57" s="25"/>
      <c r="G57" s="27">
        <f>TariefOpbouwTarief6</f>
        <v>0</v>
      </c>
    </row>
    <row r="58" spans="1:9" x14ac:dyDescent="0.2">
      <c r="A58" s="40" t="str">
        <f>TariefOpbouwNaam7&amp;" "&amp;TariefOpbouwErvaring7</f>
        <v>Vakvolwassene regie specialist</v>
      </c>
      <c r="B58" s="25"/>
      <c r="C58" s="26">
        <f>TariefOpbouwTarief7</f>
        <v>0</v>
      </c>
      <c r="D58" s="25"/>
      <c r="E58" s="26">
        <f>TariefOpbouwTarief7</f>
        <v>0</v>
      </c>
      <c r="F58" s="25"/>
      <c r="G58" s="27">
        <f>TariefOpbouwTarief7</f>
        <v>0</v>
      </c>
    </row>
    <row r="59" spans="1:9" x14ac:dyDescent="0.2">
      <c r="A59" s="11" t="s">
        <v>89</v>
      </c>
      <c r="B59" s="41" t="str">
        <f>IF(SUM(B57:B58)=1,SUM(B57:B58),"ongeldig")</f>
        <v>ongeldig</v>
      </c>
      <c r="C59" s="26">
        <f>SUMPRODUCT(B57:B58,C57:C58)</f>
        <v>0</v>
      </c>
      <c r="D59" s="41" t="str">
        <f>IF(SUM(D57:D58)=1,SUM(D57:D58),"ongeldig")</f>
        <v>ongeldig</v>
      </c>
      <c r="E59" s="26">
        <f>SUMPRODUCT(D57:D58,E57:E58)</f>
        <v>0</v>
      </c>
      <c r="F59" s="41" t="str">
        <f>IF(SUM(F57:F58)=1,SUM(F57:F58),"ongeldig")</f>
        <v>ongeldig</v>
      </c>
      <c r="G59" s="27">
        <f>SUMPRODUCT(F57:F58,G57:G58)</f>
        <v>0</v>
      </c>
    </row>
    <row r="60" spans="1:9" x14ac:dyDescent="0.2">
      <c r="A60" s="40" t="str">
        <f>TariefOpbouwNaam8&amp;" "&amp;TariefOpbouwErvaring8</f>
        <v xml:space="preserve">Leiding regie </v>
      </c>
      <c r="B60" s="25"/>
      <c r="C60" s="26">
        <f>TariefOpbouwTarief8</f>
        <v>0</v>
      </c>
      <c r="D60" s="25"/>
      <c r="E60" s="26">
        <f>TariefOpbouwTarief8</f>
        <v>0</v>
      </c>
      <c r="F60" s="25"/>
      <c r="G60" s="27">
        <f>TariefOpbouwTarief8</f>
        <v>0</v>
      </c>
    </row>
    <row r="61" spans="1:9" x14ac:dyDescent="0.2">
      <c r="A61" s="34" t="s">
        <v>95</v>
      </c>
      <c r="B61" s="42">
        <f>TariefUitvoering3+IF(SUM(B60:B60)&gt;0,SUMPRODUCT(B60:B60,C60:C60))</f>
        <v>0</v>
      </c>
      <c r="C61" s="42"/>
      <c r="D61" s="42">
        <f>TariefUitvoering4+IF(SUM(D60:D60)&gt;0,SUMPRODUCT(D60:D60,E60:E60))</f>
        <v>0</v>
      </c>
      <c r="E61" s="42"/>
      <c r="F61" s="42">
        <f>TariefUitvoering5+IF(SUM(F60:F60)&gt;0,SUMPRODUCT(F60:F60,G60:G60))</f>
        <v>0</v>
      </c>
      <c r="G61" s="43"/>
    </row>
  </sheetData>
  <sheetProtection algorithmName="SHA-512" hashValue="5ErIuy3pJmgyPSkYIRwDbpBSfTrlPqifX+qWF23yEiz6ZnW7mwr9MaqWPetcj9VaCBbP4UO0vLfn3N+KG5E0gA==" saltValue="eX1recTGXiCDeV4q3IdQiA==" spinCount="100000" sheet="1" objects="1" scenarios="1" autoFilter="0"/>
  <mergeCells count="118">
    <mergeCell ref="B61:C61"/>
    <mergeCell ref="D61:E61"/>
    <mergeCell ref="F61:G61"/>
    <mergeCell ref="B53:C53"/>
    <mergeCell ref="D53:E53"/>
    <mergeCell ref="F53:G53"/>
    <mergeCell ref="H53:I53"/>
    <mergeCell ref="B55:C55"/>
    <mergeCell ref="D55:E55"/>
    <mergeCell ref="F55:G55"/>
    <mergeCell ref="N39:O39"/>
    <mergeCell ref="P39:Q39"/>
    <mergeCell ref="B45:C45"/>
    <mergeCell ref="D45:E45"/>
    <mergeCell ref="F45:G45"/>
    <mergeCell ref="H45:I45"/>
    <mergeCell ref="B39:C39"/>
    <mergeCell ref="D39:E39"/>
    <mergeCell ref="F39:G39"/>
    <mergeCell ref="H39:I39"/>
    <mergeCell ref="J39:K39"/>
    <mergeCell ref="L39:M39"/>
    <mergeCell ref="N26:O26"/>
    <mergeCell ref="P26:Q26"/>
    <mergeCell ref="B35:C35"/>
    <mergeCell ref="D35:E35"/>
    <mergeCell ref="F35:G35"/>
    <mergeCell ref="H35:I35"/>
    <mergeCell ref="J35:K35"/>
    <mergeCell ref="L35:M35"/>
    <mergeCell ref="N35:O35"/>
    <mergeCell ref="P35:Q35"/>
    <mergeCell ref="B26:C26"/>
    <mergeCell ref="D26:E26"/>
    <mergeCell ref="F26:G26"/>
    <mergeCell ref="H26:I26"/>
    <mergeCell ref="J26:K26"/>
    <mergeCell ref="L26:M26"/>
    <mergeCell ref="N14:O14"/>
    <mergeCell ref="P14:Q14"/>
    <mergeCell ref="B19:C19"/>
    <mergeCell ref="D19:E19"/>
    <mergeCell ref="F19:G19"/>
    <mergeCell ref="H19:I19"/>
    <mergeCell ref="J19:K19"/>
    <mergeCell ref="L19:M19"/>
    <mergeCell ref="N19:O19"/>
    <mergeCell ref="P19:Q19"/>
    <mergeCell ref="B14:C14"/>
    <mergeCell ref="D14:E14"/>
    <mergeCell ref="F14:G14"/>
    <mergeCell ref="H14:I14"/>
    <mergeCell ref="J14:K14"/>
    <mergeCell ref="L14:M14"/>
    <mergeCell ref="N9:O9"/>
    <mergeCell ref="P9:Q9"/>
    <mergeCell ref="B12:C12"/>
    <mergeCell ref="D12:E12"/>
    <mergeCell ref="F12:G12"/>
    <mergeCell ref="H12:I12"/>
    <mergeCell ref="J12:K12"/>
    <mergeCell ref="L12:M12"/>
    <mergeCell ref="N12:O12"/>
    <mergeCell ref="P12:Q12"/>
    <mergeCell ref="B9:C9"/>
    <mergeCell ref="D9:E9"/>
    <mergeCell ref="F9:G9"/>
    <mergeCell ref="H9:I9"/>
    <mergeCell ref="J9:K9"/>
    <mergeCell ref="L9:M9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A5C3-FFEC-4EF3-AE02-F7EFB99F9D90}">
  <dimension ref="A1:H4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G.1: ",tabeltype," categorienormen")</f>
        <v>Bijlage G.1: Invultabel categorienormen</v>
      </c>
    </row>
    <row r="3" spans="1:8" ht="38.25" x14ac:dyDescent="0.2">
      <c r="A3" s="44" t="s">
        <v>96</v>
      </c>
      <c r="B3" s="44" t="s">
        <v>97</v>
      </c>
      <c r="C3" s="44" t="s">
        <v>98</v>
      </c>
      <c r="D3" s="44" t="s">
        <v>99</v>
      </c>
      <c r="E3" s="44" t="s">
        <v>100</v>
      </c>
      <c r="F3" s="44" t="s">
        <v>101</v>
      </c>
      <c r="G3" s="44" t="s">
        <v>102</v>
      </c>
      <c r="H3" s="44" t="s">
        <v>103</v>
      </c>
    </row>
    <row r="4" spans="1:8" x14ac:dyDescent="0.2">
      <c r="A4" s="45"/>
      <c r="B4" s="46"/>
      <c r="C4" s="46"/>
      <c r="D4" s="46"/>
      <c r="E4" s="46"/>
      <c r="F4" s="46"/>
      <c r="G4" s="46"/>
      <c r="H4" s="47"/>
    </row>
    <row r="5" spans="1:8" x14ac:dyDescent="0.2">
      <c r="A5" s="48" t="s">
        <v>104</v>
      </c>
      <c r="B5" s="49"/>
      <c r="C5" s="49"/>
      <c r="D5" s="49"/>
      <c r="E5" s="49"/>
      <c r="F5" s="49"/>
      <c r="G5" s="49"/>
      <c r="H5" s="50"/>
    </row>
    <row r="6" spans="1:8" x14ac:dyDescent="0.2">
      <c r="A6" s="51" t="s">
        <v>105</v>
      </c>
      <c r="B6" s="52" t="s">
        <v>106</v>
      </c>
      <c r="C6" s="51">
        <v>1</v>
      </c>
      <c r="D6" s="51" t="s">
        <v>107</v>
      </c>
      <c r="E6" s="53"/>
      <c r="F6" s="54"/>
      <c r="G6" s="51" t="s">
        <v>108</v>
      </c>
      <c r="H6" s="55">
        <f>Tariefopbouw1</f>
        <v>0</v>
      </c>
    </row>
    <row r="7" spans="1:8" x14ac:dyDescent="0.2">
      <c r="A7" s="56" t="s">
        <v>109</v>
      </c>
      <c r="B7" s="57" t="s">
        <v>106</v>
      </c>
      <c r="C7" s="56">
        <v>40</v>
      </c>
      <c r="D7" s="56" t="s">
        <v>110</v>
      </c>
      <c r="E7" s="58"/>
      <c r="F7" s="59"/>
      <c r="G7" s="56" t="s">
        <v>108</v>
      </c>
      <c r="H7" s="60">
        <f>Tariefopbouw1</f>
        <v>0</v>
      </c>
    </row>
    <row r="8" spans="1:8" x14ac:dyDescent="0.2">
      <c r="A8" s="56" t="s">
        <v>111</v>
      </c>
      <c r="B8" s="57" t="s">
        <v>106</v>
      </c>
      <c r="C8" s="56">
        <v>1</v>
      </c>
      <c r="D8" s="56" t="s">
        <v>112</v>
      </c>
      <c r="E8" s="58"/>
      <c r="F8" s="59"/>
      <c r="G8" s="56" t="s">
        <v>108</v>
      </c>
      <c r="H8" s="60">
        <f>Tariefopbouw1</f>
        <v>0</v>
      </c>
    </row>
    <row r="9" spans="1:8" x14ac:dyDescent="0.2">
      <c r="A9" s="56" t="s">
        <v>113</v>
      </c>
      <c r="B9" s="57" t="s">
        <v>106</v>
      </c>
      <c r="C9" s="56">
        <v>40</v>
      </c>
      <c r="D9" s="56" t="s">
        <v>114</v>
      </c>
      <c r="E9" s="58"/>
      <c r="F9" s="59"/>
      <c r="G9" s="56" t="s">
        <v>108</v>
      </c>
      <c r="H9" s="60">
        <f>Tariefopbouw1</f>
        <v>0</v>
      </c>
    </row>
    <row r="10" spans="1:8" x14ac:dyDescent="0.2">
      <c r="A10" s="56" t="s">
        <v>115</v>
      </c>
      <c r="B10" s="57" t="s">
        <v>106</v>
      </c>
      <c r="C10" s="56">
        <v>1</v>
      </c>
      <c r="D10" s="56" t="s">
        <v>116</v>
      </c>
      <c r="E10" s="58"/>
      <c r="F10" s="59"/>
      <c r="G10" s="56" t="s">
        <v>108</v>
      </c>
      <c r="H10" s="60">
        <f>Tariefopbouw1</f>
        <v>0</v>
      </c>
    </row>
    <row r="11" spans="1:8" x14ac:dyDescent="0.2">
      <c r="A11" s="56" t="s">
        <v>117</v>
      </c>
      <c r="B11" s="57" t="s">
        <v>106</v>
      </c>
      <c r="C11" s="56">
        <v>40</v>
      </c>
      <c r="D11" s="56" t="s">
        <v>118</v>
      </c>
      <c r="E11" s="58"/>
      <c r="F11" s="59"/>
      <c r="G11" s="56" t="s">
        <v>108</v>
      </c>
      <c r="H11" s="60">
        <f>Tariefopbouw1</f>
        <v>0</v>
      </c>
    </row>
    <row r="12" spans="1:8" x14ac:dyDescent="0.2">
      <c r="A12" s="56" t="s">
        <v>119</v>
      </c>
      <c r="B12" s="57" t="s">
        <v>106</v>
      </c>
      <c r="C12" s="56">
        <v>1</v>
      </c>
      <c r="D12" s="56" t="s">
        <v>120</v>
      </c>
      <c r="E12" s="58"/>
      <c r="F12" s="59"/>
      <c r="G12" s="56" t="s">
        <v>108</v>
      </c>
      <c r="H12" s="60">
        <f>Tariefopbouw1</f>
        <v>0</v>
      </c>
    </row>
    <row r="13" spans="1:8" x14ac:dyDescent="0.2">
      <c r="A13" s="56" t="s">
        <v>121</v>
      </c>
      <c r="B13" s="57" t="s">
        <v>106</v>
      </c>
      <c r="C13" s="56">
        <v>40</v>
      </c>
      <c r="D13" s="56" t="s">
        <v>122</v>
      </c>
      <c r="E13" s="58"/>
      <c r="F13" s="59"/>
      <c r="G13" s="56" t="s">
        <v>108</v>
      </c>
      <c r="H13" s="60">
        <f>Tariefopbouw1</f>
        <v>0</v>
      </c>
    </row>
    <row r="14" spans="1:8" x14ac:dyDescent="0.2">
      <c r="A14" s="56" t="s">
        <v>123</v>
      </c>
      <c r="B14" s="57" t="s">
        <v>106</v>
      </c>
      <c r="C14" s="56">
        <v>1</v>
      </c>
      <c r="D14" s="56" t="s">
        <v>124</v>
      </c>
      <c r="E14" s="58"/>
      <c r="F14" s="59"/>
      <c r="G14" s="56" t="s">
        <v>108</v>
      </c>
      <c r="H14" s="60">
        <f>Tariefopbouw1</f>
        <v>0</v>
      </c>
    </row>
    <row r="15" spans="1:8" x14ac:dyDescent="0.2">
      <c r="A15" s="56" t="s">
        <v>125</v>
      </c>
      <c r="B15" s="57" t="s">
        <v>106</v>
      </c>
      <c r="C15" s="56">
        <v>40</v>
      </c>
      <c r="D15" s="56" t="s">
        <v>126</v>
      </c>
      <c r="E15" s="58"/>
      <c r="F15" s="59"/>
      <c r="G15" s="56" t="s">
        <v>108</v>
      </c>
      <c r="H15" s="60">
        <f>Tariefopbouw1</f>
        <v>0</v>
      </c>
    </row>
    <row r="16" spans="1:8" x14ac:dyDescent="0.2">
      <c r="A16" s="56" t="s">
        <v>127</v>
      </c>
      <c r="B16" s="57" t="s">
        <v>128</v>
      </c>
      <c r="C16" s="56">
        <v>1</v>
      </c>
      <c r="D16" s="56" t="s">
        <v>129</v>
      </c>
      <c r="E16" s="58"/>
      <c r="F16" s="59"/>
      <c r="G16" s="56" t="s">
        <v>108</v>
      </c>
      <c r="H16" s="60">
        <f>Tariefopbouw1</f>
        <v>0</v>
      </c>
    </row>
    <row r="17" spans="1:8" x14ac:dyDescent="0.2">
      <c r="A17" s="56" t="s">
        <v>130</v>
      </c>
      <c r="B17" s="57" t="s">
        <v>128</v>
      </c>
      <c r="C17" s="56">
        <v>40</v>
      </c>
      <c r="D17" s="56" t="s">
        <v>131</v>
      </c>
      <c r="E17" s="58"/>
      <c r="F17" s="59"/>
      <c r="G17" s="56" t="s">
        <v>108</v>
      </c>
      <c r="H17" s="60">
        <f>Tariefopbouw1</f>
        <v>0</v>
      </c>
    </row>
    <row r="18" spans="1:8" x14ac:dyDescent="0.2">
      <c r="A18" s="56" t="s">
        <v>132</v>
      </c>
      <c r="B18" s="57" t="s">
        <v>133</v>
      </c>
      <c r="C18" s="56">
        <v>1</v>
      </c>
      <c r="D18" s="56" t="s">
        <v>134</v>
      </c>
      <c r="E18" s="58"/>
      <c r="F18" s="59"/>
      <c r="G18" s="56" t="s">
        <v>108</v>
      </c>
      <c r="H18" s="60">
        <f>Tariefopbouw1</f>
        <v>0</v>
      </c>
    </row>
    <row r="19" spans="1:8" x14ac:dyDescent="0.2">
      <c r="A19" s="56" t="s">
        <v>135</v>
      </c>
      <c r="B19" s="57" t="s">
        <v>133</v>
      </c>
      <c r="C19" s="56">
        <v>40</v>
      </c>
      <c r="D19" s="56" t="s">
        <v>136</v>
      </c>
      <c r="E19" s="58"/>
      <c r="F19" s="59"/>
      <c r="G19" s="56" t="s">
        <v>108</v>
      </c>
      <c r="H19" s="60">
        <f>Tariefopbouw1</f>
        <v>0</v>
      </c>
    </row>
    <row r="20" spans="1:8" x14ac:dyDescent="0.2">
      <c r="A20" s="56" t="s">
        <v>137</v>
      </c>
      <c r="B20" s="57" t="s">
        <v>138</v>
      </c>
      <c r="C20" s="56">
        <v>1</v>
      </c>
      <c r="D20" s="56" t="s">
        <v>139</v>
      </c>
      <c r="E20" s="58"/>
      <c r="F20" s="59"/>
      <c r="G20" s="56" t="s">
        <v>108</v>
      </c>
      <c r="H20" s="60">
        <f>Tariefopbouw1</f>
        <v>0</v>
      </c>
    </row>
    <row r="21" spans="1:8" x14ac:dyDescent="0.2">
      <c r="A21" s="56" t="s">
        <v>140</v>
      </c>
      <c r="B21" s="57" t="s">
        <v>138</v>
      </c>
      <c r="C21" s="56">
        <v>40</v>
      </c>
      <c r="D21" s="56" t="s">
        <v>141</v>
      </c>
      <c r="E21" s="58"/>
      <c r="F21" s="59"/>
      <c r="G21" s="56" t="s">
        <v>108</v>
      </c>
      <c r="H21" s="60">
        <f>Tariefopbouw1</f>
        <v>0</v>
      </c>
    </row>
    <row r="22" spans="1:8" x14ac:dyDescent="0.2">
      <c r="A22" s="56" t="s">
        <v>142</v>
      </c>
      <c r="B22" s="57" t="s">
        <v>138</v>
      </c>
      <c r="C22" s="56">
        <v>1</v>
      </c>
      <c r="D22" s="56" t="s">
        <v>143</v>
      </c>
      <c r="E22" s="58"/>
      <c r="F22" s="59"/>
      <c r="G22" s="56" t="s">
        <v>108</v>
      </c>
      <c r="H22" s="60">
        <f>Tariefopbouw1</f>
        <v>0</v>
      </c>
    </row>
    <row r="23" spans="1:8" x14ac:dyDescent="0.2">
      <c r="A23" s="56" t="s">
        <v>144</v>
      </c>
      <c r="B23" s="57" t="s">
        <v>138</v>
      </c>
      <c r="C23" s="56">
        <v>40</v>
      </c>
      <c r="D23" s="56" t="s">
        <v>145</v>
      </c>
      <c r="E23" s="58"/>
      <c r="F23" s="59"/>
      <c r="G23" s="56" t="s">
        <v>108</v>
      </c>
      <c r="H23" s="60">
        <f>Tariefopbouw1</f>
        <v>0</v>
      </c>
    </row>
    <row r="24" spans="1:8" x14ac:dyDescent="0.2">
      <c r="A24" s="56" t="s">
        <v>146</v>
      </c>
      <c r="B24" s="57" t="s">
        <v>138</v>
      </c>
      <c r="C24" s="56">
        <v>1</v>
      </c>
      <c r="D24" s="56" t="s">
        <v>147</v>
      </c>
      <c r="E24" s="58"/>
      <c r="F24" s="59"/>
      <c r="G24" s="56" t="s">
        <v>108</v>
      </c>
      <c r="H24" s="60">
        <f>Tariefopbouw1</f>
        <v>0</v>
      </c>
    </row>
    <row r="25" spans="1:8" x14ac:dyDescent="0.2">
      <c r="A25" s="56" t="s">
        <v>148</v>
      </c>
      <c r="B25" s="57" t="s">
        <v>138</v>
      </c>
      <c r="C25" s="56">
        <v>40</v>
      </c>
      <c r="D25" s="56" t="s">
        <v>149</v>
      </c>
      <c r="E25" s="58"/>
      <c r="F25" s="59"/>
      <c r="G25" s="56" t="s">
        <v>108</v>
      </c>
      <c r="H25" s="60">
        <f>Tariefopbouw1</f>
        <v>0</v>
      </c>
    </row>
    <row r="26" spans="1:8" x14ac:dyDescent="0.2">
      <c r="A26" s="56" t="s">
        <v>150</v>
      </c>
      <c r="B26" s="57" t="s">
        <v>151</v>
      </c>
      <c r="C26" s="56">
        <v>1</v>
      </c>
      <c r="D26" s="56" t="s">
        <v>152</v>
      </c>
      <c r="E26" s="58"/>
      <c r="F26" s="59"/>
      <c r="G26" s="56" t="s">
        <v>108</v>
      </c>
      <c r="H26" s="60">
        <f>Tariefopbouw1</f>
        <v>0</v>
      </c>
    </row>
    <row r="27" spans="1:8" x14ac:dyDescent="0.2">
      <c r="A27" s="56" t="s">
        <v>153</v>
      </c>
      <c r="B27" s="57" t="s">
        <v>151</v>
      </c>
      <c r="C27" s="56">
        <v>40</v>
      </c>
      <c r="D27" s="56" t="s">
        <v>154</v>
      </c>
      <c r="E27" s="58"/>
      <c r="F27" s="59"/>
      <c r="G27" s="56" t="s">
        <v>108</v>
      </c>
      <c r="H27" s="60">
        <f>Tariefopbouw1</f>
        <v>0</v>
      </c>
    </row>
    <row r="28" spans="1:8" x14ac:dyDescent="0.2">
      <c r="A28" s="56" t="s">
        <v>155</v>
      </c>
      <c r="B28" s="57" t="s">
        <v>151</v>
      </c>
      <c r="C28" s="56">
        <v>1</v>
      </c>
      <c r="D28" s="56" t="s">
        <v>156</v>
      </c>
      <c r="E28" s="58"/>
      <c r="F28" s="59"/>
      <c r="G28" s="56" t="s">
        <v>108</v>
      </c>
      <c r="H28" s="60">
        <f>Tariefopbouw1</f>
        <v>0</v>
      </c>
    </row>
    <row r="29" spans="1:8" x14ac:dyDescent="0.2">
      <c r="A29" s="56" t="s">
        <v>157</v>
      </c>
      <c r="B29" s="57" t="s">
        <v>151</v>
      </c>
      <c r="C29" s="56">
        <v>40</v>
      </c>
      <c r="D29" s="56" t="s">
        <v>158</v>
      </c>
      <c r="E29" s="58"/>
      <c r="F29" s="59"/>
      <c r="G29" s="56" t="s">
        <v>108</v>
      </c>
      <c r="H29" s="60">
        <f>Tariefopbouw1</f>
        <v>0</v>
      </c>
    </row>
    <row r="30" spans="1:8" x14ac:dyDescent="0.2">
      <c r="A30" s="56" t="s">
        <v>159</v>
      </c>
      <c r="B30" s="57" t="s">
        <v>151</v>
      </c>
      <c r="C30" s="56">
        <v>1</v>
      </c>
      <c r="D30" s="56" t="s">
        <v>160</v>
      </c>
      <c r="E30" s="58"/>
      <c r="F30" s="59"/>
      <c r="G30" s="56" t="s">
        <v>108</v>
      </c>
      <c r="H30" s="60">
        <f>Tariefopbouw1</f>
        <v>0</v>
      </c>
    </row>
    <row r="31" spans="1:8" x14ac:dyDescent="0.2">
      <c r="A31" s="56" t="s">
        <v>161</v>
      </c>
      <c r="B31" s="57" t="s">
        <v>151</v>
      </c>
      <c r="C31" s="56">
        <v>40</v>
      </c>
      <c r="D31" s="56" t="s">
        <v>162</v>
      </c>
      <c r="E31" s="58"/>
      <c r="F31" s="59"/>
      <c r="G31" s="56" t="s">
        <v>108</v>
      </c>
      <c r="H31" s="60">
        <f>Tariefopbouw1</f>
        <v>0</v>
      </c>
    </row>
    <row r="32" spans="1:8" x14ac:dyDescent="0.2">
      <c r="A32" s="56" t="s">
        <v>163</v>
      </c>
      <c r="B32" s="57" t="s">
        <v>151</v>
      </c>
      <c r="C32" s="56">
        <v>1</v>
      </c>
      <c r="D32" s="56" t="s">
        <v>164</v>
      </c>
      <c r="E32" s="58"/>
      <c r="F32" s="59"/>
      <c r="G32" s="56" t="s">
        <v>108</v>
      </c>
      <c r="H32" s="60">
        <f>Tariefopbouw1</f>
        <v>0</v>
      </c>
    </row>
    <row r="33" spans="1:8" x14ac:dyDescent="0.2">
      <c r="A33" s="56" t="s">
        <v>165</v>
      </c>
      <c r="B33" s="57" t="s">
        <v>151</v>
      </c>
      <c r="C33" s="56">
        <v>40</v>
      </c>
      <c r="D33" s="56" t="s">
        <v>166</v>
      </c>
      <c r="E33" s="58"/>
      <c r="F33" s="59"/>
      <c r="G33" s="56" t="s">
        <v>108</v>
      </c>
      <c r="H33" s="60">
        <f>Tariefopbouw1</f>
        <v>0</v>
      </c>
    </row>
    <row r="34" spans="1:8" x14ac:dyDescent="0.2">
      <c r="A34" s="56" t="s">
        <v>167</v>
      </c>
      <c r="B34" s="57" t="s">
        <v>151</v>
      </c>
      <c r="C34" s="56">
        <v>1</v>
      </c>
      <c r="D34" s="56" t="s">
        <v>168</v>
      </c>
      <c r="E34" s="58"/>
      <c r="F34" s="59"/>
      <c r="G34" s="56" t="s">
        <v>108</v>
      </c>
      <c r="H34" s="60">
        <f>Tariefopbouw1</f>
        <v>0</v>
      </c>
    </row>
    <row r="35" spans="1:8" x14ac:dyDescent="0.2">
      <c r="A35" s="56" t="s">
        <v>169</v>
      </c>
      <c r="B35" s="57" t="s">
        <v>151</v>
      </c>
      <c r="C35" s="56">
        <v>40</v>
      </c>
      <c r="D35" s="56" t="s">
        <v>170</v>
      </c>
      <c r="E35" s="58"/>
      <c r="F35" s="59"/>
      <c r="G35" s="56" t="s">
        <v>108</v>
      </c>
      <c r="H35" s="60">
        <f>Tariefopbouw1</f>
        <v>0</v>
      </c>
    </row>
    <row r="36" spans="1:8" x14ac:dyDescent="0.2">
      <c r="A36" s="56" t="s">
        <v>171</v>
      </c>
      <c r="B36" s="57" t="s">
        <v>151</v>
      </c>
      <c r="C36" s="56">
        <v>1</v>
      </c>
      <c r="D36" s="56" t="s">
        <v>172</v>
      </c>
      <c r="E36" s="58"/>
      <c r="F36" s="59"/>
      <c r="G36" s="56" t="s">
        <v>108</v>
      </c>
      <c r="H36" s="60">
        <f>Tariefopbouw1</f>
        <v>0</v>
      </c>
    </row>
    <row r="37" spans="1:8" x14ac:dyDescent="0.2">
      <c r="A37" s="56" t="s">
        <v>173</v>
      </c>
      <c r="B37" s="57" t="s">
        <v>151</v>
      </c>
      <c r="C37" s="56">
        <v>40</v>
      </c>
      <c r="D37" s="56" t="s">
        <v>174</v>
      </c>
      <c r="E37" s="58"/>
      <c r="F37" s="59"/>
      <c r="G37" s="56" t="s">
        <v>108</v>
      </c>
      <c r="H37" s="60">
        <f>Tariefopbouw1</f>
        <v>0</v>
      </c>
    </row>
    <row r="38" spans="1:8" x14ac:dyDescent="0.2">
      <c r="A38" s="56" t="s">
        <v>175</v>
      </c>
      <c r="B38" s="57" t="s">
        <v>151</v>
      </c>
      <c r="C38" s="56">
        <v>1</v>
      </c>
      <c r="D38" s="56" t="s">
        <v>176</v>
      </c>
      <c r="E38" s="58"/>
      <c r="F38" s="59"/>
      <c r="G38" s="56" t="s">
        <v>108</v>
      </c>
      <c r="H38" s="60">
        <f>Tariefopbouw1</f>
        <v>0</v>
      </c>
    </row>
    <row r="39" spans="1:8" x14ac:dyDescent="0.2">
      <c r="A39" s="56" t="s">
        <v>177</v>
      </c>
      <c r="B39" s="57" t="s">
        <v>151</v>
      </c>
      <c r="C39" s="56">
        <v>40</v>
      </c>
      <c r="D39" s="56" t="s">
        <v>178</v>
      </c>
      <c r="E39" s="58"/>
      <c r="F39" s="59"/>
      <c r="G39" s="56" t="s">
        <v>108</v>
      </c>
      <c r="H39" s="60">
        <f>Tariefopbouw1</f>
        <v>0</v>
      </c>
    </row>
    <row r="40" spans="1:8" x14ac:dyDescent="0.2">
      <c r="A40" s="61" t="s">
        <v>179</v>
      </c>
      <c r="B40" s="62" t="s">
        <v>180</v>
      </c>
      <c r="C40" s="61">
        <v>1</v>
      </c>
      <c r="D40" s="61" t="s">
        <v>181</v>
      </c>
      <c r="E40" s="63"/>
      <c r="F40" s="64"/>
      <c r="G40" s="61" t="s">
        <v>108</v>
      </c>
      <c r="H40" s="65">
        <f>Tariefopbouw1</f>
        <v>0</v>
      </c>
    </row>
  </sheetData>
  <sheetProtection algorithmName="SHA-512" hashValue="BCShvEsZjdPWMPJQTT+Y5SV4KRhi/RTsYQVY7zlw35hVKk/fWowaHK8dnNvxHOOGZHOvyvgHYnYtsXDiZSYTAA==" saltValue="OLGYI5sJTw+peFt8G7roVg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07E4-B215-4FA8-A0BE-83AF59364F4E}">
  <dimension ref="A1:N36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G.2: ",tabeltype," regulier werk")</f>
        <v>Bijlage G.2: Invultabel regulier werk</v>
      </c>
    </row>
    <row r="3" spans="1:14" ht="38.25" x14ac:dyDescent="0.2">
      <c r="A3" s="44" t="s">
        <v>182</v>
      </c>
      <c r="B3" s="44" t="s">
        <v>7</v>
      </c>
      <c r="C3" s="44" t="s">
        <v>183</v>
      </c>
      <c r="D3" s="44" t="s">
        <v>99</v>
      </c>
      <c r="E3" s="44" t="s">
        <v>184</v>
      </c>
      <c r="F3" s="44" t="s">
        <v>185</v>
      </c>
      <c r="G3" s="44" t="s">
        <v>100</v>
      </c>
      <c r="H3" s="44" t="s">
        <v>101</v>
      </c>
      <c r="I3" s="44" t="s">
        <v>102</v>
      </c>
      <c r="J3" s="44" t="s">
        <v>103</v>
      </c>
      <c r="K3" s="44" t="s">
        <v>186</v>
      </c>
      <c r="L3" s="44" t="s">
        <v>187</v>
      </c>
      <c r="M3" s="44" t="s">
        <v>188</v>
      </c>
      <c r="N3" s="44" t="s">
        <v>189</v>
      </c>
    </row>
    <row r="4" spans="1:14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">
      <c r="A5" s="48" t="s">
        <v>104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x14ac:dyDescent="0.2">
      <c r="A6" s="51" t="s">
        <v>190</v>
      </c>
      <c r="B6" s="51" t="s">
        <v>10</v>
      </c>
      <c r="C6" s="51" t="s">
        <v>191</v>
      </c>
      <c r="D6" s="51" t="s">
        <v>192</v>
      </c>
      <c r="E6" s="66">
        <v>1368.0900000000001</v>
      </c>
      <c r="F6" s="66">
        <f>E6*VLOOKUP(B6,dagsoorttabel1,2,FALSE)</f>
        <v>1368.0900000000001</v>
      </c>
      <c r="G6" s="67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68">
        <f>IF(AND(catpn_1_AHB_1&gt;0,catpn_1_AHV_40&gt;0),(catdw_1_AHB_1*((dagenperjaar1*VLOOKUP(B6,dagsoorttabel1,2,FALSE))-catfd_1_AHV_40)/catpn_1_AHB_1+catdw_1_AHV_40*catfd_1_AHV_40/catpn_1_AHV_40)/(((dagenperjaar1*VLOOKUP(B6,dagsoorttabel1,2,FALSE))-catfd_1_AHV_40)/catpn_1_AHB_1+catfd_1_AHV_40/catpn_1_AHV_40),0)</f>
        <v>0</v>
      </c>
      <c r="I6" s="51" t="s">
        <v>108</v>
      </c>
      <c r="J6" s="55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K6" s="66">
        <f>IF(OR(ISBLANK(G6),G6=0),0,F6/ROUND(G6,4))</f>
        <v>0</v>
      </c>
      <c r="L6" s="55">
        <f>ROUND(J6,2)*K6</f>
        <v>0</v>
      </c>
      <c r="M6" s="66">
        <f>K6*dagenperjaar1</f>
        <v>0</v>
      </c>
      <c r="N6" s="55">
        <f>M6*ROUND(J6,2)</f>
        <v>0</v>
      </c>
    </row>
    <row r="7" spans="1:14" x14ac:dyDescent="0.2">
      <c r="A7" s="56" t="s">
        <v>190</v>
      </c>
      <c r="B7" s="56" t="s">
        <v>14</v>
      </c>
      <c r="C7" s="56" t="s">
        <v>191</v>
      </c>
      <c r="D7" s="56" t="s">
        <v>192</v>
      </c>
      <c r="E7" s="69">
        <v>104</v>
      </c>
      <c r="F7" s="69">
        <f>E7*VLOOKUP(B7,dagsoorttabel1,2,FALSE)</f>
        <v>41.6</v>
      </c>
      <c r="G7" s="70">
        <f>IF(AND(catpn_1_AHB_1&gt;0,catpn_1_AHV_40&gt;0),(dagenperjaar1*VLOOKUP(B7,dagsoorttabel1,2,FALSE))/(((dagenperjaar1*VLOOKUP(B7,dagsoorttabel1,2,FALSE))-catfd_1_AHV_40)/catpn_1_AHB_1+catfd_1_AHV_40/catpn_1_AHV_40),0)</f>
        <v>0</v>
      </c>
      <c r="H7" s="71">
        <f>IF(AND(catpn_1_AHB_1&gt;0,catpn_1_AHV_40&gt;0),(catdw_1_AHB_1*((dagenperjaar1*VLOOKUP(B7,dagsoorttabel1,2,FALSE))-catfd_1_AHV_40)/catpn_1_AHB_1+catdw_1_AHV_40*catfd_1_AHV_40/catpn_1_AHV_40)/(((dagenperjaar1*VLOOKUP(B7,dagsoorttabel1,2,FALSE))-catfd_1_AHV_40)/catpn_1_AHB_1+catfd_1_AHV_40/catpn_1_AHV_40),0)</f>
        <v>0</v>
      </c>
      <c r="I7" s="56" t="s">
        <v>108</v>
      </c>
      <c r="J7" s="60">
        <f>IF(AND(catpn_1_AHB_1&gt;0,catpn_1_AHV_40&gt;0),(cattf_1_AHB_1*((dagenperjaar1*VLOOKUP(B7,dagsoorttabel1,2,FALSE))-catfd_1_AHV_40)/catpn_1_AHB_1+cattf_1_AHV_40*catfd_1_AHV_40/catpn_1_AHV_40)/(((dagenperjaar1*VLOOKUP(B7,dagsoorttabel1,2,FALSE))-catfd_1_AHV_40)/catpn_1_AHB_1+catfd_1_AHV_40/catpn_1_AHV_40),0)</f>
        <v>0</v>
      </c>
      <c r="K7" s="69">
        <f>IF(OR(ISBLANK(G7),G7=0),0,F7/ROUND(G7,4))</f>
        <v>0</v>
      </c>
      <c r="L7" s="60">
        <f>ROUND(J7,2)*K7</f>
        <v>0</v>
      </c>
      <c r="M7" s="69">
        <f>K7*dagenperjaar1</f>
        <v>0</v>
      </c>
      <c r="N7" s="60">
        <f>M7*ROUND(J7,2)</f>
        <v>0</v>
      </c>
    </row>
    <row r="8" spans="1:14" x14ac:dyDescent="0.2">
      <c r="A8" s="56" t="s">
        <v>193</v>
      </c>
      <c r="B8" s="56" t="s">
        <v>10</v>
      </c>
      <c r="C8" s="56" t="s">
        <v>191</v>
      </c>
      <c r="D8" s="56" t="s">
        <v>194</v>
      </c>
      <c r="E8" s="69">
        <v>153.86000000000001</v>
      </c>
      <c r="F8" s="69">
        <f>E8*VLOOKUP(B8,dagsoorttabel1,2,FALSE)</f>
        <v>153.86000000000001</v>
      </c>
      <c r="G8" s="70">
        <f>IF(AND(catpn_1_BHB_1&gt;0,catpn_1_BHV_40&gt;0),(dagenperjaar1*VLOOKUP(B8,dagsoorttabel1,2,FALSE))/(((dagenperjaar1*VLOOKUP(B8,dagsoorttabel1,2,FALSE))-catfd_1_BHV_40)/catpn_1_BHB_1+catfd_1_BHV_40/catpn_1_BHV_40),0)</f>
        <v>0</v>
      </c>
      <c r="H8" s="71">
        <f>IF(AND(catpn_1_BHB_1&gt;0,catpn_1_BHV_40&gt;0),(catdw_1_BHB_1*((dagenperjaar1*VLOOKUP(B8,dagsoorttabel1,2,FALSE))-catfd_1_BHV_40)/catpn_1_BHB_1+catdw_1_BHV_40*catfd_1_BHV_40/catpn_1_BHV_40)/(((dagenperjaar1*VLOOKUP(B8,dagsoorttabel1,2,FALSE))-catfd_1_BHV_40)/catpn_1_BHB_1+catfd_1_BHV_40/catpn_1_BHV_40),0)</f>
        <v>0</v>
      </c>
      <c r="I8" s="56" t="s">
        <v>108</v>
      </c>
      <c r="J8" s="60">
        <f>IF(AND(catpn_1_BHB_1&gt;0,catpn_1_BHV_40&gt;0),(cattf_1_BHB_1*((dagenperjaar1*VLOOKUP(B8,dagsoorttabel1,2,FALSE))-catfd_1_BHV_40)/catpn_1_BHB_1+cattf_1_BHV_40*catfd_1_BHV_40/catpn_1_BHV_40)/(((dagenperjaar1*VLOOKUP(B8,dagsoorttabel1,2,FALSE))-catfd_1_BHV_40)/catpn_1_BHB_1+catfd_1_BHV_40/catpn_1_BHV_40),0)</f>
        <v>0</v>
      </c>
      <c r="K8" s="69">
        <f>IF(OR(ISBLANK(G8),G8=0),0,F8/ROUND(G8,4))</f>
        <v>0</v>
      </c>
      <c r="L8" s="60">
        <f>ROUND(J8,2)*K8</f>
        <v>0</v>
      </c>
      <c r="M8" s="69">
        <f>K8*dagenperjaar1</f>
        <v>0</v>
      </c>
      <c r="N8" s="60">
        <f>M8*ROUND(J8,2)</f>
        <v>0</v>
      </c>
    </row>
    <row r="9" spans="1:14" x14ac:dyDescent="0.2">
      <c r="A9" s="56" t="s">
        <v>193</v>
      </c>
      <c r="B9" s="56" t="s">
        <v>14</v>
      </c>
      <c r="C9" s="56" t="s">
        <v>191</v>
      </c>
      <c r="D9" s="56" t="s">
        <v>194</v>
      </c>
      <c r="E9" s="69">
        <v>1256.3400000000001</v>
      </c>
      <c r="F9" s="69">
        <f>E9*VLOOKUP(B9,dagsoorttabel1,2,FALSE)</f>
        <v>502.53600000000006</v>
      </c>
      <c r="G9" s="70">
        <f>IF(AND(catpn_1_BHB_1&gt;0,catpn_1_BHV_40&gt;0),(dagenperjaar1*VLOOKUP(B9,dagsoorttabel1,2,FALSE))/(((dagenperjaar1*VLOOKUP(B9,dagsoorttabel1,2,FALSE))-catfd_1_BHV_40)/catpn_1_BHB_1+catfd_1_BHV_40/catpn_1_BHV_40),0)</f>
        <v>0</v>
      </c>
      <c r="H9" s="71">
        <f>IF(AND(catpn_1_BHB_1&gt;0,catpn_1_BHV_40&gt;0),(catdw_1_BHB_1*((dagenperjaar1*VLOOKUP(B9,dagsoorttabel1,2,FALSE))-catfd_1_BHV_40)/catpn_1_BHB_1+catdw_1_BHV_40*catfd_1_BHV_40/catpn_1_BHV_40)/(((dagenperjaar1*VLOOKUP(B9,dagsoorttabel1,2,FALSE))-catfd_1_BHV_40)/catpn_1_BHB_1+catfd_1_BHV_40/catpn_1_BHV_40),0)</f>
        <v>0</v>
      </c>
      <c r="I9" s="56" t="s">
        <v>108</v>
      </c>
      <c r="J9" s="60">
        <f>IF(AND(catpn_1_BHB_1&gt;0,catpn_1_BHV_40&gt;0),(cattf_1_BHB_1*((dagenperjaar1*VLOOKUP(B9,dagsoorttabel1,2,FALSE))-catfd_1_BHV_40)/catpn_1_BHB_1+cattf_1_BHV_40*catfd_1_BHV_40/catpn_1_BHV_40)/(((dagenperjaar1*VLOOKUP(B9,dagsoorttabel1,2,FALSE))-catfd_1_BHV_40)/catpn_1_BHB_1+catfd_1_BHV_40/catpn_1_BHV_40),0)</f>
        <v>0</v>
      </c>
      <c r="K9" s="69">
        <f>IF(OR(ISBLANK(G9),G9=0),0,F9/ROUND(G9,4))</f>
        <v>0</v>
      </c>
      <c r="L9" s="60">
        <f>ROUND(J9,2)*K9</f>
        <v>0</v>
      </c>
      <c r="M9" s="69">
        <f>K9*dagenperjaar1</f>
        <v>0</v>
      </c>
      <c r="N9" s="60">
        <f>M9*ROUND(J9,2)</f>
        <v>0</v>
      </c>
    </row>
    <row r="10" spans="1:14" x14ac:dyDescent="0.2">
      <c r="A10" s="56" t="s">
        <v>195</v>
      </c>
      <c r="B10" s="56" t="s">
        <v>14</v>
      </c>
      <c r="C10" s="56" t="s">
        <v>191</v>
      </c>
      <c r="D10" s="56" t="s">
        <v>196</v>
      </c>
      <c r="E10" s="69">
        <v>66.77</v>
      </c>
      <c r="F10" s="69">
        <f>E10*VLOOKUP(B10,dagsoorttabel1,2,FALSE)</f>
        <v>26.707999999999998</v>
      </c>
      <c r="G10" s="70">
        <f>IF(AND(catpn_1_BZB_1&gt;0,catpn_1_BZV_40&gt;0),(dagenperjaar1*VLOOKUP(B10,dagsoorttabel1,2,FALSE))/(((dagenperjaar1*VLOOKUP(B10,dagsoorttabel1,2,FALSE))-catfd_1_BZV_40)/catpn_1_BZB_1+catfd_1_BZV_40/catpn_1_BZV_40),0)</f>
        <v>0</v>
      </c>
      <c r="H10" s="71">
        <f>IF(AND(catpn_1_BZB_1&gt;0,catpn_1_BZV_40&gt;0),(catdw_1_BZB_1*((dagenperjaar1*VLOOKUP(B10,dagsoorttabel1,2,FALSE))-catfd_1_BZV_40)/catpn_1_BZB_1+catdw_1_BZV_40*catfd_1_BZV_40/catpn_1_BZV_40)/(((dagenperjaar1*VLOOKUP(B10,dagsoorttabel1,2,FALSE))-catfd_1_BZV_40)/catpn_1_BZB_1+catfd_1_BZV_40/catpn_1_BZV_40),0)</f>
        <v>0</v>
      </c>
      <c r="I10" s="56" t="s">
        <v>108</v>
      </c>
      <c r="J10" s="60">
        <f>IF(AND(catpn_1_BZB_1&gt;0,catpn_1_BZV_40&gt;0),(cattf_1_BZB_1*((dagenperjaar1*VLOOKUP(B10,dagsoorttabel1,2,FALSE))-catfd_1_BZV_40)/catpn_1_BZB_1+cattf_1_BZV_40*catfd_1_BZV_40/catpn_1_BZV_40)/(((dagenperjaar1*VLOOKUP(B10,dagsoorttabel1,2,FALSE))-catfd_1_BZV_40)/catpn_1_BZB_1+catfd_1_BZV_40/catpn_1_BZV_40),0)</f>
        <v>0</v>
      </c>
      <c r="K10" s="69">
        <f>IF(OR(ISBLANK(G10),G10=0),0,F10/ROUND(G10,4))</f>
        <v>0</v>
      </c>
      <c r="L10" s="60">
        <f>ROUND(J10,2)*K10</f>
        <v>0</v>
      </c>
      <c r="M10" s="69">
        <f>K10*dagenperjaar1</f>
        <v>0</v>
      </c>
      <c r="N10" s="60">
        <f>M10*ROUND(J10,2)</f>
        <v>0</v>
      </c>
    </row>
    <row r="11" spans="1:14" x14ac:dyDescent="0.2">
      <c r="A11" s="56" t="s">
        <v>197</v>
      </c>
      <c r="B11" s="56" t="s">
        <v>10</v>
      </c>
      <c r="C11" s="56" t="s">
        <v>191</v>
      </c>
      <c r="D11" s="56" t="s">
        <v>198</v>
      </c>
      <c r="E11" s="69">
        <v>84.86</v>
      </c>
      <c r="F11" s="69">
        <f>E11*VLOOKUP(B11,dagsoorttabel1,2,FALSE)</f>
        <v>84.86</v>
      </c>
      <c r="G11" s="70">
        <f>IF(AND(catpn_1_DHB_1&gt;0,catpn_1_DHV_40&gt;0),(dagenperjaar1*VLOOKUP(B11,dagsoorttabel1,2,FALSE))/(((dagenperjaar1*VLOOKUP(B11,dagsoorttabel1,2,FALSE))-catfd_1_DHV_40)/catpn_1_DHB_1+catfd_1_DHV_40/catpn_1_DHV_40),0)</f>
        <v>0</v>
      </c>
      <c r="H11" s="71">
        <f>IF(AND(catpn_1_DHB_1&gt;0,catpn_1_DHV_40&gt;0),(catdw_1_DHB_1*((dagenperjaar1*VLOOKUP(B11,dagsoorttabel1,2,FALSE))-catfd_1_DHV_40)/catpn_1_DHB_1+catdw_1_DHV_40*catfd_1_DHV_40/catpn_1_DHV_40)/(((dagenperjaar1*VLOOKUP(B11,dagsoorttabel1,2,FALSE))-catfd_1_DHV_40)/catpn_1_DHB_1+catfd_1_DHV_40/catpn_1_DHV_40),0)</f>
        <v>0</v>
      </c>
      <c r="I11" s="56" t="s">
        <v>108</v>
      </c>
      <c r="J11" s="60">
        <f>IF(AND(catpn_1_DHB_1&gt;0,catpn_1_DHV_40&gt;0),(cattf_1_DHB_1*((dagenperjaar1*VLOOKUP(B11,dagsoorttabel1,2,FALSE))-catfd_1_DHV_40)/catpn_1_DHB_1+cattf_1_DHV_40*catfd_1_DHV_40/catpn_1_DHV_40)/(((dagenperjaar1*VLOOKUP(B11,dagsoorttabel1,2,FALSE))-catfd_1_DHV_40)/catpn_1_DHB_1+catfd_1_DHV_40/catpn_1_DHV_40),0)</f>
        <v>0</v>
      </c>
      <c r="K11" s="69">
        <f>IF(OR(ISBLANK(G11),G11=0),0,F11/ROUND(G11,4))</f>
        <v>0</v>
      </c>
      <c r="L11" s="60">
        <f>ROUND(J11,2)*K11</f>
        <v>0</v>
      </c>
      <c r="M11" s="69">
        <f>K11*dagenperjaar1</f>
        <v>0</v>
      </c>
      <c r="N11" s="60">
        <f>M11*ROUND(J11,2)</f>
        <v>0</v>
      </c>
    </row>
    <row r="12" spans="1:14" x14ac:dyDescent="0.2">
      <c r="A12" s="56" t="s">
        <v>199</v>
      </c>
      <c r="B12" s="56" t="s">
        <v>10</v>
      </c>
      <c r="C12" s="56" t="s">
        <v>191</v>
      </c>
      <c r="D12" s="56" t="s">
        <v>200</v>
      </c>
      <c r="E12" s="69">
        <v>103.54</v>
      </c>
      <c r="F12" s="69">
        <f>E12*VLOOKUP(B12,dagsoorttabel1,2,FALSE)</f>
        <v>103.54</v>
      </c>
      <c r="G12" s="70">
        <f>IF(AND(catpn_1_EZB_1&gt;0,catpn_1_EZV_40&gt;0),(dagenperjaar1*VLOOKUP(B12,dagsoorttabel1,2,FALSE))/(((dagenperjaar1*VLOOKUP(B12,dagsoorttabel1,2,FALSE))-catfd_1_EZV_40)/catpn_1_EZB_1+catfd_1_EZV_40/catpn_1_EZV_40),0)</f>
        <v>0</v>
      </c>
      <c r="H12" s="71">
        <f>IF(AND(catpn_1_EZB_1&gt;0,catpn_1_EZV_40&gt;0),(catdw_1_EZB_1*((dagenperjaar1*VLOOKUP(B12,dagsoorttabel1,2,FALSE))-catfd_1_EZV_40)/catpn_1_EZB_1+catdw_1_EZV_40*catfd_1_EZV_40/catpn_1_EZV_40)/(((dagenperjaar1*VLOOKUP(B12,dagsoorttabel1,2,FALSE))-catfd_1_EZV_40)/catpn_1_EZB_1+catfd_1_EZV_40/catpn_1_EZV_40),0)</f>
        <v>0</v>
      </c>
      <c r="I12" s="56" t="s">
        <v>108</v>
      </c>
      <c r="J12" s="60">
        <f>IF(AND(catpn_1_EZB_1&gt;0,catpn_1_EZV_40&gt;0),(cattf_1_EZB_1*((dagenperjaar1*VLOOKUP(B12,dagsoorttabel1,2,FALSE))-catfd_1_EZV_40)/catpn_1_EZB_1+cattf_1_EZV_40*catfd_1_EZV_40/catpn_1_EZV_40)/(((dagenperjaar1*VLOOKUP(B12,dagsoorttabel1,2,FALSE))-catfd_1_EZV_40)/catpn_1_EZB_1+catfd_1_EZV_40/catpn_1_EZV_40),0)</f>
        <v>0</v>
      </c>
      <c r="K12" s="69">
        <f>IF(OR(ISBLANK(G12),G12=0),0,F12/ROUND(G12,4))</f>
        <v>0</v>
      </c>
      <c r="L12" s="60">
        <f>ROUND(J12,2)*K12</f>
        <v>0</v>
      </c>
      <c r="M12" s="69">
        <f>K12*dagenperjaar1</f>
        <v>0</v>
      </c>
      <c r="N12" s="60">
        <f>M12*ROUND(J12,2)</f>
        <v>0</v>
      </c>
    </row>
    <row r="13" spans="1:14" x14ac:dyDescent="0.2">
      <c r="A13" s="56" t="s">
        <v>201</v>
      </c>
      <c r="B13" s="56" t="s">
        <v>10</v>
      </c>
      <c r="C13" s="56" t="s">
        <v>191</v>
      </c>
      <c r="D13" s="56" t="s">
        <v>202</v>
      </c>
      <c r="E13" s="69">
        <v>5.21</v>
      </c>
      <c r="F13" s="69">
        <f>E13*VLOOKUP(B13,dagsoorttabel1,2,FALSE)</f>
        <v>5.21</v>
      </c>
      <c r="G13" s="70">
        <f>IF(AND(catpn_1_FHB_1&gt;0,catpn_1_FHV_40&gt;0),(dagenperjaar1*VLOOKUP(B13,dagsoorttabel1,2,FALSE))/(((dagenperjaar1*VLOOKUP(B13,dagsoorttabel1,2,FALSE))-catfd_1_FHV_40)/catpn_1_FHB_1+catfd_1_FHV_40/catpn_1_FHV_40),0)</f>
        <v>0</v>
      </c>
      <c r="H13" s="71">
        <f>IF(AND(catpn_1_FHB_1&gt;0,catpn_1_FHV_40&gt;0),(catdw_1_FHB_1*((dagenperjaar1*VLOOKUP(B13,dagsoorttabel1,2,FALSE))-catfd_1_FHV_40)/catpn_1_FHB_1+catdw_1_FHV_40*catfd_1_FHV_40/catpn_1_FHV_40)/(((dagenperjaar1*VLOOKUP(B13,dagsoorttabel1,2,FALSE))-catfd_1_FHV_40)/catpn_1_FHB_1+catfd_1_FHV_40/catpn_1_FHV_40),0)</f>
        <v>0</v>
      </c>
      <c r="I13" s="56" t="s">
        <v>108</v>
      </c>
      <c r="J13" s="60">
        <f>IF(AND(catpn_1_FHB_1&gt;0,catpn_1_FHV_40&gt;0),(cattf_1_FHB_1*((dagenperjaar1*VLOOKUP(B13,dagsoorttabel1,2,FALSE))-catfd_1_FHV_40)/catpn_1_FHB_1+cattf_1_FHV_40*catfd_1_FHV_40/catpn_1_FHV_40)/(((dagenperjaar1*VLOOKUP(B13,dagsoorttabel1,2,FALSE))-catfd_1_FHV_40)/catpn_1_FHB_1+catfd_1_FHV_40/catpn_1_FHV_40),0)</f>
        <v>0</v>
      </c>
      <c r="K13" s="69">
        <f>IF(OR(ISBLANK(G13),G13=0),0,F13/ROUND(G13,4))</f>
        <v>0</v>
      </c>
      <c r="L13" s="60">
        <f>ROUND(J13,2)*K13</f>
        <v>0</v>
      </c>
      <c r="M13" s="69">
        <f>K13*dagenperjaar1</f>
        <v>0</v>
      </c>
      <c r="N13" s="60">
        <f>M13*ROUND(J13,2)</f>
        <v>0</v>
      </c>
    </row>
    <row r="14" spans="1:14" x14ac:dyDescent="0.2">
      <c r="A14" s="56" t="s">
        <v>203</v>
      </c>
      <c r="B14" s="56" t="s">
        <v>10</v>
      </c>
      <c r="C14" s="56" t="s">
        <v>191</v>
      </c>
      <c r="D14" s="56" t="s">
        <v>204</v>
      </c>
      <c r="E14" s="69">
        <v>1511.92</v>
      </c>
      <c r="F14" s="69">
        <f>E14*VLOOKUP(B14,dagsoorttabel1,2,FALSE)</f>
        <v>1511.92</v>
      </c>
      <c r="G14" s="70">
        <f>IF(AND(catpn_1_GHB_1&gt;0,catpn_1_GHV_40&gt;0),(dagenperjaar1*VLOOKUP(B14,dagsoorttabel1,2,FALSE))/(((dagenperjaar1*VLOOKUP(B14,dagsoorttabel1,2,FALSE))-catfd_1_GHV_40)/catpn_1_GHB_1+catfd_1_GHV_40/catpn_1_GHV_40),0)</f>
        <v>0</v>
      </c>
      <c r="H14" s="71">
        <f>IF(AND(catpn_1_GHB_1&gt;0,catpn_1_GHV_40&gt;0),(catdw_1_GHB_1*((dagenperjaar1*VLOOKUP(B14,dagsoorttabel1,2,FALSE))-catfd_1_GHV_40)/catpn_1_GHB_1+catdw_1_GHV_40*catfd_1_GHV_40/catpn_1_GHV_40)/(((dagenperjaar1*VLOOKUP(B14,dagsoorttabel1,2,FALSE))-catfd_1_GHV_40)/catpn_1_GHB_1+catfd_1_GHV_40/catpn_1_GHV_40),0)</f>
        <v>0</v>
      </c>
      <c r="I14" s="56" t="s">
        <v>108</v>
      </c>
      <c r="J14" s="60">
        <f>IF(AND(catpn_1_GHB_1&gt;0,catpn_1_GHV_40&gt;0),(cattf_1_GHB_1*((dagenperjaar1*VLOOKUP(B14,dagsoorttabel1,2,FALSE))-catfd_1_GHV_40)/catpn_1_GHB_1+cattf_1_GHV_40*catfd_1_GHV_40/catpn_1_GHV_40)/(((dagenperjaar1*VLOOKUP(B14,dagsoorttabel1,2,FALSE))-catfd_1_GHV_40)/catpn_1_GHB_1+catfd_1_GHV_40/catpn_1_GHV_40),0)</f>
        <v>0</v>
      </c>
      <c r="K14" s="69">
        <f>IF(OR(ISBLANK(G14),G14=0),0,F14/ROUND(G14,4))</f>
        <v>0</v>
      </c>
      <c r="L14" s="60">
        <f>ROUND(J14,2)*K14</f>
        <v>0</v>
      </c>
      <c r="M14" s="69">
        <f>K14*dagenperjaar1</f>
        <v>0</v>
      </c>
      <c r="N14" s="60">
        <f>M14*ROUND(J14,2)</f>
        <v>0</v>
      </c>
    </row>
    <row r="15" spans="1:14" x14ac:dyDescent="0.2">
      <c r="A15" s="56" t="s">
        <v>203</v>
      </c>
      <c r="B15" s="56" t="s">
        <v>16</v>
      </c>
      <c r="C15" s="56" t="s">
        <v>191</v>
      </c>
      <c r="D15" s="56" t="s">
        <v>204</v>
      </c>
      <c r="E15" s="69">
        <v>187.69</v>
      </c>
      <c r="F15" s="69">
        <f>E15*VLOOKUP(B15,dagsoorttabel1,2,FALSE)</f>
        <v>37.538000000000004</v>
      </c>
      <c r="G15" s="70">
        <f>catpn_1_GHV_40</f>
        <v>0</v>
      </c>
      <c r="H15" s="71">
        <f>catdw_1_GHV_40</f>
        <v>0</v>
      </c>
      <c r="I15" s="56" t="s">
        <v>108</v>
      </c>
      <c r="J15" s="60">
        <f>cattf_1_GHV_40</f>
        <v>0</v>
      </c>
      <c r="K15" s="69">
        <f>IF(OR(ISBLANK(G15),G15=0),0,F15/ROUND(G15,4))</f>
        <v>0</v>
      </c>
      <c r="L15" s="60">
        <f>ROUND(J15,2)*K15</f>
        <v>0</v>
      </c>
      <c r="M15" s="69">
        <f>K15*dagenperjaar1</f>
        <v>0</v>
      </c>
      <c r="N15" s="60">
        <f>M15*ROUND(J15,2)</f>
        <v>0</v>
      </c>
    </row>
    <row r="16" spans="1:14" x14ac:dyDescent="0.2">
      <c r="A16" s="56" t="s">
        <v>203</v>
      </c>
      <c r="B16" s="56" t="s">
        <v>14</v>
      </c>
      <c r="C16" s="56" t="s">
        <v>191</v>
      </c>
      <c r="D16" s="56" t="s">
        <v>204</v>
      </c>
      <c r="E16" s="69">
        <v>55</v>
      </c>
      <c r="F16" s="69">
        <f>E16*VLOOKUP(B16,dagsoorttabel1,2,FALSE)</f>
        <v>22</v>
      </c>
      <c r="G16" s="70">
        <f>IF(AND(catpn_1_GHB_1&gt;0,catpn_1_GHV_40&gt;0),(dagenperjaar1*VLOOKUP(B16,dagsoorttabel1,2,FALSE))/(((dagenperjaar1*VLOOKUP(B16,dagsoorttabel1,2,FALSE))-catfd_1_GHV_40)/catpn_1_GHB_1+catfd_1_GHV_40/catpn_1_GHV_40),0)</f>
        <v>0</v>
      </c>
      <c r="H16" s="71">
        <f>IF(AND(catpn_1_GHB_1&gt;0,catpn_1_GHV_40&gt;0),(catdw_1_GHB_1*((dagenperjaar1*VLOOKUP(B16,dagsoorttabel1,2,FALSE))-catfd_1_GHV_40)/catpn_1_GHB_1+catdw_1_GHV_40*catfd_1_GHV_40/catpn_1_GHV_40)/(((dagenperjaar1*VLOOKUP(B16,dagsoorttabel1,2,FALSE))-catfd_1_GHV_40)/catpn_1_GHB_1+catfd_1_GHV_40/catpn_1_GHV_40),0)</f>
        <v>0</v>
      </c>
      <c r="I16" s="56" t="s">
        <v>108</v>
      </c>
      <c r="J16" s="60">
        <f>IF(AND(catpn_1_GHB_1&gt;0,catpn_1_GHV_40&gt;0),(cattf_1_GHB_1*((dagenperjaar1*VLOOKUP(B16,dagsoorttabel1,2,FALSE))-catfd_1_GHV_40)/catpn_1_GHB_1+cattf_1_GHV_40*catfd_1_GHV_40/catpn_1_GHV_40)/(((dagenperjaar1*VLOOKUP(B16,dagsoorttabel1,2,FALSE))-catfd_1_GHV_40)/catpn_1_GHB_1+catfd_1_GHV_40/catpn_1_GHV_40),0)</f>
        <v>0</v>
      </c>
      <c r="K16" s="69">
        <f>IF(OR(ISBLANK(G16),G16=0),0,F16/ROUND(G16,4))</f>
        <v>0</v>
      </c>
      <c r="L16" s="60">
        <f>ROUND(J16,2)*K16</f>
        <v>0</v>
      </c>
      <c r="M16" s="69">
        <f>K16*dagenperjaar1</f>
        <v>0</v>
      </c>
      <c r="N16" s="60">
        <f>M16*ROUND(J16,2)</f>
        <v>0</v>
      </c>
    </row>
    <row r="17" spans="1:14" x14ac:dyDescent="0.2">
      <c r="A17" s="56" t="s">
        <v>205</v>
      </c>
      <c r="B17" s="56" t="s">
        <v>10</v>
      </c>
      <c r="C17" s="56" t="s">
        <v>191</v>
      </c>
      <c r="D17" s="56" t="s">
        <v>206</v>
      </c>
      <c r="E17" s="69">
        <v>253.53</v>
      </c>
      <c r="F17" s="69">
        <f>E17*VLOOKUP(B17,dagsoorttabel1,2,FALSE)</f>
        <v>253.53</v>
      </c>
      <c r="G17" s="70">
        <f>IF(AND(catpn_1_KHB_1&gt;0,catpn_1_KHV_40&gt;0),(dagenperjaar1*VLOOKUP(B17,dagsoorttabel1,2,FALSE))/(((dagenperjaar1*VLOOKUP(B17,dagsoorttabel1,2,FALSE))-catfd_1_KHV_40)/catpn_1_KHB_1+catfd_1_KHV_40/catpn_1_KHV_40),0)</f>
        <v>0</v>
      </c>
      <c r="H17" s="71">
        <f>IF(AND(catpn_1_KHB_1&gt;0,catpn_1_KHV_40&gt;0),(catdw_1_KHB_1*((dagenperjaar1*VLOOKUP(B17,dagsoorttabel1,2,FALSE))-catfd_1_KHV_40)/catpn_1_KHB_1+catdw_1_KHV_40*catfd_1_KHV_40/catpn_1_KHV_40)/(((dagenperjaar1*VLOOKUP(B17,dagsoorttabel1,2,FALSE))-catfd_1_KHV_40)/catpn_1_KHB_1+catfd_1_KHV_40/catpn_1_KHV_40),0)</f>
        <v>0</v>
      </c>
      <c r="I17" s="56" t="s">
        <v>108</v>
      </c>
      <c r="J17" s="60">
        <f>IF(AND(catpn_1_KHB_1&gt;0,catpn_1_KHV_40&gt;0),(cattf_1_KHB_1*((dagenperjaar1*VLOOKUP(B17,dagsoorttabel1,2,FALSE))-catfd_1_KHV_40)/catpn_1_KHB_1+cattf_1_KHV_40*catfd_1_KHV_40/catpn_1_KHV_40)/(((dagenperjaar1*VLOOKUP(B17,dagsoorttabel1,2,FALSE))-catfd_1_KHV_40)/catpn_1_KHB_1+catfd_1_KHV_40/catpn_1_KHV_40),0)</f>
        <v>0</v>
      </c>
      <c r="K17" s="69">
        <f>IF(OR(ISBLANK(G17),G17=0),0,F17/ROUND(G17,4))</f>
        <v>0</v>
      </c>
      <c r="L17" s="60">
        <f>ROUND(J17,2)*K17</f>
        <v>0</v>
      </c>
      <c r="M17" s="69">
        <f>K17*dagenperjaar1</f>
        <v>0</v>
      </c>
      <c r="N17" s="60">
        <f>M17*ROUND(J17,2)</f>
        <v>0</v>
      </c>
    </row>
    <row r="18" spans="1:14" x14ac:dyDescent="0.2">
      <c r="A18" s="56" t="s">
        <v>207</v>
      </c>
      <c r="B18" s="56" t="s">
        <v>10</v>
      </c>
      <c r="C18" s="56" t="s">
        <v>191</v>
      </c>
      <c r="D18" s="56" t="s">
        <v>208</v>
      </c>
      <c r="E18" s="69">
        <v>3993.2</v>
      </c>
      <c r="F18" s="69">
        <f>E18*VLOOKUP(B18,dagsoorttabel1,2,FALSE)</f>
        <v>3993.2</v>
      </c>
      <c r="G18" s="70">
        <f>IF(AND(catpn_1_LHB_1&gt;0,catpn_1_LHV_40&gt;0),(dagenperjaar1*VLOOKUP(B18,dagsoorttabel1,2,FALSE))/(((dagenperjaar1*VLOOKUP(B18,dagsoorttabel1,2,FALSE))-catfd_1_LHV_40)/catpn_1_LHB_1+catfd_1_LHV_40/catpn_1_LHV_40),0)</f>
        <v>0</v>
      </c>
      <c r="H18" s="71">
        <f>IF(AND(catpn_1_LHB_1&gt;0,catpn_1_LHV_40&gt;0),(catdw_1_LHB_1*((dagenperjaar1*VLOOKUP(B18,dagsoorttabel1,2,FALSE))-catfd_1_LHV_40)/catpn_1_LHB_1+catdw_1_LHV_40*catfd_1_LHV_40/catpn_1_LHV_40)/(((dagenperjaar1*VLOOKUP(B18,dagsoorttabel1,2,FALSE))-catfd_1_LHV_40)/catpn_1_LHB_1+catfd_1_LHV_40/catpn_1_LHV_40),0)</f>
        <v>0</v>
      </c>
      <c r="I18" s="56" t="s">
        <v>108</v>
      </c>
      <c r="J18" s="60">
        <f>IF(AND(catpn_1_LHB_1&gt;0,catpn_1_LHV_40&gt;0),(cattf_1_LHB_1*((dagenperjaar1*VLOOKUP(B18,dagsoorttabel1,2,FALSE))-catfd_1_LHV_40)/catpn_1_LHB_1+cattf_1_LHV_40*catfd_1_LHV_40/catpn_1_LHV_40)/(((dagenperjaar1*VLOOKUP(B18,dagsoorttabel1,2,FALSE))-catfd_1_LHV_40)/catpn_1_LHB_1+catfd_1_LHV_40/catpn_1_LHV_40),0)</f>
        <v>0</v>
      </c>
      <c r="K18" s="69">
        <f>IF(OR(ISBLANK(G18),G18=0),0,F18/ROUND(G18,4))</f>
        <v>0</v>
      </c>
      <c r="L18" s="60">
        <f>ROUND(J18,2)*K18</f>
        <v>0</v>
      </c>
      <c r="M18" s="69">
        <f>K18*dagenperjaar1</f>
        <v>0</v>
      </c>
      <c r="N18" s="60">
        <f>M18*ROUND(J18,2)</f>
        <v>0</v>
      </c>
    </row>
    <row r="19" spans="1:14" x14ac:dyDescent="0.2">
      <c r="A19" s="56" t="s">
        <v>209</v>
      </c>
      <c r="B19" s="56" t="s">
        <v>10</v>
      </c>
      <c r="C19" s="56" t="s">
        <v>191</v>
      </c>
      <c r="D19" s="56" t="s">
        <v>210</v>
      </c>
      <c r="E19" s="69">
        <v>132.30000000000001</v>
      </c>
      <c r="F19" s="69">
        <f>E19*VLOOKUP(B19,dagsoorttabel1,2,FALSE)</f>
        <v>132.30000000000001</v>
      </c>
      <c r="G19" s="70">
        <f>IF(AND(catpn_1_LZB_1&gt;0,catpn_1_LZV_40&gt;0),(dagenperjaar1*VLOOKUP(B19,dagsoorttabel1,2,FALSE))/(((dagenperjaar1*VLOOKUP(B19,dagsoorttabel1,2,FALSE))-catfd_1_LZV_40)/catpn_1_LZB_1+catfd_1_LZV_40/catpn_1_LZV_40),0)</f>
        <v>0</v>
      </c>
      <c r="H19" s="71">
        <f>IF(AND(catpn_1_LZB_1&gt;0,catpn_1_LZV_40&gt;0),(catdw_1_LZB_1*((dagenperjaar1*VLOOKUP(B19,dagsoorttabel1,2,FALSE))-catfd_1_LZV_40)/catpn_1_LZB_1+catdw_1_LZV_40*catfd_1_LZV_40/catpn_1_LZV_40)/(((dagenperjaar1*VLOOKUP(B19,dagsoorttabel1,2,FALSE))-catfd_1_LZV_40)/catpn_1_LZB_1+catfd_1_LZV_40/catpn_1_LZV_40),0)</f>
        <v>0</v>
      </c>
      <c r="I19" s="56" t="s">
        <v>108</v>
      </c>
      <c r="J19" s="60">
        <f>IF(AND(catpn_1_LZB_1&gt;0,catpn_1_LZV_40&gt;0),(cattf_1_LZB_1*((dagenperjaar1*VLOOKUP(B19,dagsoorttabel1,2,FALSE))-catfd_1_LZV_40)/catpn_1_LZB_1+cattf_1_LZV_40*catfd_1_LZV_40/catpn_1_LZV_40)/(((dagenperjaar1*VLOOKUP(B19,dagsoorttabel1,2,FALSE))-catfd_1_LZV_40)/catpn_1_LZB_1+catfd_1_LZV_40/catpn_1_LZV_40),0)</f>
        <v>0</v>
      </c>
      <c r="K19" s="69">
        <f>IF(OR(ISBLANK(G19),G19=0),0,F19/ROUND(G19,4))</f>
        <v>0</v>
      </c>
      <c r="L19" s="60">
        <f>ROUND(J19,2)*K19</f>
        <v>0</v>
      </c>
      <c r="M19" s="69">
        <f>K19*dagenperjaar1</f>
        <v>0</v>
      </c>
      <c r="N19" s="60">
        <f>M19*ROUND(J19,2)</f>
        <v>0</v>
      </c>
    </row>
    <row r="20" spans="1:14" x14ac:dyDescent="0.2">
      <c r="A20" s="56" t="s">
        <v>211</v>
      </c>
      <c r="B20" s="56" t="s">
        <v>10</v>
      </c>
      <c r="C20" s="56" t="s">
        <v>191</v>
      </c>
      <c r="D20" s="56" t="s">
        <v>212</v>
      </c>
      <c r="E20" s="69">
        <v>512.36</v>
      </c>
      <c r="F20" s="69">
        <f>E20*VLOOKUP(B20,dagsoorttabel1,2,FALSE)</f>
        <v>512.36</v>
      </c>
      <c r="G20" s="70">
        <f>IF(AND(catpn_1_MHB_1&gt;0,catpn_1_MHV_40&gt;0),(dagenperjaar1*VLOOKUP(B20,dagsoorttabel1,2,FALSE))/(((dagenperjaar1*VLOOKUP(B20,dagsoorttabel1,2,FALSE))-catfd_1_MHV_40)/catpn_1_MHB_1+catfd_1_MHV_40/catpn_1_MHV_40),0)</f>
        <v>0</v>
      </c>
      <c r="H20" s="71">
        <f>IF(AND(catpn_1_MHB_1&gt;0,catpn_1_MHV_40&gt;0),(catdw_1_MHB_1*((dagenperjaar1*VLOOKUP(B20,dagsoorttabel1,2,FALSE))-catfd_1_MHV_40)/catpn_1_MHB_1+catdw_1_MHV_40*catfd_1_MHV_40/catpn_1_MHV_40)/(((dagenperjaar1*VLOOKUP(B20,dagsoorttabel1,2,FALSE))-catfd_1_MHV_40)/catpn_1_MHB_1+catfd_1_MHV_40/catpn_1_MHV_40),0)</f>
        <v>0</v>
      </c>
      <c r="I20" s="56" t="s">
        <v>108</v>
      </c>
      <c r="J20" s="60">
        <f>IF(AND(catpn_1_MHB_1&gt;0,catpn_1_MHV_40&gt;0),(cattf_1_MHB_1*((dagenperjaar1*VLOOKUP(B20,dagsoorttabel1,2,FALSE))-catfd_1_MHV_40)/catpn_1_MHB_1+cattf_1_MHV_40*catfd_1_MHV_40/catpn_1_MHV_40)/(((dagenperjaar1*VLOOKUP(B20,dagsoorttabel1,2,FALSE))-catfd_1_MHV_40)/catpn_1_MHB_1+catfd_1_MHV_40/catpn_1_MHV_40),0)</f>
        <v>0</v>
      </c>
      <c r="K20" s="69">
        <f>IF(OR(ISBLANK(G20),G20=0),0,F20/ROUND(G20,4))</f>
        <v>0</v>
      </c>
      <c r="L20" s="60">
        <f>ROUND(J20,2)*K20</f>
        <v>0</v>
      </c>
      <c r="M20" s="69">
        <f>K20*dagenperjaar1</f>
        <v>0</v>
      </c>
      <c r="N20" s="60">
        <f>M20*ROUND(J20,2)</f>
        <v>0</v>
      </c>
    </row>
    <row r="21" spans="1:14" x14ac:dyDescent="0.2">
      <c r="A21" s="56" t="s">
        <v>213</v>
      </c>
      <c r="B21" s="56" t="s">
        <v>10</v>
      </c>
      <c r="C21" s="56" t="s">
        <v>191</v>
      </c>
      <c r="D21" s="56" t="s">
        <v>214</v>
      </c>
      <c r="E21" s="69">
        <v>4</v>
      </c>
      <c r="F21" s="69">
        <f>E21*VLOOKUP(B21,dagsoorttabel1,2,FALSE)</f>
        <v>4</v>
      </c>
      <c r="G21" s="70">
        <f>IF(AND(catpn_1_PHB_1&gt;0,catpn_1_PHV_40&gt;0),(dagenperjaar1*VLOOKUP(B21,dagsoorttabel1,2,FALSE))/(((dagenperjaar1*VLOOKUP(B21,dagsoorttabel1,2,FALSE))-catfd_1_PHV_40)/catpn_1_PHB_1+catfd_1_PHV_40/catpn_1_PHV_40),0)</f>
        <v>0</v>
      </c>
      <c r="H21" s="71">
        <f>IF(AND(catpn_1_PHB_1&gt;0,catpn_1_PHV_40&gt;0),(catdw_1_PHB_1*((dagenperjaar1*VLOOKUP(B21,dagsoorttabel1,2,FALSE))-catfd_1_PHV_40)/catpn_1_PHB_1+catdw_1_PHV_40*catfd_1_PHV_40/catpn_1_PHV_40)/(((dagenperjaar1*VLOOKUP(B21,dagsoorttabel1,2,FALSE))-catfd_1_PHV_40)/catpn_1_PHB_1+catfd_1_PHV_40/catpn_1_PHV_40),0)</f>
        <v>0</v>
      </c>
      <c r="I21" s="56" t="s">
        <v>108</v>
      </c>
      <c r="J21" s="60">
        <f>IF(AND(catpn_1_PHB_1&gt;0,catpn_1_PHV_40&gt;0),(cattf_1_PHB_1*((dagenperjaar1*VLOOKUP(B21,dagsoorttabel1,2,FALSE))-catfd_1_PHV_40)/catpn_1_PHB_1+cattf_1_PHV_40*catfd_1_PHV_40/catpn_1_PHV_40)/(((dagenperjaar1*VLOOKUP(B21,dagsoorttabel1,2,FALSE))-catfd_1_PHV_40)/catpn_1_PHB_1+catfd_1_PHV_40/catpn_1_PHV_40),0)</f>
        <v>0</v>
      </c>
      <c r="K21" s="69">
        <f>IF(OR(ISBLANK(G21),G21=0),0,F21/ROUND(G21,4))</f>
        <v>0</v>
      </c>
      <c r="L21" s="60">
        <f>ROUND(J21,2)*K21</f>
        <v>0</v>
      </c>
      <c r="M21" s="69">
        <f>K21*dagenperjaar1</f>
        <v>0</v>
      </c>
      <c r="N21" s="60">
        <f>M21*ROUND(J21,2)</f>
        <v>0</v>
      </c>
    </row>
    <row r="22" spans="1:14" x14ac:dyDescent="0.2">
      <c r="A22" s="56" t="s">
        <v>215</v>
      </c>
      <c r="B22" s="56" t="s">
        <v>10</v>
      </c>
      <c r="C22" s="56" t="s">
        <v>191</v>
      </c>
      <c r="D22" s="56" t="s">
        <v>216</v>
      </c>
      <c r="E22" s="69">
        <v>136.65</v>
      </c>
      <c r="F22" s="69">
        <f>E22*VLOOKUP(B22,dagsoorttabel1,2,FALSE)</f>
        <v>136.65</v>
      </c>
      <c r="G22" s="70">
        <f>IF(AND(catpn_1_PMHB_1&gt;0,catpn_1_PMHV_40&gt;0),(dagenperjaar1*VLOOKUP(B22,dagsoorttabel1,2,FALSE))/(((dagenperjaar1*VLOOKUP(B22,dagsoorttabel1,2,FALSE))-catfd_1_PMHV_40)/catpn_1_PMHB_1+catfd_1_PMHV_40/catpn_1_PMHV_40),0)</f>
        <v>0</v>
      </c>
      <c r="H22" s="71">
        <f>IF(AND(catpn_1_PMHB_1&gt;0,catpn_1_PMHV_40&gt;0),(catdw_1_PMHB_1*((dagenperjaar1*VLOOKUP(B22,dagsoorttabel1,2,FALSE))-catfd_1_PMHV_40)/catpn_1_PMHB_1+catdw_1_PMHV_40*catfd_1_PMHV_40/catpn_1_PMHV_40)/(((dagenperjaar1*VLOOKUP(B22,dagsoorttabel1,2,FALSE))-catfd_1_PMHV_40)/catpn_1_PMHB_1+catfd_1_PMHV_40/catpn_1_PMHV_40),0)</f>
        <v>0</v>
      </c>
      <c r="I22" s="56" t="s">
        <v>108</v>
      </c>
      <c r="J22" s="60">
        <f>IF(AND(catpn_1_PMHB_1&gt;0,catpn_1_PMHV_40&gt;0),(cattf_1_PMHB_1*((dagenperjaar1*VLOOKUP(B22,dagsoorttabel1,2,FALSE))-catfd_1_PMHV_40)/catpn_1_PMHB_1+cattf_1_PMHV_40*catfd_1_PMHV_40/catpn_1_PMHV_40)/(((dagenperjaar1*VLOOKUP(B22,dagsoorttabel1,2,FALSE))-catfd_1_PMHV_40)/catpn_1_PMHB_1+catfd_1_PMHV_40/catpn_1_PMHV_40),0)</f>
        <v>0</v>
      </c>
      <c r="K22" s="69">
        <f>IF(OR(ISBLANK(G22),G22=0),0,F22/ROUND(G22,4))</f>
        <v>0</v>
      </c>
      <c r="L22" s="60">
        <f>ROUND(J22,2)*K22</f>
        <v>0</v>
      </c>
      <c r="M22" s="69">
        <f>K22*dagenperjaar1</f>
        <v>0</v>
      </c>
      <c r="N22" s="60">
        <f>M22*ROUND(J22,2)</f>
        <v>0</v>
      </c>
    </row>
    <row r="23" spans="1:14" x14ac:dyDescent="0.2">
      <c r="A23" s="56" t="s">
        <v>217</v>
      </c>
      <c r="B23" s="56" t="s">
        <v>10</v>
      </c>
      <c r="C23" s="56" t="s">
        <v>191</v>
      </c>
      <c r="D23" s="56" t="s">
        <v>218</v>
      </c>
      <c r="E23" s="69">
        <v>801.22</v>
      </c>
      <c r="F23" s="69">
        <f>E23*VLOOKUP(B23,dagsoorttabel1,2,FALSE)</f>
        <v>801.22</v>
      </c>
      <c r="G23" s="70">
        <f>IF(AND(catpn_1_PUHB_1&gt;0,catpn_1_PUHV_40&gt;0),(dagenperjaar1*VLOOKUP(B23,dagsoorttabel1,2,FALSE))/(((dagenperjaar1*VLOOKUP(B23,dagsoorttabel1,2,FALSE))-catfd_1_PUHV_40)/catpn_1_PUHB_1+catfd_1_PUHV_40/catpn_1_PUHV_40),0)</f>
        <v>0</v>
      </c>
      <c r="H23" s="71">
        <f>IF(AND(catpn_1_PUHB_1&gt;0,catpn_1_PUHV_40&gt;0),(catdw_1_PUHB_1*((dagenperjaar1*VLOOKUP(B23,dagsoorttabel1,2,FALSE))-catfd_1_PUHV_40)/catpn_1_PUHB_1+catdw_1_PUHV_40*catfd_1_PUHV_40/catpn_1_PUHV_40)/(((dagenperjaar1*VLOOKUP(B23,dagsoorttabel1,2,FALSE))-catfd_1_PUHV_40)/catpn_1_PUHB_1+catfd_1_PUHV_40/catpn_1_PUHV_40),0)</f>
        <v>0</v>
      </c>
      <c r="I23" s="56" t="s">
        <v>108</v>
      </c>
      <c r="J23" s="60">
        <f>IF(AND(catpn_1_PUHB_1&gt;0,catpn_1_PUHV_40&gt;0),(cattf_1_PUHB_1*((dagenperjaar1*VLOOKUP(B23,dagsoorttabel1,2,FALSE))-catfd_1_PUHV_40)/catpn_1_PUHB_1+cattf_1_PUHV_40*catfd_1_PUHV_40/catpn_1_PUHV_40)/(((dagenperjaar1*VLOOKUP(B23,dagsoorttabel1,2,FALSE))-catfd_1_PUHV_40)/catpn_1_PUHB_1+catfd_1_PUHV_40/catpn_1_PUHV_40),0)</f>
        <v>0</v>
      </c>
      <c r="K23" s="69">
        <f>IF(OR(ISBLANK(G23),G23=0),0,F23/ROUND(G23,4))</f>
        <v>0</v>
      </c>
      <c r="L23" s="60">
        <f>ROUND(J23,2)*K23</f>
        <v>0</v>
      </c>
      <c r="M23" s="69">
        <f>K23*dagenperjaar1</f>
        <v>0</v>
      </c>
      <c r="N23" s="60">
        <f>M23*ROUND(J23,2)</f>
        <v>0</v>
      </c>
    </row>
    <row r="24" spans="1:14" x14ac:dyDescent="0.2">
      <c r="A24" s="56" t="s">
        <v>219</v>
      </c>
      <c r="B24" s="56" t="s">
        <v>10</v>
      </c>
      <c r="C24" s="56" t="s">
        <v>191</v>
      </c>
      <c r="D24" s="56" t="s">
        <v>220</v>
      </c>
      <c r="E24" s="69">
        <v>438.72999999999996</v>
      </c>
      <c r="F24" s="69">
        <f>E24*VLOOKUP(B24,dagsoorttabel1,2,FALSE)</f>
        <v>438.72999999999996</v>
      </c>
      <c r="G24" s="70">
        <f>IF(AND(catpn_1_SHB_1&gt;0,catpn_1_SHV_40&gt;0),(dagenperjaar1*VLOOKUP(B24,dagsoorttabel1,2,FALSE))/(((dagenperjaar1*VLOOKUP(B24,dagsoorttabel1,2,FALSE))-catfd_1_SHV_40)/catpn_1_SHB_1+catfd_1_SHV_40/catpn_1_SHV_40),0)</f>
        <v>0</v>
      </c>
      <c r="H24" s="71">
        <f>IF(AND(catpn_1_SHB_1&gt;0,catpn_1_SHV_40&gt;0),(catdw_1_SHB_1*((dagenperjaar1*VLOOKUP(B24,dagsoorttabel1,2,FALSE))-catfd_1_SHV_40)/catpn_1_SHB_1+catdw_1_SHV_40*catfd_1_SHV_40/catpn_1_SHV_40)/(((dagenperjaar1*VLOOKUP(B24,dagsoorttabel1,2,FALSE))-catfd_1_SHV_40)/catpn_1_SHB_1+catfd_1_SHV_40/catpn_1_SHV_40),0)</f>
        <v>0</v>
      </c>
      <c r="I24" s="56" t="s">
        <v>108</v>
      </c>
      <c r="J24" s="60">
        <f>IF(AND(catpn_1_SHB_1&gt;0,catpn_1_SHV_40&gt;0),(cattf_1_SHB_1*((dagenperjaar1*VLOOKUP(B24,dagsoorttabel1,2,FALSE))-catfd_1_SHV_40)/catpn_1_SHB_1+cattf_1_SHV_40*catfd_1_SHV_40/catpn_1_SHV_40)/(((dagenperjaar1*VLOOKUP(B24,dagsoorttabel1,2,FALSE))-catfd_1_SHV_40)/catpn_1_SHB_1+catfd_1_SHV_40/catpn_1_SHV_40),0)</f>
        <v>0</v>
      </c>
      <c r="K24" s="69">
        <f>IF(OR(ISBLANK(G24),G24=0),0,F24/ROUND(G24,4))</f>
        <v>0</v>
      </c>
      <c r="L24" s="60">
        <f>ROUND(J24,2)*K24</f>
        <v>0</v>
      </c>
      <c r="M24" s="69">
        <f>K24*dagenperjaar1</f>
        <v>0</v>
      </c>
      <c r="N24" s="60">
        <f>M24*ROUND(J24,2)</f>
        <v>0</v>
      </c>
    </row>
    <row r="25" spans="1:14" x14ac:dyDescent="0.2">
      <c r="A25" s="56" t="s">
        <v>221</v>
      </c>
      <c r="B25" s="56" t="s">
        <v>10</v>
      </c>
      <c r="C25" s="56" t="s">
        <v>191</v>
      </c>
      <c r="D25" s="56" t="s">
        <v>222</v>
      </c>
      <c r="E25" s="69">
        <v>40</v>
      </c>
      <c r="F25" s="69">
        <f>E25*VLOOKUP(B25,dagsoorttabel1,2,FALSE)</f>
        <v>40</v>
      </c>
      <c r="G25" s="70">
        <f>catpn_1_SHB_1</f>
        <v>0</v>
      </c>
      <c r="H25" s="71">
        <f>catdw_1_SHB_1</f>
        <v>0</v>
      </c>
      <c r="I25" s="56" t="s">
        <v>108</v>
      </c>
      <c r="J25" s="60">
        <f>cattf_1_SHB_1</f>
        <v>0</v>
      </c>
      <c r="K25" s="69">
        <f>IF(OR(ISBLANK(G25),G25=0),0,F25/ROUND(G25,4))</f>
        <v>0</v>
      </c>
      <c r="L25" s="60">
        <f>ROUND(J25,2)*K25</f>
        <v>0</v>
      </c>
      <c r="M25" s="69">
        <f>K25*dagenperjaar1</f>
        <v>0</v>
      </c>
      <c r="N25" s="60">
        <f>M25*ROUND(J25,2)</f>
        <v>0</v>
      </c>
    </row>
    <row r="26" spans="1:14" x14ac:dyDescent="0.2">
      <c r="A26" s="56" t="s">
        <v>223</v>
      </c>
      <c r="B26" s="56" t="s">
        <v>10</v>
      </c>
      <c r="C26" s="56" t="s">
        <v>191</v>
      </c>
      <c r="D26" s="56" t="s">
        <v>224</v>
      </c>
      <c r="E26" s="69">
        <v>1158.3000000000002</v>
      </c>
      <c r="F26" s="69">
        <f>E26*VLOOKUP(B26,dagsoorttabel1,2,FALSE)</f>
        <v>1158.3000000000002</v>
      </c>
      <c r="G26" s="70">
        <f>IF(AND(catpn_1_THB_1&gt;0,catpn_1_THV_40&gt;0),(dagenperjaar1*VLOOKUP(B26,dagsoorttabel1,2,FALSE))/(((dagenperjaar1*VLOOKUP(B26,dagsoorttabel1,2,FALSE))-catfd_1_THV_40)/catpn_1_THB_1+catfd_1_THV_40/catpn_1_THV_40),0)</f>
        <v>0</v>
      </c>
      <c r="H26" s="71">
        <f>IF(AND(catpn_1_THB_1&gt;0,catpn_1_THV_40&gt;0),(catdw_1_THB_1*((dagenperjaar1*VLOOKUP(B26,dagsoorttabel1,2,FALSE))-catfd_1_THV_40)/catpn_1_THB_1+catdw_1_THV_40*catfd_1_THV_40/catpn_1_THV_40)/(((dagenperjaar1*VLOOKUP(B26,dagsoorttabel1,2,FALSE))-catfd_1_THV_40)/catpn_1_THB_1+catfd_1_THV_40/catpn_1_THV_40),0)</f>
        <v>0</v>
      </c>
      <c r="I26" s="56" t="s">
        <v>108</v>
      </c>
      <c r="J26" s="60">
        <f>IF(AND(catpn_1_THB_1&gt;0,catpn_1_THV_40&gt;0),(cattf_1_THB_1*((dagenperjaar1*VLOOKUP(B26,dagsoorttabel1,2,FALSE))-catfd_1_THV_40)/catpn_1_THB_1+cattf_1_THV_40*catfd_1_THV_40/catpn_1_THV_40)/(((dagenperjaar1*VLOOKUP(B26,dagsoorttabel1,2,FALSE))-catfd_1_THV_40)/catpn_1_THB_1+catfd_1_THV_40/catpn_1_THV_40),0)</f>
        <v>0</v>
      </c>
      <c r="K26" s="69">
        <f>IF(OR(ISBLANK(G26),G26=0),0,F26/ROUND(G26,4))</f>
        <v>0</v>
      </c>
      <c r="L26" s="60">
        <f>ROUND(J26,2)*K26</f>
        <v>0</v>
      </c>
      <c r="M26" s="69">
        <f>K26*dagenperjaar1</f>
        <v>0</v>
      </c>
      <c r="N26" s="60">
        <f>M26*ROUND(J26,2)</f>
        <v>0</v>
      </c>
    </row>
    <row r="27" spans="1:14" x14ac:dyDescent="0.2">
      <c r="A27" s="56" t="s">
        <v>223</v>
      </c>
      <c r="B27" s="56" t="s">
        <v>14</v>
      </c>
      <c r="C27" s="56" t="s">
        <v>191</v>
      </c>
      <c r="D27" s="56" t="s">
        <v>224</v>
      </c>
      <c r="E27" s="69">
        <v>12.870000000000001</v>
      </c>
      <c r="F27" s="69">
        <f>E27*VLOOKUP(B27,dagsoorttabel1,2,FALSE)</f>
        <v>5.1480000000000006</v>
      </c>
      <c r="G27" s="70">
        <f>IF(AND(catpn_1_THB_1&gt;0,catpn_1_THV_40&gt;0),(dagenperjaar1*VLOOKUP(B27,dagsoorttabel1,2,FALSE))/(((dagenperjaar1*VLOOKUP(B27,dagsoorttabel1,2,FALSE))-catfd_1_THV_40)/catpn_1_THB_1+catfd_1_THV_40/catpn_1_THV_40),0)</f>
        <v>0</v>
      </c>
      <c r="H27" s="71">
        <f>IF(AND(catpn_1_THB_1&gt;0,catpn_1_THV_40&gt;0),(catdw_1_THB_1*((dagenperjaar1*VLOOKUP(B27,dagsoorttabel1,2,FALSE))-catfd_1_THV_40)/catpn_1_THB_1+catdw_1_THV_40*catfd_1_THV_40/catpn_1_THV_40)/(((dagenperjaar1*VLOOKUP(B27,dagsoorttabel1,2,FALSE))-catfd_1_THV_40)/catpn_1_THB_1+catfd_1_THV_40/catpn_1_THV_40),0)</f>
        <v>0</v>
      </c>
      <c r="I27" s="56" t="s">
        <v>108</v>
      </c>
      <c r="J27" s="60">
        <f>IF(AND(catpn_1_THB_1&gt;0,catpn_1_THV_40&gt;0),(cattf_1_THB_1*((dagenperjaar1*VLOOKUP(B27,dagsoorttabel1,2,FALSE))-catfd_1_THV_40)/catpn_1_THB_1+cattf_1_THV_40*catfd_1_THV_40/catpn_1_THV_40)/(((dagenperjaar1*VLOOKUP(B27,dagsoorttabel1,2,FALSE))-catfd_1_THV_40)/catpn_1_THB_1+catfd_1_THV_40/catpn_1_THV_40),0)</f>
        <v>0</v>
      </c>
      <c r="K27" s="69">
        <f>IF(OR(ISBLANK(G27),G27=0),0,F27/ROUND(G27,4))</f>
        <v>0</v>
      </c>
      <c r="L27" s="60">
        <f>ROUND(J27,2)*K27</f>
        <v>0</v>
      </c>
      <c r="M27" s="69">
        <f>K27*dagenperjaar1</f>
        <v>0</v>
      </c>
      <c r="N27" s="60">
        <f>M27*ROUND(J27,2)</f>
        <v>0</v>
      </c>
    </row>
    <row r="28" spans="1:14" x14ac:dyDescent="0.2">
      <c r="A28" s="56" t="s">
        <v>225</v>
      </c>
      <c r="B28" s="56" t="s">
        <v>10</v>
      </c>
      <c r="C28" s="56" t="s">
        <v>191</v>
      </c>
      <c r="D28" s="56" t="s">
        <v>226</v>
      </c>
      <c r="E28" s="69">
        <v>4305.88</v>
      </c>
      <c r="F28" s="69">
        <f>E28*VLOOKUP(B28,dagsoorttabel1,2,FALSE)</f>
        <v>4305.88</v>
      </c>
      <c r="G28" s="70">
        <f>IF(AND(catpn_1_VHB_1&gt;0,catpn_1_VHV_40&gt;0),(dagenperjaar1*VLOOKUP(B28,dagsoorttabel1,2,FALSE))/(((dagenperjaar1*VLOOKUP(B28,dagsoorttabel1,2,FALSE))-catfd_1_VHV_40)/catpn_1_VHB_1+catfd_1_VHV_40/catpn_1_VHV_40),0)</f>
        <v>0</v>
      </c>
      <c r="H28" s="71">
        <f>IF(AND(catpn_1_VHB_1&gt;0,catpn_1_VHV_40&gt;0),(catdw_1_VHB_1*((dagenperjaar1*VLOOKUP(B28,dagsoorttabel1,2,FALSE))-catfd_1_VHV_40)/catpn_1_VHB_1+catdw_1_VHV_40*catfd_1_VHV_40/catpn_1_VHV_40)/(((dagenperjaar1*VLOOKUP(B28,dagsoorttabel1,2,FALSE))-catfd_1_VHV_40)/catpn_1_VHB_1+catfd_1_VHV_40/catpn_1_VHV_40),0)</f>
        <v>0</v>
      </c>
      <c r="I28" s="56" t="s">
        <v>108</v>
      </c>
      <c r="J28" s="60">
        <f>IF(AND(catpn_1_VHB_1&gt;0,catpn_1_VHV_40&gt;0),(cattf_1_VHB_1*((dagenperjaar1*VLOOKUP(B28,dagsoorttabel1,2,FALSE))-catfd_1_VHV_40)/catpn_1_VHB_1+cattf_1_VHV_40*catfd_1_VHV_40/catpn_1_VHV_40)/(((dagenperjaar1*VLOOKUP(B28,dagsoorttabel1,2,FALSE))-catfd_1_VHV_40)/catpn_1_VHB_1+catfd_1_VHV_40/catpn_1_VHV_40),0)</f>
        <v>0</v>
      </c>
      <c r="K28" s="69">
        <f>IF(OR(ISBLANK(G28),G28=0),0,F28/ROUND(G28,4))</f>
        <v>0</v>
      </c>
      <c r="L28" s="60">
        <f>ROUND(J28,2)*K28</f>
        <v>0</v>
      </c>
      <c r="M28" s="69">
        <f>K28*dagenperjaar1</f>
        <v>0</v>
      </c>
      <c r="N28" s="60">
        <f>M28*ROUND(J28,2)</f>
        <v>0</v>
      </c>
    </row>
    <row r="29" spans="1:14" x14ac:dyDescent="0.2">
      <c r="A29" s="56" t="s">
        <v>227</v>
      </c>
      <c r="B29" s="56" t="s">
        <v>24</v>
      </c>
      <c r="C29" s="56" t="s">
        <v>191</v>
      </c>
      <c r="D29" s="56" t="s">
        <v>228</v>
      </c>
      <c r="E29" s="69">
        <v>10617.29</v>
      </c>
      <c r="F29" s="69">
        <f>E29*VLOOKUP(B29,dagsoorttabel1,2,FALSE)</f>
        <v>53.086450000000006</v>
      </c>
      <c r="G29" s="70">
        <f>catpn_1_XBB_1</f>
        <v>0</v>
      </c>
      <c r="H29" s="71">
        <f>catdw_1_XBB_1</f>
        <v>0</v>
      </c>
      <c r="I29" s="56" t="s">
        <v>108</v>
      </c>
      <c r="J29" s="60">
        <f>cattf_1_XBB_1</f>
        <v>0</v>
      </c>
      <c r="K29" s="69">
        <f>IF(OR(ISBLANK(G29),G29=0),0,F29/ROUND(G29,4))</f>
        <v>0</v>
      </c>
      <c r="L29" s="60">
        <f>ROUND(J29,2)*K29</f>
        <v>0</v>
      </c>
      <c r="M29" s="69">
        <f>K29*dagenperjaar1</f>
        <v>0</v>
      </c>
      <c r="N29" s="60">
        <f>M29*ROUND(J29,2)</f>
        <v>0</v>
      </c>
    </row>
    <row r="30" spans="1:14" x14ac:dyDescent="0.2">
      <c r="A30" s="61" t="s">
        <v>229</v>
      </c>
      <c r="B30" s="61" t="s">
        <v>16</v>
      </c>
      <c r="C30" s="61" t="s">
        <v>191</v>
      </c>
      <c r="D30" s="61" t="s">
        <v>230</v>
      </c>
      <c r="E30" s="72">
        <v>198.41000000000003</v>
      </c>
      <c r="F30" s="72">
        <f>E30*VLOOKUP(B30,dagsoorttabel1,2,FALSE)</f>
        <v>39.682000000000009</v>
      </c>
      <c r="G30" s="73"/>
      <c r="H30" s="64"/>
      <c r="I30" s="61" t="s">
        <v>108</v>
      </c>
      <c r="J30" s="65">
        <f>Tariefopbouw1</f>
        <v>0</v>
      </c>
      <c r="K30" s="72">
        <f>IF(OR(ISBLANK(G30),G30=0),0,F30/ROUND(G30,4))</f>
        <v>0</v>
      </c>
      <c r="L30" s="65">
        <f>ROUND(J30,2)*K30</f>
        <v>0</v>
      </c>
      <c r="M30" s="72">
        <f>K30*dagenperjaar1</f>
        <v>0</v>
      </c>
      <c r="N30" s="65">
        <f>M30*ROUND(J30,2)</f>
        <v>0</v>
      </c>
    </row>
    <row r="31" spans="1:14" x14ac:dyDescent="0.2">
      <c r="A31" s="75" t="s">
        <v>231</v>
      </c>
      <c r="B31" s="76"/>
      <c r="C31" s="76"/>
      <c r="D31" s="76"/>
      <c r="E31" s="76"/>
      <c r="F31" s="76"/>
      <c r="G31" s="76"/>
      <c r="H31" s="76"/>
      <c r="I31" s="76"/>
      <c r="J31" s="76"/>
      <c r="K31" s="77">
        <f>SUM(K6:K30)</f>
        <v>0</v>
      </c>
      <c r="L31" s="78">
        <f>SUM(L6:L30)</f>
        <v>0</v>
      </c>
      <c r="M31" s="77">
        <f>SUM(M6:M30)</f>
        <v>0</v>
      </c>
      <c r="N31" s="79">
        <f>SUM(N6:N30)</f>
        <v>0</v>
      </c>
    </row>
    <row r="32" spans="1:14" x14ac:dyDescent="0.2">
      <c r="A32" s="80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81"/>
    </row>
    <row r="33" spans="1:14" x14ac:dyDescent="0.2">
      <c r="A33" s="75" t="s">
        <v>232</v>
      </c>
      <c r="B33" s="76"/>
      <c r="C33" s="76"/>
      <c r="D33" s="76"/>
      <c r="E33" s="76"/>
      <c r="F33" s="76"/>
      <c r="G33" s="76"/>
      <c r="H33" s="76"/>
      <c r="I33" s="76"/>
      <c r="J33" s="78">
        <f>IF(urenjaar1&gt;0,SUMIF(M6:M30,"&gt;0",N6:N30)/urenjaar1,0)</f>
        <v>0</v>
      </c>
      <c r="K33" s="76"/>
      <c r="L33" s="76"/>
      <c r="M33" s="76"/>
      <c r="N33" s="81"/>
    </row>
    <row r="34" spans="1:14" x14ac:dyDescent="0.2">
      <c r="A34" s="80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81"/>
    </row>
    <row r="36" spans="1:14" x14ac:dyDescent="0.2">
      <c r="A36" s="75" t="s">
        <v>233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7">
        <f>urenjaar1</f>
        <v>0</v>
      </c>
      <c r="N36" s="78">
        <f>prijsjaar1</f>
        <v>0</v>
      </c>
    </row>
  </sheetData>
  <sheetProtection algorithmName="SHA-512" hashValue="LvqG9nkCDy8ZsaZyCa97yy7QGESdu1CH+ALi9EuDFlK9HJ82JnXqV8m2x+X0c92/GjcJLDcz2M3jZ93oKB70dg==" saltValue="3bwIBFjxWKx1bN9esrgnxA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715B-B49E-4C86-97D2-38415D5FE251}">
  <dimension ref="A1:U588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10" width="8.625" customWidth="1"/>
    <col min="11" max="12" width="10.625" customWidth="1"/>
    <col min="13" max="14" width="11.625" customWidth="1"/>
    <col min="15" max="15" width="9.625" customWidth="1"/>
    <col min="16" max="19" width="11.625" customWidth="1"/>
    <col min="20" max="20" width="12.625" customWidth="1"/>
    <col min="21" max="21" width="14.625" customWidth="1"/>
  </cols>
  <sheetData>
    <row r="1" spans="1:21" x14ac:dyDescent="0.2">
      <c r="A1" s="1" t="str">
        <f>CONCATENATE("Bijlage G.3: ",tabeltype," ruimten werkdag")</f>
        <v>Bijlage G.3: Invultabel ruimten werkdag</v>
      </c>
    </row>
    <row r="3" spans="1:21" ht="38.25" x14ac:dyDescent="0.2">
      <c r="A3" s="82" t="s">
        <v>234</v>
      </c>
      <c r="B3" s="44" t="s">
        <v>235</v>
      </c>
      <c r="C3" s="44" t="s">
        <v>236</v>
      </c>
      <c r="D3" s="44" t="s">
        <v>237</v>
      </c>
      <c r="E3" s="44" t="s">
        <v>238</v>
      </c>
      <c r="F3" s="44" t="s">
        <v>239</v>
      </c>
      <c r="G3" s="44" t="s">
        <v>182</v>
      </c>
      <c r="H3" s="44" t="s">
        <v>7</v>
      </c>
      <c r="I3" s="44" t="s">
        <v>240</v>
      </c>
      <c r="J3" s="44" t="s">
        <v>241</v>
      </c>
      <c r="K3" s="44" t="s">
        <v>184</v>
      </c>
      <c r="L3" s="44" t="s">
        <v>185</v>
      </c>
      <c r="M3" s="44" t="s">
        <v>100</v>
      </c>
      <c r="N3" s="44" t="s">
        <v>101</v>
      </c>
      <c r="O3" s="44" t="s">
        <v>102</v>
      </c>
      <c r="P3" s="44" t="s">
        <v>103</v>
      </c>
      <c r="Q3" s="44" t="s">
        <v>186</v>
      </c>
      <c r="R3" s="44" t="s">
        <v>242</v>
      </c>
      <c r="S3" s="44" t="s">
        <v>187</v>
      </c>
      <c r="T3" s="44" t="s">
        <v>188</v>
      </c>
      <c r="U3" s="83" t="s">
        <v>189</v>
      </c>
    </row>
    <row r="4" spans="1:21" x14ac:dyDescent="0.2">
      <c r="A4" s="84" t="s">
        <v>243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74"/>
    </row>
    <row r="5" spans="1:21" x14ac:dyDescent="0.2">
      <c r="A5" s="85" t="s">
        <v>244</v>
      </c>
      <c r="B5" s="86" t="s">
        <v>42</v>
      </c>
      <c r="C5" s="86" t="s">
        <v>245</v>
      </c>
      <c r="D5" s="86" t="s">
        <v>246</v>
      </c>
      <c r="E5" s="87" t="s">
        <v>247</v>
      </c>
      <c r="F5" s="86" t="s">
        <v>248</v>
      </c>
      <c r="G5" s="86" t="s">
        <v>203</v>
      </c>
      <c r="H5" s="86" t="s">
        <v>10</v>
      </c>
      <c r="I5" s="86" t="s">
        <v>191</v>
      </c>
      <c r="J5" s="86"/>
      <c r="K5" s="88">
        <v>370.89</v>
      </c>
      <c r="L5" s="88">
        <f>K5*VLOOKUP(H5,dagsoorttabel1,2,FALSE)</f>
        <v>370.89</v>
      </c>
      <c r="M5" s="89">
        <f>prodnorm20</f>
        <v>0</v>
      </c>
      <c r="N5" s="90">
        <f>dagwerk20</f>
        <v>0</v>
      </c>
      <c r="O5" s="86" t="s">
        <v>108</v>
      </c>
      <c r="P5" s="91">
        <f>uurtarief20</f>
        <v>0</v>
      </c>
      <c r="Q5" s="88" t="e">
        <f>IF(ISBLANK(M5),0,L5/ROUND(M5,4))</f>
        <v>#DIV/0!</v>
      </c>
      <c r="R5" s="88" t="e">
        <f>IF(ISBLANK(M5),0,Q5*ROUND(N5,2))</f>
        <v>#DIV/0!</v>
      </c>
      <c r="S5" s="91" t="e">
        <f>ROUND(P5,2)*Q5</f>
        <v>#DIV/0!</v>
      </c>
      <c r="T5" s="88" t="e">
        <f>Q5*dagenperjaar1</f>
        <v>#DIV/0!</v>
      </c>
      <c r="U5" s="92" t="e">
        <f>T5*ROUND(P5,2)</f>
        <v>#DIV/0!</v>
      </c>
    </row>
    <row r="6" spans="1:21" x14ac:dyDescent="0.2">
      <c r="A6" s="93" t="s">
        <v>244</v>
      </c>
      <c r="B6" s="94" t="s">
        <v>42</v>
      </c>
      <c r="C6" s="94" t="s">
        <v>245</v>
      </c>
      <c r="D6" s="94" t="s">
        <v>249</v>
      </c>
      <c r="E6" s="95" t="s">
        <v>250</v>
      </c>
      <c r="F6" s="94" t="s">
        <v>248</v>
      </c>
      <c r="G6" s="94" t="s">
        <v>207</v>
      </c>
      <c r="H6" s="94" t="s">
        <v>10</v>
      </c>
      <c r="I6" s="94" t="s">
        <v>191</v>
      </c>
      <c r="J6" s="94"/>
      <c r="K6" s="96">
        <v>99.84</v>
      </c>
      <c r="L6" s="96">
        <f>K6*VLOOKUP(H6,dagsoorttabel1,2,FALSE)</f>
        <v>99.84</v>
      </c>
      <c r="M6" s="97">
        <f>prodnorm24</f>
        <v>0</v>
      </c>
      <c r="N6" s="41">
        <f>dagwerk24</f>
        <v>0</v>
      </c>
      <c r="O6" s="94" t="s">
        <v>108</v>
      </c>
      <c r="P6" s="26">
        <f>uurtarief24</f>
        <v>0</v>
      </c>
      <c r="Q6" s="96" t="e">
        <f>IF(ISBLANK(M6),0,L6/ROUND(M6,4))</f>
        <v>#DIV/0!</v>
      </c>
      <c r="R6" s="96" t="e">
        <f>IF(ISBLANK(M6),0,Q6*ROUND(N6,2))</f>
        <v>#DIV/0!</v>
      </c>
      <c r="S6" s="26" t="e">
        <f>ROUND(P6,2)*Q6</f>
        <v>#DIV/0!</v>
      </c>
      <c r="T6" s="96" t="e">
        <f>Q6*dagenperjaar1</f>
        <v>#DIV/0!</v>
      </c>
      <c r="U6" s="27" t="e">
        <f>T6*ROUND(P6,2)</f>
        <v>#DIV/0!</v>
      </c>
    </row>
    <row r="7" spans="1:21" x14ac:dyDescent="0.2">
      <c r="A7" s="93" t="s">
        <v>244</v>
      </c>
      <c r="B7" s="94" t="s">
        <v>42</v>
      </c>
      <c r="C7" s="94" t="s">
        <v>245</v>
      </c>
      <c r="D7" s="94" t="s">
        <v>251</v>
      </c>
      <c r="E7" s="95" t="s">
        <v>252</v>
      </c>
      <c r="F7" s="94" t="s">
        <v>253</v>
      </c>
      <c r="G7" s="94" t="s">
        <v>207</v>
      </c>
      <c r="H7" s="94" t="s">
        <v>10</v>
      </c>
      <c r="I7" s="94" t="s">
        <v>191</v>
      </c>
      <c r="J7" s="94"/>
      <c r="K7" s="96">
        <v>80.990000000000009</v>
      </c>
      <c r="L7" s="96">
        <f>K7*VLOOKUP(H7,dagsoorttabel1,2,FALSE)</f>
        <v>80.990000000000009</v>
      </c>
      <c r="M7" s="97">
        <f>prodnorm24</f>
        <v>0</v>
      </c>
      <c r="N7" s="41">
        <f>dagwerk24</f>
        <v>0</v>
      </c>
      <c r="O7" s="94" t="s">
        <v>108</v>
      </c>
      <c r="P7" s="26">
        <f>uurtarief24</f>
        <v>0</v>
      </c>
      <c r="Q7" s="96" t="e">
        <f>IF(ISBLANK(M7),0,L7/ROUND(M7,4))</f>
        <v>#DIV/0!</v>
      </c>
      <c r="R7" s="96" t="e">
        <f>IF(ISBLANK(M7),0,Q7*ROUND(N7,2))</f>
        <v>#DIV/0!</v>
      </c>
      <c r="S7" s="26" t="e">
        <f>ROUND(P7,2)*Q7</f>
        <v>#DIV/0!</v>
      </c>
      <c r="T7" s="96" t="e">
        <f>Q7*dagenperjaar1</f>
        <v>#DIV/0!</v>
      </c>
      <c r="U7" s="27" t="e">
        <f>T7*ROUND(P7,2)</f>
        <v>#DIV/0!</v>
      </c>
    </row>
    <row r="8" spans="1:21" x14ac:dyDescent="0.2">
      <c r="A8" s="93" t="s">
        <v>244</v>
      </c>
      <c r="B8" s="94" t="s">
        <v>42</v>
      </c>
      <c r="C8" s="94" t="s">
        <v>245</v>
      </c>
      <c r="D8" s="94" t="s">
        <v>251</v>
      </c>
      <c r="E8" s="95" t="s">
        <v>252</v>
      </c>
      <c r="F8" s="94" t="s">
        <v>253</v>
      </c>
      <c r="G8" s="94" t="s">
        <v>227</v>
      </c>
      <c r="H8" s="94" t="s">
        <v>24</v>
      </c>
      <c r="I8" s="94" t="s">
        <v>191</v>
      </c>
      <c r="J8" s="94"/>
      <c r="K8" s="96">
        <v>80.990000000000009</v>
      </c>
      <c r="L8" s="96">
        <f>K8*VLOOKUP(H8,dagsoorttabel1,2,FALSE)</f>
        <v>0.40495000000000003</v>
      </c>
      <c r="M8" s="97">
        <f>prodnorm35</f>
        <v>0</v>
      </c>
      <c r="N8" s="41">
        <f>dagwerk35</f>
        <v>0</v>
      </c>
      <c r="O8" s="94" t="s">
        <v>108</v>
      </c>
      <c r="P8" s="26">
        <f>uurtarief35</f>
        <v>0</v>
      </c>
      <c r="Q8" s="96" t="e">
        <f>IF(ISBLANK(M8),0,L8/ROUND(M8,4))</f>
        <v>#DIV/0!</v>
      </c>
      <c r="R8" s="96" t="e">
        <f>IF(ISBLANK(M8),0,Q8*ROUND(N8,2))</f>
        <v>#DIV/0!</v>
      </c>
      <c r="S8" s="26" t="e">
        <f>ROUND(P8,2)*Q8</f>
        <v>#DIV/0!</v>
      </c>
      <c r="T8" s="96" t="e">
        <f>Q8*dagenperjaar1</f>
        <v>#DIV/0!</v>
      </c>
      <c r="U8" s="27" t="e">
        <f>T8*ROUND(P8,2)</f>
        <v>#DIV/0!</v>
      </c>
    </row>
    <row r="9" spans="1:21" x14ac:dyDescent="0.2">
      <c r="A9" s="93" t="s">
        <v>244</v>
      </c>
      <c r="B9" s="94" t="s">
        <v>42</v>
      </c>
      <c r="C9" s="94" t="s">
        <v>245</v>
      </c>
      <c r="D9" s="94" t="s">
        <v>254</v>
      </c>
      <c r="E9" s="95" t="s">
        <v>255</v>
      </c>
      <c r="F9" s="94" t="s">
        <v>253</v>
      </c>
      <c r="G9" s="94" t="s">
        <v>193</v>
      </c>
      <c r="H9" s="94" t="s">
        <v>10</v>
      </c>
      <c r="I9" s="94" t="s">
        <v>191</v>
      </c>
      <c r="J9" s="94"/>
      <c r="K9" s="96">
        <v>23.35</v>
      </c>
      <c r="L9" s="96">
        <f>K9*VLOOKUP(H9,dagsoorttabel1,2,FALSE)</f>
        <v>23.35</v>
      </c>
      <c r="M9" s="97">
        <f>prodnorm14</f>
        <v>0</v>
      </c>
      <c r="N9" s="41">
        <f>dagwerk14</f>
        <v>0</v>
      </c>
      <c r="O9" s="94" t="s">
        <v>108</v>
      </c>
      <c r="P9" s="26">
        <f>uurtarief14</f>
        <v>0</v>
      </c>
      <c r="Q9" s="96" t="e">
        <f>IF(ISBLANK(M9),0,L9/ROUND(M9,4))</f>
        <v>#DIV/0!</v>
      </c>
      <c r="R9" s="96" t="e">
        <f>IF(ISBLANK(M9),0,Q9*ROUND(N9,2))</f>
        <v>#DIV/0!</v>
      </c>
      <c r="S9" s="26" t="e">
        <f>ROUND(P9,2)*Q9</f>
        <v>#DIV/0!</v>
      </c>
      <c r="T9" s="96" t="e">
        <f>Q9*dagenperjaar1</f>
        <v>#DIV/0!</v>
      </c>
      <c r="U9" s="27" t="e">
        <f>T9*ROUND(P9,2)</f>
        <v>#DIV/0!</v>
      </c>
    </row>
    <row r="10" spans="1:21" x14ac:dyDescent="0.2">
      <c r="A10" s="93" t="s">
        <v>244</v>
      </c>
      <c r="B10" s="94" t="s">
        <v>42</v>
      </c>
      <c r="C10" s="94" t="s">
        <v>245</v>
      </c>
      <c r="D10" s="94" t="s">
        <v>254</v>
      </c>
      <c r="E10" s="95" t="s">
        <v>255</v>
      </c>
      <c r="F10" s="94" t="s">
        <v>253</v>
      </c>
      <c r="G10" s="94" t="s">
        <v>227</v>
      </c>
      <c r="H10" s="94" t="s">
        <v>24</v>
      </c>
      <c r="I10" s="94" t="s">
        <v>191</v>
      </c>
      <c r="J10" s="94"/>
      <c r="K10" s="96">
        <v>23.35</v>
      </c>
      <c r="L10" s="96">
        <f>K10*VLOOKUP(H10,dagsoorttabel1,2,FALSE)</f>
        <v>0.11675000000000001</v>
      </c>
      <c r="M10" s="97">
        <f>prodnorm35</f>
        <v>0</v>
      </c>
      <c r="N10" s="41">
        <f>dagwerk35</f>
        <v>0</v>
      </c>
      <c r="O10" s="94" t="s">
        <v>108</v>
      </c>
      <c r="P10" s="26">
        <f>uurtarief35</f>
        <v>0</v>
      </c>
      <c r="Q10" s="96" t="e">
        <f>IF(ISBLANK(M10),0,L10/ROUND(M10,4))</f>
        <v>#DIV/0!</v>
      </c>
      <c r="R10" s="96" t="e">
        <f>IF(ISBLANK(M10),0,Q10*ROUND(N10,2))</f>
        <v>#DIV/0!</v>
      </c>
      <c r="S10" s="26" t="e">
        <f>ROUND(P10,2)*Q10</f>
        <v>#DIV/0!</v>
      </c>
      <c r="T10" s="96" t="e">
        <f>Q10*dagenperjaar1</f>
        <v>#DIV/0!</v>
      </c>
      <c r="U10" s="27" t="e">
        <f>T10*ROUND(P10,2)</f>
        <v>#DIV/0!</v>
      </c>
    </row>
    <row r="11" spans="1:21" x14ac:dyDescent="0.2">
      <c r="A11" s="93" t="s">
        <v>244</v>
      </c>
      <c r="B11" s="94" t="s">
        <v>42</v>
      </c>
      <c r="C11" s="94" t="s">
        <v>245</v>
      </c>
      <c r="D11" s="94" t="s">
        <v>256</v>
      </c>
      <c r="E11" s="95" t="s">
        <v>257</v>
      </c>
      <c r="F11" s="94" t="s">
        <v>248</v>
      </c>
      <c r="G11" s="94" t="s">
        <v>258</v>
      </c>
      <c r="H11" s="94" t="s">
        <v>16</v>
      </c>
      <c r="I11" s="94" t="s">
        <v>259</v>
      </c>
      <c r="J11" s="94"/>
      <c r="K11" s="96">
        <v>0</v>
      </c>
      <c r="L11" s="96">
        <f>K11*VLOOKUP(H11,dagsoorttabel1,2,FALSE)</f>
        <v>0</v>
      </c>
      <c r="M11" s="97"/>
      <c r="N11" s="98"/>
      <c r="O11" s="94" t="s">
        <v>260</v>
      </c>
      <c r="P11" s="26"/>
      <c r="Q11" s="96">
        <f>L11</f>
        <v>0</v>
      </c>
      <c r="R11" s="99"/>
      <c r="S11" s="26">
        <f>ROUND(P11,2)*Q11</f>
        <v>0</v>
      </c>
      <c r="T11" s="96">
        <f>Q11*dagenperjaar1</f>
        <v>0</v>
      </c>
      <c r="U11" s="27">
        <f>T11*ROUND(P11,2)</f>
        <v>0</v>
      </c>
    </row>
    <row r="12" spans="1:21" x14ac:dyDescent="0.2">
      <c r="A12" s="93" t="s">
        <v>244</v>
      </c>
      <c r="B12" s="94" t="s">
        <v>42</v>
      </c>
      <c r="C12" s="94" t="s">
        <v>245</v>
      </c>
      <c r="D12" s="94" t="s">
        <v>261</v>
      </c>
      <c r="E12" s="95" t="s">
        <v>262</v>
      </c>
      <c r="F12" s="94" t="s">
        <v>263</v>
      </c>
      <c r="G12" s="94" t="s">
        <v>195</v>
      </c>
      <c r="H12" s="94" t="s">
        <v>14</v>
      </c>
      <c r="I12" s="94" t="s">
        <v>191</v>
      </c>
      <c r="J12" s="94"/>
      <c r="K12" s="96">
        <v>16.77</v>
      </c>
      <c r="L12" s="96">
        <f>K12*VLOOKUP(H12,dagsoorttabel1,2,FALSE)</f>
        <v>6.7080000000000002</v>
      </c>
      <c r="M12" s="97">
        <f>prodnorm16</f>
        <v>0</v>
      </c>
      <c r="N12" s="41">
        <f>dagwerk16</f>
        <v>0</v>
      </c>
      <c r="O12" s="94" t="s">
        <v>108</v>
      </c>
      <c r="P12" s="26">
        <f>uurtarief16</f>
        <v>0</v>
      </c>
      <c r="Q12" s="96" t="e">
        <f>IF(ISBLANK(M12),0,L12/ROUND(M12,4))</f>
        <v>#DIV/0!</v>
      </c>
      <c r="R12" s="96" t="e">
        <f>IF(ISBLANK(M12),0,Q12*ROUND(N12,2))</f>
        <v>#DIV/0!</v>
      </c>
      <c r="S12" s="26" t="e">
        <f>ROUND(P12,2)*Q12</f>
        <v>#DIV/0!</v>
      </c>
      <c r="T12" s="96" t="e">
        <f>Q12*dagenperjaar1</f>
        <v>#DIV/0!</v>
      </c>
      <c r="U12" s="27" t="e">
        <f>T12*ROUND(P12,2)</f>
        <v>#DIV/0!</v>
      </c>
    </row>
    <row r="13" spans="1:21" x14ac:dyDescent="0.2">
      <c r="A13" s="93" t="s">
        <v>244</v>
      </c>
      <c r="B13" s="94" t="s">
        <v>42</v>
      </c>
      <c r="C13" s="94" t="s">
        <v>245</v>
      </c>
      <c r="D13" s="94" t="s">
        <v>264</v>
      </c>
      <c r="E13" s="95" t="s">
        <v>265</v>
      </c>
      <c r="F13" s="94" t="s">
        <v>266</v>
      </c>
      <c r="G13" s="94" t="s">
        <v>190</v>
      </c>
      <c r="H13" s="94" t="s">
        <v>10</v>
      </c>
      <c r="I13" s="94" t="s">
        <v>191</v>
      </c>
      <c r="J13" s="94"/>
      <c r="K13" s="96">
        <v>180</v>
      </c>
      <c r="L13" s="96">
        <f>K13*VLOOKUP(H13,dagsoorttabel1,2,FALSE)</f>
        <v>180</v>
      </c>
      <c r="M13" s="97">
        <f>prodnorm12</f>
        <v>0</v>
      </c>
      <c r="N13" s="41">
        <f>dagwerk12</f>
        <v>0</v>
      </c>
      <c r="O13" s="94" t="s">
        <v>108</v>
      </c>
      <c r="P13" s="26">
        <f>uurtarief12</f>
        <v>0</v>
      </c>
      <c r="Q13" s="96" t="e">
        <f>IF(ISBLANK(M13),0,L13/ROUND(M13,4))</f>
        <v>#DIV/0!</v>
      </c>
      <c r="R13" s="96" t="e">
        <f>IF(ISBLANK(M13),0,Q13*ROUND(N13,2))</f>
        <v>#DIV/0!</v>
      </c>
      <c r="S13" s="26" t="e">
        <f>ROUND(P13,2)*Q13</f>
        <v>#DIV/0!</v>
      </c>
      <c r="T13" s="96" t="e">
        <f>Q13*dagenperjaar1</f>
        <v>#DIV/0!</v>
      </c>
      <c r="U13" s="27" t="e">
        <f>T13*ROUND(P13,2)</f>
        <v>#DIV/0!</v>
      </c>
    </row>
    <row r="14" spans="1:21" x14ac:dyDescent="0.2">
      <c r="A14" s="93" t="s">
        <v>244</v>
      </c>
      <c r="B14" s="94" t="s">
        <v>42</v>
      </c>
      <c r="C14" s="94" t="s">
        <v>245</v>
      </c>
      <c r="D14" s="94" t="s">
        <v>267</v>
      </c>
      <c r="E14" s="95" t="s">
        <v>268</v>
      </c>
      <c r="F14" s="94" t="s">
        <v>269</v>
      </c>
      <c r="G14" s="94" t="s">
        <v>225</v>
      </c>
      <c r="H14" s="94" t="s">
        <v>10</v>
      </c>
      <c r="I14" s="94" t="s">
        <v>191</v>
      </c>
      <c r="J14" s="94"/>
      <c r="K14" s="96">
        <v>33.4</v>
      </c>
      <c r="L14" s="96">
        <f>K14*VLOOKUP(H14,dagsoorttabel1,2,FALSE)</f>
        <v>33.4</v>
      </c>
      <c r="M14" s="97">
        <f>prodnorm34</f>
        <v>0</v>
      </c>
      <c r="N14" s="41">
        <f>dagwerk34</f>
        <v>0</v>
      </c>
      <c r="O14" s="94" t="s">
        <v>108</v>
      </c>
      <c r="P14" s="26">
        <f>uurtarief34</f>
        <v>0</v>
      </c>
      <c r="Q14" s="96" t="e">
        <f>IF(ISBLANK(M14),0,L14/ROUND(M14,4))</f>
        <v>#DIV/0!</v>
      </c>
      <c r="R14" s="96" t="e">
        <f>IF(ISBLANK(M14),0,Q14*ROUND(N14,2))</f>
        <v>#DIV/0!</v>
      </c>
      <c r="S14" s="26" t="e">
        <f>ROUND(P14,2)*Q14</f>
        <v>#DIV/0!</v>
      </c>
      <c r="T14" s="96" t="e">
        <f>Q14*dagenperjaar1</f>
        <v>#DIV/0!</v>
      </c>
      <c r="U14" s="27" t="e">
        <f>T14*ROUND(P14,2)</f>
        <v>#DIV/0!</v>
      </c>
    </row>
    <row r="15" spans="1:21" x14ac:dyDescent="0.2">
      <c r="A15" s="93" t="s">
        <v>244</v>
      </c>
      <c r="B15" s="94" t="s">
        <v>42</v>
      </c>
      <c r="C15" s="94" t="s">
        <v>245</v>
      </c>
      <c r="D15" s="94" t="s">
        <v>270</v>
      </c>
      <c r="E15" s="95" t="s">
        <v>271</v>
      </c>
      <c r="F15" s="94" t="s">
        <v>266</v>
      </c>
      <c r="G15" s="94" t="s">
        <v>190</v>
      </c>
      <c r="H15" s="94" t="s">
        <v>10</v>
      </c>
      <c r="I15" s="94" t="s">
        <v>191</v>
      </c>
      <c r="J15" s="94"/>
      <c r="K15" s="96">
        <v>82.990000000000009</v>
      </c>
      <c r="L15" s="96">
        <f>K15*VLOOKUP(H15,dagsoorttabel1,2,FALSE)</f>
        <v>82.990000000000009</v>
      </c>
      <c r="M15" s="97">
        <f>prodnorm12</f>
        <v>0</v>
      </c>
      <c r="N15" s="41">
        <f>dagwerk12</f>
        <v>0</v>
      </c>
      <c r="O15" s="94" t="s">
        <v>108</v>
      </c>
      <c r="P15" s="26">
        <f>uurtarief12</f>
        <v>0</v>
      </c>
      <c r="Q15" s="96" t="e">
        <f>IF(ISBLANK(M15),0,L15/ROUND(M15,4))</f>
        <v>#DIV/0!</v>
      </c>
      <c r="R15" s="96" t="e">
        <f>IF(ISBLANK(M15),0,Q15*ROUND(N15,2))</f>
        <v>#DIV/0!</v>
      </c>
      <c r="S15" s="26" t="e">
        <f>ROUND(P15,2)*Q15</f>
        <v>#DIV/0!</v>
      </c>
      <c r="T15" s="96" t="e">
        <f>Q15*dagenperjaar1</f>
        <v>#DIV/0!</v>
      </c>
      <c r="U15" s="27" t="e">
        <f>T15*ROUND(P15,2)</f>
        <v>#DIV/0!</v>
      </c>
    </row>
    <row r="16" spans="1:21" x14ac:dyDescent="0.2">
      <c r="A16" s="93" t="s">
        <v>244</v>
      </c>
      <c r="B16" s="94" t="s">
        <v>42</v>
      </c>
      <c r="C16" s="94" t="s">
        <v>245</v>
      </c>
      <c r="D16" s="94" t="s">
        <v>270</v>
      </c>
      <c r="E16" s="95" t="s">
        <v>271</v>
      </c>
      <c r="F16" s="94" t="s">
        <v>266</v>
      </c>
      <c r="G16" s="94" t="s">
        <v>227</v>
      </c>
      <c r="H16" s="94" t="s">
        <v>24</v>
      </c>
      <c r="I16" s="94" t="s">
        <v>191</v>
      </c>
      <c r="J16" s="94"/>
      <c r="K16" s="96">
        <v>82.990000000000009</v>
      </c>
      <c r="L16" s="96">
        <f>K16*VLOOKUP(H16,dagsoorttabel1,2,FALSE)</f>
        <v>0.41495000000000004</v>
      </c>
      <c r="M16" s="97">
        <f>prodnorm35</f>
        <v>0</v>
      </c>
      <c r="N16" s="41">
        <f>dagwerk35</f>
        <v>0</v>
      </c>
      <c r="O16" s="94" t="s">
        <v>108</v>
      </c>
      <c r="P16" s="26">
        <f>uurtarief35</f>
        <v>0</v>
      </c>
      <c r="Q16" s="96" t="e">
        <f>IF(ISBLANK(M16),0,L16/ROUND(M16,4))</f>
        <v>#DIV/0!</v>
      </c>
      <c r="R16" s="96" t="e">
        <f>IF(ISBLANK(M16),0,Q16*ROUND(N16,2))</f>
        <v>#DIV/0!</v>
      </c>
      <c r="S16" s="26" t="e">
        <f>ROUND(P16,2)*Q16</f>
        <v>#DIV/0!</v>
      </c>
      <c r="T16" s="96" t="e">
        <f>Q16*dagenperjaar1</f>
        <v>#DIV/0!</v>
      </c>
      <c r="U16" s="27" t="e">
        <f>T16*ROUND(P16,2)</f>
        <v>#DIV/0!</v>
      </c>
    </row>
    <row r="17" spans="1:21" x14ac:dyDescent="0.2">
      <c r="A17" s="93" t="s">
        <v>244</v>
      </c>
      <c r="B17" s="94" t="s">
        <v>42</v>
      </c>
      <c r="C17" s="94" t="s">
        <v>245</v>
      </c>
      <c r="D17" s="94" t="s">
        <v>272</v>
      </c>
      <c r="E17" s="95" t="s">
        <v>273</v>
      </c>
      <c r="F17" s="94" t="s">
        <v>266</v>
      </c>
      <c r="G17" s="94" t="s">
        <v>193</v>
      </c>
      <c r="H17" s="94" t="s">
        <v>14</v>
      </c>
      <c r="I17" s="94" t="s">
        <v>191</v>
      </c>
      <c r="J17" s="94"/>
      <c r="K17" s="96">
        <v>12.38</v>
      </c>
      <c r="L17" s="96">
        <f>K17*VLOOKUP(H17,dagsoorttabel1,2,FALSE)</f>
        <v>4.9520000000000008</v>
      </c>
      <c r="M17" s="97">
        <f>prodnorm15</f>
        <v>0</v>
      </c>
      <c r="N17" s="41">
        <f>dagwerk15</f>
        <v>0</v>
      </c>
      <c r="O17" s="94" t="s">
        <v>108</v>
      </c>
      <c r="P17" s="26">
        <f>uurtarief15</f>
        <v>0</v>
      </c>
      <c r="Q17" s="96" t="e">
        <f>IF(ISBLANK(M17),0,L17/ROUND(M17,4))</f>
        <v>#DIV/0!</v>
      </c>
      <c r="R17" s="96" t="e">
        <f>IF(ISBLANK(M17),0,Q17*ROUND(N17,2))</f>
        <v>#DIV/0!</v>
      </c>
      <c r="S17" s="26" t="e">
        <f>ROUND(P17,2)*Q17</f>
        <v>#DIV/0!</v>
      </c>
      <c r="T17" s="96" t="e">
        <f>Q17*dagenperjaar1</f>
        <v>#DIV/0!</v>
      </c>
      <c r="U17" s="27" t="e">
        <f>T17*ROUND(P17,2)</f>
        <v>#DIV/0!</v>
      </c>
    </row>
    <row r="18" spans="1:21" x14ac:dyDescent="0.2">
      <c r="A18" s="93" t="s">
        <v>244</v>
      </c>
      <c r="B18" s="94" t="s">
        <v>42</v>
      </c>
      <c r="C18" s="94" t="s">
        <v>245</v>
      </c>
      <c r="D18" s="94" t="s">
        <v>272</v>
      </c>
      <c r="E18" s="95" t="s">
        <v>273</v>
      </c>
      <c r="F18" s="94" t="s">
        <v>266</v>
      </c>
      <c r="G18" s="94" t="s">
        <v>227</v>
      </c>
      <c r="H18" s="94" t="s">
        <v>24</v>
      </c>
      <c r="I18" s="94" t="s">
        <v>191</v>
      </c>
      <c r="J18" s="94"/>
      <c r="K18" s="96">
        <v>12.38</v>
      </c>
      <c r="L18" s="96">
        <f>K18*VLOOKUP(H18,dagsoorttabel1,2,FALSE)</f>
        <v>6.1900000000000004E-2</v>
      </c>
      <c r="M18" s="97">
        <f>prodnorm35</f>
        <v>0</v>
      </c>
      <c r="N18" s="41">
        <f>dagwerk35</f>
        <v>0</v>
      </c>
      <c r="O18" s="94" t="s">
        <v>108</v>
      </c>
      <c r="P18" s="26">
        <f>uurtarief35</f>
        <v>0</v>
      </c>
      <c r="Q18" s="96" t="e">
        <f>IF(ISBLANK(M18),0,L18/ROUND(M18,4))</f>
        <v>#DIV/0!</v>
      </c>
      <c r="R18" s="96" t="e">
        <f>IF(ISBLANK(M18),0,Q18*ROUND(N18,2))</f>
        <v>#DIV/0!</v>
      </c>
      <c r="S18" s="26" t="e">
        <f>ROUND(P18,2)*Q18</f>
        <v>#DIV/0!</v>
      </c>
      <c r="T18" s="96" t="e">
        <f>Q18*dagenperjaar1</f>
        <v>#DIV/0!</v>
      </c>
      <c r="U18" s="27" t="e">
        <f>T18*ROUND(P18,2)</f>
        <v>#DIV/0!</v>
      </c>
    </row>
    <row r="19" spans="1:21" x14ac:dyDescent="0.2">
      <c r="A19" s="93" t="s">
        <v>244</v>
      </c>
      <c r="B19" s="94" t="s">
        <v>42</v>
      </c>
      <c r="C19" s="94" t="s">
        <v>245</v>
      </c>
      <c r="D19" s="94" t="s">
        <v>274</v>
      </c>
      <c r="E19" s="95" t="s">
        <v>273</v>
      </c>
      <c r="F19" s="94" t="s">
        <v>266</v>
      </c>
      <c r="G19" s="94" t="s">
        <v>193</v>
      </c>
      <c r="H19" s="94" t="s">
        <v>14</v>
      </c>
      <c r="I19" s="94" t="s">
        <v>191</v>
      </c>
      <c r="J19" s="94"/>
      <c r="K19" s="96">
        <v>15.83</v>
      </c>
      <c r="L19" s="96">
        <f>K19*VLOOKUP(H19,dagsoorttabel1,2,FALSE)</f>
        <v>6.3320000000000007</v>
      </c>
      <c r="M19" s="97">
        <f>prodnorm15</f>
        <v>0</v>
      </c>
      <c r="N19" s="41">
        <f>dagwerk15</f>
        <v>0</v>
      </c>
      <c r="O19" s="94" t="s">
        <v>108</v>
      </c>
      <c r="P19" s="26">
        <f>uurtarief15</f>
        <v>0</v>
      </c>
      <c r="Q19" s="96" t="e">
        <f>IF(ISBLANK(M19),0,L19/ROUND(M19,4))</f>
        <v>#DIV/0!</v>
      </c>
      <c r="R19" s="96" t="e">
        <f>IF(ISBLANK(M19),0,Q19*ROUND(N19,2))</f>
        <v>#DIV/0!</v>
      </c>
      <c r="S19" s="26" t="e">
        <f>ROUND(P19,2)*Q19</f>
        <v>#DIV/0!</v>
      </c>
      <c r="T19" s="96" t="e">
        <f>Q19*dagenperjaar1</f>
        <v>#DIV/0!</v>
      </c>
      <c r="U19" s="27" t="e">
        <f>T19*ROUND(P19,2)</f>
        <v>#DIV/0!</v>
      </c>
    </row>
    <row r="20" spans="1:21" x14ac:dyDescent="0.2">
      <c r="A20" s="93" t="s">
        <v>244</v>
      </c>
      <c r="B20" s="94" t="s">
        <v>42</v>
      </c>
      <c r="C20" s="94" t="s">
        <v>245</v>
      </c>
      <c r="D20" s="94" t="s">
        <v>274</v>
      </c>
      <c r="E20" s="95" t="s">
        <v>273</v>
      </c>
      <c r="F20" s="94" t="s">
        <v>266</v>
      </c>
      <c r="G20" s="94" t="s">
        <v>227</v>
      </c>
      <c r="H20" s="94" t="s">
        <v>24</v>
      </c>
      <c r="I20" s="94" t="s">
        <v>191</v>
      </c>
      <c r="J20" s="94"/>
      <c r="K20" s="96">
        <v>15.83</v>
      </c>
      <c r="L20" s="96">
        <f>K20*VLOOKUP(H20,dagsoorttabel1,2,FALSE)</f>
        <v>7.9149999999999998E-2</v>
      </c>
      <c r="M20" s="97">
        <f>prodnorm35</f>
        <v>0</v>
      </c>
      <c r="N20" s="41">
        <f>dagwerk35</f>
        <v>0</v>
      </c>
      <c r="O20" s="94" t="s">
        <v>108</v>
      </c>
      <c r="P20" s="26">
        <f>uurtarief35</f>
        <v>0</v>
      </c>
      <c r="Q20" s="96" t="e">
        <f>IF(ISBLANK(M20),0,L20/ROUND(M20,4))</f>
        <v>#DIV/0!</v>
      </c>
      <c r="R20" s="96" t="e">
        <f>IF(ISBLANK(M20),0,Q20*ROUND(N20,2))</f>
        <v>#DIV/0!</v>
      </c>
      <c r="S20" s="26" t="e">
        <f>ROUND(P20,2)*Q20</f>
        <v>#DIV/0!</v>
      </c>
      <c r="T20" s="96" t="e">
        <f>Q20*dagenperjaar1</f>
        <v>#DIV/0!</v>
      </c>
      <c r="U20" s="27" t="e">
        <f>T20*ROUND(P20,2)</f>
        <v>#DIV/0!</v>
      </c>
    </row>
    <row r="21" spans="1:21" x14ac:dyDescent="0.2">
      <c r="A21" s="93" t="s">
        <v>244</v>
      </c>
      <c r="B21" s="94" t="s">
        <v>42</v>
      </c>
      <c r="C21" s="94" t="s">
        <v>245</v>
      </c>
      <c r="D21" s="94" t="s">
        <v>275</v>
      </c>
      <c r="E21" s="95" t="s">
        <v>276</v>
      </c>
      <c r="F21" s="94" t="s">
        <v>277</v>
      </c>
      <c r="G21" s="94" t="s">
        <v>207</v>
      </c>
      <c r="H21" s="94" t="s">
        <v>10</v>
      </c>
      <c r="I21" s="94" t="s">
        <v>191</v>
      </c>
      <c r="J21" s="94"/>
      <c r="K21" s="96">
        <v>30.24</v>
      </c>
      <c r="L21" s="96">
        <f>K21*VLOOKUP(H21,dagsoorttabel1,2,FALSE)</f>
        <v>30.24</v>
      </c>
      <c r="M21" s="97">
        <f>prodnorm24</f>
        <v>0</v>
      </c>
      <c r="N21" s="41">
        <f>dagwerk24</f>
        <v>0</v>
      </c>
      <c r="O21" s="94" t="s">
        <v>108</v>
      </c>
      <c r="P21" s="26">
        <f>uurtarief24</f>
        <v>0</v>
      </c>
      <c r="Q21" s="96" t="e">
        <f>IF(ISBLANK(M21),0,L21/ROUND(M21,4))</f>
        <v>#DIV/0!</v>
      </c>
      <c r="R21" s="96" t="e">
        <f>IF(ISBLANK(M21),0,Q21*ROUND(N21,2))</f>
        <v>#DIV/0!</v>
      </c>
      <c r="S21" s="26" t="e">
        <f>ROUND(P21,2)*Q21</f>
        <v>#DIV/0!</v>
      </c>
      <c r="T21" s="96" t="e">
        <f>Q21*dagenperjaar1</f>
        <v>#DIV/0!</v>
      </c>
      <c r="U21" s="27" t="e">
        <f>T21*ROUND(P21,2)</f>
        <v>#DIV/0!</v>
      </c>
    </row>
    <row r="22" spans="1:21" x14ac:dyDescent="0.2">
      <c r="A22" s="93" t="s">
        <v>244</v>
      </c>
      <c r="B22" s="94" t="s">
        <v>42</v>
      </c>
      <c r="C22" s="94" t="s">
        <v>245</v>
      </c>
      <c r="D22" s="94" t="s">
        <v>275</v>
      </c>
      <c r="E22" s="95" t="s">
        <v>276</v>
      </c>
      <c r="F22" s="94" t="s">
        <v>277</v>
      </c>
      <c r="G22" s="94" t="s">
        <v>227</v>
      </c>
      <c r="H22" s="94" t="s">
        <v>24</v>
      </c>
      <c r="I22" s="94" t="s">
        <v>191</v>
      </c>
      <c r="J22" s="94"/>
      <c r="K22" s="96">
        <v>30.24</v>
      </c>
      <c r="L22" s="96">
        <f>K22*VLOOKUP(H22,dagsoorttabel1,2,FALSE)</f>
        <v>0.1512</v>
      </c>
      <c r="M22" s="97">
        <f>prodnorm35</f>
        <v>0</v>
      </c>
      <c r="N22" s="41">
        <f>dagwerk35</f>
        <v>0</v>
      </c>
      <c r="O22" s="94" t="s">
        <v>108</v>
      </c>
      <c r="P22" s="26">
        <f>uurtarief35</f>
        <v>0</v>
      </c>
      <c r="Q22" s="96" t="e">
        <f>IF(ISBLANK(M22),0,L22/ROUND(M22,4))</f>
        <v>#DIV/0!</v>
      </c>
      <c r="R22" s="96" t="e">
        <f>IF(ISBLANK(M22),0,Q22*ROUND(N22,2))</f>
        <v>#DIV/0!</v>
      </c>
      <c r="S22" s="26" t="e">
        <f>ROUND(P22,2)*Q22</f>
        <v>#DIV/0!</v>
      </c>
      <c r="T22" s="96" t="e">
        <f>Q22*dagenperjaar1</f>
        <v>#DIV/0!</v>
      </c>
      <c r="U22" s="27" t="e">
        <f>T22*ROUND(P22,2)</f>
        <v>#DIV/0!</v>
      </c>
    </row>
    <row r="23" spans="1:21" x14ac:dyDescent="0.2">
      <c r="A23" s="93" t="s">
        <v>244</v>
      </c>
      <c r="B23" s="94" t="s">
        <v>42</v>
      </c>
      <c r="C23" s="94" t="s">
        <v>245</v>
      </c>
      <c r="D23" s="94" t="s">
        <v>278</v>
      </c>
      <c r="E23" s="95" t="s">
        <v>279</v>
      </c>
      <c r="F23" s="94" t="s">
        <v>277</v>
      </c>
      <c r="G23" s="94" t="s">
        <v>207</v>
      </c>
      <c r="H23" s="94" t="s">
        <v>10</v>
      </c>
      <c r="I23" s="94" t="s">
        <v>191</v>
      </c>
      <c r="J23" s="94"/>
      <c r="K23" s="96">
        <v>84.75</v>
      </c>
      <c r="L23" s="96">
        <f>K23*VLOOKUP(H23,dagsoorttabel1,2,FALSE)</f>
        <v>84.75</v>
      </c>
      <c r="M23" s="97">
        <f>prodnorm24</f>
        <v>0</v>
      </c>
      <c r="N23" s="41">
        <f>dagwerk24</f>
        <v>0</v>
      </c>
      <c r="O23" s="94" t="s">
        <v>108</v>
      </c>
      <c r="P23" s="26">
        <f>uurtarief24</f>
        <v>0</v>
      </c>
      <c r="Q23" s="96" t="e">
        <f>IF(ISBLANK(M23),0,L23/ROUND(M23,4))</f>
        <v>#DIV/0!</v>
      </c>
      <c r="R23" s="96" t="e">
        <f>IF(ISBLANK(M23),0,Q23*ROUND(N23,2))</f>
        <v>#DIV/0!</v>
      </c>
      <c r="S23" s="26" t="e">
        <f>ROUND(P23,2)*Q23</f>
        <v>#DIV/0!</v>
      </c>
      <c r="T23" s="96" t="e">
        <f>Q23*dagenperjaar1</f>
        <v>#DIV/0!</v>
      </c>
      <c r="U23" s="27" t="e">
        <f>T23*ROUND(P23,2)</f>
        <v>#DIV/0!</v>
      </c>
    </row>
    <row r="24" spans="1:21" x14ac:dyDescent="0.2">
      <c r="A24" s="93" t="s">
        <v>244</v>
      </c>
      <c r="B24" s="94" t="s">
        <v>42</v>
      </c>
      <c r="C24" s="94" t="s">
        <v>245</v>
      </c>
      <c r="D24" s="94" t="s">
        <v>278</v>
      </c>
      <c r="E24" s="95" t="s">
        <v>279</v>
      </c>
      <c r="F24" s="94" t="s">
        <v>277</v>
      </c>
      <c r="G24" s="94" t="s">
        <v>227</v>
      </c>
      <c r="H24" s="94" t="s">
        <v>24</v>
      </c>
      <c r="I24" s="94" t="s">
        <v>191</v>
      </c>
      <c r="J24" s="94"/>
      <c r="K24" s="96">
        <v>84.75</v>
      </c>
      <c r="L24" s="96">
        <f>K24*VLOOKUP(H24,dagsoorttabel1,2,FALSE)</f>
        <v>0.42375000000000002</v>
      </c>
      <c r="M24" s="97">
        <f>prodnorm35</f>
        <v>0</v>
      </c>
      <c r="N24" s="41">
        <f>dagwerk35</f>
        <v>0</v>
      </c>
      <c r="O24" s="94" t="s">
        <v>108</v>
      </c>
      <c r="P24" s="26">
        <f>uurtarief35</f>
        <v>0</v>
      </c>
      <c r="Q24" s="96" t="e">
        <f>IF(ISBLANK(M24),0,L24/ROUND(M24,4))</f>
        <v>#DIV/0!</v>
      </c>
      <c r="R24" s="96" t="e">
        <f>IF(ISBLANK(M24),0,Q24*ROUND(N24,2))</f>
        <v>#DIV/0!</v>
      </c>
      <c r="S24" s="26" t="e">
        <f>ROUND(P24,2)*Q24</f>
        <v>#DIV/0!</v>
      </c>
      <c r="T24" s="96" t="e">
        <f>Q24*dagenperjaar1</f>
        <v>#DIV/0!</v>
      </c>
      <c r="U24" s="27" t="e">
        <f>T24*ROUND(P24,2)</f>
        <v>#DIV/0!</v>
      </c>
    </row>
    <row r="25" spans="1:21" x14ac:dyDescent="0.2">
      <c r="A25" s="93" t="s">
        <v>244</v>
      </c>
      <c r="B25" s="94" t="s">
        <v>42</v>
      </c>
      <c r="C25" s="94" t="s">
        <v>245</v>
      </c>
      <c r="D25" s="94" t="s">
        <v>280</v>
      </c>
      <c r="E25" s="95" t="s">
        <v>281</v>
      </c>
      <c r="F25" s="94" t="s">
        <v>282</v>
      </c>
      <c r="G25" s="94" t="s">
        <v>207</v>
      </c>
      <c r="H25" s="94" t="s">
        <v>10</v>
      </c>
      <c r="I25" s="94" t="s">
        <v>191</v>
      </c>
      <c r="J25" s="94"/>
      <c r="K25" s="96">
        <v>18.059999999999999</v>
      </c>
      <c r="L25" s="96">
        <f>K25*VLOOKUP(H25,dagsoorttabel1,2,FALSE)</f>
        <v>18.059999999999999</v>
      </c>
      <c r="M25" s="97">
        <f>prodnorm24</f>
        <v>0</v>
      </c>
      <c r="N25" s="41">
        <f>dagwerk24</f>
        <v>0</v>
      </c>
      <c r="O25" s="94" t="s">
        <v>108</v>
      </c>
      <c r="P25" s="26">
        <f>uurtarief24</f>
        <v>0</v>
      </c>
      <c r="Q25" s="96" t="e">
        <f>IF(ISBLANK(M25),0,L25/ROUND(M25,4))</f>
        <v>#DIV/0!</v>
      </c>
      <c r="R25" s="96" t="e">
        <f>IF(ISBLANK(M25),0,Q25*ROUND(N25,2))</f>
        <v>#DIV/0!</v>
      </c>
      <c r="S25" s="26" t="e">
        <f>ROUND(P25,2)*Q25</f>
        <v>#DIV/0!</v>
      </c>
      <c r="T25" s="96" t="e">
        <f>Q25*dagenperjaar1</f>
        <v>#DIV/0!</v>
      </c>
      <c r="U25" s="27" t="e">
        <f>T25*ROUND(P25,2)</f>
        <v>#DIV/0!</v>
      </c>
    </row>
    <row r="26" spans="1:21" x14ac:dyDescent="0.2">
      <c r="A26" s="93" t="s">
        <v>244</v>
      </c>
      <c r="B26" s="94" t="s">
        <v>42</v>
      </c>
      <c r="C26" s="94" t="s">
        <v>245</v>
      </c>
      <c r="D26" s="94" t="s">
        <v>283</v>
      </c>
      <c r="E26" s="95" t="s">
        <v>284</v>
      </c>
      <c r="F26" s="94" t="s">
        <v>277</v>
      </c>
      <c r="G26" s="94" t="s">
        <v>225</v>
      </c>
      <c r="H26" s="94" t="s">
        <v>10</v>
      </c>
      <c r="I26" s="94" t="s">
        <v>191</v>
      </c>
      <c r="J26" s="94"/>
      <c r="K26" s="96">
        <v>43.75</v>
      </c>
      <c r="L26" s="96">
        <f>K26*VLOOKUP(H26,dagsoorttabel1,2,FALSE)</f>
        <v>43.75</v>
      </c>
      <c r="M26" s="97">
        <f>prodnorm34</f>
        <v>0</v>
      </c>
      <c r="N26" s="41">
        <f>dagwerk34</f>
        <v>0</v>
      </c>
      <c r="O26" s="94" t="s">
        <v>108</v>
      </c>
      <c r="P26" s="26">
        <f>uurtarief34</f>
        <v>0</v>
      </c>
      <c r="Q26" s="96" t="e">
        <f>IF(ISBLANK(M26),0,L26/ROUND(M26,4))</f>
        <v>#DIV/0!</v>
      </c>
      <c r="R26" s="96" t="e">
        <f>IF(ISBLANK(M26),0,Q26*ROUND(N26,2))</f>
        <v>#DIV/0!</v>
      </c>
      <c r="S26" s="26" t="e">
        <f>ROUND(P26,2)*Q26</f>
        <v>#DIV/0!</v>
      </c>
      <c r="T26" s="96" t="e">
        <f>Q26*dagenperjaar1</f>
        <v>#DIV/0!</v>
      </c>
      <c r="U26" s="27" t="e">
        <f>T26*ROUND(P26,2)</f>
        <v>#DIV/0!</v>
      </c>
    </row>
    <row r="27" spans="1:21" x14ac:dyDescent="0.2">
      <c r="A27" s="93" t="s">
        <v>244</v>
      </c>
      <c r="B27" s="94" t="s">
        <v>42</v>
      </c>
      <c r="C27" s="94" t="s">
        <v>245</v>
      </c>
      <c r="D27" s="94" t="s">
        <v>283</v>
      </c>
      <c r="E27" s="95" t="s">
        <v>284</v>
      </c>
      <c r="F27" s="94" t="s">
        <v>277</v>
      </c>
      <c r="G27" s="94" t="s">
        <v>227</v>
      </c>
      <c r="H27" s="94" t="s">
        <v>24</v>
      </c>
      <c r="I27" s="94" t="s">
        <v>191</v>
      </c>
      <c r="J27" s="94"/>
      <c r="K27" s="96">
        <v>43.75</v>
      </c>
      <c r="L27" s="96">
        <f>K27*VLOOKUP(H27,dagsoorttabel1,2,FALSE)</f>
        <v>0.21875</v>
      </c>
      <c r="M27" s="97">
        <f>prodnorm35</f>
        <v>0</v>
      </c>
      <c r="N27" s="41">
        <f>dagwerk35</f>
        <v>0</v>
      </c>
      <c r="O27" s="94" t="s">
        <v>108</v>
      </c>
      <c r="P27" s="26">
        <f>uurtarief35</f>
        <v>0</v>
      </c>
      <c r="Q27" s="96" t="e">
        <f>IF(ISBLANK(M27),0,L27/ROUND(M27,4))</f>
        <v>#DIV/0!</v>
      </c>
      <c r="R27" s="96" t="e">
        <f>IF(ISBLANK(M27),0,Q27*ROUND(N27,2))</f>
        <v>#DIV/0!</v>
      </c>
      <c r="S27" s="26" t="e">
        <f>ROUND(P27,2)*Q27</f>
        <v>#DIV/0!</v>
      </c>
      <c r="T27" s="96" t="e">
        <f>Q27*dagenperjaar1</f>
        <v>#DIV/0!</v>
      </c>
      <c r="U27" s="27" t="e">
        <f>T27*ROUND(P27,2)</f>
        <v>#DIV/0!</v>
      </c>
    </row>
    <row r="28" spans="1:21" x14ac:dyDescent="0.2">
      <c r="A28" s="93" t="s">
        <v>244</v>
      </c>
      <c r="B28" s="94" t="s">
        <v>42</v>
      </c>
      <c r="C28" s="94" t="s">
        <v>245</v>
      </c>
      <c r="D28" s="94" t="s">
        <v>285</v>
      </c>
      <c r="E28" s="95" t="s">
        <v>286</v>
      </c>
      <c r="F28" s="94" t="s">
        <v>287</v>
      </c>
      <c r="G28" s="94" t="s">
        <v>225</v>
      </c>
      <c r="H28" s="94" t="s">
        <v>10</v>
      </c>
      <c r="I28" s="94" t="s">
        <v>191</v>
      </c>
      <c r="J28" s="94"/>
      <c r="K28" s="96">
        <v>10</v>
      </c>
      <c r="L28" s="96">
        <f>K28*VLOOKUP(H28,dagsoorttabel1,2,FALSE)</f>
        <v>10</v>
      </c>
      <c r="M28" s="97">
        <f>prodnorm34</f>
        <v>0</v>
      </c>
      <c r="N28" s="41">
        <f>dagwerk34</f>
        <v>0</v>
      </c>
      <c r="O28" s="94" t="s">
        <v>108</v>
      </c>
      <c r="P28" s="26">
        <f>uurtarief34</f>
        <v>0</v>
      </c>
      <c r="Q28" s="96" t="e">
        <f>IF(ISBLANK(M28),0,L28/ROUND(M28,4))</f>
        <v>#DIV/0!</v>
      </c>
      <c r="R28" s="96" t="e">
        <f>IF(ISBLANK(M28),0,Q28*ROUND(N28,2))</f>
        <v>#DIV/0!</v>
      </c>
      <c r="S28" s="26" t="e">
        <f>ROUND(P28,2)*Q28</f>
        <v>#DIV/0!</v>
      </c>
      <c r="T28" s="96" t="e">
        <f>Q28*dagenperjaar1</f>
        <v>#DIV/0!</v>
      </c>
      <c r="U28" s="27" t="e">
        <f>T28*ROUND(P28,2)</f>
        <v>#DIV/0!</v>
      </c>
    </row>
    <row r="29" spans="1:21" x14ac:dyDescent="0.2">
      <c r="A29" s="93" t="s">
        <v>244</v>
      </c>
      <c r="B29" s="94" t="s">
        <v>42</v>
      </c>
      <c r="C29" s="94" t="s">
        <v>245</v>
      </c>
      <c r="D29" s="94" t="s">
        <v>288</v>
      </c>
      <c r="E29" s="95" t="s">
        <v>268</v>
      </c>
      <c r="F29" s="94" t="s">
        <v>277</v>
      </c>
      <c r="G29" s="94" t="s">
        <v>225</v>
      </c>
      <c r="H29" s="94" t="s">
        <v>10</v>
      </c>
      <c r="I29" s="94" t="s">
        <v>191</v>
      </c>
      <c r="J29" s="94"/>
      <c r="K29" s="96">
        <v>11.2</v>
      </c>
      <c r="L29" s="96">
        <f>K29*VLOOKUP(H29,dagsoorttabel1,2,FALSE)</f>
        <v>11.2</v>
      </c>
      <c r="M29" s="97">
        <f>prodnorm34</f>
        <v>0</v>
      </c>
      <c r="N29" s="41">
        <f>dagwerk34</f>
        <v>0</v>
      </c>
      <c r="O29" s="94" t="s">
        <v>108</v>
      </c>
      <c r="P29" s="26">
        <f>uurtarief34</f>
        <v>0</v>
      </c>
      <c r="Q29" s="96" t="e">
        <f>IF(ISBLANK(M29),0,L29/ROUND(M29,4))</f>
        <v>#DIV/0!</v>
      </c>
      <c r="R29" s="96" t="e">
        <f>IF(ISBLANK(M29),0,Q29*ROUND(N29,2))</f>
        <v>#DIV/0!</v>
      </c>
      <c r="S29" s="26" t="e">
        <f>ROUND(P29,2)*Q29</f>
        <v>#DIV/0!</v>
      </c>
      <c r="T29" s="96" t="e">
        <f>Q29*dagenperjaar1</f>
        <v>#DIV/0!</v>
      </c>
      <c r="U29" s="27" t="e">
        <f>T29*ROUND(P29,2)</f>
        <v>#DIV/0!</v>
      </c>
    </row>
    <row r="30" spans="1:21" x14ac:dyDescent="0.2">
      <c r="A30" s="93" t="s">
        <v>244</v>
      </c>
      <c r="B30" s="94" t="s">
        <v>42</v>
      </c>
      <c r="C30" s="94" t="s">
        <v>245</v>
      </c>
      <c r="D30" s="94" t="s">
        <v>288</v>
      </c>
      <c r="E30" s="95" t="s">
        <v>268</v>
      </c>
      <c r="F30" s="94" t="s">
        <v>277</v>
      </c>
      <c r="G30" s="94" t="s">
        <v>227</v>
      </c>
      <c r="H30" s="94" t="s">
        <v>24</v>
      </c>
      <c r="I30" s="94" t="s">
        <v>191</v>
      </c>
      <c r="J30" s="94"/>
      <c r="K30" s="96">
        <v>11.2</v>
      </c>
      <c r="L30" s="96">
        <f>K30*VLOOKUP(H30,dagsoorttabel1,2,FALSE)</f>
        <v>5.5999999999999994E-2</v>
      </c>
      <c r="M30" s="97">
        <f>prodnorm35</f>
        <v>0</v>
      </c>
      <c r="N30" s="41">
        <f>dagwerk35</f>
        <v>0</v>
      </c>
      <c r="O30" s="94" t="s">
        <v>108</v>
      </c>
      <c r="P30" s="26">
        <f>uurtarief35</f>
        <v>0</v>
      </c>
      <c r="Q30" s="96" t="e">
        <f>IF(ISBLANK(M30),0,L30/ROUND(M30,4))</f>
        <v>#DIV/0!</v>
      </c>
      <c r="R30" s="96" t="e">
        <f>IF(ISBLANK(M30),0,Q30*ROUND(N30,2))</f>
        <v>#DIV/0!</v>
      </c>
      <c r="S30" s="26" t="e">
        <f>ROUND(P30,2)*Q30</f>
        <v>#DIV/0!</v>
      </c>
      <c r="T30" s="96" t="e">
        <f>Q30*dagenperjaar1</f>
        <v>#DIV/0!</v>
      </c>
      <c r="U30" s="27" t="e">
        <f>T30*ROUND(P30,2)</f>
        <v>#DIV/0!</v>
      </c>
    </row>
    <row r="31" spans="1:21" x14ac:dyDescent="0.2">
      <c r="A31" s="93" t="s">
        <v>244</v>
      </c>
      <c r="B31" s="94" t="s">
        <v>42</v>
      </c>
      <c r="C31" s="94" t="s">
        <v>245</v>
      </c>
      <c r="D31" s="94" t="s">
        <v>289</v>
      </c>
      <c r="E31" s="95" t="s">
        <v>284</v>
      </c>
      <c r="F31" s="94" t="s">
        <v>277</v>
      </c>
      <c r="G31" s="94" t="s">
        <v>225</v>
      </c>
      <c r="H31" s="94" t="s">
        <v>10</v>
      </c>
      <c r="I31" s="94" t="s">
        <v>191</v>
      </c>
      <c r="J31" s="94"/>
      <c r="K31" s="96">
        <v>28.25</v>
      </c>
      <c r="L31" s="96">
        <f>K31*VLOOKUP(H31,dagsoorttabel1,2,FALSE)</f>
        <v>28.25</v>
      </c>
      <c r="M31" s="97">
        <f>prodnorm34</f>
        <v>0</v>
      </c>
      <c r="N31" s="41">
        <f>dagwerk34</f>
        <v>0</v>
      </c>
      <c r="O31" s="94" t="s">
        <v>108</v>
      </c>
      <c r="P31" s="26">
        <f>uurtarief34</f>
        <v>0</v>
      </c>
      <c r="Q31" s="96" t="e">
        <f>IF(ISBLANK(M31),0,L31/ROUND(M31,4))</f>
        <v>#DIV/0!</v>
      </c>
      <c r="R31" s="96" t="e">
        <f>IF(ISBLANK(M31),0,Q31*ROUND(N31,2))</f>
        <v>#DIV/0!</v>
      </c>
      <c r="S31" s="26" t="e">
        <f>ROUND(P31,2)*Q31</f>
        <v>#DIV/0!</v>
      </c>
      <c r="T31" s="96" t="e">
        <f>Q31*dagenperjaar1</f>
        <v>#DIV/0!</v>
      </c>
      <c r="U31" s="27" t="e">
        <f>T31*ROUND(P31,2)</f>
        <v>#DIV/0!</v>
      </c>
    </row>
    <row r="32" spans="1:21" x14ac:dyDescent="0.2">
      <c r="A32" s="93" t="s">
        <v>244</v>
      </c>
      <c r="B32" s="94" t="s">
        <v>42</v>
      </c>
      <c r="C32" s="94" t="s">
        <v>245</v>
      </c>
      <c r="D32" s="94" t="s">
        <v>289</v>
      </c>
      <c r="E32" s="95" t="s">
        <v>284</v>
      </c>
      <c r="F32" s="94" t="s">
        <v>277</v>
      </c>
      <c r="G32" s="94" t="s">
        <v>227</v>
      </c>
      <c r="H32" s="94" t="s">
        <v>24</v>
      </c>
      <c r="I32" s="94" t="s">
        <v>191</v>
      </c>
      <c r="J32" s="94"/>
      <c r="K32" s="96">
        <v>28.25</v>
      </c>
      <c r="L32" s="96">
        <f>K32*VLOOKUP(H32,dagsoorttabel1,2,FALSE)</f>
        <v>0.14125000000000001</v>
      </c>
      <c r="M32" s="97">
        <f>prodnorm35</f>
        <v>0</v>
      </c>
      <c r="N32" s="41">
        <f>dagwerk35</f>
        <v>0</v>
      </c>
      <c r="O32" s="94" t="s">
        <v>108</v>
      </c>
      <c r="P32" s="26">
        <f>uurtarief35</f>
        <v>0</v>
      </c>
      <c r="Q32" s="96" t="e">
        <f>IF(ISBLANK(M32),0,L32/ROUND(M32,4))</f>
        <v>#DIV/0!</v>
      </c>
      <c r="R32" s="96" t="e">
        <f>IF(ISBLANK(M32),0,Q32*ROUND(N32,2))</f>
        <v>#DIV/0!</v>
      </c>
      <c r="S32" s="26" t="e">
        <f>ROUND(P32,2)*Q32</f>
        <v>#DIV/0!</v>
      </c>
      <c r="T32" s="96" t="e">
        <f>Q32*dagenperjaar1</f>
        <v>#DIV/0!</v>
      </c>
      <c r="U32" s="27" t="e">
        <f>T32*ROUND(P32,2)</f>
        <v>#DIV/0!</v>
      </c>
    </row>
    <row r="33" spans="1:21" x14ac:dyDescent="0.2">
      <c r="A33" s="93" t="s">
        <v>244</v>
      </c>
      <c r="B33" s="94" t="s">
        <v>42</v>
      </c>
      <c r="C33" s="94" t="s">
        <v>245</v>
      </c>
      <c r="D33" s="94" t="s">
        <v>290</v>
      </c>
      <c r="E33" s="95" t="s">
        <v>284</v>
      </c>
      <c r="F33" s="94" t="s">
        <v>277</v>
      </c>
      <c r="G33" s="94" t="s">
        <v>225</v>
      </c>
      <c r="H33" s="94" t="s">
        <v>10</v>
      </c>
      <c r="I33" s="94" t="s">
        <v>191</v>
      </c>
      <c r="J33" s="94"/>
      <c r="K33" s="96">
        <v>11.5</v>
      </c>
      <c r="L33" s="96">
        <f>K33*VLOOKUP(H33,dagsoorttabel1,2,FALSE)</f>
        <v>11.5</v>
      </c>
      <c r="M33" s="97">
        <f>prodnorm34</f>
        <v>0</v>
      </c>
      <c r="N33" s="41">
        <f>dagwerk34</f>
        <v>0</v>
      </c>
      <c r="O33" s="94" t="s">
        <v>108</v>
      </c>
      <c r="P33" s="26">
        <f>uurtarief34</f>
        <v>0</v>
      </c>
      <c r="Q33" s="96" t="e">
        <f>IF(ISBLANK(M33),0,L33/ROUND(M33,4))</f>
        <v>#DIV/0!</v>
      </c>
      <c r="R33" s="96" t="e">
        <f>IF(ISBLANK(M33),0,Q33*ROUND(N33,2))</f>
        <v>#DIV/0!</v>
      </c>
      <c r="S33" s="26" t="e">
        <f>ROUND(P33,2)*Q33</f>
        <v>#DIV/0!</v>
      </c>
      <c r="T33" s="96" t="e">
        <f>Q33*dagenperjaar1</f>
        <v>#DIV/0!</v>
      </c>
      <c r="U33" s="27" t="e">
        <f>T33*ROUND(P33,2)</f>
        <v>#DIV/0!</v>
      </c>
    </row>
    <row r="34" spans="1:21" x14ac:dyDescent="0.2">
      <c r="A34" s="93" t="s">
        <v>244</v>
      </c>
      <c r="B34" s="94" t="s">
        <v>42</v>
      </c>
      <c r="C34" s="94" t="s">
        <v>245</v>
      </c>
      <c r="D34" s="94" t="s">
        <v>290</v>
      </c>
      <c r="E34" s="95" t="s">
        <v>284</v>
      </c>
      <c r="F34" s="94" t="s">
        <v>277</v>
      </c>
      <c r="G34" s="94" t="s">
        <v>227</v>
      </c>
      <c r="H34" s="94" t="s">
        <v>24</v>
      </c>
      <c r="I34" s="94" t="s">
        <v>191</v>
      </c>
      <c r="J34" s="94"/>
      <c r="K34" s="96">
        <v>11.5</v>
      </c>
      <c r="L34" s="96">
        <f>K34*VLOOKUP(H34,dagsoorttabel1,2,FALSE)</f>
        <v>5.7500000000000002E-2</v>
      </c>
      <c r="M34" s="97">
        <f>prodnorm35</f>
        <v>0</v>
      </c>
      <c r="N34" s="41">
        <f>dagwerk35</f>
        <v>0</v>
      </c>
      <c r="O34" s="94" t="s">
        <v>108</v>
      </c>
      <c r="P34" s="26">
        <f>uurtarief35</f>
        <v>0</v>
      </c>
      <c r="Q34" s="96" t="e">
        <f>IF(ISBLANK(M34),0,L34/ROUND(M34,4))</f>
        <v>#DIV/0!</v>
      </c>
      <c r="R34" s="96" t="e">
        <f>IF(ISBLANK(M34),0,Q34*ROUND(N34,2))</f>
        <v>#DIV/0!</v>
      </c>
      <c r="S34" s="26" t="e">
        <f>ROUND(P34,2)*Q34</f>
        <v>#DIV/0!</v>
      </c>
      <c r="T34" s="96" t="e">
        <f>Q34*dagenperjaar1</f>
        <v>#DIV/0!</v>
      </c>
      <c r="U34" s="27" t="e">
        <f>T34*ROUND(P34,2)</f>
        <v>#DIV/0!</v>
      </c>
    </row>
    <row r="35" spans="1:21" x14ac:dyDescent="0.2">
      <c r="A35" s="93" t="s">
        <v>244</v>
      </c>
      <c r="B35" s="94" t="s">
        <v>42</v>
      </c>
      <c r="C35" s="94" t="s">
        <v>245</v>
      </c>
      <c r="D35" s="94" t="s">
        <v>291</v>
      </c>
      <c r="E35" s="95" t="s">
        <v>292</v>
      </c>
      <c r="F35" s="94" t="s">
        <v>269</v>
      </c>
      <c r="G35" s="94" t="s">
        <v>219</v>
      </c>
      <c r="H35" s="94" t="s">
        <v>10</v>
      </c>
      <c r="I35" s="94" t="s">
        <v>191</v>
      </c>
      <c r="J35" s="94"/>
      <c r="K35" s="96">
        <v>10</v>
      </c>
      <c r="L35" s="96">
        <f>K35*VLOOKUP(H35,dagsoorttabel1,2,FALSE)</f>
        <v>10</v>
      </c>
      <c r="M35" s="97">
        <f>prodnorm30</f>
        <v>0</v>
      </c>
      <c r="N35" s="41">
        <f>dagwerk30</f>
        <v>0</v>
      </c>
      <c r="O35" s="94" t="s">
        <v>108</v>
      </c>
      <c r="P35" s="26">
        <f>uurtarief30</f>
        <v>0</v>
      </c>
      <c r="Q35" s="96" t="e">
        <f>IF(ISBLANK(M35),0,L35/ROUND(M35,4))</f>
        <v>#DIV/0!</v>
      </c>
      <c r="R35" s="96" t="e">
        <f>IF(ISBLANK(M35),0,Q35*ROUND(N35,2))</f>
        <v>#DIV/0!</v>
      </c>
      <c r="S35" s="26" t="e">
        <f>ROUND(P35,2)*Q35</f>
        <v>#DIV/0!</v>
      </c>
      <c r="T35" s="96" t="e">
        <f>Q35*dagenperjaar1</f>
        <v>#DIV/0!</v>
      </c>
      <c r="U35" s="27" t="e">
        <f>T35*ROUND(P35,2)</f>
        <v>#DIV/0!</v>
      </c>
    </row>
    <row r="36" spans="1:21" x14ac:dyDescent="0.2">
      <c r="A36" s="93" t="s">
        <v>244</v>
      </c>
      <c r="B36" s="94" t="s">
        <v>42</v>
      </c>
      <c r="C36" s="94" t="s">
        <v>245</v>
      </c>
      <c r="D36" s="94" t="s">
        <v>293</v>
      </c>
      <c r="E36" s="95" t="s">
        <v>294</v>
      </c>
      <c r="F36" s="94" t="s">
        <v>269</v>
      </c>
      <c r="G36" s="94" t="s">
        <v>219</v>
      </c>
      <c r="H36" s="94" t="s">
        <v>10</v>
      </c>
      <c r="I36" s="94" t="s">
        <v>191</v>
      </c>
      <c r="J36" s="94"/>
      <c r="K36" s="96">
        <v>10</v>
      </c>
      <c r="L36" s="96">
        <f>K36*VLOOKUP(H36,dagsoorttabel1,2,FALSE)</f>
        <v>10</v>
      </c>
      <c r="M36" s="97">
        <f>prodnorm30</f>
        <v>0</v>
      </c>
      <c r="N36" s="41">
        <f>dagwerk30</f>
        <v>0</v>
      </c>
      <c r="O36" s="94" t="s">
        <v>108</v>
      </c>
      <c r="P36" s="26">
        <f>uurtarief30</f>
        <v>0</v>
      </c>
      <c r="Q36" s="96" t="e">
        <f>IF(ISBLANK(M36),0,L36/ROUND(M36,4))</f>
        <v>#DIV/0!</v>
      </c>
      <c r="R36" s="96" t="e">
        <f>IF(ISBLANK(M36),0,Q36*ROUND(N36,2))</f>
        <v>#DIV/0!</v>
      </c>
      <c r="S36" s="26" t="e">
        <f>ROUND(P36,2)*Q36</f>
        <v>#DIV/0!</v>
      </c>
      <c r="T36" s="96" t="e">
        <f>Q36*dagenperjaar1</f>
        <v>#DIV/0!</v>
      </c>
      <c r="U36" s="27" t="e">
        <f>T36*ROUND(P36,2)</f>
        <v>#DIV/0!</v>
      </c>
    </row>
    <row r="37" spans="1:21" x14ac:dyDescent="0.2">
      <c r="A37" s="93" t="s">
        <v>244</v>
      </c>
      <c r="B37" s="94" t="s">
        <v>42</v>
      </c>
      <c r="C37" s="94" t="s">
        <v>245</v>
      </c>
      <c r="D37" s="94" t="s">
        <v>295</v>
      </c>
      <c r="E37" s="95" t="s">
        <v>286</v>
      </c>
      <c r="F37" s="94" t="s">
        <v>296</v>
      </c>
      <c r="G37" s="94" t="s">
        <v>225</v>
      </c>
      <c r="H37" s="94" t="s">
        <v>10</v>
      </c>
      <c r="I37" s="94" t="s">
        <v>191</v>
      </c>
      <c r="J37" s="94"/>
      <c r="K37" s="96">
        <v>10</v>
      </c>
      <c r="L37" s="96">
        <f>K37*VLOOKUP(H37,dagsoorttabel1,2,FALSE)</f>
        <v>10</v>
      </c>
      <c r="M37" s="97">
        <f>prodnorm34</f>
        <v>0</v>
      </c>
      <c r="N37" s="41">
        <f>dagwerk34</f>
        <v>0</v>
      </c>
      <c r="O37" s="94" t="s">
        <v>108</v>
      </c>
      <c r="P37" s="26">
        <f>uurtarief34</f>
        <v>0</v>
      </c>
      <c r="Q37" s="96" t="e">
        <f>IF(ISBLANK(M37),0,L37/ROUND(M37,4))</f>
        <v>#DIV/0!</v>
      </c>
      <c r="R37" s="96" t="e">
        <f>IF(ISBLANK(M37),0,Q37*ROUND(N37,2))</f>
        <v>#DIV/0!</v>
      </c>
      <c r="S37" s="26" t="e">
        <f>ROUND(P37,2)*Q37</f>
        <v>#DIV/0!</v>
      </c>
      <c r="T37" s="96" t="e">
        <f>Q37*dagenperjaar1</f>
        <v>#DIV/0!</v>
      </c>
      <c r="U37" s="27" t="e">
        <f>T37*ROUND(P37,2)</f>
        <v>#DIV/0!</v>
      </c>
    </row>
    <row r="38" spans="1:21" x14ac:dyDescent="0.2">
      <c r="A38" s="93" t="s">
        <v>244</v>
      </c>
      <c r="B38" s="94" t="s">
        <v>42</v>
      </c>
      <c r="C38" s="94" t="s">
        <v>245</v>
      </c>
      <c r="D38" s="94" t="s">
        <v>297</v>
      </c>
      <c r="E38" s="95" t="s">
        <v>284</v>
      </c>
      <c r="F38" s="94" t="s">
        <v>277</v>
      </c>
      <c r="G38" s="94" t="s">
        <v>225</v>
      </c>
      <c r="H38" s="94" t="s">
        <v>10</v>
      </c>
      <c r="I38" s="94" t="s">
        <v>191</v>
      </c>
      <c r="J38" s="94"/>
      <c r="K38" s="96">
        <v>31.37</v>
      </c>
      <c r="L38" s="96">
        <f>K38*VLOOKUP(H38,dagsoorttabel1,2,FALSE)</f>
        <v>31.37</v>
      </c>
      <c r="M38" s="97">
        <f>prodnorm34</f>
        <v>0</v>
      </c>
      <c r="N38" s="41">
        <f>dagwerk34</f>
        <v>0</v>
      </c>
      <c r="O38" s="94" t="s">
        <v>108</v>
      </c>
      <c r="P38" s="26">
        <f>uurtarief34</f>
        <v>0</v>
      </c>
      <c r="Q38" s="96" t="e">
        <f>IF(ISBLANK(M38),0,L38/ROUND(M38,4))</f>
        <v>#DIV/0!</v>
      </c>
      <c r="R38" s="96" t="e">
        <f>IF(ISBLANK(M38),0,Q38*ROUND(N38,2))</f>
        <v>#DIV/0!</v>
      </c>
      <c r="S38" s="26" t="e">
        <f>ROUND(P38,2)*Q38</f>
        <v>#DIV/0!</v>
      </c>
      <c r="T38" s="96" t="e">
        <f>Q38*dagenperjaar1</f>
        <v>#DIV/0!</v>
      </c>
      <c r="U38" s="27" t="e">
        <f>T38*ROUND(P38,2)</f>
        <v>#DIV/0!</v>
      </c>
    </row>
    <row r="39" spans="1:21" x14ac:dyDescent="0.2">
      <c r="A39" s="93" t="s">
        <v>244</v>
      </c>
      <c r="B39" s="94" t="s">
        <v>42</v>
      </c>
      <c r="C39" s="94" t="s">
        <v>245</v>
      </c>
      <c r="D39" s="94" t="s">
        <v>297</v>
      </c>
      <c r="E39" s="95" t="s">
        <v>284</v>
      </c>
      <c r="F39" s="94" t="s">
        <v>277</v>
      </c>
      <c r="G39" s="94" t="s">
        <v>227</v>
      </c>
      <c r="H39" s="94" t="s">
        <v>24</v>
      </c>
      <c r="I39" s="94" t="s">
        <v>191</v>
      </c>
      <c r="J39" s="94"/>
      <c r="K39" s="96">
        <v>31.37</v>
      </c>
      <c r="L39" s="96">
        <f>K39*VLOOKUP(H39,dagsoorttabel1,2,FALSE)</f>
        <v>0.15685000000000002</v>
      </c>
      <c r="M39" s="97">
        <f>prodnorm35</f>
        <v>0</v>
      </c>
      <c r="N39" s="41">
        <f>dagwerk35</f>
        <v>0</v>
      </c>
      <c r="O39" s="94" t="s">
        <v>108</v>
      </c>
      <c r="P39" s="26">
        <f>uurtarief35</f>
        <v>0</v>
      </c>
      <c r="Q39" s="96" t="e">
        <f>IF(ISBLANK(M39),0,L39/ROUND(M39,4))</f>
        <v>#DIV/0!</v>
      </c>
      <c r="R39" s="96" t="e">
        <f>IF(ISBLANK(M39),0,Q39*ROUND(N39,2))</f>
        <v>#DIV/0!</v>
      </c>
      <c r="S39" s="26" t="e">
        <f>ROUND(P39,2)*Q39</f>
        <v>#DIV/0!</v>
      </c>
      <c r="T39" s="96" t="e">
        <f>Q39*dagenperjaar1</f>
        <v>#DIV/0!</v>
      </c>
      <c r="U39" s="27" t="e">
        <f>T39*ROUND(P39,2)</f>
        <v>#DIV/0!</v>
      </c>
    </row>
    <row r="40" spans="1:21" x14ac:dyDescent="0.2">
      <c r="A40" s="93" t="s">
        <v>244</v>
      </c>
      <c r="B40" s="94" t="s">
        <v>42</v>
      </c>
      <c r="C40" s="94" t="s">
        <v>245</v>
      </c>
      <c r="D40" s="94" t="s">
        <v>298</v>
      </c>
      <c r="E40" s="95" t="s">
        <v>299</v>
      </c>
      <c r="F40" s="94" t="s">
        <v>277</v>
      </c>
      <c r="G40" s="94" t="s">
        <v>225</v>
      </c>
      <c r="H40" s="94" t="s">
        <v>10</v>
      </c>
      <c r="I40" s="94" t="s">
        <v>191</v>
      </c>
      <c r="J40" s="94"/>
      <c r="K40" s="96">
        <v>280.89999999999998</v>
      </c>
      <c r="L40" s="96">
        <f>K40*VLOOKUP(H40,dagsoorttabel1,2,FALSE)</f>
        <v>280.89999999999998</v>
      </c>
      <c r="M40" s="97">
        <f>prodnorm34</f>
        <v>0</v>
      </c>
      <c r="N40" s="41">
        <f>dagwerk34</f>
        <v>0</v>
      </c>
      <c r="O40" s="94" t="s">
        <v>108</v>
      </c>
      <c r="P40" s="26">
        <f>uurtarief34</f>
        <v>0</v>
      </c>
      <c r="Q40" s="96" t="e">
        <f>IF(ISBLANK(M40),0,L40/ROUND(M40,4))</f>
        <v>#DIV/0!</v>
      </c>
      <c r="R40" s="96" t="e">
        <f>IF(ISBLANK(M40),0,Q40*ROUND(N40,2))</f>
        <v>#DIV/0!</v>
      </c>
      <c r="S40" s="26" t="e">
        <f>ROUND(P40,2)*Q40</f>
        <v>#DIV/0!</v>
      </c>
      <c r="T40" s="96" t="e">
        <f>Q40*dagenperjaar1</f>
        <v>#DIV/0!</v>
      </c>
      <c r="U40" s="27" t="e">
        <f>T40*ROUND(P40,2)</f>
        <v>#DIV/0!</v>
      </c>
    </row>
    <row r="41" spans="1:21" x14ac:dyDescent="0.2">
      <c r="A41" s="93" t="s">
        <v>244</v>
      </c>
      <c r="B41" s="94" t="s">
        <v>42</v>
      </c>
      <c r="C41" s="94" t="s">
        <v>245</v>
      </c>
      <c r="D41" s="94" t="s">
        <v>298</v>
      </c>
      <c r="E41" s="95" t="s">
        <v>299</v>
      </c>
      <c r="F41" s="94" t="s">
        <v>277</v>
      </c>
      <c r="G41" s="94" t="s">
        <v>227</v>
      </c>
      <c r="H41" s="94" t="s">
        <v>24</v>
      </c>
      <c r="I41" s="94" t="s">
        <v>191</v>
      </c>
      <c r="J41" s="94"/>
      <c r="K41" s="96">
        <v>280.89999999999998</v>
      </c>
      <c r="L41" s="96">
        <f>K41*VLOOKUP(H41,dagsoorttabel1,2,FALSE)</f>
        <v>1.4044999999999999</v>
      </c>
      <c r="M41" s="97">
        <f>prodnorm35</f>
        <v>0</v>
      </c>
      <c r="N41" s="41">
        <f>dagwerk35</f>
        <v>0</v>
      </c>
      <c r="O41" s="94" t="s">
        <v>108</v>
      </c>
      <c r="P41" s="26">
        <f>uurtarief35</f>
        <v>0</v>
      </c>
      <c r="Q41" s="96" t="e">
        <f>IF(ISBLANK(M41),0,L41/ROUND(M41,4))</f>
        <v>#DIV/0!</v>
      </c>
      <c r="R41" s="96" t="e">
        <f>IF(ISBLANK(M41),0,Q41*ROUND(N41,2))</f>
        <v>#DIV/0!</v>
      </c>
      <c r="S41" s="26" t="e">
        <f>ROUND(P41,2)*Q41</f>
        <v>#DIV/0!</v>
      </c>
      <c r="T41" s="96" t="e">
        <f>Q41*dagenperjaar1</f>
        <v>#DIV/0!</v>
      </c>
      <c r="U41" s="27" t="e">
        <f>T41*ROUND(P41,2)</f>
        <v>#DIV/0!</v>
      </c>
    </row>
    <row r="42" spans="1:21" x14ac:dyDescent="0.2">
      <c r="A42" s="93" t="s">
        <v>244</v>
      </c>
      <c r="B42" s="94" t="s">
        <v>42</v>
      </c>
      <c r="C42" s="94" t="s">
        <v>245</v>
      </c>
      <c r="D42" s="94" t="s">
        <v>300</v>
      </c>
      <c r="E42" s="95" t="s">
        <v>284</v>
      </c>
      <c r="F42" s="94" t="s">
        <v>253</v>
      </c>
      <c r="G42" s="94" t="s">
        <v>225</v>
      </c>
      <c r="H42" s="94" t="s">
        <v>10</v>
      </c>
      <c r="I42" s="94" t="s">
        <v>191</v>
      </c>
      <c r="J42" s="94"/>
      <c r="K42" s="96">
        <v>33.97</v>
      </c>
      <c r="L42" s="96">
        <f>K42*VLOOKUP(H42,dagsoorttabel1,2,FALSE)</f>
        <v>33.97</v>
      </c>
      <c r="M42" s="97">
        <f>prodnorm34</f>
        <v>0</v>
      </c>
      <c r="N42" s="41">
        <f>dagwerk34</f>
        <v>0</v>
      </c>
      <c r="O42" s="94" t="s">
        <v>108</v>
      </c>
      <c r="P42" s="26">
        <f>uurtarief34</f>
        <v>0</v>
      </c>
      <c r="Q42" s="96" t="e">
        <f>IF(ISBLANK(M42),0,L42/ROUND(M42,4))</f>
        <v>#DIV/0!</v>
      </c>
      <c r="R42" s="96" t="e">
        <f>IF(ISBLANK(M42),0,Q42*ROUND(N42,2))</f>
        <v>#DIV/0!</v>
      </c>
      <c r="S42" s="26" t="e">
        <f>ROUND(P42,2)*Q42</f>
        <v>#DIV/0!</v>
      </c>
      <c r="T42" s="96" t="e">
        <f>Q42*dagenperjaar1</f>
        <v>#DIV/0!</v>
      </c>
      <c r="U42" s="27" t="e">
        <f>T42*ROUND(P42,2)</f>
        <v>#DIV/0!</v>
      </c>
    </row>
    <row r="43" spans="1:21" x14ac:dyDescent="0.2">
      <c r="A43" s="93" t="s">
        <v>244</v>
      </c>
      <c r="B43" s="94" t="s">
        <v>42</v>
      </c>
      <c r="C43" s="94" t="s">
        <v>245</v>
      </c>
      <c r="D43" s="94" t="s">
        <v>300</v>
      </c>
      <c r="E43" s="95" t="s">
        <v>284</v>
      </c>
      <c r="F43" s="94" t="s">
        <v>253</v>
      </c>
      <c r="G43" s="94" t="s">
        <v>227</v>
      </c>
      <c r="H43" s="94" t="s">
        <v>24</v>
      </c>
      <c r="I43" s="94" t="s">
        <v>191</v>
      </c>
      <c r="J43" s="94"/>
      <c r="K43" s="96">
        <v>33.97</v>
      </c>
      <c r="L43" s="96">
        <f>K43*VLOOKUP(H43,dagsoorttabel1,2,FALSE)</f>
        <v>0.16985</v>
      </c>
      <c r="M43" s="97">
        <f>prodnorm35</f>
        <v>0</v>
      </c>
      <c r="N43" s="41">
        <f>dagwerk35</f>
        <v>0</v>
      </c>
      <c r="O43" s="94" t="s">
        <v>108</v>
      </c>
      <c r="P43" s="26">
        <f>uurtarief35</f>
        <v>0</v>
      </c>
      <c r="Q43" s="96" t="e">
        <f>IF(ISBLANK(M43),0,L43/ROUND(M43,4))</f>
        <v>#DIV/0!</v>
      </c>
      <c r="R43" s="96" t="e">
        <f>IF(ISBLANK(M43),0,Q43*ROUND(N43,2))</f>
        <v>#DIV/0!</v>
      </c>
      <c r="S43" s="26" t="e">
        <f>ROUND(P43,2)*Q43</f>
        <v>#DIV/0!</v>
      </c>
      <c r="T43" s="96" t="e">
        <f>Q43*dagenperjaar1</f>
        <v>#DIV/0!</v>
      </c>
      <c r="U43" s="27" t="e">
        <f>T43*ROUND(P43,2)</f>
        <v>#DIV/0!</v>
      </c>
    </row>
    <row r="44" spans="1:21" x14ac:dyDescent="0.2">
      <c r="A44" s="93" t="s">
        <v>244</v>
      </c>
      <c r="B44" s="94" t="s">
        <v>42</v>
      </c>
      <c r="C44" s="94" t="s">
        <v>245</v>
      </c>
      <c r="D44" s="94" t="s">
        <v>301</v>
      </c>
      <c r="E44" s="95" t="s">
        <v>268</v>
      </c>
      <c r="F44" s="94" t="s">
        <v>253</v>
      </c>
      <c r="G44" s="94" t="s">
        <v>225</v>
      </c>
      <c r="H44" s="94" t="s">
        <v>10</v>
      </c>
      <c r="I44" s="94" t="s">
        <v>191</v>
      </c>
      <c r="J44" s="94"/>
      <c r="K44" s="96">
        <v>63.839999999999996</v>
      </c>
      <c r="L44" s="96">
        <f>K44*VLOOKUP(H44,dagsoorttabel1,2,FALSE)</f>
        <v>63.839999999999996</v>
      </c>
      <c r="M44" s="97">
        <f>prodnorm34</f>
        <v>0</v>
      </c>
      <c r="N44" s="41">
        <f>dagwerk34</f>
        <v>0</v>
      </c>
      <c r="O44" s="94" t="s">
        <v>108</v>
      </c>
      <c r="P44" s="26">
        <f>uurtarief34</f>
        <v>0</v>
      </c>
      <c r="Q44" s="96" t="e">
        <f>IF(ISBLANK(M44),0,L44/ROUND(M44,4))</f>
        <v>#DIV/0!</v>
      </c>
      <c r="R44" s="96" t="e">
        <f>IF(ISBLANK(M44),0,Q44*ROUND(N44,2))</f>
        <v>#DIV/0!</v>
      </c>
      <c r="S44" s="26" t="e">
        <f>ROUND(P44,2)*Q44</f>
        <v>#DIV/0!</v>
      </c>
      <c r="T44" s="96" t="e">
        <f>Q44*dagenperjaar1</f>
        <v>#DIV/0!</v>
      </c>
      <c r="U44" s="27" t="e">
        <f>T44*ROUND(P44,2)</f>
        <v>#DIV/0!</v>
      </c>
    </row>
    <row r="45" spans="1:21" x14ac:dyDescent="0.2">
      <c r="A45" s="93" t="s">
        <v>244</v>
      </c>
      <c r="B45" s="94" t="s">
        <v>42</v>
      </c>
      <c r="C45" s="94" t="s">
        <v>245</v>
      </c>
      <c r="D45" s="94" t="s">
        <v>301</v>
      </c>
      <c r="E45" s="95" t="s">
        <v>268</v>
      </c>
      <c r="F45" s="94" t="s">
        <v>253</v>
      </c>
      <c r="G45" s="94" t="s">
        <v>227</v>
      </c>
      <c r="H45" s="94" t="s">
        <v>24</v>
      </c>
      <c r="I45" s="94" t="s">
        <v>191</v>
      </c>
      <c r="J45" s="94"/>
      <c r="K45" s="96">
        <v>63.839999999999996</v>
      </c>
      <c r="L45" s="96">
        <f>K45*VLOOKUP(H45,dagsoorttabel1,2,FALSE)</f>
        <v>0.31919999999999998</v>
      </c>
      <c r="M45" s="97">
        <f>prodnorm35</f>
        <v>0</v>
      </c>
      <c r="N45" s="41">
        <f>dagwerk35</f>
        <v>0</v>
      </c>
      <c r="O45" s="94" t="s">
        <v>108</v>
      </c>
      <c r="P45" s="26">
        <f>uurtarief35</f>
        <v>0</v>
      </c>
      <c r="Q45" s="96" t="e">
        <f>IF(ISBLANK(M45),0,L45/ROUND(M45,4))</f>
        <v>#DIV/0!</v>
      </c>
      <c r="R45" s="96" t="e">
        <f>IF(ISBLANK(M45),0,Q45*ROUND(N45,2))</f>
        <v>#DIV/0!</v>
      </c>
      <c r="S45" s="26" t="e">
        <f>ROUND(P45,2)*Q45</f>
        <v>#DIV/0!</v>
      </c>
      <c r="T45" s="96" t="e">
        <f>Q45*dagenperjaar1</f>
        <v>#DIV/0!</v>
      </c>
      <c r="U45" s="27" t="e">
        <f>T45*ROUND(P45,2)</f>
        <v>#DIV/0!</v>
      </c>
    </row>
    <row r="46" spans="1:21" x14ac:dyDescent="0.2">
      <c r="A46" s="93" t="s">
        <v>244</v>
      </c>
      <c r="B46" s="94" t="s">
        <v>42</v>
      </c>
      <c r="C46" s="94" t="s">
        <v>245</v>
      </c>
      <c r="D46" s="94" t="s">
        <v>302</v>
      </c>
      <c r="E46" s="95" t="s">
        <v>303</v>
      </c>
      <c r="F46" s="94" t="s">
        <v>248</v>
      </c>
      <c r="G46" s="94" t="s">
        <v>225</v>
      </c>
      <c r="H46" s="94" t="s">
        <v>10</v>
      </c>
      <c r="I46" s="94" t="s">
        <v>191</v>
      </c>
      <c r="J46" s="94"/>
      <c r="K46" s="96">
        <v>34.24</v>
      </c>
      <c r="L46" s="96">
        <f>K46*VLOOKUP(H46,dagsoorttabel1,2,FALSE)</f>
        <v>34.24</v>
      </c>
      <c r="M46" s="97">
        <f>prodnorm34</f>
        <v>0</v>
      </c>
      <c r="N46" s="41">
        <f>dagwerk34</f>
        <v>0</v>
      </c>
      <c r="O46" s="94" t="s">
        <v>108</v>
      </c>
      <c r="P46" s="26">
        <f>uurtarief34</f>
        <v>0</v>
      </c>
      <c r="Q46" s="96" t="e">
        <f>IF(ISBLANK(M46),0,L46/ROUND(M46,4))</f>
        <v>#DIV/0!</v>
      </c>
      <c r="R46" s="96" t="e">
        <f>IF(ISBLANK(M46),0,Q46*ROUND(N46,2))</f>
        <v>#DIV/0!</v>
      </c>
      <c r="S46" s="26" t="e">
        <f>ROUND(P46,2)*Q46</f>
        <v>#DIV/0!</v>
      </c>
      <c r="T46" s="96" t="e">
        <f>Q46*dagenperjaar1</f>
        <v>#DIV/0!</v>
      </c>
      <c r="U46" s="27" t="e">
        <f>T46*ROUND(P46,2)</f>
        <v>#DIV/0!</v>
      </c>
    </row>
    <row r="47" spans="1:21" x14ac:dyDescent="0.2">
      <c r="A47" s="93" t="s">
        <v>244</v>
      </c>
      <c r="B47" s="94" t="s">
        <v>42</v>
      </c>
      <c r="C47" s="94" t="s">
        <v>245</v>
      </c>
      <c r="D47" s="94" t="s">
        <v>304</v>
      </c>
      <c r="E47" s="95" t="s">
        <v>305</v>
      </c>
      <c r="F47" s="94" t="s">
        <v>248</v>
      </c>
      <c r="G47" s="94" t="s">
        <v>203</v>
      </c>
      <c r="H47" s="94" t="s">
        <v>16</v>
      </c>
      <c r="I47" s="94" t="s">
        <v>191</v>
      </c>
      <c r="J47" s="94"/>
      <c r="K47" s="96">
        <v>51.09</v>
      </c>
      <c r="L47" s="96">
        <f>K47*VLOOKUP(H47,dagsoorttabel1,2,FALSE)</f>
        <v>10.218000000000002</v>
      </c>
      <c r="M47" s="97">
        <f>prodnorm21</f>
        <v>0</v>
      </c>
      <c r="N47" s="41">
        <f>dagwerk21</f>
        <v>0</v>
      </c>
      <c r="O47" s="94" t="s">
        <v>108</v>
      </c>
      <c r="P47" s="26">
        <f>uurtarief21</f>
        <v>0</v>
      </c>
      <c r="Q47" s="96" t="e">
        <f>IF(ISBLANK(M47),0,L47/ROUND(M47,4))</f>
        <v>#DIV/0!</v>
      </c>
      <c r="R47" s="96" t="e">
        <f>IF(ISBLANK(M47),0,Q47*ROUND(N47,2))</f>
        <v>#DIV/0!</v>
      </c>
      <c r="S47" s="26" t="e">
        <f>ROUND(P47,2)*Q47</f>
        <v>#DIV/0!</v>
      </c>
      <c r="T47" s="96" t="e">
        <f>Q47*dagenperjaar1</f>
        <v>#DIV/0!</v>
      </c>
      <c r="U47" s="27" t="e">
        <f>T47*ROUND(P47,2)</f>
        <v>#DIV/0!</v>
      </c>
    </row>
    <row r="48" spans="1:21" x14ac:dyDescent="0.2">
      <c r="A48" s="93" t="s">
        <v>244</v>
      </c>
      <c r="B48" s="94" t="s">
        <v>42</v>
      </c>
      <c r="C48" s="94" t="s">
        <v>245</v>
      </c>
      <c r="D48" s="94" t="s">
        <v>306</v>
      </c>
      <c r="E48" s="95" t="s">
        <v>268</v>
      </c>
      <c r="F48" s="94" t="s">
        <v>253</v>
      </c>
      <c r="G48" s="94" t="s">
        <v>225</v>
      </c>
      <c r="H48" s="94" t="s">
        <v>10</v>
      </c>
      <c r="I48" s="94" t="s">
        <v>191</v>
      </c>
      <c r="J48" s="94"/>
      <c r="K48" s="96">
        <v>47.7</v>
      </c>
      <c r="L48" s="96">
        <f>K48*VLOOKUP(H48,dagsoorttabel1,2,FALSE)</f>
        <v>47.7</v>
      </c>
      <c r="M48" s="97">
        <f>prodnorm34</f>
        <v>0</v>
      </c>
      <c r="N48" s="41">
        <f>dagwerk34</f>
        <v>0</v>
      </c>
      <c r="O48" s="94" t="s">
        <v>108</v>
      </c>
      <c r="P48" s="26">
        <f>uurtarief34</f>
        <v>0</v>
      </c>
      <c r="Q48" s="96" t="e">
        <f>IF(ISBLANK(M48),0,L48/ROUND(M48,4))</f>
        <v>#DIV/0!</v>
      </c>
      <c r="R48" s="96" t="e">
        <f>IF(ISBLANK(M48),0,Q48*ROUND(N48,2))</f>
        <v>#DIV/0!</v>
      </c>
      <c r="S48" s="26" t="e">
        <f>ROUND(P48,2)*Q48</f>
        <v>#DIV/0!</v>
      </c>
      <c r="T48" s="96" t="e">
        <f>Q48*dagenperjaar1</f>
        <v>#DIV/0!</v>
      </c>
      <c r="U48" s="27" t="e">
        <f>T48*ROUND(P48,2)</f>
        <v>#DIV/0!</v>
      </c>
    </row>
    <row r="49" spans="1:21" x14ac:dyDescent="0.2">
      <c r="A49" s="93" t="s">
        <v>244</v>
      </c>
      <c r="B49" s="94" t="s">
        <v>42</v>
      </c>
      <c r="C49" s="94" t="s">
        <v>245</v>
      </c>
      <c r="D49" s="94" t="s">
        <v>306</v>
      </c>
      <c r="E49" s="95" t="s">
        <v>268</v>
      </c>
      <c r="F49" s="94" t="s">
        <v>253</v>
      </c>
      <c r="G49" s="94" t="s">
        <v>227</v>
      </c>
      <c r="H49" s="94" t="s">
        <v>24</v>
      </c>
      <c r="I49" s="94" t="s">
        <v>191</v>
      </c>
      <c r="J49" s="94"/>
      <c r="K49" s="96">
        <v>47.7</v>
      </c>
      <c r="L49" s="96">
        <f>K49*VLOOKUP(H49,dagsoorttabel1,2,FALSE)</f>
        <v>0.23850000000000002</v>
      </c>
      <c r="M49" s="97">
        <f>prodnorm35</f>
        <v>0</v>
      </c>
      <c r="N49" s="41">
        <f>dagwerk35</f>
        <v>0</v>
      </c>
      <c r="O49" s="94" t="s">
        <v>108</v>
      </c>
      <c r="P49" s="26">
        <f>uurtarief35</f>
        <v>0</v>
      </c>
      <c r="Q49" s="96" t="e">
        <f>IF(ISBLANK(M49),0,L49/ROUND(M49,4))</f>
        <v>#DIV/0!</v>
      </c>
      <c r="R49" s="96" t="e">
        <f>IF(ISBLANK(M49),0,Q49*ROUND(N49,2))</f>
        <v>#DIV/0!</v>
      </c>
      <c r="S49" s="26" t="e">
        <f>ROUND(P49,2)*Q49</f>
        <v>#DIV/0!</v>
      </c>
      <c r="T49" s="96" t="e">
        <f>Q49*dagenperjaar1</f>
        <v>#DIV/0!</v>
      </c>
      <c r="U49" s="27" t="e">
        <f>T49*ROUND(P49,2)</f>
        <v>#DIV/0!</v>
      </c>
    </row>
    <row r="50" spans="1:21" x14ac:dyDescent="0.2">
      <c r="A50" s="93" t="s">
        <v>244</v>
      </c>
      <c r="B50" s="94" t="s">
        <v>42</v>
      </c>
      <c r="C50" s="94" t="s">
        <v>245</v>
      </c>
      <c r="D50" s="94" t="s">
        <v>307</v>
      </c>
      <c r="E50" s="95" t="s">
        <v>308</v>
      </c>
      <c r="F50" s="94" t="s">
        <v>253</v>
      </c>
      <c r="G50" s="94" t="s">
        <v>207</v>
      </c>
      <c r="H50" s="94" t="s">
        <v>10</v>
      </c>
      <c r="I50" s="94" t="s">
        <v>191</v>
      </c>
      <c r="J50" s="94"/>
      <c r="K50" s="96">
        <v>8.52</v>
      </c>
      <c r="L50" s="96">
        <f>K50*VLOOKUP(H50,dagsoorttabel1,2,FALSE)</f>
        <v>8.52</v>
      </c>
      <c r="M50" s="97">
        <f>prodnorm24</f>
        <v>0</v>
      </c>
      <c r="N50" s="41">
        <f>dagwerk24</f>
        <v>0</v>
      </c>
      <c r="O50" s="94" t="s">
        <v>108</v>
      </c>
      <c r="P50" s="26">
        <f>uurtarief24</f>
        <v>0</v>
      </c>
      <c r="Q50" s="96" t="e">
        <f>IF(ISBLANK(M50),0,L50/ROUND(M50,4))</f>
        <v>#DIV/0!</v>
      </c>
      <c r="R50" s="96" t="e">
        <f>IF(ISBLANK(M50),0,Q50*ROUND(N50,2))</f>
        <v>#DIV/0!</v>
      </c>
      <c r="S50" s="26" t="e">
        <f>ROUND(P50,2)*Q50</f>
        <v>#DIV/0!</v>
      </c>
      <c r="T50" s="96" t="e">
        <f>Q50*dagenperjaar1</f>
        <v>#DIV/0!</v>
      </c>
      <c r="U50" s="27" t="e">
        <f>T50*ROUND(P50,2)</f>
        <v>#DIV/0!</v>
      </c>
    </row>
    <row r="51" spans="1:21" x14ac:dyDescent="0.2">
      <c r="A51" s="93" t="s">
        <v>244</v>
      </c>
      <c r="B51" s="94" t="s">
        <v>42</v>
      </c>
      <c r="C51" s="94" t="s">
        <v>245</v>
      </c>
      <c r="D51" s="94" t="s">
        <v>307</v>
      </c>
      <c r="E51" s="95" t="s">
        <v>308</v>
      </c>
      <c r="F51" s="94" t="s">
        <v>253</v>
      </c>
      <c r="G51" s="94" t="s">
        <v>227</v>
      </c>
      <c r="H51" s="94" t="s">
        <v>24</v>
      </c>
      <c r="I51" s="94" t="s">
        <v>191</v>
      </c>
      <c r="J51" s="94"/>
      <c r="K51" s="96">
        <v>8.52</v>
      </c>
      <c r="L51" s="96">
        <f>K51*VLOOKUP(H51,dagsoorttabel1,2,FALSE)</f>
        <v>4.2599999999999999E-2</v>
      </c>
      <c r="M51" s="97">
        <f>prodnorm35</f>
        <v>0</v>
      </c>
      <c r="N51" s="41">
        <f>dagwerk35</f>
        <v>0</v>
      </c>
      <c r="O51" s="94" t="s">
        <v>108</v>
      </c>
      <c r="P51" s="26">
        <f>uurtarief35</f>
        <v>0</v>
      </c>
      <c r="Q51" s="96" t="e">
        <f>IF(ISBLANK(M51),0,L51/ROUND(M51,4))</f>
        <v>#DIV/0!</v>
      </c>
      <c r="R51" s="96" t="e">
        <f>IF(ISBLANK(M51),0,Q51*ROUND(N51,2))</f>
        <v>#DIV/0!</v>
      </c>
      <c r="S51" s="26" t="e">
        <f>ROUND(P51,2)*Q51</f>
        <v>#DIV/0!</v>
      </c>
      <c r="T51" s="96" t="e">
        <f>Q51*dagenperjaar1</f>
        <v>#DIV/0!</v>
      </c>
      <c r="U51" s="27" t="e">
        <f>T51*ROUND(P51,2)</f>
        <v>#DIV/0!</v>
      </c>
    </row>
    <row r="52" spans="1:21" x14ac:dyDescent="0.2">
      <c r="A52" s="93" t="s">
        <v>244</v>
      </c>
      <c r="B52" s="94" t="s">
        <v>42</v>
      </c>
      <c r="C52" s="94" t="s">
        <v>245</v>
      </c>
      <c r="D52" s="94" t="s">
        <v>309</v>
      </c>
      <c r="E52" s="95" t="s">
        <v>310</v>
      </c>
      <c r="F52" s="94" t="s">
        <v>311</v>
      </c>
      <c r="G52" s="94" t="s">
        <v>201</v>
      </c>
      <c r="H52" s="94" t="s">
        <v>10</v>
      </c>
      <c r="I52" s="94" t="s">
        <v>191</v>
      </c>
      <c r="J52" s="94"/>
      <c r="K52" s="96">
        <v>2.61</v>
      </c>
      <c r="L52" s="96">
        <f>K52*VLOOKUP(H52,dagsoorttabel1,2,FALSE)</f>
        <v>2.61</v>
      </c>
      <c r="M52" s="97">
        <f>prodnorm19</f>
        <v>0</v>
      </c>
      <c r="N52" s="41">
        <f>dagwerk19</f>
        <v>0</v>
      </c>
      <c r="O52" s="94" t="s">
        <v>108</v>
      </c>
      <c r="P52" s="26">
        <f>uurtarief19</f>
        <v>0</v>
      </c>
      <c r="Q52" s="96" t="e">
        <f>IF(ISBLANK(M52),0,L52/ROUND(M52,4))</f>
        <v>#DIV/0!</v>
      </c>
      <c r="R52" s="96" t="e">
        <f>IF(ISBLANK(M52),0,Q52*ROUND(N52,2))</f>
        <v>#DIV/0!</v>
      </c>
      <c r="S52" s="26" t="e">
        <f>ROUND(P52,2)*Q52</f>
        <v>#DIV/0!</v>
      </c>
      <c r="T52" s="96" t="e">
        <f>Q52*dagenperjaar1</f>
        <v>#DIV/0!</v>
      </c>
      <c r="U52" s="27" t="e">
        <f>T52*ROUND(P52,2)</f>
        <v>#DIV/0!</v>
      </c>
    </row>
    <row r="53" spans="1:21" x14ac:dyDescent="0.2">
      <c r="A53" s="93" t="s">
        <v>244</v>
      </c>
      <c r="B53" s="94" t="s">
        <v>42</v>
      </c>
      <c r="C53" s="94" t="s">
        <v>245</v>
      </c>
      <c r="D53" s="94" t="s">
        <v>312</v>
      </c>
      <c r="E53" s="95" t="s">
        <v>313</v>
      </c>
      <c r="F53" s="94" t="s">
        <v>314</v>
      </c>
      <c r="G53" s="94" t="s">
        <v>205</v>
      </c>
      <c r="H53" s="94" t="s">
        <v>10</v>
      </c>
      <c r="I53" s="94" t="s">
        <v>191</v>
      </c>
      <c r="J53" s="94"/>
      <c r="K53" s="96">
        <v>3.77</v>
      </c>
      <c r="L53" s="96">
        <f>K53*VLOOKUP(H53,dagsoorttabel1,2,FALSE)</f>
        <v>3.77</v>
      </c>
      <c r="M53" s="97">
        <f>prodnorm23</f>
        <v>0</v>
      </c>
      <c r="N53" s="41">
        <f>dagwerk23</f>
        <v>0</v>
      </c>
      <c r="O53" s="94" t="s">
        <v>108</v>
      </c>
      <c r="P53" s="26">
        <f>uurtarief23</f>
        <v>0</v>
      </c>
      <c r="Q53" s="96" t="e">
        <f>IF(ISBLANK(M53),0,L53/ROUND(M53,4))</f>
        <v>#DIV/0!</v>
      </c>
      <c r="R53" s="96" t="e">
        <f>IF(ISBLANK(M53),0,Q53*ROUND(N53,2))</f>
        <v>#DIV/0!</v>
      </c>
      <c r="S53" s="26" t="e">
        <f>ROUND(P53,2)*Q53</f>
        <v>#DIV/0!</v>
      </c>
      <c r="T53" s="96" t="e">
        <f>Q53*dagenperjaar1</f>
        <v>#DIV/0!</v>
      </c>
      <c r="U53" s="27" t="e">
        <f>T53*ROUND(P53,2)</f>
        <v>#DIV/0!</v>
      </c>
    </row>
    <row r="54" spans="1:21" x14ac:dyDescent="0.2">
      <c r="A54" s="93" t="s">
        <v>244</v>
      </c>
      <c r="B54" s="94" t="s">
        <v>42</v>
      </c>
      <c r="C54" s="94" t="s">
        <v>245</v>
      </c>
      <c r="D54" s="94" t="s">
        <v>315</v>
      </c>
      <c r="E54" s="95" t="s">
        <v>316</v>
      </c>
      <c r="F54" s="94" t="s">
        <v>314</v>
      </c>
      <c r="G54" s="94" t="s">
        <v>219</v>
      </c>
      <c r="H54" s="94" t="s">
        <v>10</v>
      </c>
      <c r="I54" s="94" t="s">
        <v>191</v>
      </c>
      <c r="J54" s="94"/>
      <c r="K54" s="96">
        <v>3.15</v>
      </c>
      <c r="L54" s="96">
        <f>K54*VLOOKUP(H54,dagsoorttabel1,2,FALSE)</f>
        <v>3.15</v>
      </c>
      <c r="M54" s="97">
        <f>prodnorm30</f>
        <v>0</v>
      </c>
      <c r="N54" s="41">
        <f>dagwerk30</f>
        <v>0</v>
      </c>
      <c r="O54" s="94" t="s">
        <v>108</v>
      </c>
      <c r="P54" s="26">
        <f>uurtarief30</f>
        <v>0</v>
      </c>
      <c r="Q54" s="96" t="e">
        <f>IF(ISBLANK(M54),0,L54/ROUND(M54,4))</f>
        <v>#DIV/0!</v>
      </c>
      <c r="R54" s="96" t="e">
        <f>IF(ISBLANK(M54),0,Q54*ROUND(N54,2))</f>
        <v>#DIV/0!</v>
      </c>
      <c r="S54" s="26" t="e">
        <f>ROUND(P54,2)*Q54</f>
        <v>#DIV/0!</v>
      </c>
      <c r="T54" s="96" t="e">
        <f>Q54*dagenperjaar1</f>
        <v>#DIV/0!</v>
      </c>
      <c r="U54" s="27" t="e">
        <f>T54*ROUND(P54,2)</f>
        <v>#DIV/0!</v>
      </c>
    </row>
    <row r="55" spans="1:21" x14ac:dyDescent="0.2">
      <c r="A55" s="93" t="s">
        <v>244</v>
      </c>
      <c r="B55" s="94" t="s">
        <v>42</v>
      </c>
      <c r="C55" s="94" t="s">
        <v>245</v>
      </c>
      <c r="D55" s="94" t="s">
        <v>317</v>
      </c>
      <c r="E55" s="95" t="s">
        <v>318</v>
      </c>
      <c r="F55" s="94" t="s">
        <v>253</v>
      </c>
      <c r="G55" s="94" t="s">
        <v>225</v>
      </c>
      <c r="H55" s="94" t="s">
        <v>10</v>
      </c>
      <c r="I55" s="94" t="s">
        <v>191</v>
      </c>
      <c r="J55" s="94"/>
      <c r="K55" s="96">
        <v>139.35000000000002</v>
      </c>
      <c r="L55" s="96">
        <f>K55*VLOOKUP(H55,dagsoorttabel1,2,FALSE)</f>
        <v>139.35000000000002</v>
      </c>
      <c r="M55" s="97">
        <f>prodnorm34</f>
        <v>0</v>
      </c>
      <c r="N55" s="41">
        <f>dagwerk34</f>
        <v>0</v>
      </c>
      <c r="O55" s="94" t="s">
        <v>108</v>
      </c>
      <c r="P55" s="26">
        <f>uurtarief34</f>
        <v>0</v>
      </c>
      <c r="Q55" s="96" t="e">
        <f>IF(ISBLANK(M55),0,L55/ROUND(M55,4))</f>
        <v>#DIV/0!</v>
      </c>
      <c r="R55" s="96" t="e">
        <f>IF(ISBLANK(M55),0,Q55*ROUND(N55,2))</f>
        <v>#DIV/0!</v>
      </c>
      <c r="S55" s="26" t="e">
        <f>ROUND(P55,2)*Q55</f>
        <v>#DIV/0!</v>
      </c>
      <c r="T55" s="96" t="e">
        <f>Q55*dagenperjaar1</f>
        <v>#DIV/0!</v>
      </c>
      <c r="U55" s="27" t="e">
        <f>T55*ROUND(P55,2)</f>
        <v>#DIV/0!</v>
      </c>
    </row>
    <row r="56" spans="1:21" x14ac:dyDescent="0.2">
      <c r="A56" s="93" t="s">
        <v>244</v>
      </c>
      <c r="B56" s="94" t="s">
        <v>42</v>
      </c>
      <c r="C56" s="94" t="s">
        <v>245</v>
      </c>
      <c r="D56" s="94" t="s">
        <v>317</v>
      </c>
      <c r="E56" s="95" t="s">
        <v>318</v>
      </c>
      <c r="F56" s="94" t="s">
        <v>253</v>
      </c>
      <c r="G56" s="94" t="s">
        <v>227</v>
      </c>
      <c r="H56" s="94" t="s">
        <v>24</v>
      </c>
      <c r="I56" s="94" t="s">
        <v>191</v>
      </c>
      <c r="J56" s="94"/>
      <c r="K56" s="96">
        <v>139.35000000000002</v>
      </c>
      <c r="L56" s="96">
        <f>K56*VLOOKUP(H56,dagsoorttabel1,2,FALSE)</f>
        <v>0.69675000000000009</v>
      </c>
      <c r="M56" s="97">
        <f>prodnorm35</f>
        <v>0</v>
      </c>
      <c r="N56" s="41">
        <f>dagwerk35</f>
        <v>0</v>
      </c>
      <c r="O56" s="94" t="s">
        <v>108</v>
      </c>
      <c r="P56" s="26">
        <f>uurtarief35</f>
        <v>0</v>
      </c>
      <c r="Q56" s="96" t="e">
        <f>IF(ISBLANK(M56),0,L56/ROUND(M56,4))</f>
        <v>#DIV/0!</v>
      </c>
      <c r="R56" s="96" t="e">
        <f>IF(ISBLANK(M56),0,Q56*ROUND(N56,2))</f>
        <v>#DIV/0!</v>
      </c>
      <c r="S56" s="26" t="e">
        <f>ROUND(P56,2)*Q56</f>
        <v>#DIV/0!</v>
      </c>
      <c r="T56" s="96" t="e">
        <f>Q56*dagenperjaar1</f>
        <v>#DIV/0!</v>
      </c>
      <c r="U56" s="27" t="e">
        <f>T56*ROUND(P56,2)</f>
        <v>#DIV/0!</v>
      </c>
    </row>
    <row r="57" spans="1:21" x14ac:dyDescent="0.2">
      <c r="A57" s="93" t="s">
        <v>244</v>
      </c>
      <c r="B57" s="94" t="s">
        <v>42</v>
      </c>
      <c r="C57" s="94" t="s">
        <v>245</v>
      </c>
      <c r="D57" s="94" t="s">
        <v>319</v>
      </c>
      <c r="E57" s="95" t="s">
        <v>268</v>
      </c>
      <c r="F57" s="94" t="s">
        <v>253</v>
      </c>
      <c r="G57" s="94" t="s">
        <v>225</v>
      </c>
      <c r="H57" s="94" t="s">
        <v>10</v>
      </c>
      <c r="I57" s="94" t="s">
        <v>191</v>
      </c>
      <c r="J57" s="94"/>
      <c r="K57" s="96">
        <v>34.260000000000005</v>
      </c>
      <c r="L57" s="96">
        <f>K57*VLOOKUP(H57,dagsoorttabel1,2,FALSE)</f>
        <v>34.260000000000005</v>
      </c>
      <c r="M57" s="97">
        <f>prodnorm34</f>
        <v>0</v>
      </c>
      <c r="N57" s="41">
        <f>dagwerk34</f>
        <v>0</v>
      </c>
      <c r="O57" s="94" t="s">
        <v>108</v>
      </c>
      <c r="P57" s="26">
        <f>uurtarief34</f>
        <v>0</v>
      </c>
      <c r="Q57" s="96" t="e">
        <f>IF(ISBLANK(M57),0,L57/ROUND(M57,4))</f>
        <v>#DIV/0!</v>
      </c>
      <c r="R57" s="96" t="e">
        <f>IF(ISBLANK(M57),0,Q57*ROUND(N57,2))</f>
        <v>#DIV/0!</v>
      </c>
      <c r="S57" s="26" t="e">
        <f>ROUND(P57,2)*Q57</f>
        <v>#DIV/0!</v>
      </c>
      <c r="T57" s="96" t="e">
        <f>Q57*dagenperjaar1</f>
        <v>#DIV/0!</v>
      </c>
      <c r="U57" s="27" t="e">
        <f>T57*ROUND(P57,2)</f>
        <v>#DIV/0!</v>
      </c>
    </row>
    <row r="58" spans="1:21" x14ac:dyDescent="0.2">
      <c r="A58" s="93" t="s">
        <v>244</v>
      </c>
      <c r="B58" s="94" t="s">
        <v>42</v>
      </c>
      <c r="C58" s="94" t="s">
        <v>245</v>
      </c>
      <c r="D58" s="94" t="s">
        <v>319</v>
      </c>
      <c r="E58" s="95" t="s">
        <v>268</v>
      </c>
      <c r="F58" s="94" t="s">
        <v>253</v>
      </c>
      <c r="G58" s="94" t="s">
        <v>227</v>
      </c>
      <c r="H58" s="94" t="s">
        <v>24</v>
      </c>
      <c r="I58" s="94" t="s">
        <v>191</v>
      </c>
      <c r="J58" s="94"/>
      <c r="K58" s="96">
        <v>34.260000000000005</v>
      </c>
      <c r="L58" s="96">
        <f>K58*VLOOKUP(H58,dagsoorttabel1,2,FALSE)</f>
        <v>0.17130000000000004</v>
      </c>
      <c r="M58" s="97">
        <f>prodnorm35</f>
        <v>0</v>
      </c>
      <c r="N58" s="41">
        <f>dagwerk35</f>
        <v>0</v>
      </c>
      <c r="O58" s="94" t="s">
        <v>108</v>
      </c>
      <c r="P58" s="26">
        <f>uurtarief35</f>
        <v>0</v>
      </c>
      <c r="Q58" s="96" t="e">
        <f>IF(ISBLANK(M58),0,L58/ROUND(M58,4))</f>
        <v>#DIV/0!</v>
      </c>
      <c r="R58" s="96" t="e">
        <f>IF(ISBLANK(M58),0,Q58*ROUND(N58,2))</f>
        <v>#DIV/0!</v>
      </c>
      <c r="S58" s="26" t="e">
        <f>ROUND(P58,2)*Q58</f>
        <v>#DIV/0!</v>
      </c>
      <c r="T58" s="96" t="e">
        <f>Q58*dagenperjaar1</f>
        <v>#DIV/0!</v>
      </c>
      <c r="U58" s="27" t="e">
        <f>T58*ROUND(P58,2)</f>
        <v>#DIV/0!</v>
      </c>
    </row>
    <row r="59" spans="1:21" x14ac:dyDescent="0.2">
      <c r="A59" s="93" t="s">
        <v>244</v>
      </c>
      <c r="B59" s="94" t="s">
        <v>42</v>
      </c>
      <c r="C59" s="94" t="s">
        <v>245</v>
      </c>
      <c r="D59" s="94" t="s">
        <v>320</v>
      </c>
      <c r="E59" s="95" t="s">
        <v>321</v>
      </c>
      <c r="F59" s="94" t="s">
        <v>263</v>
      </c>
      <c r="G59" s="94" t="s">
        <v>199</v>
      </c>
      <c r="H59" s="94" t="s">
        <v>10</v>
      </c>
      <c r="I59" s="94" t="s">
        <v>191</v>
      </c>
      <c r="J59" s="94"/>
      <c r="K59" s="96">
        <v>32.64</v>
      </c>
      <c r="L59" s="96">
        <f>K59*VLOOKUP(H59,dagsoorttabel1,2,FALSE)</f>
        <v>32.64</v>
      </c>
      <c r="M59" s="97">
        <f>prodnorm18</f>
        <v>0</v>
      </c>
      <c r="N59" s="41">
        <f>dagwerk18</f>
        <v>0</v>
      </c>
      <c r="O59" s="94" t="s">
        <v>108</v>
      </c>
      <c r="P59" s="26">
        <f>uurtarief18</f>
        <v>0</v>
      </c>
      <c r="Q59" s="96" t="e">
        <f>IF(ISBLANK(M59),0,L59/ROUND(M59,4))</f>
        <v>#DIV/0!</v>
      </c>
      <c r="R59" s="96" t="e">
        <f>IF(ISBLANK(M59),0,Q59*ROUND(N59,2))</f>
        <v>#DIV/0!</v>
      </c>
      <c r="S59" s="26" t="e">
        <f>ROUND(P59,2)*Q59</f>
        <v>#DIV/0!</v>
      </c>
      <c r="T59" s="96" t="e">
        <f>Q59*dagenperjaar1</f>
        <v>#DIV/0!</v>
      </c>
      <c r="U59" s="27" t="e">
        <f>T59*ROUND(P59,2)</f>
        <v>#DIV/0!</v>
      </c>
    </row>
    <row r="60" spans="1:21" x14ac:dyDescent="0.2">
      <c r="A60" s="93" t="s">
        <v>244</v>
      </c>
      <c r="B60" s="94" t="s">
        <v>42</v>
      </c>
      <c r="C60" s="94" t="s">
        <v>322</v>
      </c>
      <c r="D60" s="94" t="s">
        <v>323</v>
      </c>
      <c r="E60" s="95" t="s">
        <v>324</v>
      </c>
      <c r="F60" s="94" t="s">
        <v>277</v>
      </c>
      <c r="G60" s="94" t="s">
        <v>225</v>
      </c>
      <c r="H60" s="94" t="s">
        <v>10</v>
      </c>
      <c r="I60" s="94" t="s">
        <v>191</v>
      </c>
      <c r="J60" s="94"/>
      <c r="K60" s="96">
        <v>19.2</v>
      </c>
      <c r="L60" s="96">
        <f>K60*VLOOKUP(H60,dagsoorttabel1,2,FALSE)</f>
        <v>19.2</v>
      </c>
      <c r="M60" s="97">
        <f>prodnorm34</f>
        <v>0</v>
      </c>
      <c r="N60" s="41">
        <f>dagwerk34</f>
        <v>0</v>
      </c>
      <c r="O60" s="94" t="s">
        <v>108</v>
      </c>
      <c r="P60" s="26">
        <f>uurtarief34</f>
        <v>0</v>
      </c>
      <c r="Q60" s="96" t="e">
        <f>IF(ISBLANK(M60),0,L60/ROUND(M60,4))</f>
        <v>#DIV/0!</v>
      </c>
      <c r="R60" s="96" t="e">
        <f>IF(ISBLANK(M60),0,Q60*ROUND(N60,2))</f>
        <v>#DIV/0!</v>
      </c>
      <c r="S60" s="26" t="e">
        <f>ROUND(P60,2)*Q60</f>
        <v>#DIV/0!</v>
      </c>
      <c r="T60" s="96" t="e">
        <f>Q60*dagenperjaar1</f>
        <v>#DIV/0!</v>
      </c>
      <c r="U60" s="27" t="e">
        <f>T60*ROUND(P60,2)</f>
        <v>#DIV/0!</v>
      </c>
    </row>
    <row r="61" spans="1:21" x14ac:dyDescent="0.2">
      <c r="A61" s="93" t="s">
        <v>244</v>
      </c>
      <c r="B61" s="94" t="s">
        <v>42</v>
      </c>
      <c r="C61" s="94" t="s">
        <v>322</v>
      </c>
      <c r="D61" s="94" t="s">
        <v>323</v>
      </c>
      <c r="E61" s="95" t="s">
        <v>324</v>
      </c>
      <c r="F61" s="94" t="s">
        <v>277</v>
      </c>
      <c r="G61" s="94" t="s">
        <v>227</v>
      </c>
      <c r="H61" s="94" t="s">
        <v>24</v>
      </c>
      <c r="I61" s="94" t="s">
        <v>191</v>
      </c>
      <c r="J61" s="94"/>
      <c r="K61" s="96">
        <v>19.2</v>
      </c>
      <c r="L61" s="96">
        <f>K61*VLOOKUP(H61,dagsoorttabel1,2,FALSE)</f>
        <v>9.6000000000000002E-2</v>
      </c>
      <c r="M61" s="97">
        <f>prodnorm35</f>
        <v>0</v>
      </c>
      <c r="N61" s="41">
        <f>dagwerk35</f>
        <v>0</v>
      </c>
      <c r="O61" s="94" t="s">
        <v>108</v>
      </c>
      <c r="P61" s="26">
        <f>uurtarief35</f>
        <v>0</v>
      </c>
      <c r="Q61" s="96" t="e">
        <f>IF(ISBLANK(M61),0,L61/ROUND(M61,4))</f>
        <v>#DIV/0!</v>
      </c>
      <c r="R61" s="96" t="e">
        <f>IF(ISBLANK(M61),0,Q61*ROUND(N61,2))</f>
        <v>#DIV/0!</v>
      </c>
      <c r="S61" s="26" t="e">
        <f>ROUND(P61,2)*Q61</f>
        <v>#DIV/0!</v>
      </c>
      <c r="T61" s="96" t="e">
        <f>Q61*dagenperjaar1</f>
        <v>#DIV/0!</v>
      </c>
      <c r="U61" s="27" t="e">
        <f>T61*ROUND(P61,2)</f>
        <v>#DIV/0!</v>
      </c>
    </row>
    <row r="62" spans="1:21" x14ac:dyDescent="0.2">
      <c r="A62" s="93" t="s">
        <v>244</v>
      </c>
      <c r="B62" s="94" t="s">
        <v>42</v>
      </c>
      <c r="C62" s="94" t="s">
        <v>322</v>
      </c>
      <c r="D62" s="94" t="s">
        <v>325</v>
      </c>
      <c r="E62" s="95" t="s">
        <v>268</v>
      </c>
      <c r="F62" s="94" t="s">
        <v>277</v>
      </c>
      <c r="G62" s="94" t="s">
        <v>225</v>
      </c>
      <c r="H62" s="94" t="s">
        <v>10</v>
      </c>
      <c r="I62" s="94" t="s">
        <v>191</v>
      </c>
      <c r="J62" s="94"/>
      <c r="K62" s="96">
        <v>72.95</v>
      </c>
      <c r="L62" s="96">
        <f>K62*VLOOKUP(H62,dagsoorttabel1,2,FALSE)</f>
        <v>72.95</v>
      </c>
      <c r="M62" s="97">
        <f>prodnorm34</f>
        <v>0</v>
      </c>
      <c r="N62" s="41">
        <f>dagwerk34</f>
        <v>0</v>
      </c>
      <c r="O62" s="94" t="s">
        <v>108</v>
      </c>
      <c r="P62" s="26">
        <f>uurtarief34</f>
        <v>0</v>
      </c>
      <c r="Q62" s="96" t="e">
        <f>IF(ISBLANK(M62),0,L62/ROUND(M62,4))</f>
        <v>#DIV/0!</v>
      </c>
      <c r="R62" s="96" t="e">
        <f>IF(ISBLANK(M62),0,Q62*ROUND(N62,2))</f>
        <v>#DIV/0!</v>
      </c>
      <c r="S62" s="26" t="e">
        <f>ROUND(P62,2)*Q62</f>
        <v>#DIV/0!</v>
      </c>
      <c r="T62" s="96" t="e">
        <f>Q62*dagenperjaar1</f>
        <v>#DIV/0!</v>
      </c>
      <c r="U62" s="27" t="e">
        <f>T62*ROUND(P62,2)</f>
        <v>#DIV/0!</v>
      </c>
    </row>
    <row r="63" spans="1:21" x14ac:dyDescent="0.2">
      <c r="A63" s="93" t="s">
        <v>244</v>
      </c>
      <c r="B63" s="94" t="s">
        <v>42</v>
      </c>
      <c r="C63" s="94" t="s">
        <v>322</v>
      </c>
      <c r="D63" s="94" t="s">
        <v>325</v>
      </c>
      <c r="E63" s="95" t="s">
        <v>268</v>
      </c>
      <c r="F63" s="94" t="s">
        <v>277</v>
      </c>
      <c r="G63" s="94" t="s">
        <v>227</v>
      </c>
      <c r="H63" s="94" t="s">
        <v>24</v>
      </c>
      <c r="I63" s="94" t="s">
        <v>191</v>
      </c>
      <c r="J63" s="94"/>
      <c r="K63" s="96">
        <v>72.95</v>
      </c>
      <c r="L63" s="96">
        <f>K63*VLOOKUP(H63,dagsoorttabel1,2,FALSE)</f>
        <v>0.36475000000000002</v>
      </c>
      <c r="M63" s="97">
        <f>prodnorm35</f>
        <v>0</v>
      </c>
      <c r="N63" s="41">
        <f>dagwerk35</f>
        <v>0</v>
      </c>
      <c r="O63" s="94" t="s">
        <v>108</v>
      </c>
      <c r="P63" s="26">
        <f>uurtarief35</f>
        <v>0</v>
      </c>
      <c r="Q63" s="96" t="e">
        <f>IF(ISBLANK(M63),0,L63/ROUND(M63,4))</f>
        <v>#DIV/0!</v>
      </c>
      <c r="R63" s="96" t="e">
        <f>IF(ISBLANK(M63),0,Q63*ROUND(N63,2))</f>
        <v>#DIV/0!</v>
      </c>
      <c r="S63" s="26" t="e">
        <f>ROUND(P63,2)*Q63</f>
        <v>#DIV/0!</v>
      </c>
      <c r="T63" s="96" t="e">
        <f>Q63*dagenperjaar1</f>
        <v>#DIV/0!</v>
      </c>
      <c r="U63" s="27" t="e">
        <f>T63*ROUND(P63,2)</f>
        <v>#DIV/0!</v>
      </c>
    </row>
    <row r="64" spans="1:21" x14ac:dyDescent="0.2">
      <c r="A64" s="93" t="s">
        <v>244</v>
      </c>
      <c r="B64" s="94" t="s">
        <v>42</v>
      </c>
      <c r="C64" s="94" t="s">
        <v>322</v>
      </c>
      <c r="D64" s="94" t="s">
        <v>326</v>
      </c>
      <c r="E64" s="95" t="s">
        <v>321</v>
      </c>
      <c r="F64" s="94" t="s">
        <v>327</v>
      </c>
      <c r="G64" s="94" t="s">
        <v>199</v>
      </c>
      <c r="H64" s="94" t="s">
        <v>10</v>
      </c>
      <c r="I64" s="94" t="s">
        <v>191</v>
      </c>
      <c r="J64" s="94"/>
      <c r="K64" s="96">
        <v>13.7</v>
      </c>
      <c r="L64" s="96">
        <f>K64*VLOOKUP(H64,dagsoorttabel1,2,FALSE)</f>
        <v>13.7</v>
      </c>
      <c r="M64" s="97">
        <f>prodnorm18</f>
        <v>0</v>
      </c>
      <c r="N64" s="41">
        <f>dagwerk18</f>
        <v>0</v>
      </c>
      <c r="O64" s="94" t="s">
        <v>108</v>
      </c>
      <c r="P64" s="26">
        <f>uurtarief18</f>
        <v>0</v>
      </c>
      <c r="Q64" s="96" t="e">
        <f>IF(ISBLANK(M64),0,L64/ROUND(M64,4))</f>
        <v>#DIV/0!</v>
      </c>
      <c r="R64" s="96" t="e">
        <f>IF(ISBLANK(M64),0,Q64*ROUND(N64,2))</f>
        <v>#DIV/0!</v>
      </c>
      <c r="S64" s="26" t="e">
        <f>ROUND(P64,2)*Q64</f>
        <v>#DIV/0!</v>
      </c>
      <c r="T64" s="96" t="e">
        <f>Q64*dagenperjaar1</f>
        <v>#DIV/0!</v>
      </c>
      <c r="U64" s="27" t="e">
        <f>T64*ROUND(P64,2)</f>
        <v>#DIV/0!</v>
      </c>
    </row>
    <row r="65" spans="1:21" x14ac:dyDescent="0.2">
      <c r="A65" s="93" t="s">
        <v>244</v>
      </c>
      <c r="B65" s="94" t="s">
        <v>42</v>
      </c>
      <c r="C65" s="94" t="s">
        <v>322</v>
      </c>
      <c r="D65" s="94" t="s">
        <v>328</v>
      </c>
      <c r="E65" s="95" t="s">
        <v>268</v>
      </c>
      <c r="F65" s="94" t="s">
        <v>277</v>
      </c>
      <c r="G65" s="94" t="s">
        <v>225</v>
      </c>
      <c r="H65" s="94" t="s">
        <v>10</v>
      </c>
      <c r="I65" s="94" t="s">
        <v>191</v>
      </c>
      <c r="J65" s="94"/>
      <c r="K65" s="96">
        <v>36</v>
      </c>
      <c r="L65" s="96">
        <f>K65*VLOOKUP(H65,dagsoorttabel1,2,FALSE)</f>
        <v>36</v>
      </c>
      <c r="M65" s="97">
        <f>prodnorm34</f>
        <v>0</v>
      </c>
      <c r="N65" s="41">
        <f>dagwerk34</f>
        <v>0</v>
      </c>
      <c r="O65" s="94" t="s">
        <v>108</v>
      </c>
      <c r="P65" s="26">
        <f>uurtarief34</f>
        <v>0</v>
      </c>
      <c r="Q65" s="96" t="e">
        <f>IF(ISBLANK(M65),0,L65/ROUND(M65,4))</f>
        <v>#DIV/0!</v>
      </c>
      <c r="R65" s="96" t="e">
        <f>IF(ISBLANK(M65),0,Q65*ROUND(N65,2))</f>
        <v>#DIV/0!</v>
      </c>
      <c r="S65" s="26" t="e">
        <f>ROUND(P65,2)*Q65</f>
        <v>#DIV/0!</v>
      </c>
      <c r="T65" s="96" t="e">
        <f>Q65*dagenperjaar1</f>
        <v>#DIV/0!</v>
      </c>
      <c r="U65" s="27" t="e">
        <f>T65*ROUND(P65,2)</f>
        <v>#DIV/0!</v>
      </c>
    </row>
    <row r="66" spans="1:21" x14ac:dyDescent="0.2">
      <c r="A66" s="93" t="s">
        <v>244</v>
      </c>
      <c r="B66" s="94" t="s">
        <v>42</v>
      </c>
      <c r="C66" s="94" t="s">
        <v>322</v>
      </c>
      <c r="D66" s="94" t="s">
        <v>328</v>
      </c>
      <c r="E66" s="95" t="s">
        <v>268</v>
      </c>
      <c r="F66" s="94" t="s">
        <v>277</v>
      </c>
      <c r="G66" s="94" t="s">
        <v>227</v>
      </c>
      <c r="H66" s="94" t="s">
        <v>24</v>
      </c>
      <c r="I66" s="94" t="s">
        <v>191</v>
      </c>
      <c r="J66" s="94"/>
      <c r="K66" s="96">
        <v>36</v>
      </c>
      <c r="L66" s="96">
        <f>K66*VLOOKUP(H66,dagsoorttabel1,2,FALSE)</f>
        <v>0.18</v>
      </c>
      <c r="M66" s="97">
        <f>prodnorm35</f>
        <v>0</v>
      </c>
      <c r="N66" s="41">
        <f>dagwerk35</f>
        <v>0</v>
      </c>
      <c r="O66" s="94" t="s">
        <v>108</v>
      </c>
      <c r="P66" s="26">
        <f>uurtarief35</f>
        <v>0</v>
      </c>
      <c r="Q66" s="96" t="e">
        <f>IF(ISBLANK(M66),0,L66/ROUND(M66,4))</f>
        <v>#DIV/0!</v>
      </c>
      <c r="R66" s="96" t="e">
        <f>IF(ISBLANK(M66),0,Q66*ROUND(N66,2))</f>
        <v>#DIV/0!</v>
      </c>
      <c r="S66" s="26" t="e">
        <f>ROUND(P66,2)*Q66</f>
        <v>#DIV/0!</v>
      </c>
      <c r="T66" s="96" t="e">
        <f>Q66*dagenperjaar1</f>
        <v>#DIV/0!</v>
      </c>
      <c r="U66" s="27" t="e">
        <f>T66*ROUND(P66,2)</f>
        <v>#DIV/0!</v>
      </c>
    </row>
    <row r="67" spans="1:21" x14ac:dyDescent="0.2">
      <c r="A67" s="93" t="s">
        <v>244</v>
      </c>
      <c r="B67" s="94" t="s">
        <v>42</v>
      </c>
      <c r="C67" s="94" t="s">
        <v>322</v>
      </c>
      <c r="D67" s="94" t="s">
        <v>329</v>
      </c>
      <c r="E67" s="95" t="s">
        <v>324</v>
      </c>
      <c r="F67" s="94" t="s">
        <v>330</v>
      </c>
      <c r="G67" s="94" t="s">
        <v>223</v>
      </c>
      <c r="H67" s="94" t="s">
        <v>10</v>
      </c>
      <c r="I67" s="94" t="s">
        <v>191</v>
      </c>
      <c r="J67" s="94"/>
      <c r="K67" s="96">
        <v>2.5</v>
      </c>
      <c r="L67" s="96">
        <f>K67*VLOOKUP(H67,dagsoorttabel1,2,FALSE)</f>
        <v>2.5</v>
      </c>
      <c r="M67" s="97">
        <f>prodnorm32</f>
        <v>0</v>
      </c>
      <c r="N67" s="41">
        <f>dagwerk32</f>
        <v>0</v>
      </c>
      <c r="O67" s="94" t="s">
        <v>108</v>
      </c>
      <c r="P67" s="26">
        <f>uurtarief32</f>
        <v>0</v>
      </c>
      <c r="Q67" s="96" t="e">
        <f>IF(ISBLANK(M67),0,L67/ROUND(M67,4))</f>
        <v>#DIV/0!</v>
      </c>
      <c r="R67" s="96" t="e">
        <f>IF(ISBLANK(M67),0,Q67*ROUND(N67,2))</f>
        <v>#DIV/0!</v>
      </c>
      <c r="S67" s="26" t="e">
        <f>ROUND(P67,2)*Q67</f>
        <v>#DIV/0!</v>
      </c>
      <c r="T67" s="96" t="e">
        <f>Q67*dagenperjaar1</f>
        <v>#DIV/0!</v>
      </c>
      <c r="U67" s="27" t="e">
        <f>T67*ROUND(P67,2)</f>
        <v>#DIV/0!</v>
      </c>
    </row>
    <row r="68" spans="1:21" x14ac:dyDescent="0.2">
      <c r="A68" s="93" t="s">
        <v>244</v>
      </c>
      <c r="B68" s="94" t="s">
        <v>42</v>
      </c>
      <c r="C68" s="94" t="s">
        <v>322</v>
      </c>
      <c r="D68" s="94" t="s">
        <v>331</v>
      </c>
      <c r="E68" s="95" t="s">
        <v>316</v>
      </c>
      <c r="F68" s="94" t="s">
        <v>269</v>
      </c>
      <c r="G68" s="94" t="s">
        <v>219</v>
      </c>
      <c r="H68" s="94" t="s">
        <v>10</v>
      </c>
      <c r="I68" s="94" t="s">
        <v>191</v>
      </c>
      <c r="J68" s="94"/>
      <c r="K68" s="96">
        <v>1.4</v>
      </c>
      <c r="L68" s="96">
        <f>K68*VLOOKUP(H68,dagsoorttabel1,2,FALSE)</f>
        <v>1.4</v>
      </c>
      <c r="M68" s="97">
        <f>prodnorm30</f>
        <v>0</v>
      </c>
      <c r="N68" s="41">
        <f>dagwerk30</f>
        <v>0</v>
      </c>
      <c r="O68" s="94" t="s">
        <v>108</v>
      </c>
      <c r="P68" s="26">
        <f>uurtarief30</f>
        <v>0</v>
      </c>
      <c r="Q68" s="96" t="e">
        <f>IF(ISBLANK(M68),0,L68/ROUND(M68,4))</f>
        <v>#DIV/0!</v>
      </c>
      <c r="R68" s="96" t="e">
        <f>IF(ISBLANK(M68),0,Q68*ROUND(N68,2))</f>
        <v>#DIV/0!</v>
      </c>
      <c r="S68" s="26" t="e">
        <f>ROUND(P68,2)*Q68</f>
        <v>#DIV/0!</v>
      </c>
      <c r="T68" s="96" t="e">
        <f>Q68*dagenperjaar1</f>
        <v>#DIV/0!</v>
      </c>
      <c r="U68" s="27" t="e">
        <f>T68*ROUND(P68,2)</f>
        <v>#DIV/0!</v>
      </c>
    </row>
    <row r="69" spans="1:21" x14ac:dyDescent="0.2">
      <c r="A69" s="93" t="s">
        <v>244</v>
      </c>
      <c r="B69" s="94" t="s">
        <v>42</v>
      </c>
      <c r="C69" s="94" t="s">
        <v>322</v>
      </c>
      <c r="D69" s="94" t="s">
        <v>332</v>
      </c>
      <c r="E69" s="95" t="s">
        <v>333</v>
      </c>
      <c r="F69" s="94" t="s">
        <v>334</v>
      </c>
      <c r="G69" s="94" t="s">
        <v>203</v>
      </c>
      <c r="H69" s="94" t="s">
        <v>14</v>
      </c>
      <c r="I69" s="94" t="s">
        <v>191</v>
      </c>
      <c r="J69" s="94"/>
      <c r="K69" s="96">
        <v>55</v>
      </c>
      <c r="L69" s="96">
        <f>K69*VLOOKUP(H69,dagsoorttabel1,2,FALSE)</f>
        <v>22</v>
      </c>
      <c r="M69" s="97">
        <f>prodnorm22</f>
        <v>0</v>
      </c>
      <c r="N69" s="41">
        <f>dagwerk22</f>
        <v>0</v>
      </c>
      <c r="O69" s="94" t="s">
        <v>108</v>
      </c>
      <c r="P69" s="26">
        <f>uurtarief22</f>
        <v>0</v>
      </c>
      <c r="Q69" s="96" t="e">
        <f>IF(ISBLANK(M69),0,L69/ROUND(M69,4))</f>
        <v>#DIV/0!</v>
      </c>
      <c r="R69" s="96" t="e">
        <f>IF(ISBLANK(M69),0,Q69*ROUND(N69,2))</f>
        <v>#DIV/0!</v>
      </c>
      <c r="S69" s="26" t="e">
        <f>ROUND(P69,2)*Q69</f>
        <v>#DIV/0!</v>
      </c>
      <c r="T69" s="96" t="e">
        <f>Q69*dagenperjaar1</f>
        <v>#DIV/0!</v>
      </c>
      <c r="U69" s="27" t="e">
        <f>T69*ROUND(P69,2)</f>
        <v>#DIV/0!</v>
      </c>
    </row>
    <row r="70" spans="1:21" x14ac:dyDescent="0.2">
      <c r="A70" s="93" t="s">
        <v>244</v>
      </c>
      <c r="B70" s="94" t="s">
        <v>42</v>
      </c>
      <c r="C70" s="94" t="s">
        <v>322</v>
      </c>
      <c r="D70" s="94" t="s">
        <v>335</v>
      </c>
      <c r="E70" s="95" t="s">
        <v>247</v>
      </c>
      <c r="F70" s="94" t="s">
        <v>334</v>
      </c>
      <c r="G70" s="94" t="s">
        <v>203</v>
      </c>
      <c r="H70" s="94" t="s">
        <v>10</v>
      </c>
      <c r="I70" s="94" t="s">
        <v>191</v>
      </c>
      <c r="J70" s="94"/>
      <c r="K70" s="96">
        <v>256.88</v>
      </c>
      <c r="L70" s="96">
        <f>K70*VLOOKUP(H70,dagsoorttabel1,2,FALSE)</f>
        <v>256.88</v>
      </c>
      <c r="M70" s="97">
        <f>prodnorm20</f>
        <v>0</v>
      </c>
      <c r="N70" s="41">
        <f>dagwerk20</f>
        <v>0</v>
      </c>
      <c r="O70" s="94" t="s">
        <v>108</v>
      </c>
      <c r="P70" s="26">
        <f>uurtarief20</f>
        <v>0</v>
      </c>
      <c r="Q70" s="96" t="e">
        <f>IF(ISBLANK(M70),0,L70/ROUND(M70,4))</f>
        <v>#DIV/0!</v>
      </c>
      <c r="R70" s="96" t="e">
        <f>IF(ISBLANK(M70),0,Q70*ROUND(N70,2))</f>
        <v>#DIV/0!</v>
      </c>
      <c r="S70" s="26" t="e">
        <f>ROUND(P70,2)*Q70</f>
        <v>#DIV/0!</v>
      </c>
      <c r="T70" s="96" t="e">
        <f>Q70*dagenperjaar1</f>
        <v>#DIV/0!</v>
      </c>
      <c r="U70" s="27" t="e">
        <f>T70*ROUND(P70,2)</f>
        <v>#DIV/0!</v>
      </c>
    </row>
    <row r="71" spans="1:21" x14ac:dyDescent="0.2">
      <c r="A71" s="93" t="s">
        <v>244</v>
      </c>
      <c r="B71" s="94" t="s">
        <v>42</v>
      </c>
      <c r="C71" s="94" t="s">
        <v>322</v>
      </c>
      <c r="D71" s="94" t="s">
        <v>336</v>
      </c>
      <c r="E71" s="95" t="s">
        <v>337</v>
      </c>
      <c r="F71" s="94" t="s">
        <v>334</v>
      </c>
      <c r="G71" s="94" t="s">
        <v>203</v>
      </c>
      <c r="H71" s="94" t="s">
        <v>16</v>
      </c>
      <c r="I71" s="94" t="s">
        <v>191</v>
      </c>
      <c r="J71" s="94"/>
      <c r="K71" s="96">
        <v>29</v>
      </c>
      <c r="L71" s="96">
        <f>K71*VLOOKUP(H71,dagsoorttabel1,2,FALSE)</f>
        <v>5.8000000000000007</v>
      </c>
      <c r="M71" s="97">
        <f>prodnorm21</f>
        <v>0</v>
      </c>
      <c r="N71" s="41">
        <f>dagwerk21</f>
        <v>0</v>
      </c>
      <c r="O71" s="94" t="s">
        <v>108</v>
      </c>
      <c r="P71" s="26">
        <f>uurtarief21</f>
        <v>0</v>
      </c>
      <c r="Q71" s="96" t="e">
        <f>IF(ISBLANK(M71),0,L71/ROUND(M71,4))</f>
        <v>#DIV/0!</v>
      </c>
      <c r="R71" s="96" t="e">
        <f>IF(ISBLANK(M71),0,Q71*ROUND(N71,2))</f>
        <v>#DIV/0!</v>
      </c>
      <c r="S71" s="26" t="e">
        <f>ROUND(P71,2)*Q71</f>
        <v>#DIV/0!</v>
      </c>
      <c r="T71" s="96" t="e">
        <f>Q71*dagenperjaar1</f>
        <v>#DIV/0!</v>
      </c>
      <c r="U71" s="27" t="e">
        <f>T71*ROUND(P71,2)</f>
        <v>#DIV/0!</v>
      </c>
    </row>
    <row r="72" spans="1:21" x14ac:dyDescent="0.2">
      <c r="A72" s="93" t="s">
        <v>244</v>
      </c>
      <c r="B72" s="94" t="s">
        <v>42</v>
      </c>
      <c r="C72" s="94" t="s">
        <v>322</v>
      </c>
      <c r="D72" s="94" t="s">
        <v>338</v>
      </c>
      <c r="E72" s="95" t="s">
        <v>339</v>
      </c>
      <c r="F72" s="94" t="s">
        <v>253</v>
      </c>
      <c r="G72" s="94" t="s">
        <v>190</v>
      </c>
      <c r="H72" s="94" t="s">
        <v>10</v>
      </c>
      <c r="I72" s="94" t="s">
        <v>191</v>
      </c>
      <c r="J72" s="94"/>
      <c r="K72" s="96">
        <v>116.4</v>
      </c>
      <c r="L72" s="96">
        <f>K72*VLOOKUP(H72,dagsoorttabel1,2,FALSE)</f>
        <v>116.4</v>
      </c>
      <c r="M72" s="97">
        <f>prodnorm12</f>
        <v>0</v>
      </c>
      <c r="N72" s="41">
        <f>dagwerk12</f>
        <v>0</v>
      </c>
      <c r="O72" s="94" t="s">
        <v>108</v>
      </c>
      <c r="P72" s="26">
        <f>uurtarief12</f>
        <v>0</v>
      </c>
      <c r="Q72" s="96" t="e">
        <f>IF(ISBLANK(M72),0,L72/ROUND(M72,4))</f>
        <v>#DIV/0!</v>
      </c>
      <c r="R72" s="96" t="e">
        <f>IF(ISBLANK(M72),0,Q72*ROUND(N72,2))</f>
        <v>#DIV/0!</v>
      </c>
      <c r="S72" s="26" t="e">
        <f>ROUND(P72,2)*Q72</f>
        <v>#DIV/0!</v>
      </c>
      <c r="T72" s="96" t="e">
        <f>Q72*dagenperjaar1</f>
        <v>#DIV/0!</v>
      </c>
      <c r="U72" s="27" t="e">
        <f>T72*ROUND(P72,2)</f>
        <v>#DIV/0!</v>
      </c>
    </row>
    <row r="73" spans="1:21" x14ac:dyDescent="0.2">
      <c r="A73" s="93" t="s">
        <v>244</v>
      </c>
      <c r="B73" s="94" t="s">
        <v>42</v>
      </c>
      <c r="C73" s="94" t="s">
        <v>322</v>
      </c>
      <c r="D73" s="94" t="s">
        <v>340</v>
      </c>
      <c r="E73" s="95" t="s">
        <v>341</v>
      </c>
      <c r="F73" s="94" t="s">
        <v>253</v>
      </c>
      <c r="G73" s="94" t="s">
        <v>223</v>
      </c>
      <c r="H73" s="94" t="s">
        <v>10</v>
      </c>
      <c r="I73" s="94" t="s">
        <v>191</v>
      </c>
      <c r="J73" s="94"/>
      <c r="K73" s="96">
        <v>2.94</v>
      </c>
      <c r="L73" s="96">
        <f>K73*VLOOKUP(H73,dagsoorttabel1,2,FALSE)</f>
        <v>2.94</v>
      </c>
      <c r="M73" s="97">
        <f>prodnorm32</f>
        <v>0</v>
      </c>
      <c r="N73" s="41">
        <f>dagwerk32</f>
        <v>0</v>
      </c>
      <c r="O73" s="94" t="s">
        <v>108</v>
      </c>
      <c r="P73" s="26">
        <f>uurtarief32</f>
        <v>0</v>
      </c>
      <c r="Q73" s="96" t="e">
        <f>IF(ISBLANK(M73),0,L73/ROUND(M73,4))</f>
        <v>#DIV/0!</v>
      </c>
      <c r="R73" s="96" t="e">
        <f>IF(ISBLANK(M73),0,Q73*ROUND(N73,2))</f>
        <v>#DIV/0!</v>
      </c>
      <c r="S73" s="26" t="e">
        <f>ROUND(P73,2)*Q73</f>
        <v>#DIV/0!</v>
      </c>
      <c r="T73" s="96" t="e">
        <f>Q73*dagenperjaar1</f>
        <v>#DIV/0!</v>
      </c>
      <c r="U73" s="27" t="e">
        <f>T73*ROUND(P73,2)</f>
        <v>#DIV/0!</v>
      </c>
    </row>
    <row r="74" spans="1:21" x14ac:dyDescent="0.2">
      <c r="A74" s="93" t="s">
        <v>244</v>
      </c>
      <c r="B74" s="94" t="s">
        <v>42</v>
      </c>
      <c r="C74" s="94" t="s">
        <v>322</v>
      </c>
      <c r="D74" s="94" t="s">
        <v>340</v>
      </c>
      <c r="E74" s="95" t="s">
        <v>341</v>
      </c>
      <c r="F74" s="94" t="s">
        <v>253</v>
      </c>
      <c r="G74" s="94" t="s">
        <v>227</v>
      </c>
      <c r="H74" s="94" t="s">
        <v>24</v>
      </c>
      <c r="I74" s="94" t="s">
        <v>191</v>
      </c>
      <c r="J74" s="94"/>
      <c r="K74" s="96">
        <v>2.94</v>
      </c>
      <c r="L74" s="96">
        <f>K74*VLOOKUP(H74,dagsoorttabel1,2,FALSE)</f>
        <v>1.47E-2</v>
      </c>
      <c r="M74" s="97">
        <f>prodnorm35</f>
        <v>0</v>
      </c>
      <c r="N74" s="41">
        <f>dagwerk35</f>
        <v>0</v>
      </c>
      <c r="O74" s="94" t="s">
        <v>108</v>
      </c>
      <c r="P74" s="26">
        <f>uurtarief35</f>
        <v>0</v>
      </c>
      <c r="Q74" s="96" t="e">
        <f>IF(ISBLANK(M74),0,L74/ROUND(M74,4))</f>
        <v>#DIV/0!</v>
      </c>
      <c r="R74" s="96" t="e">
        <f>IF(ISBLANK(M74),0,Q74*ROUND(N74,2))</f>
        <v>#DIV/0!</v>
      </c>
      <c r="S74" s="26" t="e">
        <f>ROUND(P74,2)*Q74</f>
        <v>#DIV/0!</v>
      </c>
      <c r="T74" s="96" t="e">
        <f>Q74*dagenperjaar1</f>
        <v>#DIV/0!</v>
      </c>
      <c r="U74" s="27" t="e">
        <f>T74*ROUND(P74,2)</f>
        <v>#DIV/0!</v>
      </c>
    </row>
    <row r="75" spans="1:21" x14ac:dyDescent="0.2">
      <c r="A75" s="93" t="s">
        <v>244</v>
      </c>
      <c r="B75" s="94" t="s">
        <v>42</v>
      </c>
      <c r="C75" s="94" t="s">
        <v>322</v>
      </c>
      <c r="D75" s="94" t="s">
        <v>342</v>
      </c>
      <c r="E75" s="95" t="s">
        <v>341</v>
      </c>
      <c r="F75" s="94" t="s">
        <v>330</v>
      </c>
      <c r="G75" s="94" t="s">
        <v>223</v>
      </c>
      <c r="H75" s="94" t="s">
        <v>10</v>
      </c>
      <c r="I75" s="94" t="s">
        <v>191</v>
      </c>
      <c r="J75" s="94"/>
      <c r="K75" s="96">
        <v>13.75</v>
      </c>
      <c r="L75" s="96">
        <f>K75*VLOOKUP(H75,dagsoorttabel1,2,FALSE)</f>
        <v>13.75</v>
      </c>
      <c r="M75" s="97">
        <f>prodnorm32</f>
        <v>0</v>
      </c>
      <c r="N75" s="41">
        <f>dagwerk32</f>
        <v>0</v>
      </c>
      <c r="O75" s="94" t="s">
        <v>108</v>
      </c>
      <c r="P75" s="26">
        <f>uurtarief32</f>
        <v>0</v>
      </c>
      <c r="Q75" s="96" t="e">
        <f>IF(ISBLANK(M75),0,L75/ROUND(M75,4))</f>
        <v>#DIV/0!</v>
      </c>
      <c r="R75" s="96" t="e">
        <f>IF(ISBLANK(M75),0,Q75*ROUND(N75,2))</f>
        <v>#DIV/0!</v>
      </c>
      <c r="S75" s="26" t="e">
        <f>ROUND(P75,2)*Q75</f>
        <v>#DIV/0!</v>
      </c>
      <c r="T75" s="96" t="e">
        <f>Q75*dagenperjaar1</f>
        <v>#DIV/0!</v>
      </c>
      <c r="U75" s="27" t="e">
        <f>T75*ROUND(P75,2)</f>
        <v>#DIV/0!</v>
      </c>
    </row>
    <row r="76" spans="1:21" x14ac:dyDescent="0.2">
      <c r="A76" s="93" t="s">
        <v>244</v>
      </c>
      <c r="B76" s="94" t="s">
        <v>42</v>
      </c>
      <c r="C76" s="94" t="s">
        <v>322</v>
      </c>
      <c r="D76" s="94" t="s">
        <v>343</v>
      </c>
      <c r="E76" s="95" t="s">
        <v>344</v>
      </c>
      <c r="F76" s="94" t="s">
        <v>253</v>
      </c>
      <c r="G76" s="94" t="s">
        <v>223</v>
      </c>
      <c r="H76" s="94" t="s">
        <v>14</v>
      </c>
      <c r="I76" s="94" t="s">
        <v>191</v>
      </c>
      <c r="J76" s="94"/>
      <c r="K76" s="96">
        <v>7.67</v>
      </c>
      <c r="L76" s="96">
        <f>K76*VLOOKUP(H76,dagsoorttabel1,2,FALSE)</f>
        <v>3.0680000000000001</v>
      </c>
      <c r="M76" s="97">
        <f>prodnorm33</f>
        <v>0</v>
      </c>
      <c r="N76" s="41">
        <f>dagwerk33</f>
        <v>0</v>
      </c>
      <c r="O76" s="94" t="s">
        <v>108</v>
      </c>
      <c r="P76" s="26">
        <f>uurtarief33</f>
        <v>0</v>
      </c>
      <c r="Q76" s="96" t="e">
        <f>IF(ISBLANK(M76),0,L76/ROUND(M76,4))</f>
        <v>#DIV/0!</v>
      </c>
      <c r="R76" s="96" t="e">
        <f>IF(ISBLANK(M76),0,Q76*ROUND(N76,2))</f>
        <v>#DIV/0!</v>
      </c>
      <c r="S76" s="26" t="e">
        <f>ROUND(P76,2)*Q76</f>
        <v>#DIV/0!</v>
      </c>
      <c r="T76" s="96" t="e">
        <f>Q76*dagenperjaar1</f>
        <v>#DIV/0!</v>
      </c>
      <c r="U76" s="27" t="e">
        <f>T76*ROUND(P76,2)</f>
        <v>#DIV/0!</v>
      </c>
    </row>
    <row r="77" spans="1:21" x14ac:dyDescent="0.2">
      <c r="A77" s="93" t="s">
        <v>244</v>
      </c>
      <c r="B77" s="94" t="s">
        <v>42</v>
      </c>
      <c r="C77" s="94" t="s">
        <v>322</v>
      </c>
      <c r="D77" s="94" t="s">
        <v>343</v>
      </c>
      <c r="E77" s="95" t="s">
        <v>344</v>
      </c>
      <c r="F77" s="94" t="s">
        <v>253</v>
      </c>
      <c r="G77" s="94" t="s">
        <v>227</v>
      </c>
      <c r="H77" s="94" t="s">
        <v>24</v>
      </c>
      <c r="I77" s="94" t="s">
        <v>191</v>
      </c>
      <c r="J77" s="94"/>
      <c r="K77" s="96">
        <v>7.67</v>
      </c>
      <c r="L77" s="96">
        <f>K77*VLOOKUP(H77,dagsoorttabel1,2,FALSE)</f>
        <v>3.8350000000000002E-2</v>
      </c>
      <c r="M77" s="97">
        <f>prodnorm35</f>
        <v>0</v>
      </c>
      <c r="N77" s="41">
        <f>dagwerk35</f>
        <v>0</v>
      </c>
      <c r="O77" s="94" t="s">
        <v>108</v>
      </c>
      <c r="P77" s="26">
        <f>uurtarief35</f>
        <v>0</v>
      </c>
      <c r="Q77" s="96" t="e">
        <f>IF(ISBLANK(M77),0,L77/ROUND(M77,4))</f>
        <v>#DIV/0!</v>
      </c>
      <c r="R77" s="96" t="e">
        <f>IF(ISBLANK(M77),0,Q77*ROUND(N77,2))</f>
        <v>#DIV/0!</v>
      </c>
      <c r="S77" s="26" t="e">
        <f>ROUND(P77,2)*Q77</f>
        <v>#DIV/0!</v>
      </c>
      <c r="T77" s="96" t="e">
        <f>Q77*dagenperjaar1</f>
        <v>#DIV/0!</v>
      </c>
      <c r="U77" s="27" t="e">
        <f>T77*ROUND(P77,2)</f>
        <v>#DIV/0!</v>
      </c>
    </row>
    <row r="78" spans="1:21" x14ac:dyDescent="0.2">
      <c r="A78" s="93" t="s">
        <v>244</v>
      </c>
      <c r="B78" s="94" t="s">
        <v>42</v>
      </c>
      <c r="C78" s="94" t="s">
        <v>322</v>
      </c>
      <c r="D78" s="94" t="s">
        <v>345</v>
      </c>
      <c r="E78" s="95" t="s">
        <v>346</v>
      </c>
      <c r="F78" s="94" t="s">
        <v>253</v>
      </c>
      <c r="G78" s="94" t="s">
        <v>223</v>
      </c>
      <c r="H78" s="94" t="s">
        <v>10</v>
      </c>
      <c r="I78" s="94" t="s">
        <v>191</v>
      </c>
      <c r="J78" s="94"/>
      <c r="K78" s="96">
        <v>30.24</v>
      </c>
      <c r="L78" s="96">
        <f>K78*VLOOKUP(H78,dagsoorttabel1,2,FALSE)</f>
        <v>30.24</v>
      </c>
      <c r="M78" s="97">
        <f>prodnorm32</f>
        <v>0</v>
      </c>
      <c r="N78" s="41">
        <f>dagwerk32</f>
        <v>0</v>
      </c>
      <c r="O78" s="94" t="s">
        <v>108</v>
      </c>
      <c r="P78" s="26">
        <f>uurtarief32</f>
        <v>0</v>
      </c>
      <c r="Q78" s="96" t="e">
        <f>IF(ISBLANK(M78),0,L78/ROUND(M78,4))</f>
        <v>#DIV/0!</v>
      </c>
      <c r="R78" s="96" t="e">
        <f>IF(ISBLANK(M78),0,Q78*ROUND(N78,2))</f>
        <v>#DIV/0!</v>
      </c>
      <c r="S78" s="26" t="e">
        <f>ROUND(P78,2)*Q78</f>
        <v>#DIV/0!</v>
      </c>
      <c r="T78" s="96" t="e">
        <f>Q78*dagenperjaar1</f>
        <v>#DIV/0!</v>
      </c>
      <c r="U78" s="27" t="e">
        <f>T78*ROUND(P78,2)</f>
        <v>#DIV/0!</v>
      </c>
    </row>
    <row r="79" spans="1:21" x14ac:dyDescent="0.2">
      <c r="A79" s="93" t="s">
        <v>244</v>
      </c>
      <c r="B79" s="94" t="s">
        <v>42</v>
      </c>
      <c r="C79" s="94" t="s">
        <v>322</v>
      </c>
      <c r="D79" s="94" t="s">
        <v>345</v>
      </c>
      <c r="E79" s="95" t="s">
        <v>346</v>
      </c>
      <c r="F79" s="94" t="s">
        <v>253</v>
      </c>
      <c r="G79" s="94" t="s">
        <v>227</v>
      </c>
      <c r="H79" s="94" t="s">
        <v>24</v>
      </c>
      <c r="I79" s="94" t="s">
        <v>191</v>
      </c>
      <c r="J79" s="94"/>
      <c r="K79" s="96">
        <v>30.24</v>
      </c>
      <c r="L79" s="96">
        <f>K79*VLOOKUP(H79,dagsoorttabel1,2,FALSE)</f>
        <v>0.1512</v>
      </c>
      <c r="M79" s="97">
        <f>prodnorm35</f>
        <v>0</v>
      </c>
      <c r="N79" s="41">
        <f>dagwerk35</f>
        <v>0</v>
      </c>
      <c r="O79" s="94" t="s">
        <v>108</v>
      </c>
      <c r="P79" s="26">
        <f>uurtarief35</f>
        <v>0</v>
      </c>
      <c r="Q79" s="96" t="e">
        <f>IF(ISBLANK(M79),0,L79/ROUND(M79,4))</f>
        <v>#DIV/0!</v>
      </c>
      <c r="R79" s="96" t="e">
        <f>IF(ISBLANK(M79),0,Q79*ROUND(N79,2))</f>
        <v>#DIV/0!</v>
      </c>
      <c r="S79" s="26" t="e">
        <f>ROUND(P79,2)*Q79</f>
        <v>#DIV/0!</v>
      </c>
      <c r="T79" s="96" t="e">
        <f>Q79*dagenperjaar1</f>
        <v>#DIV/0!</v>
      </c>
      <c r="U79" s="27" t="e">
        <f>T79*ROUND(P79,2)</f>
        <v>#DIV/0!</v>
      </c>
    </row>
    <row r="80" spans="1:21" x14ac:dyDescent="0.2">
      <c r="A80" s="93" t="s">
        <v>244</v>
      </c>
      <c r="B80" s="94" t="s">
        <v>42</v>
      </c>
      <c r="C80" s="94" t="s">
        <v>322</v>
      </c>
      <c r="D80" s="94" t="s">
        <v>347</v>
      </c>
      <c r="E80" s="95" t="s">
        <v>348</v>
      </c>
      <c r="F80" s="94" t="s">
        <v>253</v>
      </c>
      <c r="G80" s="94" t="s">
        <v>225</v>
      </c>
      <c r="H80" s="94" t="s">
        <v>10</v>
      </c>
      <c r="I80" s="94" t="s">
        <v>191</v>
      </c>
      <c r="J80" s="94"/>
      <c r="K80" s="96">
        <v>1.56</v>
      </c>
      <c r="L80" s="96">
        <f>K80*VLOOKUP(H80,dagsoorttabel1,2,FALSE)</f>
        <v>1.56</v>
      </c>
      <c r="M80" s="97">
        <f>prodnorm34</f>
        <v>0</v>
      </c>
      <c r="N80" s="41">
        <f>dagwerk34</f>
        <v>0</v>
      </c>
      <c r="O80" s="94" t="s">
        <v>108</v>
      </c>
      <c r="P80" s="26">
        <f>uurtarief34</f>
        <v>0</v>
      </c>
      <c r="Q80" s="96" t="e">
        <f>IF(ISBLANK(M80),0,L80/ROUND(M80,4))</f>
        <v>#DIV/0!</v>
      </c>
      <c r="R80" s="96" t="e">
        <f>IF(ISBLANK(M80),0,Q80*ROUND(N80,2))</f>
        <v>#DIV/0!</v>
      </c>
      <c r="S80" s="26" t="e">
        <f>ROUND(P80,2)*Q80</f>
        <v>#DIV/0!</v>
      </c>
      <c r="T80" s="96" t="e">
        <f>Q80*dagenperjaar1</f>
        <v>#DIV/0!</v>
      </c>
      <c r="U80" s="27" t="e">
        <f>T80*ROUND(P80,2)</f>
        <v>#DIV/0!</v>
      </c>
    </row>
    <row r="81" spans="1:21" x14ac:dyDescent="0.2">
      <c r="A81" s="93" t="s">
        <v>244</v>
      </c>
      <c r="B81" s="94" t="s">
        <v>42</v>
      </c>
      <c r="C81" s="94" t="s">
        <v>322</v>
      </c>
      <c r="D81" s="94" t="s">
        <v>347</v>
      </c>
      <c r="E81" s="95" t="s">
        <v>348</v>
      </c>
      <c r="F81" s="94" t="s">
        <v>253</v>
      </c>
      <c r="G81" s="94" t="s">
        <v>227</v>
      </c>
      <c r="H81" s="94" t="s">
        <v>24</v>
      </c>
      <c r="I81" s="94" t="s">
        <v>191</v>
      </c>
      <c r="J81" s="94"/>
      <c r="K81" s="96">
        <v>1.56</v>
      </c>
      <c r="L81" s="96">
        <f>K81*VLOOKUP(H81,dagsoorttabel1,2,FALSE)</f>
        <v>7.8000000000000005E-3</v>
      </c>
      <c r="M81" s="97">
        <f>prodnorm35</f>
        <v>0</v>
      </c>
      <c r="N81" s="41">
        <f>dagwerk35</f>
        <v>0</v>
      </c>
      <c r="O81" s="94" t="s">
        <v>108</v>
      </c>
      <c r="P81" s="26">
        <f>uurtarief35</f>
        <v>0</v>
      </c>
      <c r="Q81" s="96" t="e">
        <f>IF(ISBLANK(M81),0,L81/ROUND(M81,4))</f>
        <v>#DIV/0!</v>
      </c>
      <c r="R81" s="96" t="e">
        <f>IF(ISBLANK(M81),0,Q81*ROUND(N81,2))</f>
        <v>#DIV/0!</v>
      </c>
      <c r="S81" s="26" t="e">
        <f>ROUND(P81,2)*Q81</f>
        <v>#DIV/0!</v>
      </c>
      <c r="T81" s="96" t="e">
        <f>Q81*dagenperjaar1</f>
        <v>#DIV/0!</v>
      </c>
      <c r="U81" s="27" t="e">
        <f>T81*ROUND(P81,2)</f>
        <v>#DIV/0!</v>
      </c>
    </row>
    <row r="82" spans="1:21" x14ac:dyDescent="0.2">
      <c r="A82" s="93" t="s">
        <v>244</v>
      </c>
      <c r="B82" s="94" t="s">
        <v>42</v>
      </c>
      <c r="C82" s="94" t="s">
        <v>322</v>
      </c>
      <c r="D82" s="94" t="s">
        <v>349</v>
      </c>
      <c r="E82" s="95" t="s">
        <v>341</v>
      </c>
      <c r="F82" s="94" t="s">
        <v>330</v>
      </c>
      <c r="G82" s="94" t="s">
        <v>223</v>
      </c>
      <c r="H82" s="94" t="s">
        <v>10</v>
      </c>
      <c r="I82" s="94" t="s">
        <v>191</v>
      </c>
      <c r="J82" s="94"/>
      <c r="K82" s="96">
        <v>39.979999999999997</v>
      </c>
      <c r="L82" s="96">
        <f>K82*VLOOKUP(H82,dagsoorttabel1,2,FALSE)</f>
        <v>39.979999999999997</v>
      </c>
      <c r="M82" s="97">
        <f>prodnorm32</f>
        <v>0</v>
      </c>
      <c r="N82" s="41">
        <f>dagwerk32</f>
        <v>0</v>
      </c>
      <c r="O82" s="94" t="s">
        <v>108</v>
      </c>
      <c r="P82" s="26">
        <f>uurtarief32</f>
        <v>0</v>
      </c>
      <c r="Q82" s="96" t="e">
        <f>IF(ISBLANK(M82),0,L82/ROUND(M82,4))</f>
        <v>#DIV/0!</v>
      </c>
      <c r="R82" s="96" t="e">
        <f>IF(ISBLANK(M82),0,Q82*ROUND(N82,2))</f>
        <v>#DIV/0!</v>
      </c>
      <c r="S82" s="26" t="e">
        <f>ROUND(P82,2)*Q82</f>
        <v>#DIV/0!</v>
      </c>
      <c r="T82" s="96" t="e">
        <f>Q82*dagenperjaar1</f>
        <v>#DIV/0!</v>
      </c>
      <c r="U82" s="27" t="e">
        <f>T82*ROUND(P82,2)</f>
        <v>#DIV/0!</v>
      </c>
    </row>
    <row r="83" spans="1:21" x14ac:dyDescent="0.2">
      <c r="A83" s="93" t="s">
        <v>244</v>
      </c>
      <c r="B83" s="94" t="s">
        <v>42</v>
      </c>
      <c r="C83" s="94" t="s">
        <v>350</v>
      </c>
      <c r="D83" s="94" t="s">
        <v>351</v>
      </c>
      <c r="E83" s="95" t="s">
        <v>352</v>
      </c>
      <c r="F83" s="94" t="s">
        <v>253</v>
      </c>
      <c r="G83" s="94" t="s">
        <v>207</v>
      </c>
      <c r="H83" s="94" t="s">
        <v>10</v>
      </c>
      <c r="I83" s="94" t="s">
        <v>191</v>
      </c>
      <c r="J83" s="94"/>
      <c r="K83" s="96">
        <v>19.12</v>
      </c>
      <c r="L83" s="96">
        <f>K83*VLOOKUP(H83,dagsoorttabel1,2,FALSE)</f>
        <v>19.12</v>
      </c>
      <c r="M83" s="97">
        <f>prodnorm24</f>
        <v>0</v>
      </c>
      <c r="N83" s="41">
        <f>dagwerk24</f>
        <v>0</v>
      </c>
      <c r="O83" s="94" t="s">
        <v>108</v>
      </c>
      <c r="P83" s="26">
        <f>uurtarief24</f>
        <v>0</v>
      </c>
      <c r="Q83" s="96" t="e">
        <f>IF(ISBLANK(M83),0,L83/ROUND(M83,4))</f>
        <v>#DIV/0!</v>
      </c>
      <c r="R83" s="96" t="e">
        <f>IF(ISBLANK(M83),0,Q83*ROUND(N83,2))</f>
        <v>#DIV/0!</v>
      </c>
      <c r="S83" s="26" t="e">
        <f>ROUND(P83,2)*Q83</f>
        <v>#DIV/0!</v>
      </c>
      <c r="T83" s="96" t="e">
        <f>Q83*dagenperjaar1</f>
        <v>#DIV/0!</v>
      </c>
      <c r="U83" s="27" t="e">
        <f>T83*ROUND(P83,2)</f>
        <v>#DIV/0!</v>
      </c>
    </row>
    <row r="84" spans="1:21" x14ac:dyDescent="0.2">
      <c r="A84" s="93" t="s">
        <v>244</v>
      </c>
      <c r="B84" s="94" t="s">
        <v>42</v>
      </c>
      <c r="C84" s="94" t="s">
        <v>350</v>
      </c>
      <c r="D84" s="94" t="s">
        <v>351</v>
      </c>
      <c r="E84" s="95" t="s">
        <v>352</v>
      </c>
      <c r="F84" s="94" t="s">
        <v>253</v>
      </c>
      <c r="G84" s="94" t="s">
        <v>227</v>
      </c>
      <c r="H84" s="94" t="s">
        <v>24</v>
      </c>
      <c r="I84" s="94" t="s">
        <v>191</v>
      </c>
      <c r="J84" s="94"/>
      <c r="K84" s="96">
        <v>19.12</v>
      </c>
      <c r="L84" s="96">
        <f>K84*VLOOKUP(H84,dagsoorttabel1,2,FALSE)</f>
        <v>9.5600000000000004E-2</v>
      </c>
      <c r="M84" s="97">
        <f>prodnorm35</f>
        <v>0</v>
      </c>
      <c r="N84" s="41">
        <f>dagwerk35</f>
        <v>0</v>
      </c>
      <c r="O84" s="94" t="s">
        <v>108</v>
      </c>
      <c r="P84" s="26">
        <f>uurtarief35</f>
        <v>0</v>
      </c>
      <c r="Q84" s="96" t="e">
        <f>IF(ISBLANK(M84),0,L84/ROUND(M84,4))</f>
        <v>#DIV/0!</v>
      </c>
      <c r="R84" s="96" t="e">
        <f>IF(ISBLANK(M84),0,Q84*ROUND(N84,2))</f>
        <v>#DIV/0!</v>
      </c>
      <c r="S84" s="26" t="e">
        <f>ROUND(P84,2)*Q84</f>
        <v>#DIV/0!</v>
      </c>
      <c r="T84" s="96" t="e">
        <f>Q84*dagenperjaar1</f>
        <v>#DIV/0!</v>
      </c>
      <c r="U84" s="27" t="e">
        <f>T84*ROUND(P84,2)</f>
        <v>#DIV/0!</v>
      </c>
    </row>
    <row r="85" spans="1:21" x14ac:dyDescent="0.2">
      <c r="A85" s="93" t="s">
        <v>244</v>
      </c>
      <c r="B85" s="94" t="s">
        <v>42</v>
      </c>
      <c r="C85" s="94" t="s">
        <v>350</v>
      </c>
      <c r="D85" s="94" t="s">
        <v>353</v>
      </c>
      <c r="E85" s="95" t="s">
        <v>354</v>
      </c>
      <c r="F85" s="94" t="s">
        <v>253</v>
      </c>
      <c r="G85" s="94" t="s">
        <v>193</v>
      </c>
      <c r="H85" s="94" t="s">
        <v>14</v>
      </c>
      <c r="I85" s="94" t="s">
        <v>191</v>
      </c>
      <c r="J85" s="94"/>
      <c r="K85" s="96">
        <v>13.07</v>
      </c>
      <c r="L85" s="96">
        <f>K85*VLOOKUP(H85,dagsoorttabel1,2,FALSE)</f>
        <v>5.2280000000000006</v>
      </c>
      <c r="M85" s="97">
        <f>prodnorm15</f>
        <v>0</v>
      </c>
      <c r="N85" s="41">
        <f>dagwerk15</f>
        <v>0</v>
      </c>
      <c r="O85" s="94" t="s">
        <v>108</v>
      </c>
      <c r="P85" s="26">
        <f>uurtarief15</f>
        <v>0</v>
      </c>
      <c r="Q85" s="96" t="e">
        <f>IF(ISBLANK(M85),0,L85/ROUND(M85,4))</f>
        <v>#DIV/0!</v>
      </c>
      <c r="R85" s="96" t="e">
        <f>IF(ISBLANK(M85),0,Q85*ROUND(N85,2))</f>
        <v>#DIV/0!</v>
      </c>
      <c r="S85" s="26" t="e">
        <f>ROUND(P85,2)*Q85</f>
        <v>#DIV/0!</v>
      </c>
      <c r="T85" s="96" t="e">
        <f>Q85*dagenperjaar1</f>
        <v>#DIV/0!</v>
      </c>
      <c r="U85" s="27" t="e">
        <f>T85*ROUND(P85,2)</f>
        <v>#DIV/0!</v>
      </c>
    </row>
    <row r="86" spans="1:21" x14ac:dyDescent="0.2">
      <c r="A86" s="93" t="s">
        <v>244</v>
      </c>
      <c r="B86" s="94" t="s">
        <v>42</v>
      </c>
      <c r="C86" s="94" t="s">
        <v>350</v>
      </c>
      <c r="D86" s="94" t="s">
        <v>353</v>
      </c>
      <c r="E86" s="95" t="s">
        <v>354</v>
      </c>
      <c r="F86" s="94" t="s">
        <v>253</v>
      </c>
      <c r="G86" s="94" t="s">
        <v>227</v>
      </c>
      <c r="H86" s="94" t="s">
        <v>24</v>
      </c>
      <c r="I86" s="94" t="s">
        <v>191</v>
      </c>
      <c r="J86" s="94"/>
      <c r="K86" s="96">
        <v>13.07</v>
      </c>
      <c r="L86" s="96">
        <f>K86*VLOOKUP(H86,dagsoorttabel1,2,FALSE)</f>
        <v>6.5350000000000005E-2</v>
      </c>
      <c r="M86" s="97">
        <f>prodnorm35</f>
        <v>0</v>
      </c>
      <c r="N86" s="41">
        <f>dagwerk35</f>
        <v>0</v>
      </c>
      <c r="O86" s="94" t="s">
        <v>108</v>
      </c>
      <c r="P86" s="26">
        <f>uurtarief35</f>
        <v>0</v>
      </c>
      <c r="Q86" s="96" t="e">
        <f>IF(ISBLANK(M86),0,L86/ROUND(M86,4))</f>
        <v>#DIV/0!</v>
      </c>
      <c r="R86" s="96" t="e">
        <f>IF(ISBLANK(M86),0,Q86*ROUND(N86,2))</f>
        <v>#DIV/0!</v>
      </c>
      <c r="S86" s="26" t="e">
        <f>ROUND(P86,2)*Q86</f>
        <v>#DIV/0!</v>
      </c>
      <c r="T86" s="96" t="e">
        <f>Q86*dagenperjaar1</f>
        <v>#DIV/0!</v>
      </c>
      <c r="U86" s="27" t="e">
        <f>T86*ROUND(P86,2)</f>
        <v>#DIV/0!</v>
      </c>
    </row>
    <row r="87" spans="1:21" x14ac:dyDescent="0.2">
      <c r="A87" s="93" t="s">
        <v>244</v>
      </c>
      <c r="B87" s="94" t="s">
        <v>42</v>
      </c>
      <c r="C87" s="94" t="s">
        <v>350</v>
      </c>
      <c r="D87" s="94" t="s">
        <v>355</v>
      </c>
      <c r="E87" s="95" t="s">
        <v>252</v>
      </c>
      <c r="F87" s="94" t="s">
        <v>253</v>
      </c>
      <c r="G87" s="94" t="s">
        <v>207</v>
      </c>
      <c r="H87" s="94" t="s">
        <v>10</v>
      </c>
      <c r="I87" s="94" t="s">
        <v>191</v>
      </c>
      <c r="J87" s="94"/>
      <c r="K87" s="96">
        <v>8.52</v>
      </c>
      <c r="L87" s="96">
        <f>K87*VLOOKUP(H87,dagsoorttabel1,2,FALSE)</f>
        <v>8.52</v>
      </c>
      <c r="M87" s="97">
        <f>prodnorm24</f>
        <v>0</v>
      </c>
      <c r="N87" s="41">
        <f>dagwerk24</f>
        <v>0</v>
      </c>
      <c r="O87" s="94" t="s">
        <v>108</v>
      </c>
      <c r="P87" s="26">
        <f>uurtarief24</f>
        <v>0</v>
      </c>
      <c r="Q87" s="96" t="e">
        <f>IF(ISBLANK(M87),0,L87/ROUND(M87,4))</f>
        <v>#DIV/0!</v>
      </c>
      <c r="R87" s="96" t="e">
        <f>IF(ISBLANK(M87),0,Q87*ROUND(N87,2))</f>
        <v>#DIV/0!</v>
      </c>
      <c r="S87" s="26" t="e">
        <f>ROUND(P87,2)*Q87</f>
        <v>#DIV/0!</v>
      </c>
      <c r="T87" s="96" t="e">
        <f>Q87*dagenperjaar1</f>
        <v>#DIV/0!</v>
      </c>
      <c r="U87" s="27" t="e">
        <f>T87*ROUND(P87,2)</f>
        <v>#DIV/0!</v>
      </c>
    </row>
    <row r="88" spans="1:21" x14ac:dyDescent="0.2">
      <c r="A88" s="93" t="s">
        <v>244</v>
      </c>
      <c r="B88" s="94" t="s">
        <v>42</v>
      </c>
      <c r="C88" s="94" t="s">
        <v>350</v>
      </c>
      <c r="D88" s="94" t="s">
        <v>355</v>
      </c>
      <c r="E88" s="95" t="s">
        <v>252</v>
      </c>
      <c r="F88" s="94" t="s">
        <v>253</v>
      </c>
      <c r="G88" s="94" t="s">
        <v>227</v>
      </c>
      <c r="H88" s="94" t="s">
        <v>24</v>
      </c>
      <c r="I88" s="94" t="s">
        <v>191</v>
      </c>
      <c r="J88" s="94"/>
      <c r="K88" s="96">
        <v>8.52</v>
      </c>
      <c r="L88" s="96">
        <f>K88*VLOOKUP(H88,dagsoorttabel1,2,FALSE)</f>
        <v>4.2599999999999999E-2</v>
      </c>
      <c r="M88" s="97">
        <f>prodnorm35</f>
        <v>0</v>
      </c>
      <c r="N88" s="41">
        <f>dagwerk35</f>
        <v>0</v>
      </c>
      <c r="O88" s="94" t="s">
        <v>108</v>
      </c>
      <c r="P88" s="26">
        <f>uurtarief35</f>
        <v>0</v>
      </c>
      <c r="Q88" s="96" t="e">
        <f>IF(ISBLANK(M88),0,L88/ROUND(M88,4))</f>
        <v>#DIV/0!</v>
      </c>
      <c r="R88" s="96" t="e">
        <f>IF(ISBLANK(M88),0,Q88*ROUND(N88,2))</f>
        <v>#DIV/0!</v>
      </c>
      <c r="S88" s="26" t="e">
        <f>ROUND(P88,2)*Q88</f>
        <v>#DIV/0!</v>
      </c>
      <c r="T88" s="96" t="e">
        <f>Q88*dagenperjaar1</f>
        <v>#DIV/0!</v>
      </c>
      <c r="U88" s="27" t="e">
        <f>T88*ROUND(P88,2)</f>
        <v>#DIV/0!</v>
      </c>
    </row>
    <row r="89" spans="1:21" x14ac:dyDescent="0.2">
      <c r="A89" s="93" t="s">
        <v>244</v>
      </c>
      <c r="B89" s="94" t="s">
        <v>42</v>
      </c>
      <c r="C89" s="94" t="s">
        <v>350</v>
      </c>
      <c r="D89" s="94" t="s">
        <v>356</v>
      </c>
      <c r="E89" s="95" t="s">
        <v>341</v>
      </c>
      <c r="F89" s="94" t="s">
        <v>330</v>
      </c>
      <c r="G89" s="94" t="s">
        <v>225</v>
      </c>
      <c r="H89" s="94" t="s">
        <v>10</v>
      </c>
      <c r="I89" s="94" t="s">
        <v>191</v>
      </c>
      <c r="J89" s="94"/>
      <c r="K89" s="96">
        <v>40.309999999999995</v>
      </c>
      <c r="L89" s="96">
        <f>K89*VLOOKUP(H89,dagsoorttabel1,2,FALSE)</f>
        <v>40.309999999999995</v>
      </c>
      <c r="M89" s="97">
        <f>prodnorm34</f>
        <v>0</v>
      </c>
      <c r="N89" s="41">
        <f>dagwerk34</f>
        <v>0</v>
      </c>
      <c r="O89" s="94" t="s">
        <v>108</v>
      </c>
      <c r="P89" s="26">
        <f>uurtarief34</f>
        <v>0</v>
      </c>
      <c r="Q89" s="96" t="e">
        <f>IF(ISBLANK(M89),0,L89/ROUND(M89,4))</f>
        <v>#DIV/0!</v>
      </c>
      <c r="R89" s="96" t="e">
        <f>IF(ISBLANK(M89),0,Q89*ROUND(N89,2))</f>
        <v>#DIV/0!</v>
      </c>
      <c r="S89" s="26" t="e">
        <f>ROUND(P89,2)*Q89</f>
        <v>#DIV/0!</v>
      </c>
      <c r="T89" s="96" t="e">
        <f>Q89*dagenperjaar1</f>
        <v>#DIV/0!</v>
      </c>
      <c r="U89" s="27" t="e">
        <f>T89*ROUND(P89,2)</f>
        <v>#DIV/0!</v>
      </c>
    </row>
    <row r="90" spans="1:21" x14ac:dyDescent="0.2">
      <c r="A90" s="93" t="s">
        <v>244</v>
      </c>
      <c r="B90" s="94" t="s">
        <v>42</v>
      </c>
      <c r="C90" s="94" t="s">
        <v>350</v>
      </c>
      <c r="D90" s="94" t="s">
        <v>357</v>
      </c>
      <c r="E90" s="95" t="s">
        <v>358</v>
      </c>
      <c r="F90" s="94" t="s">
        <v>314</v>
      </c>
      <c r="G90" s="94" t="s">
        <v>219</v>
      </c>
      <c r="H90" s="94" t="s">
        <v>10</v>
      </c>
      <c r="I90" s="94" t="s">
        <v>191</v>
      </c>
      <c r="J90" s="94"/>
      <c r="K90" s="96">
        <v>7.6599999999999993</v>
      </c>
      <c r="L90" s="96">
        <f>K90*VLOOKUP(H90,dagsoorttabel1,2,FALSE)</f>
        <v>7.6599999999999993</v>
      </c>
      <c r="M90" s="97">
        <f>prodnorm30</f>
        <v>0</v>
      </c>
      <c r="N90" s="41">
        <f>dagwerk30</f>
        <v>0</v>
      </c>
      <c r="O90" s="94" t="s">
        <v>108</v>
      </c>
      <c r="P90" s="26">
        <f>uurtarief30</f>
        <v>0</v>
      </c>
      <c r="Q90" s="96" t="e">
        <f>IF(ISBLANK(M90),0,L90/ROUND(M90,4))</f>
        <v>#DIV/0!</v>
      </c>
      <c r="R90" s="96" t="e">
        <f>IF(ISBLANK(M90),0,Q90*ROUND(N90,2))</f>
        <v>#DIV/0!</v>
      </c>
      <c r="S90" s="26" t="e">
        <f>ROUND(P90,2)*Q90</f>
        <v>#DIV/0!</v>
      </c>
      <c r="T90" s="96" t="e">
        <f>Q90*dagenperjaar1</f>
        <v>#DIV/0!</v>
      </c>
      <c r="U90" s="27" t="e">
        <f>T90*ROUND(P90,2)</f>
        <v>#DIV/0!</v>
      </c>
    </row>
    <row r="91" spans="1:21" x14ac:dyDescent="0.2">
      <c r="A91" s="93" t="s">
        <v>244</v>
      </c>
      <c r="B91" s="94" t="s">
        <v>42</v>
      </c>
      <c r="C91" s="94" t="s">
        <v>350</v>
      </c>
      <c r="D91" s="94" t="s">
        <v>359</v>
      </c>
      <c r="E91" s="95" t="s">
        <v>358</v>
      </c>
      <c r="F91" s="94" t="s">
        <v>314</v>
      </c>
      <c r="G91" s="94" t="s">
        <v>219</v>
      </c>
      <c r="H91" s="94" t="s">
        <v>10</v>
      </c>
      <c r="I91" s="94" t="s">
        <v>191</v>
      </c>
      <c r="J91" s="94"/>
      <c r="K91" s="96">
        <v>7.6599999999999993</v>
      </c>
      <c r="L91" s="96">
        <f>K91*VLOOKUP(H91,dagsoorttabel1,2,FALSE)</f>
        <v>7.6599999999999993</v>
      </c>
      <c r="M91" s="97">
        <f>prodnorm30</f>
        <v>0</v>
      </c>
      <c r="N91" s="41">
        <f>dagwerk30</f>
        <v>0</v>
      </c>
      <c r="O91" s="94" t="s">
        <v>108</v>
      </c>
      <c r="P91" s="26">
        <f>uurtarief30</f>
        <v>0</v>
      </c>
      <c r="Q91" s="96" t="e">
        <f>IF(ISBLANK(M91),0,L91/ROUND(M91,4))</f>
        <v>#DIV/0!</v>
      </c>
      <c r="R91" s="96" t="e">
        <f>IF(ISBLANK(M91),0,Q91*ROUND(N91,2))</f>
        <v>#DIV/0!</v>
      </c>
      <c r="S91" s="26" t="e">
        <f>ROUND(P91,2)*Q91</f>
        <v>#DIV/0!</v>
      </c>
      <c r="T91" s="96" t="e">
        <f>Q91*dagenperjaar1</f>
        <v>#DIV/0!</v>
      </c>
      <c r="U91" s="27" t="e">
        <f>T91*ROUND(P91,2)</f>
        <v>#DIV/0!</v>
      </c>
    </row>
    <row r="92" spans="1:21" x14ac:dyDescent="0.2">
      <c r="A92" s="93" t="s">
        <v>244</v>
      </c>
      <c r="B92" s="94" t="s">
        <v>42</v>
      </c>
      <c r="C92" s="94" t="s">
        <v>350</v>
      </c>
      <c r="D92" s="94" t="s">
        <v>360</v>
      </c>
      <c r="E92" s="95" t="s">
        <v>361</v>
      </c>
      <c r="F92" s="94" t="s">
        <v>253</v>
      </c>
      <c r="G92" s="94" t="s">
        <v>225</v>
      </c>
      <c r="H92" s="94" t="s">
        <v>10</v>
      </c>
      <c r="I92" s="94" t="s">
        <v>191</v>
      </c>
      <c r="J92" s="94"/>
      <c r="K92" s="96">
        <v>113.63</v>
      </c>
      <c r="L92" s="96">
        <f>K92*VLOOKUP(H92,dagsoorttabel1,2,FALSE)</f>
        <v>113.63</v>
      </c>
      <c r="M92" s="97">
        <f>prodnorm34</f>
        <v>0</v>
      </c>
      <c r="N92" s="41">
        <f>dagwerk34</f>
        <v>0</v>
      </c>
      <c r="O92" s="94" t="s">
        <v>108</v>
      </c>
      <c r="P92" s="26">
        <f>uurtarief34</f>
        <v>0</v>
      </c>
      <c r="Q92" s="96" t="e">
        <f>IF(ISBLANK(M92),0,L92/ROUND(M92,4))</f>
        <v>#DIV/0!</v>
      </c>
      <c r="R92" s="96" t="e">
        <f>IF(ISBLANK(M92),0,Q92*ROUND(N92,2))</f>
        <v>#DIV/0!</v>
      </c>
      <c r="S92" s="26" t="e">
        <f>ROUND(P92,2)*Q92</f>
        <v>#DIV/0!</v>
      </c>
      <c r="T92" s="96" t="e">
        <f>Q92*dagenperjaar1</f>
        <v>#DIV/0!</v>
      </c>
      <c r="U92" s="27" t="e">
        <f>T92*ROUND(P92,2)</f>
        <v>#DIV/0!</v>
      </c>
    </row>
    <row r="93" spans="1:21" x14ac:dyDescent="0.2">
      <c r="A93" s="93" t="s">
        <v>244</v>
      </c>
      <c r="B93" s="94" t="s">
        <v>42</v>
      </c>
      <c r="C93" s="94" t="s">
        <v>350</v>
      </c>
      <c r="D93" s="94" t="s">
        <v>360</v>
      </c>
      <c r="E93" s="95" t="s">
        <v>361</v>
      </c>
      <c r="F93" s="94" t="s">
        <v>253</v>
      </c>
      <c r="G93" s="94" t="s">
        <v>227</v>
      </c>
      <c r="H93" s="94" t="s">
        <v>24</v>
      </c>
      <c r="I93" s="94" t="s">
        <v>191</v>
      </c>
      <c r="J93" s="94"/>
      <c r="K93" s="96">
        <v>113.63</v>
      </c>
      <c r="L93" s="96">
        <f>K93*VLOOKUP(H93,dagsoorttabel1,2,FALSE)</f>
        <v>0.56815000000000004</v>
      </c>
      <c r="M93" s="97">
        <f>prodnorm35</f>
        <v>0</v>
      </c>
      <c r="N93" s="41">
        <f>dagwerk35</f>
        <v>0</v>
      </c>
      <c r="O93" s="94" t="s">
        <v>108</v>
      </c>
      <c r="P93" s="26">
        <f>uurtarief35</f>
        <v>0</v>
      </c>
      <c r="Q93" s="96" t="e">
        <f>IF(ISBLANK(M93),0,L93/ROUND(M93,4))</f>
        <v>#DIV/0!</v>
      </c>
      <c r="R93" s="96" t="e">
        <f>IF(ISBLANK(M93),0,Q93*ROUND(N93,2))</f>
        <v>#DIV/0!</v>
      </c>
      <c r="S93" s="26" t="e">
        <f>ROUND(P93,2)*Q93</f>
        <v>#DIV/0!</v>
      </c>
      <c r="T93" s="96" t="e">
        <f>Q93*dagenperjaar1</f>
        <v>#DIV/0!</v>
      </c>
      <c r="U93" s="27" t="e">
        <f>T93*ROUND(P93,2)</f>
        <v>#DIV/0!</v>
      </c>
    </row>
    <row r="94" spans="1:21" x14ac:dyDescent="0.2">
      <c r="A94" s="93" t="s">
        <v>244</v>
      </c>
      <c r="B94" s="94" t="s">
        <v>42</v>
      </c>
      <c r="C94" s="94" t="s">
        <v>350</v>
      </c>
      <c r="D94" s="94" t="s">
        <v>362</v>
      </c>
      <c r="E94" s="95" t="s">
        <v>268</v>
      </c>
      <c r="F94" s="94" t="s">
        <v>253</v>
      </c>
      <c r="G94" s="94" t="s">
        <v>225</v>
      </c>
      <c r="H94" s="94" t="s">
        <v>10</v>
      </c>
      <c r="I94" s="94" t="s">
        <v>191</v>
      </c>
      <c r="J94" s="94"/>
      <c r="K94" s="96">
        <v>67.38</v>
      </c>
      <c r="L94" s="96">
        <f>K94*VLOOKUP(H94,dagsoorttabel1,2,FALSE)</f>
        <v>67.38</v>
      </c>
      <c r="M94" s="97">
        <f>prodnorm34</f>
        <v>0</v>
      </c>
      <c r="N94" s="41">
        <f>dagwerk34</f>
        <v>0</v>
      </c>
      <c r="O94" s="94" t="s">
        <v>108</v>
      </c>
      <c r="P94" s="26">
        <f>uurtarief34</f>
        <v>0</v>
      </c>
      <c r="Q94" s="96" t="e">
        <f>IF(ISBLANK(M94),0,L94/ROUND(M94,4))</f>
        <v>#DIV/0!</v>
      </c>
      <c r="R94" s="96" t="e">
        <f>IF(ISBLANK(M94),0,Q94*ROUND(N94,2))</f>
        <v>#DIV/0!</v>
      </c>
      <c r="S94" s="26" t="e">
        <f>ROUND(P94,2)*Q94</f>
        <v>#DIV/0!</v>
      </c>
      <c r="T94" s="96" t="e">
        <f>Q94*dagenperjaar1</f>
        <v>#DIV/0!</v>
      </c>
      <c r="U94" s="27" t="e">
        <f>T94*ROUND(P94,2)</f>
        <v>#DIV/0!</v>
      </c>
    </row>
    <row r="95" spans="1:21" x14ac:dyDescent="0.2">
      <c r="A95" s="93" t="s">
        <v>244</v>
      </c>
      <c r="B95" s="94" t="s">
        <v>42</v>
      </c>
      <c r="C95" s="94" t="s">
        <v>350</v>
      </c>
      <c r="D95" s="94" t="s">
        <v>362</v>
      </c>
      <c r="E95" s="95" t="s">
        <v>268</v>
      </c>
      <c r="F95" s="94" t="s">
        <v>253</v>
      </c>
      <c r="G95" s="94" t="s">
        <v>227</v>
      </c>
      <c r="H95" s="94" t="s">
        <v>24</v>
      </c>
      <c r="I95" s="94" t="s">
        <v>191</v>
      </c>
      <c r="J95" s="94"/>
      <c r="K95" s="96">
        <v>67.38</v>
      </c>
      <c r="L95" s="96">
        <f>K95*VLOOKUP(H95,dagsoorttabel1,2,FALSE)</f>
        <v>0.33689999999999998</v>
      </c>
      <c r="M95" s="97">
        <f>prodnorm35</f>
        <v>0</v>
      </c>
      <c r="N95" s="41">
        <f>dagwerk35</f>
        <v>0</v>
      </c>
      <c r="O95" s="94" t="s">
        <v>108</v>
      </c>
      <c r="P95" s="26">
        <f>uurtarief35</f>
        <v>0</v>
      </c>
      <c r="Q95" s="96" t="e">
        <f>IF(ISBLANK(M95),0,L95/ROUND(M95,4))</f>
        <v>#DIV/0!</v>
      </c>
      <c r="R95" s="96" t="e">
        <f>IF(ISBLANK(M95),0,Q95*ROUND(N95,2))</f>
        <v>#DIV/0!</v>
      </c>
      <c r="S95" s="26" t="e">
        <f>ROUND(P95,2)*Q95</f>
        <v>#DIV/0!</v>
      </c>
      <c r="T95" s="96" t="e">
        <f>Q95*dagenperjaar1</f>
        <v>#DIV/0!</v>
      </c>
      <c r="U95" s="27" t="e">
        <f>T95*ROUND(P95,2)</f>
        <v>#DIV/0!</v>
      </c>
    </row>
    <row r="96" spans="1:21" x14ac:dyDescent="0.2">
      <c r="A96" s="93" t="s">
        <v>244</v>
      </c>
      <c r="B96" s="94" t="s">
        <v>42</v>
      </c>
      <c r="C96" s="94" t="s">
        <v>350</v>
      </c>
      <c r="D96" s="94" t="s">
        <v>363</v>
      </c>
      <c r="E96" s="95" t="s">
        <v>364</v>
      </c>
      <c r="F96" s="94" t="s">
        <v>314</v>
      </c>
      <c r="G96" s="94" t="s">
        <v>205</v>
      </c>
      <c r="H96" s="94" t="s">
        <v>10</v>
      </c>
      <c r="I96" s="94" t="s">
        <v>191</v>
      </c>
      <c r="J96" s="94"/>
      <c r="K96" s="96">
        <v>30.88</v>
      </c>
      <c r="L96" s="96">
        <f>K96*VLOOKUP(H96,dagsoorttabel1,2,FALSE)</f>
        <v>30.88</v>
      </c>
      <c r="M96" s="97">
        <f>prodnorm23</f>
        <v>0</v>
      </c>
      <c r="N96" s="41">
        <f>dagwerk23</f>
        <v>0</v>
      </c>
      <c r="O96" s="94" t="s">
        <v>108</v>
      </c>
      <c r="P96" s="26">
        <f>uurtarief23</f>
        <v>0</v>
      </c>
      <c r="Q96" s="96" t="e">
        <f>IF(ISBLANK(M96),0,L96/ROUND(M96,4))</f>
        <v>#DIV/0!</v>
      </c>
      <c r="R96" s="96" t="e">
        <f>IF(ISBLANK(M96),0,Q96*ROUND(N96,2))</f>
        <v>#DIV/0!</v>
      </c>
      <c r="S96" s="26" t="e">
        <f>ROUND(P96,2)*Q96</f>
        <v>#DIV/0!</v>
      </c>
      <c r="T96" s="96" t="e">
        <f>Q96*dagenperjaar1</f>
        <v>#DIV/0!</v>
      </c>
      <c r="U96" s="27" t="e">
        <f>T96*ROUND(P96,2)</f>
        <v>#DIV/0!</v>
      </c>
    </row>
    <row r="97" spans="1:21" x14ac:dyDescent="0.2">
      <c r="A97" s="93" t="s">
        <v>244</v>
      </c>
      <c r="B97" s="94" t="s">
        <v>42</v>
      </c>
      <c r="C97" s="94" t="s">
        <v>350</v>
      </c>
      <c r="D97" s="94" t="s">
        <v>365</v>
      </c>
      <c r="E97" s="95" t="s">
        <v>364</v>
      </c>
      <c r="F97" s="94" t="s">
        <v>314</v>
      </c>
      <c r="G97" s="94" t="s">
        <v>205</v>
      </c>
      <c r="H97" s="94" t="s">
        <v>10</v>
      </c>
      <c r="I97" s="94" t="s">
        <v>191</v>
      </c>
      <c r="J97" s="94"/>
      <c r="K97" s="96">
        <v>30.88</v>
      </c>
      <c r="L97" s="96">
        <f>K97*VLOOKUP(H97,dagsoorttabel1,2,FALSE)</f>
        <v>30.88</v>
      </c>
      <c r="M97" s="97">
        <f>prodnorm23</f>
        <v>0</v>
      </c>
      <c r="N97" s="41">
        <f>dagwerk23</f>
        <v>0</v>
      </c>
      <c r="O97" s="94" t="s">
        <v>108</v>
      </c>
      <c r="P97" s="26">
        <f>uurtarief23</f>
        <v>0</v>
      </c>
      <c r="Q97" s="96" t="e">
        <f>IF(ISBLANK(M97),0,L97/ROUND(M97,4))</f>
        <v>#DIV/0!</v>
      </c>
      <c r="R97" s="96" t="e">
        <f>IF(ISBLANK(M97),0,Q97*ROUND(N97,2))</f>
        <v>#DIV/0!</v>
      </c>
      <c r="S97" s="26" t="e">
        <f>ROUND(P97,2)*Q97</f>
        <v>#DIV/0!</v>
      </c>
      <c r="T97" s="96" t="e">
        <f>Q97*dagenperjaar1</f>
        <v>#DIV/0!</v>
      </c>
      <c r="U97" s="27" t="e">
        <f>T97*ROUND(P97,2)</f>
        <v>#DIV/0!</v>
      </c>
    </row>
    <row r="98" spans="1:21" x14ac:dyDescent="0.2">
      <c r="A98" s="93" t="s">
        <v>244</v>
      </c>
      <c r="B98" s="94" t="s">
        <v>42</v>
      </c>
      <c r="C98" s="94" t="s">
        <v>350</v>
      </c>
      <c r="D98" s="94" t="s">
        <v>366</v>
      </c>
      <c r="E98" s="95" t="s">
        <v>252</v>
      </c>
      <c r="F98" s="94" t="s">
        <v>253</v>
      </c>
      <c r="G98" s="94" t="s">
        <v>207</v>
      </c>
      <c r="H98" s="94" t="s">
        <v>10</v>
      </c>
      <c r="I98" s="94" t="s">
        <v>191</v>
      </c>
      <c r="J98" s="94"/>
      <c r="K98" s="96">
        <v>80.05</v>
      </c>
      <c r="L98" s="96">
        <f>K98*VLOOKUP(H98,dagsoorttabel1,2,FALSE)</f>
        <v>80.05</v>
      </c>
      <c r="M98" s="97">
        <f>prodnorm24</f>
        <v>0</v>
      </c>
      <c r="N98" s="41">
        <f>dagwerk24</f>
        <v>0</v>
      </c>
      <c r="O98" s="94" t="s">
        <v>108</v>
      </c>
      <c r="P98" s="26">
        <f>uurtarief24</f>
        <v>0</v>
      </c>
      <c r="Q98" s="96" t="e">
        <f>IF(ISBLANK(M98),0,L98/ROUND(M98,4))</f>
        <v>#DIV/0!</v>
      </c>
      <c r="R98" s="96" t="e">
        <f>IF(ISBLANK(M98),0,Q98*ROUND(N98,2))</f>
        <v>#DIV/0!</v>
      </c>
      <c r="S98" s="26" t="e">
        <f>ROUND(P98,2)*Q98</f>
        <v>#DIV/0!</v>
      </c>
      <c r="T98" s="96" t="e">
        <f>Q98*dagenperjaar1</f>
        <v>#DIV/0!</v>
      </c>
      <c r="U98" s="27" t="e">
        <f>T98*ROUND(P98,2)</f>
        <v>#DIV/0!</v>
      </c>
    </row>
    <row r="99" spans="1:21" x14ac:dyDescent="0.2">
      <c r="A99" s="93" t="s">
        <v>244</v>
      </c>
      <c r="B99" s="94" t="s">
        <v>42</v>
      </c>
      <c r="C99" s="94" t="s">
        <v>350</v>
      </c>
      <c r="D99" s="94" t="s">
        <v>366</v>
      </c>
      <c r="E99" s="95" t="s">
        <v>252</v>
      </c>
      <c r="F99" s="94" t="s">
        <v>253</v>
      </c>
      <c r="G99" s="94" t="s">
        <v>227</v>
      </c>
      <c r="H99" s="94" t="s">
        <v>24</v>
      </c>
      <c r="I99" s="94" t="s">
        <v>191</v>
      </c>
      <c r="J99" s="94"/>
      <c r="K99" s="96">
        <v>80.05</v>
      </c>
      <c r="L99" s="96">
        <f>K99*VLOOKUP(H99,dagsoorttabel1,2,FALSE)</f>
        <v>0.40024999999999999</v>
      </c>
      <c r="M99" s="97">
        <f>prodnorm35</f>
        <v>0</v>
      </c>
      <c r="N99" s="41">
        <f>dagwerk35</f>
        <v>0</v>
      </c>
      <c r="O99" s="94" t="s">
        <v>108</v>
      </c>
      <c r="P99" s="26">
        <f>uurtarief35</f>
        <v>0</v>
      </c>
      <c r="Q99" s="96" t="e">
        <f>IF(ISBLANK(M99),0,L99/ROUND(M99,4))</f>
        <v>#DIV/0!</v>
      </c>
      <c r="R99" s="96" t="e">
        <f>IF(ISBLANK(M99),0,Q99*ROUND(N99,2))</f>
        <v>#DIV/0!</v>
      </c>
      <c r="S99" s="26" t="e">
        <f>ROUND(P99,2)*Q99</f>
        <v>#DIV/0!</v>
      </c>
      <c r="T99" s="96" t="e">
        <f>Q99*dagenperjaar1</f>
        <v>#DIV/0!</v>
      </c>
      <c r="U99" s="27" t="e">
        <f>T99*ROUND(P99,2)</f>
        <v>#DIV/0!</v>
      </c>
    </row>
    <row r="100" spans="1:21" x14ac:dyDescent="0.2">
      <c r="A100" s="93" t="s">
        <v>244</v>
      </c>
      <c r="B100" s="94" t="s">
        <v>42</v>
      </c>
      <c r="C100" s="94" t="s">
        <v>350</v>
      </c>
      <c r="D100" s="94" t="s">
        <v>367</v>
      </c>
      <c r="E100" s="95" t="s">
        <v>368</v>
      </c>
      <c r="F100" s="94" t="s">
        <v>314</v>
      </c>
      <c r="G100" s="94" t="s">
        <v>197</v>
      </c>
      <c r="H100" s="94" t="s">
        <v>10</v>
      </c>
      <c r="I100" s="94" t="s">
        <v>191</v>
      </c>
      <c r="J100" s="94"/>
      <c r="K100" s="96">
        <v>7.89</v>
      </c>
      <c r="L100" s="96">
        <f>K100*VLOOKUP(H100,dagsoorttabel1,2,FALSE)</f>
        <v>7.89</v>
      </c>
      <c r="M100" s="97">
        <f>prodnorm17</f>
        <v>0</v>
      </c>
      <c r="N100" s="41">
        <f>dagwerk17</f>
        <v>0</v>
      </c>
      <c r="O100" s="94" t="s">
        <v>108</v>
      </c>
      <c r="P100" s="26">
        <f>uurtarief17</f>
        <v>0</v>
      </c>
      <c r="Q100" s="96" t="e">
        <f>IF(ISBLANK(M100),0,L100/ROUND(M100,4))</f>
        <v>#DIV/0!</v>
      </c>
      <c r="R100" s="96" t="e">
        <f>IF(ISBLANK(M100),0,Q100*ROUND(N100,2))</f>
        <v>#DIV/0!</v>
      </c>
      <c r="S100" s="26" t="e">
        <f>ROUND(P100,2)*Q100</f>
        <v>#DIV/0!</v>
      </c>
      <c r="T100" s="96" t="e">
        <f>Q100*dagenperjaar1</f>
        <v>#DIV/0!</v>
      </c>
      <c r="U100" s="27" t="e">
        <f>T100*ROUND(P100,2)</f>
        <v>#DIV/0!</v>
      </c>
    </row>
    <row r="101" spans="1:21" x14ac:dyDescent="0.2">
      <c r="A101" s="93" t="s">
        <v>244</v>
      </c>
      <c r="B101" s="94" t="s">
        <v>42</v>
      </c>
      <c r="C101" s="94" t="s">
        <v>350</v>
      </c>
      <c r="D101" s="94" t="s">
        <v>369</v>
      </c>
      <c r="E101" s="95" t="s">
        <v>368</v>
      </c>
      <c r="F101" s="94" t="s">
        <v>314</v>
      </c>
      <c r="G101" s="94" t="s">
        <v>197</v>
      </c>
      <c r="H101" s="94" t="s">
        <v>10</v>
      </c>
      <c r="I101" s="94" t="s">
        <v>191</v>
      </c>
      <c r="J101" s="94"/>
      <c r="K101" s="96">
        <v>7.89</v>
      </c>
      <c r="L101" s="96">
        <f>K101*VLOOKUP(H101,dagsoorttabel1,2,FALSE)</f>
        <v>7.89</v>
      </c>
      <c r="M101" s="97">
        <f>prodnorm17</f>
        <v>0</v>
      </c>
      <c r="N101" s="41">
        <f>dagwerk17</f>
        <v>0</v>
      </c>
      <c r="O101" s="94" t="s">
        <v>108</v>
      </c>
      <c r="P101" s="26">
        <f>uurtarief17</f>
        <v>0</v>
      </c>
      <c r="Q101" s="96" t="e">
        <f>IF(ISBLANK(M101),0,L101/ROUND(M101,4))</f>
        <v>#DIV/0!</v>
      </c>
      <c r="R101" s="96" t="e">
        <f>IF(ISBLANK(M101),0,Q101*ROUND(N101,2))</f>
        <v>#DIV/0!</v>
      </c>
      <c r="S101" s="26" t="e">
        <f>ROUND(P101,2)*Q101</f>
        <v>#DIV/0!</v>
      </c>
      <c r="T101" s="96" t="e">
        <f>Q101*dagenperjaar1</f>
        <v>#DIV/0!</v>
      </c>
      <c r="U101" s="27" t="e">
        <f>T101*ROUND(P101,2)</f>
        <v>#DIV/0!</v>
      </c>
    </row>
    <row r="102" spans="1:21" x14ac:dyDescent="0.2">
      <c r="A102" s="93" t="s">
        <v>244</v>
      </c>
      <c r="B102" s="94" t="s">
        <v>42</v>
      </c>
      <c r="C102" s="94" t="s">
        <v>350</v>
      </c>
      <c r="D102" s="94" t="s">
        <v>370</v>
      </c>
      <c r="E102" s="95" t="s">
        <v>371</v>
      </c>
      <c r="F102" s="94" t="s">
        <v>253</v>
      </c>
      <c r="G102" s="94" t="s">
        <v>225</v>
      </c>
      <c r="H102" s="94" t="s">
        <v>10</v>
      </c>
      <c r="I102" s="94" t="s">
        <v>191</v>
      </c>
      <c r="J102" s="94"/>
      <c r="K102" s="96">
        <v>35.33</v>
      </c>
      <c r="L102" s="96">
        <f>K102*VLOOKUP(H102,dagsoorttabel1,2,FALSE)</f>
        <v>35.33</v>
      </c>
      <c r="M102" s="97">
        <f>prodnorm34</f>
        <v>0</v>
      </c>
      <c r="N102" s="41">
        <f>dagwerk34</f>
        <v>0</v>
      </c>
      <c r="O102" s="94" t="s">
        <v>108</v>
      </c>
      <c r="P102" s="26">
        <f>uurtarief34</f>
        <v>0</v>
      </c>
      <c r="Q102" s="96" t="e">
        <f>IF(ISBLANK(M102),0,L102/ROUND(M102,4))</f>
        <v>#DIV/0!</v>
      </c>
      <c r="R102" s="96" t="e">
        <f>IF(ISBLANK(M102),0,Q102*ROUND(N102,2))</f>
        <v>#DIV/0!</v>
      </c>
      <c r="S102" s="26" t="e">
        <f>ROUND(P102,2)*Q102</f>
        <v>#DIV/0!</v>
      </c>
      <c r="T102" s="96" t="e">
        <f>Q102*dagenperjaar1</f>
        <v>#DIV/0!</v>
      </c>
      <c r="U102" s="27" t="e">
        <f>T102*ROUND(P102,2)</f>
        <v>#DIV/0!</v>
      </c>
    </row>
    <row r="103" spans="1:21" x14ac:dyDescent="0.2">
      <c r="A103" s="93" t="s">
        <v>244</v>
      </c>
      <c r="B103" s="94" t="s">
        <v>42</v>
      </c>
      <c r="C103" s="94" t="s">
        <v>350</v>
      </c>
      <c r="D103" s="94" t="s">
        <v>370</v>
      </c>
      <c r="E103" s="95" t="s">
        <v>371</v>
      </c>
      <c r="F103" s="94" t="s">
        <v>253</v>
      </c>
      <c r="G103" s="94" t="s">
        <v>227</v>
      </c>
      <c r="H103" s="94" t="s">
        <v>24</v>
      </c>
      <c r="I103" s="94" t="s">
        <v>191</v>
      </c>
      <c r="J103" s="94"/>
      <c r="K103" s="96">
        <v>35.33</v>
      </c>
      <c r="L103" s="96">
        <f>K103*VLOOKUP(H103,dagsoorttabel1,2,FALSE)</f>
        <v>0.17665</v>
      </c>
      <c r="M103" s="97">
        <f>prodnorm35</f>
        <v>0</v>
      </c>
      <c r="N103" s="41">
        <f>dagwerk35</f>
        <v>0</v>
      </c>
      <c r="O103" s="94" t="s">
        <v>108</v>
      </c>
      <c r="P103" s="26">
        <f>uurtarief35</f>
        <v>0</v>
      </c>
      <c r="Q103" s="96" t="e">
        <f>IF(ISBLANK(M103),0,L103/ROUND(M103,4))</f>
        <v>#DIV/0!</v>
      </c>
      <c r="R103" s="96" t="e">
        <f>IF(ISBLANK(M103),0,Q103*ROUND(N103,2))</f>
        <v>#DIV/0!</v>
      </c>
      <c r="S103" s="26" t="e">
        <f>ROUND(P103,2)*Q103</f>
        <v>#DIV/0!</v>
      </c>
      <c r="T103" s="96" t="e">
        <f>Q103*dagenperjaar1</f>
        <v>#DIV/0!</v>
      </c>
      <c r="U103" s="27" t="e">
        <f>T103*ROUND(P103,2)</f>
        <v>#DIV/0!</v>
      </c>
    </row>
    <row r="104" spans="1:21" x14ac:dyDescent="0.2">
      <c r="A104" s="93" t="s">
        <v>244</v>
      </c>
      <c r="B104" s="94" t="s">
        <v>42</v>
      </c>
      <c r="C104" s="94" t="s">
        <v>372</v>
      </c>
      <c r="D104" s="94" t="s">
        <v>373</v>
      </c>
      <c r="E104" s="95" t="s">
        <v>374</v>
      </c>
      <c r="F104" s="94" t="s">
        <v>277</v>
      </c>
      <c r="G104" s="94" t="s">
        <v>207</v>
      </c>
      <c r="H104" s="94" t="s">
        <v>10</v>
      </c>
      <c r="I104" s="94" t="s">
        <v>191</v>
      </c>
      <c r="J104" s="94"/>
      <c r="K104" s="96">
        <v>41</v>
      </c>
      <c r="L104" s="96">
        <f>K104*VLOOKUP(H104,dagsoorttabel1,2,FALSE)</f>
        <v>41</v>
      </c>
      <c r="M104" s="97">
        <f>prodnorm24</f>
        <v>0</v>
      </c>
      <c r="N104" s="41">
        <f>dagwerk24</f>
        <v>0</v>
      </c>
      <c r="O104" s="94" t="s">
        <v>108</v>
      </c>
      <c r="P104" s="26">
        <f>uurtarief24</f>
        <v>0</v>
      </c>
      <c r="Q104" s="96" t="e">
        <f>IF(ISBLANK(M104),0,L104/ROUND(M104,4))</f>
        <v>#DIV/0!</v>
      </c>
      <c r="R104" s="96" t="e">
        <f>IF(ISBLANK(M104),0,Q104*ROUND(N104,2))</f>
        <v>#DIV/0!</v>
      </c>
      <c r="S104" s="26" t="e">
        <f>ROUND(P104,2)*Q104</f>
        <v>#DIV/0!</v>
      </c>
      <c r="T104" s="96" t="e">
        <f>Q104*dagenperjaar1</f>
        <v>#DIV/0!</v>
      </c>
      <c r="U104" s="27" t="e">
        <f>T104*ROUND(P104,2)</f>
        <v>#DIV/0!</v>
      </c>
    </row>
    <row r="105" spans="1:21" x14ac:dyDescent="0.2">
      <c r="A105" s="93" t="s">
        <v>244</v>
      </c>
      <c r="B105" s="94" t="s">
        <v>42</v>
      </c>
      <c r="C105" s="94" t="s">
        <v>372</v>
      </c>
      <c r="D105" s="94" t="s">
        <v>373</v>
      </c>
      <c r="E105" s="95" t="s">
        <v>374</v>
      </c>
      <c r="F105" s="94" t="s">
        <v>277</v>
      </c>
      <c r="G105" s="94" t="s">
        <v>227</v>
      </c>
      <c r="H105" s="94" t="s">
        <v>24</v>
      </c>
      <c r="I105" s="94" t="s">
        <v>191</v>
      </c>
      <c r="J105" s="94"/>
      <c r="K105" s="96">
        <v>41</v>
      </c>
      <c r="L105" s="96">
        <f>K105*VLOOKUP(H105,dagsoorttabel1,2,FALSE)</f>
        <v>0.20500000000000002</v>
      </c>
      <c r="M105" s="97">
        <f>prodnorm35</f>
        <v>0</v>
      </c>
      <c r="N105" s="41">
        <f>dagwerk35</f>
        <v>0</v>
      </c>
      <c r="O105" s="94" t="s">
        <v>108</v>
      </c>
      <c r="P105" s="26">
        <f>uurtarief35</f>
        <v>0</v>
      </c>
      <c r="Q105" s="96" t="e">
        <f>IF(ISBLANK(M105),0,L105/ROUND(M105,4))</f>
        <v>#DIV/0!</v>
      </c>
      <c r="R105" s="96" t="e">
        <f>IF(ISBLANK(M105),0,Q105*ROUND(N105,2))</f>
        <v>#DIV/0!</v>
      </c>
      <c r="S105" s="26" t="e">
        <f>ROUND(P105,2)*Q105</f>
        <v>#DIV/0!</v>
      </c>
      <c r="T105" s="96" t="e">
        <f>Q105*dagenperjaar1</f>
        <v>#DIV/0!</v>
      </c>
      <c r="U105" s="27" t="e">
        <f>T105*ROUND(P105,2)</f>
        <v>#DIV/0!</v>
      </c>
    </row>
    <row r="106" spans="1:21" x14ac:dyDescent="0.2">
      <c r="A106" s="93" t="s">
        <v>244</v>
      </c>
      <c r="B106" s="94" t="s">
        <v>42</v>
      </c>
      <c r="C106" s="94" t="s">
        <v>372</v>
      </c>
      <c r="D106" s="94" t="s">
        <v>375</v>
      </c>
      <c r="E106" s="95" t="s">
        <v>374</v>
      </c>
      <c r="F106" s="94" t="s">
        <v>277</v>
      </c>
      <c r="G106" s="94" t="s">
        <v>207</v>
      </c>
      <c r="H106" s="94" t="s">
        <v>10</v>
      </c>
      <c r="I106" s="94" t="s">
        <v>191</v>
      </c>
      <c r="J106" s="94"/>
      <c r="K106" s="96">
        <v>88.440000000000012</v>
      </c>
      <c r="L106" s="96">
        <f>K106*VLOOKUP(H106,dagsoorttabel1,2,FALSE)</f>
        <v>88.440000000000012</v>
      </c>
      <c r="M106" s="97">
        <f>prodnorm24</f>
        <v>0</v>
      </c>
      <c r="N106" s="41">
        <f>dagwerk24</f>
        <v>0</v>
      </c>
      <c r="O106" s="94" t="s">
        <v>108</v>
      </c>
      <c r="P106" s="26">
        <f>uurtarief24</f>
        <v>0</v>
      </c>
      <c r="Q106" s="96" t="e">
        <f>IF(ISBLANK(M106),0,L106/ROUND(M106,4))</f>
        <v>#DIV/0!</v>
      </c>
      <c r="R106" s="96" t="e">
        <f>IF(ISBLANK(M106),0,Q106*ROUND(N106,2))</f>
        <v>#DIV/0!</v>
      </c>
      <c r="S106" s="26" t="e">
        <f>ROUND(P106,2)*Q106</f>
        <v>#DIV/0!</v>
      </c>
      <c r="T106" s="96" t="e">
        <f>Q106*dagenperjaar1</f>
        <v>#DIV/0!</v>
      </c>
      <c r="U106" s="27" t="e">
        <f>T106*ROUND(P106,2)</f>
        <v>#DIV/0!</v>
      </c>
    </row>
    <row r="107" spans="1:21" x14ac:dyDescent="0.2">
      <c r="A107" s="93" t="s">
        <v>244</v>
      </c>
      <c r="B107" s="94" t="s">
        <v>42</v>
      </c>
      <c r="C107" s="94" t="s">
        <v>372</v>
      </c>
      <c r="D107" s="94" t="s">
        <v>375</v>
      </c>
      <c r="E107" s="95" t="s">
        <v>374</v>
      </c>
      <c r="F107" s="94" t="s">
        <v>277</v>
      </c>
      <c r="G107" s="94" t="s">
        <v>227</v>
      </c>
      <c r="H107" s="94" t="s">
        <v>24</v>
      </c>
      <c r="I107" s="94" t="s">
        <v>191</v>
      </c>
      <c r="J107" s="94"/>
      <c r="K107" s="96">
        <v>88.440000000000012</v>
      </c>
      <c r="L107" s="96">
        <f>K107*VLOOKUP(H107,dagsoorttabel1,2,FALSE)</f>
        <v>0.44220000000000009</v>
      </c>
      <c r="M107" s="97">
        <f>prodnorm35</f>
        <v>0</v>
      </c>
      <c r="N107" s="41">
        <f>dagwerk35</f>
        <v>0</v>
      </c>
      <c r="O107" s="94" t="s">
        <v>108</v>
      </c>
      <c r="P107" s="26">
        <f>uurtarief35</f>
        <v>0</v>
      </c>
      <c r="Q107" s="96" t="e">
        <f>IF(ISBLANK(M107),0,L107/ROUND(M107,4))</f>
        <v>#DIV/0!</v>
      </c>
      <c r="R107" s="96" t="e">
        <f>IF(ISBLANK(M107),0,Q107*ROUND(N107,2))</f>
        <v>#DIV/0!</v>
      </c>
      <c r="S107" s="26" t="e">
        <f>ROUND(P107,2)*Q107</f>
        <v>#DIV/0!</v>
      </c>
      <c r="T107" s="96" t="e">
        <f>Q107*dagenperjaar1</f>
        <v>#DIV/0!</v>
      </c>
      <c r="U107" s="27" t="e">
        <f>T107*ROUND(P107,2)</f>
        <v>#DIV/0!</v>
      </c>
    </row>
    <row r="108" spans="1:21" x14ac:dyDescent="0.2">
      <c r="A108" s="93" t="s">
        <v>244</v>
      </c>
      <c r="B108" s="94" t="s">
        <v>42</v>
      </c>
      <c r="C108" s="94" t="s">
        <v>372</v>
      </c>
      <c r="D108" s="94" t="s">
        <v>376</v>
      </c>
      <c r="E108" s="95" t="s">
        <v>377</v>
      </c>
      <c r="F108" s="94" t="s">
        <v>277</v>
      </c>
      <c r="G108" s="94" t="s">
        <v>207</v>
      </c>
      <c r="H108" s="94" t="s">
        <v>10</v>
      </c>
      <c r="I108" s="94" t="s">
        <v>191</v>
      </c>
      <c r="J108" s="94"/>
      <c r="K108" s="96">
        <v>22.110000000000003</v>
      </c>
      <c r="L108" s="96">
        <f>K108*VLOOKUP(H108,dagsoorttabel1,2,FALSE)</f>
        <v>22.110000000000003</v>
      </c>
      <c r="M108" s="97">
        <f>prodnorm24</f>
        <v>0</v>
      </c>
      <c r="N108" s="41">
        <f>dagwerk24</f>
        <v>0</v>
      </c>
      <c r="O108" s="94" t="s">
        <v>108</v>
      </c>
      <c r="P108" s="26">
        <f>uurtarief24</f>
        <v>0</v>
      </c>
      <c r="Q108" s="96" t="e">
        <f>IF(ISBLANK(M108),0,L108/ROUND(M108,4))</f>
        <v>#DIV/0!</v>
      </c>
      <c r="R108" s="96" t="e">
        <f>IF(ISBLANK(M108),0,Q108*ROUND(N108,2))</f>
        <v>#DIV/0!</v>
      </c>
      <c r="S108" s="26" t="e">
        <f>ROUND(P108,2)*Q108</f>
        <v>#DIV/0!</v>
      </c>
      <c r="T108" s="96" t="e">
        <f>Q108*dagenperjaar1</f>
        <v>#DIV/0!</v>
      </c>
      <c r="U108" s="27" t="e">
        <f>T108*ROUND(P108,2)</f>
        <v>#DIV/0!</v>
      </c>
    </row>
    <row r="109" spans="1:21" x14ac:dyDescent="0.2">
      <c r="A109" s="93" t="s">
        <v>244</v>
      </c>
      <c r="B109" s="94" t="s">
        <v>42</v>
      </c>
      <c r="C109" s="94" t="s">
        <v>372</v>
      </c>
      <c r="D109" s="94" t="s">
        <v>376</v>
      </c>
      <c r="E109" s="95" t="s">
        <v>377</v>
      </c>
      <c r="F109" s="94" t="s">
        <v>277</v>
      </c>
      <c r="G109" s="94" t="s">
        <v>227</v>
      </c>
      <c r="H109" s="94" t="s">
        <v>24</v>
      </c>
      <c r="I109" s="94" t="s">
        <v>191</v>
      </c>
      <c r="J109" s="94"/>
      <c r="K109" s="96">
        <v>22.110000000000003</v>
      </c>
      <c r="L109" s="96">
        <f>K109*VLOOKUP(H109,dagsoorttabel1,2,FALSE)</f>
        <v>0.11055000000000002</v>
      </c>
      <c r="M109" s="97">
        <f>prodnorm35</f>
        <v>0</v>
      </c>
      <c r="N109" s="41">
        <f>dagwerk35</f>
        <v>0</v>
      </c>
      <c r="O109" s="94" t="s">
        <v>108</v>
      </c>
      <c r="P109" s="26">
        <f>uurtarief35</f>
        <v>0</v>
      </c>
      <c r="Q109" s="96" t="e">
        <f>IF(ISBLANK(M109),0,L109/ROUND(M109,4))</f>
        <v>#DIV/0!</v>
      </c>
      <c r="R109" s="96" t="e">
        <f>IF(ISBLANK(M109),0,Q109*ROUND(N109,2))</f>
        <v>#DIV/0!</v>
      </c>
      <c r="S109" s="26" t="e">
        <f>ROUND(P109,2)*Q109</f>
        <v>#DIV/0!</v>
      </c>
      <c r="T109" s="96" t="e">
        <f>Q109*dagenperjaar1</f>
        <v>#DIV/0!</v>
      </c>
      <c r="U109" s="27" t="e">
        <f>T109*ROUND(P109,2)</f>
        <v>#DIV/0!</v>
      </c>
    </row>
    <row r="110" spans="1:21" x14ac:dyDescent="0.2">
      <c r="A110" s="93" t="s">
        <v>244</v>
      </c>
      <c r="B110" s="94" t="s">
        <v>42</v>
      </c>
      <c r="C110" s="94" t="s">
        <v>372</v>
      </c>
      <c r="D110" s="94" t="s">
        <v>378</v>
      </c>
      <c r="E110" s="95" t="s">
        <v>379</v>
      </c>
      <c r="F110" s="94" t="s">
        <v>277</v>
      </c>
      <c r="G110" s="94" t="s">
        <v>215</v>
      </c>
      <c r="H110" s="94" t="s">
        <v>10</v>
      </c>
      <c r="I110" s="94" t="s">
        <v>191</v>
      </c>
      <c r="J110" s="94"/>
      <c r="K110" s="96">
        <v>44.220000000000006</v>
      </c>
      <c r="L110" s="96">
        <f>K110*VLOOKUP(H110,dagsoorttabel1,2,FALSE)</f>
        <v>44.220000000000006</v>
      </c>
      <c r="M110" s="97">
        <f>prodnorm28</f>
        <v>0</v>
      </c>
      <c r="N110" s="41">
        <f>dagwerk28</f>
        <v>0</v>
      </c>
      <c r="O110" s="94" t="s">
        <v>108</v>
      </c>
      <c r="P110" s="26">
        <f>uurtarief28</f>
        <v>0</v>
      </c>
      <c r="Q110" s="96" t="e">
        <f>IF(ISBLANK(M110),0,L110/ROUND(M110,4))</f>
        <v>#DIV/0!</v>
      </c>
      <c r="R110" s="96" t="e">
        <f>IF(ISBLANK(M110),0,Q110*ROUND(N110,2))</f>
        <v>#DIV/0!</v>
      </c>
      <c r="S110" s="26" t="e">
        <f>ROUND(P110,2)*Q110</f>
        <v>#DIV/0!</v>
      </c>
      <c r="T110" s="96" t="e">
        <f>Q110*dagenperjaar1</f>
        <v>#DIV/0!</v>
      </c>
      <c r="U110" s="27" t="e">
        <f>T110*ROUND(P110,2)</f>
        <v>#DIV/0!</v>
      </c>
    </row>
    <row r="111" spans="1:21" x14ac:dyDescent="0.2">
      <c r="A111" s="93" t="s">
        <v>244</v>
      </c>
      <c r="B111" s="94" t="s">
        <v>42</v>
      </c>
      <c r="C111" s="94" t="s">
        <v>372</v>
      </c>
      <c r="D111" s="94" t="s">
        <v>378</v>
      </c>
      <c r="E111" s="95" t="s">
        <v>379</v>
      </c>
      <c r="F111" s="94" t="s">
        <v>277</v>
      </c>
      <c r="G111" s="94" t="s">
        <v>227</v>
      </c>
      <c r="H111" s="94" t="s">
        <v>24</v>
      </c>
      <c r="I111" s="94" t="s">
        <v>191</v>
      </c>
      <c r="J111" s="94"/>
      <c r="K111" s="96">
        <v>44.220000000000006</v>
      </c>
      <c r="L111" s="96">
        <f>K111*VLOOKUP(H111,dagsoorttabel1,2,FALSE)</f>
        <v>0.22110000000000005</v>
      </c>
      <c r="M111" s="97">
        <f>prodnorm35</f>
        <v>0</v>
      </c>
      <c r="N111" s="41">
        <f>dagwerk35</f>
        <v>0</v>
      </c>
      <c r="O111" s="94" t="s">
        <v>108</v>
      </c>
      <c r="P111" s="26">
        <f>uurtarief35</f>
        <v>0</v>
      </c>
      <c r="Q111" s="96" t="e">
        <f>IF(ISBLANK(M111),0,L111/ROUND(M111,4))</f>
        <v>#DIV/0!</v>
      </c>
      <c r="R111" s="96" t="e">
        <f>IF(ISBLANK(M111),0,Q111*ROUND(N111,2))</f>
        <v>#DIV/0!</v>
      </c>
      <c r="S111" s="26" t="e">
        <f>ROUND(P111,2)*Q111</f>
        <v>#DIV/0!</v>
      </c>
      <c r="T111" s="96" t="e">
        <f>Q111*dagenperjaar1</f>
        <v>#DIV/0!</v>
      </c>
      <c r="U111" s="27" t="e">
        <f>T111*ROUND(P111,2)</f>
        <v>#DIV/0!</v>
      </c>
    </row>
    <row r="112" spans="1:21" x14ac:dyDescent="0.2">
      <c r="A112" s="93" t="s">
        <v>244</v>
      </c>
      <c r="B112" s="94" t="s">
        <v>42</v>
      </c>
      <c r="C112" s="94" t="s">
        <v>372</v>
      </c>
      <c r="D112" s="94" t="s">
        <v>380</v>
      </c>
      <c r="E112" s="95" t="s">
        <v>377</v>
      </c>
      <c r="F112" s="94" t="s">
        <v>277</v>
      </c>
      <c r="G112" s="94" t="s">
        <v>207</v>
      </c>
      <c r="H112" s="94" t="s">
        <v>10</v>
      </c>
      <c r="I112" s="94" t="s">
        <v>191</v>
      </c>
      <c r="J112" s="94"/>
      <c r="K112" s="96">
        <v>22.110000000000003</v>
      </c>
      <c r="L112" s="96">
        <f>K112*VLOOKUP(H112,dagsoorttabel1,2,FALSE)</f>
        <v>22.110000000000003</v>
      </c>
      <c r="M112" s="97">
        <f>prodnorm24</f>
        <v>0</v>
      </c>
      <c r="N112" s="41">
        <f>dagwerk24</f>
        <v>0</v>
      </c>
      <c r="O112" s="94" t="s">
        <v>108</v>
      </c>
      <c r="P112" s="26">
        <f>uurtarief24</f>
        <v>0</v>
      </c>
      <c r="Q112" s="96" t="e">
        <f>IF(ISBLANK(M112),0,L112/ROUND(M112,4))</f>
        <v>#DIV/0!</v>
      </c>
      <c r="R112" s="96" t="e">
        <f>IF(ISBLANK(M112),0,Q112*ROUND(N112,2))</f>
        <v>#DIV/0!</v>
      </c>
      <c r="S112" s="26" t="e">
        <f>ROUND(P112,2)*Q112</f>
        <v>#DIV/0!</v>
      </c>
      <c r="T112" s="96" t="e">
        <f>Q112*dagenperjaar1</f>
        <v>#DIV/0!</v>
      </c>
      <c r="U112" s="27" t="e">
        <f>T112*ROUND(P112,2)</f>
        <v>#DIV/0!</v>
      </c>
    </row>
    <row r="113" spans="1:21" x14ac:dyDescent="0.2">
      <c r="A113" s="93" t="s">
        <v>244</v>
      </c>
      <c r="B113" s="94" t="s">
        <v>42</v>
      </c>
      <c r="C113" s="94" t="s">
        <v>372</v>
      </c>
      <c r="D113" s="94" t="s">
        <v>380</v>
      </c>
      <c r="E113" s="95" t="s">
        <v>377</v>
      </c>
      <c r="F113" s="94" t="s">
        <v>277</v>
      </c>
      <c r="G113" s="94" t="s">
        <v>227</v>
      </c>
      <c r="H113" s="94" t="s">
        <v>24</v>
      </c>
      <c r="I113" s="94" t="s">
        <v>191</v>
      </c>
      <c r="J113" s="94"/>
      <c r="K113" s="96">
        <v>22.110000000000003</v>
      </c>
      <c r="L113" s="96">
        <f>K113*VLOOKUP(H113,dagsoorttabel1,2,FALSE)</f>
        <v>0.11055000000000002</v>
      </c>
      <c r="M113" s="97">
        <f>prodnorm35</f>
        <v>0</v>
      </c>
      <c r="N113" s="41">
        <f>dagwerk35</f>
        <v>0</v>
      </c>
      <c r="O113" s="94" t="s">
        <v>108</v>
      </c>
      <c r="P113" s="26">
        <f>uurtarief35</f>
        <v>0</v>
      </c>
      <c r="Q113" s="96" t="e">
        <f>IF(ISBLANK(M113),0,L113/ROUND(M113,4))</f>
        <v>#DIV/0!</v>
      </c>
      <c r="R113" s="96" t="e">
        <f>IF(ISBLANK(M113),0,Q113*ROUND(N113,2))</f>
        <v>#DIV/0!</v>
      </c>
      <c r="S113" s="26" t="e">
        <f>ROUND(P113,2)*Q113</f>
        <v>#DIV/0!</v>
      </c>
      <c r="T113" s="96" t="e">
        <f>Q113*dagenperjaar1</f>
        <v>#DIV/0!</v>
      </c>
      <c r="U113" s="27" t="e">
        <f>T113*ROUND(P113,2)</f>
        <v>#DIV/0!</v>
      </c>
    </row>
    <row r="114" spans="1:21" x14ac:dyDescent="0.2">
      <c r="A114" s="93" t="s">
        <v>244</v>
      </c>
      <c r="B114" s="94" t="s">
        <v>42</v>
      </c>
      <c r="C114" s="94" t="s">
        <v>372</v>
      </c>
      <c r="D114" s="94" t="s">
        <v>381</v>
      </c>
      <c r="E114" s="95" t="s">
        <v>374</v>
      </c>
      <c r="F114" s="94" t="s">
        <v>277</v>
      </c>
      <c r="G114" s="94" t="s">
        <v>207</v>
      </c>
      <c r="H114" s="94" t="s">
        <v>10</v>
      </c>
      <c r="I114" s="94" t="s">
        <v>191</v>
      </c>
      <c r="J114" s="94"/>
      <c r="K114" s="96">
        <v>88.440000000000012</v>
      </c>
      <c r="L114" s="96">
        <f>K114*VLOOKUP(H114,dagsoorttabel1,2,FALSE)</f>
        <v>88.440000000000012</v>
      </c>
      <c r="M114" s="97">
        <f>prodnorm24</f>
        <v>0</v>
      </c>
      <c r="N114" s="41">
        <f>dagwerk24</f>
        <v>0</v>
      </c>
      <c r="O114" s="94" t="s">
        <v>108</v>
      </c>
      <c r="P114" s="26">
        <f>uurtarief24</f>
        <v>0</v>
      </c>
      <c r="Q114" s="96" t="e">
        <f>IF(ISBLANK(M114),0,L114/ROUND(M114,4))</f>
        <v>#DIV/0!</v>
      </c>
      <c r="R114" s="96" t="e">
        <f>IF(ISBLANK(M114),0,Q114*ROUND(N114,2))</f>
        <v>#DIV/0!</v>
      </c>
      <c r="S114" s="26" t="e">
        <f>ROUND(P114,2)*Q114</f>
        <v>#DIV/0!</v>
      </c>
      <c r="T114" s="96" t="e">
        <f>Q114*dagenperjaar1</f>
        <v>#DIV/0!</v>
      </c>
      <c r="U114" s="27" t="e">
        <f>T114*ROUND(P114,2)</f>
        <v>#DIV/0!</v>
      </c>
    </row>
    <row r="115" spans="1:21" x14ac:dyDescent="0.2">
      <c r="A115" s="93" t="s">
        <v>244</v>
      </c>
      <c r="B115" s="94" t="s">
        <v>42</v>
      </c>
      <c r="C115" s="94" t="s">
        <v>372</v>
      </c>
      <c r="D115" s="94" t="s">
        <v>381</v>
      </c>
      <c r="E115" s="95" t="s">
        <v>374</v>
      </c>
      <c r="F115" s="94" t="s">
        <v>277</v>
      </c>
      <c r="G115" s="94" t="s">
        <v>227</v>
      </c>
      <c r="H115" s="94" t="s">
        <v>24</v>
      </c>
      <c r="I115" s="94" t="s">
        <v>191</v>
      </c>
      <c r="J115" s="94"/>
      <c r="K115" s="96">
        <v>88.440000000000012</v>
      </c>
      <c r="L115" s="96">
        <f>K115*VLOOKUP(H115,dagsoorttabel1,2,FALSE)</f>
        <v>0.44220000000000009</v>
      </c>
      <c r="M115" s="97">
        <f>prodnorm35</f>
        <v>0</v>
      </c>
      <c r="N115" s="41">
        <f>dagwerk35</f>
        <v>0</v>
      </c>
      <c r="O115" s="94" t="s">
        <v>108</v>
      </c>
      <c r="P115" s="26">
        <f>uurtarief35</f>
        <v>0</v>
      </c>
      <c r="Q115" s="96" t="e">
        <f>IF(ISBLANK(M115),0,L115/ROUND(M115,4))</f>
        <v>#DIV/0!</v>
      </c>
      <c r="R115" s="96" t="e">
        <f>IF(ISBLANK(M115),0,Q115*ROUND(N115,2))</f>
        <v>#DIV/0!</v>
      </c>
      <c r="S115" s="26" t="e">
        <f>ROUND(P115,2)*Q115</f>
        <v>#DIV/0!</v>
      </c>
      <c r="T115" s="96" t="e">
        <f>Q115*dagenperjaar1</f>
        <v>#DIV/0!</v>
      </c>
      <c r="U115" s="27" t="e">
        <f>T115*ROUND(P115,2)</f>
        <v>#DIV/0!</v>
      </c>
    </row>
    <row r="116" spans="1:21" x14ac:dyDescent="0.2">
      <c r="A116" s="93" t="s">
        <v>244</v>
      </c>
      <c r="B116" s="94" t="s">
        <v>42</v>
      </c>
      <c r="C116" s="94" t="s">
        <v>372</v>
      </c>
      <c r="D116" s="94" t="s">
        <v>382</v>
      </c>
      <c r="E116" s="95" t="s">
        <v>374</v>
      </c>
      <c r="F116" s="94" t="s">
        <v>277</v>
      </c>
      <c r="G116" s="94" t="s">
        <v>207</v>
      </c>
      <c r="H116" s="94" t="s">
        <v>10</v>
      </c>
      <c r="I116" s="94" t="s">
        <v>191</v>
      </c>
      <c r="J116" s="94"/>
      <c r="K116" s="96">
        <v>40.369999999999997</v>
      </c>
      <c r="L116" s="96">
        <f>K116*VLOOKUP(H116,dagsoorttabel1,2,FALSE)</f>
        <v>40.369999999999997</v>
      </c>
      <c r="M116" s="97">
        <f>prodnorm24</f>
        <v>0</v>
      </c>
      <c r="N116" s="41">
        <f>dagwerk24</f>
        <v>0</v>
      </c>
      <c r="O116" s="94" t="s">
        <v>108</v>
      </c>
      <c r="P116" s="26">
        <f>uurtarief24</f>
        <v>0</v>
      </c>
      <c r="Q116" s="96" t="e">
        <f>IF(ISBLANK(M116),0,L116/ROUND(M116,4))</f>
        <v>#DIV/0!</v>
      </c>
      <c r="R116" s="96" t="e">
        <f>IF(ISBLANK(M116),0,Q116*ROUND(N116,2))</f>
        <v>#DIV/0!</v>
      </c>
      <c r="S116" s="26" t="e">
        <f>ROUND(P116,2)*Q116</f>
        <v>#DIV/0!</v>
      </c>
      <c r="T116" s="96" t="e">
        <f>Q116*dagenperjaar1</f>
        <v>#DIV/0!</v>
      </c>
      <c r="U116" s="27" t="e">
        <f>T116*ROUND(P116,2)</f>
        <v>#DIV/0!</v>
      </c>
    </row>
    <row r="117" spans="1:21" x14ac:dyDescent="0.2">
      <c r="A117" s="93" t="s">
        <v>244</v>
      </c>
      <c r="B117" s="94" t="s">
        <v>42</v>
      </c>
      <c r="C117" s="94" t="s">
        <v>372</v>
      </c>
      <c r="D117" s="94" t="s">
        <v>382</v>
      </c>
      <c r="E117" s="95" t="s">
        <v>374</v>
      </c>
      <c r="F117" s="94" t="s">
        <v>277</v>
      </c>
      <c r="G117" s="94" t="s">
        <v>227</v>
      </c>
      <c r="H117" s="94" t="s">
        <v>24</v>
      </c>
      <c r="I117" s="94" t="s">
        <v>191</v>
      </c>
      <c r="J117" s="94"/>
      <c r="K117" s="96">
        <v>40.369999999999997</v>
      </c>
      <c r="L117" s="96">
        <f>K117*VLOOKUP(H117,dagsoorttabel1,2,FALSE)</f>
        <v>0.20185</v>
      </c>
      <c r="M117" s="97">
        <f>prodnorm35</f>
        <v>0</v>
      </c>
      <c r="N117" s="41">
        <f>dagwerk35</f>
        <v>0</v>
      </c>
      <c r="O117" s="94" t="s">
        <v>108</v>
      </c>
      <c r="P117" s="26">
        <f>uurtarief35</f>
        <v>0</v>
      </c>
      <c r="Q117" s="96" t="e">
        <f>IF(ISBLANK(M117),0,L117/ROUND(M117,4))</f>
        <v>#DIV/0!</v>
      </c>
      <c r="R117" s="96" t="e">
        <f>IF(ISBLANK(M117),0,Q117*ROUND(N117,2))</f>
        <v>#DIV/0!</v>
      </c>
      <c r="S117" s="26" t="e">
        <f>ROUND(P117,2)*Q117</f>
        <v>#DIV/0!</v>
      </c>
      <c r="T117" s="96" t="e">
        <f>Q117*dagenperjaar1</f>
        <v>#DIV/0!</v>
      </c>
      <c r="U117" s="27" t="e">
        <f>T117*ROUND(P117,2)</f>
        <v>#DIV/0!</v>
      </c>
    </row>
    <row r="118" spans="1:21" x14ac:dyDescent="0.2">
      <c r="A118" s="93" t="s">
        <v>244</v>
      </c>
      <c r="B118" s="94" t="s">
        <v>42</v>
      </c>
      <c r="C118" s="94" t="s">
        <v>372</v>
      </c>
      <c r="D118" s="94" t="s">
        <v>383</v>
      </c>
      <c r="E118" s="95" t="s">
        <v>384</v>
      </c>
      <c r="F118" s="94" t="s">
        <v>277</v>
      </c>
      <c r="G118" s="94" t="s">
        <v>225</v>
      </c>
      <c r="H118" s="94" t="s">
        <v>10</v>
      </c>
      <c r="I118" s="94" t="s">
        <v>191</v>
      </c>
      <c r="J118" s="94"/>
      <c r="K118" s="96">
        <v>17.7</v>
      </c>
      <c r="L118" s="96">
        <f>K118*VLOOKUP(H118,dagsoorttabel1,2,FALSE)</f>
        <v>17.7</v>
      </c>
      <c r="M118" s="97">
        <f>prodnorm34</f>
        <v>0</v>
      </c>
      <c r="N118" s="41">
        <f>dagwerk34</f>
        <v>0</v>
      </c>
      <c r="O118" s="94" t="s">
        <v>108</v>
      </c>
      <c r="P118" s="26">
        <f>uurtarief34</f>
        <v>0</v>
      </c>
      <c r="Q118" s="96" t="e">
        <f>IF(ISBLANK(M118),0,L118/ROUND(M118,4))</f>
        <v>#DIV/0!</v>
      </c>
      <c r="R118" s="96" t="e">
        <f>IF(ISBLANK(M118),0,Q118*ROUND(N118,2))</f>
        <v>#DIV/0!</v>
      </c>
      <c r="S118" s="26" t="e">
        <f>ROUND(P118,2)*Q118</f>
        <v>#DIV/0!</v>
      </c>
      <c r="T118" s="96" t="e">
        <f>Q118*dagenperjaar1</f>
        <v>#DIV/0!</v>
      </c>
      <c r="U118" s="27" t="e">
        <f>T118*ROUND(P118,2)</f>
        <v>#DIV/0!</v>
      </c>
    </row>
    <row r="119" spans="1:21" x14ac:dyDescent="0.2">
      <c r="A119" s="93" t="s">
        <v>244</v>
      </c>
      <c r="B119" s="94" t="s">
        <v>42</v>
      </c>
      <c r="C119" s="94" t="s">
        <v>372</v>
      </c>
      <c r="D119" s="94" t="s">
        <v>383</v>
      </c>
      <c r="E119" s="95" t="s">
        <v>384</v>
      </c>
      <c r="F119" s="94" t="s">
        <v>277</v>
      </c>
      <c r="G119" s="94" t="s">
        <v>227</v>
      </c>
      <c r="H119" s="94" t="s">
        <v>24</v>
      </c>
      <c r="I119" s="94" t="s">
        <v>191</v>
      </c>
      <c r="J119" s="94"/>
      <c r="K119" s="96">
        <v>17.7</v>
      </c>
      <c r="L119" s="96">
        <f>K119*VLOOKUP(H119,dagsoorttabel1,2,FALSE)</f>
        <v>8.8499999999999995E-2</v>
      </c>
      <c r="M119" s="97">
        <f>prodnorm35</f>
        <v>0</v>
      </c>
      <c r="N119" s="41">
        <f>dagwerk35</f>
        <v>0</v>
      </c>
      <c r="O119" s="94" t="s">
        <v>108</v>
      </c>
      <c r="P119" s="26">
        <f>uurtarief35</f>
        <v>0</v>
      </c>
      <c r="Q119" s="96" t="e">
        <f>IF(ISBLANK(M119),0,L119/ROUND(M119,4))</f>
        <v>#DIV/0!</v>
      </c>
      <c r="R119" s="96" t="e">
        <f>IF(ISBLANK(M119),0,Q119*ROUND(N119,2))</f>
        <v>#DIV/0!</v>
      </c>
      <c r="S119" s="26" t="e">
        <f>ROUND(P119,2)*Q119</f>
        <v>#DIV/0!</v>
      </c>
      <c r="T119" s="96" t="e">
        <f>Q119*dagenperjaar1</f>
        <v>#DIV/0!</v>
      </c>
      <c r="U119" s="27" t="e">
        <f>T119*ROUND(P119,2)</f>
        <v>#DIV/0!</v>
      </c>
    </row>
    <row r="120" spans="1:21" x14ac:dyDescent="0.2">
      <c r="A120" s="93" t="s">
        <v>244</v>
      </c>
      <c r="B120" s="94" t="s">
        <v>42</v>
      </c>
      <c r="C120" s="94" t="s">
        <v>372</v>
      </c>
      <c r="D120" s="94" t="s">
        <v>385</v>
      </c>
      <c r="E120" s="95" t="s">
        <v>273</v>
      </c>
      <c r="F120" s="94" t="s">
        <v>277</v>
      </c>
      <c r="G120" s="94" t="s">
        <v>193</v>
      </c>
      <c r="H120" s="94" t="s">
        <v>14</v>
      </c>
      <c r="I120" s="94" t="s">
        <v>191</v>
      </c>
      <c r="J120" s="94"/>
      <c r="K120" s="96">
        <v>56</v>
      </c>
      <c r="L120" s="96">
        <f>K120*VLOOKUP(H120,dagsoorttabel1,2,FALSE)</f>
        <v>22.400000000000002</v>
      </c>
      <c r="M120" s="97">
        <f>prodnorm15</f>
        <v>0</v>
      </c>
      <c r="N120" s="41">
        <f>dagwerk15</f>
        <v>0</v>
      </c>
      <c r="O120" s="94" t="s">
        <v>108</v>
      </c>
      <c r="P120" s="26">
        <f>uurtarief15</f>
        <v>0</v>
      </c>
      <c r="Q120" s="96" t="e">
        <f>IF(ISBLANK(M120),0,L120/ROUND(M120,4))</f>
        <v>#DIV/0!</v>
      </c>
      <c r="R120" s="96" t="e">
        <f>IF(ISBLANK(M120),0,Q120*ROUND(N120,2))</f>
        <v>#DIV/0!</v>
      </c>
      <c r="S120" s="26" t="e">
        <f>ROUND(P120,2)*Q120</f>
        <v>#DIV/0!</v>
      </c>
      <c r="T120" s="96" t="e">
        <f>Q120*dagenperjaar1</f>
        <v>#DIV/0!</v>
      </c>
      <c r="U120" s="27" t="e">
        <f>T120*ROUND(P120,2)</f>
        <v>#DIV/0!</v>
      </c>
    </row>
    <row r="121" spans="1:21" x14ac:dyDescent="0.2">
      <c r="A121" s="93" t="s">
        <v>244</v>
      </c>
      <c r="B121" s="94" t="s">
        <v>42</v>
      </c>
      <c r="C121" s="94" t="s">
        <v>372</v>
      </c>
      <c r="D121" s="94" t="s">
        <v>385</v>
      </c>
      <c r="E121" s="95" t="s">
        <v>273</v>
      </c>
      <c r="F121" s="94" t="s">
        <v>277</v>
      </c>
      <c r="G121" s="94" t="s">
        <v>227</v>
      </c>
      <c r="H121" s="94" t="s">
        <v>24</v>
      </c>
      <c r="I121" s="94" t="s">
        <v>191</v>
      </c>
      <c r="J121" s="94"/>
      <c r="K121" s="96">
        <v>56</v>
      </c>
      <c r="L121" s="96">
        <f>K121*VLOOKUP(H121,dagsoorttabel1,2,FALSE)</f>
        <v>0.28000000000000003</v>
      </c>
      <c r="M121" s="97">
        <f>prodnorm35</f>
        <v>0</v>
      </c>
      <c r="N121" s="41">
        <f>dagwerk35</f>
        <v>0</v>
      </c>
      <c r="O121" s="94" t="s">
        <v>108</v>
      </c>
      <c r="P121" s="26">
        <f>uurtarief35</f>
        <v>0</v>
      </c>
      <c r="Q121" s="96" t="e">
        <f>IF(ISBLANK(M121),0,L121/ROUND(M121,4))</f>
        <v>#DIV/0!</v>
      </c>
      <c r="R121" s="96" t="e">
        <f>IF(ISBLANK(M121),0,Q121*ROUND(N121,2))</f>
        <v>#DIV/0!</v>
      </c>
      <c r="S121" s="26" t="e">
        <f>ROUND(P121,2)*Q121</f>
        <v>#DIV/0!</v>
      </c>
      <c r="T121" s="96" t="e">
        <f>Q121*dagenperjaar1</f>
        <v>#DIV/0!</v>
      </c>
      <c r="U121" s="27" t="e">
        <f>T121*ROUND(P121,2)</f>
        <v>#DIV/0!</v>
      </c>
    </row>
    <row r="122" spans="1:21" x14ac:dyDescent="0.2">
      <c r="A122" s="93" t="s">
        <v>244</v>
      </c>
      <c r="B122" s="94" t="s">
        <v>42</v>
      </c>
      <c r="C122" s="94" t="s">
        <v>372</v>
      </c>
      <c r="D122" s="94" t="s">
        <v>386</v>
      </c>
      <c r="E122" s="95" t="s">
        <v>387</v>
      </c>
      <c r="F122" s="94" t="s">
        <v>277</v>
      </c>
      <c r="G122" s="94" t="s">
        <v>190</v>
      </c>
      <c r="H122" s="94" t="s">
        <v>10</v>
      </c>
      <c r="I122" s="94" t="s">
        <v>191</v>
      </c>
      <c r="J122" s="94"/>
      <c r="K122" s="96">
        <v>145.55000000000001</v>
      </c>
      <c r="L122" s="96">
        <f>K122*VLOOKUP(H122,dagsoorttabel1,2,FALSE)</f>
        <v>145.55000000000001</v>
      </c>
      <c r="M122" s="97">
        <f>prodnorm12</f>
        <v>0</v>
      </c>
      <c r="N122" s="41">
        <f>dagwerk12</f>
        <v>0</v>
      </c>
      <c r="O122" s="94" t="s">
        <v>108</v>
      </c>
      <c r="P122" s="26">
        <f>uurtarief12</f>
        <v>0</v>
      </c>
      <c r="Q122" s="96" t="e">
        <f>IF(ISBLANK(M122),0,L122/ROUND(M122,4))</f>
        <v>#DIV/0!</v>
      </c>
      <c r="R122" s="96" t="e">
        <f>IF(ISBLANK(M122),0,Q122*ROUND(N122,2))</f>
        <v>#DIV/0!</v>
      </c>
      <c r="S122" s="26" t="e">
        <f>ROUND(P122,2)*Q122</f>
        <v>#DIV/0!</v>
      </c>
      <c r="T122" s="96" t="e">
        <f>Q122*dagenperjaar1</f>
        <v>#DIV/0!</v>
      </c>
      <c r="U122" s="27" t="e">
        <f>T122*ROUND(P122,2)</f>
        <v>#DIV/0!</v>
      </c>
    </row>
    <row r="123" spans="1:21" x14ac:dyDescent="0.2">
      <c r="A123" s="93" t="s">
        <v>244</v>
      </c>
      <c r="B123" s="94" t="s">
        <v>42</v>
      </c>
      <c r="C123" s="94" t="s">
        <v>372</v>
      </c>
      <c r="D123" s="94" t="s">
        <v>386</v>
      </c>
      <c r="E123" s="95" t="s">
        <v>387</v>
      </c>
      <c r="F123" s="94" t="s">
        <v>277</v>
      </c>
      <c r="G123" s="94" t="s">
        <v>227</v>
      </c>
      <c r="H123" s="94" t="s">
        <v>24</v>
      </c>
      <c r="I123" s="94" t="s">
        <v>191</v>
      </c>
      <c r="J123" s="94"/>
      <c r="K123" s="96">
        <v>145.55000000000001</v>
      </c>
      <c r="L123" s="96">
        <f>K123*VLOOKUP(H123,dagsoorttabel1,2,FALSE)</f>
        <v>0.72775000000000012</v>
      </c>
      <c r="M123" s="97">
        <f>prodnorm35</f>
        <v>0</v>
      </c>
      <c r="N123" s="41">
        <f>dagwerk35</f>
        <v>0</v>
      </c>
      <c r="O123" s="94" t="s">
        <v>108</v>
      </c>
      <c r="P123" s="26">
        <f>uurtarief35</f>
        <v>0</v>
      </c>
      <c r="Q123" s="96" t="e">
        <f>IF(ISBLANK(M123),0,L123/ROUND(M123,4))</f>
        <v>#DIV/0!</v>
      </c>
      <c r="R123" s="96" t="e">
        <f>IF(ISBLANK(M123),0,Q123*ROUND(N123,2))</f>
        <v>#DIV/0!</v>
      </c>
      <c r="S123" s="26" t="e">
        <f>ROUND(P123,2)*Q123</f>
        <v>#DIV/0!</v>
      </c>
      <c r="T123" s="96" t="e">
        <f>Q123*dagenperjaar1</f>
        <v>#DIV/0!</v>
      </c>
      <c r="U123" s="27" t="e">
        <f>T123*ROUND(P123,2)</f>
        <v>#DIV/0!</v>
      </c>
    </row>
    <row r="124" spans="1:21" x14ac:dyDescent="0.2">
      <c r="A124" s="93" t="s">
        <v>244</v>
      </c>
      <c r="B124" s="94" t="s">
        <v>42</v>
      </c>
      <c r="C124" s="94" t="s">
        <v>372</v>
      </c>
      <c r="D124" s="94" t="s">
        <v>388</v>
      </c>
      <c r="E124" s="95" t="s">
        <v>389</v>
      </c>
      <c r="F124" s="94" t="s">
        <v>296</v>
      </c>
      <c r="G124" s="94" t="s">
        <v>207</v>
      </c>
      <c r="H124" s="94" t="s">
        <v>10</v>
      </c>
      <c r="I124" s="94" t="s">
        <v>191</v>
      </c>
      <c r="J124" s="94"/>
      <c r="K124" s="96">
        <v>78</v>
      </c>
      <c r="L124" s="96">
        <f>K124*VLOOKUP(H124,dagsoorttabel1,2,FALSE)</f>
        <v>78</v>
      </c>
      <c r="M124" s="97">
        <f>prodnorm24</f>
        <v>0</v>
      </c>
      <c r="N124" s="41">
        <f>dagwerk24</f>
        <v>0</v>
      </c>
      <c r="O124" s="94" t="s">
        <v>108</v>
      </c>
      <c r="P124" s="26">
        <f>uurtarief24</f>
        <v>0</v>
      </c>
      <c r="Q124" s="96" t="e">
        <f>IF(ISBLANK(M124),0,L124/ROUND(M124,4))</f>
        <v>#DIV/0!</v>
      </c>
      <c r="R124" s="96" t="e">
        <f>IF(ISBLANK(M124),0,Q124*ROUND(N124,2))</f>
        <v>#DIV/0!</v>
      </c>
      <c r="S124" s="26" t="e">
        <f>ROUND(P124,2)*Q124</f>
        <v>#DIV/0!</v>
      </c>
      <c r="T124" s="96" t="e">
        <f>Q124*dagenperjaar1</f>
        <v>#DIV/0!</v>
      </c>
      <c r="U124" s="27" t="e">
        <f>T124*ROUND(P124,2)</f>
        <v>#DIV/0!</v>
      </c>
    </row>
    <row r="125" spans="1:21" x14ac:dyDescent="0.2">
      <c r="A125" s="93" t="s">
        <v>244</v>
      </c>
      <c r="B125" s="94" t="s">
        <v>42</v>
      </c>
      <c r="C125" s="94" t="s">
        <v>372</v>
      </c>
      <c r="D125" s="94" t="s">
        <v>390</v>
      </c>
      <c r="E125" s="95" t="s">
        <v>391</v>
      </c>
      <c r="F125" s="94" t="s">
        <v>277</v>
      </c>
      <c r="G125" s="94" t="s">
        <v>193</v>
      </c>
      <c r="H125" s="94" t="s">
        <v>14</v>
      </c>
      <c r="I125" s="94" t="s">
        <v>191</v>
      </c>
      <c r="J125" s="94"/>
      <c r="K125" s="96">
        <v>47</v>
      </c>
      <c r="L125" s="96">
        <f>K125*VLOOKUP(H125,dagsoorttabel1,2,FALSE)</f>
        <v>18.8</v>
      </c>
      <c r="M125" s="97">
        <f>prodnorm15</f>
        <v>0</v>
      </c>
      <c r="N125" s="41">
        <f>dagwerk15</f>
        <v>0</v>
      </c>
      <c r="O125" s="94" t="s">
        <v>108</v>
      </c>
      <c r="P125" s="26">
        <f>uurtarief15</f>
        <v>0</v>
      </c>
      <c r="Q125" s="96" t="e">
        <f>IF(ISBLANK(M125),0,L125/ROUND(M125,4))</f>
        <v>#DIV/0!</v>
      </c>
      <c r="R125" s="96" t="e">
        <f>IF(ISBLANK(M125),0,Q125*ROUND(N125,2))</f>
        <v>#DIV/0!</v>
      </c>
      <c r="S125" s="26" t="e">
        <f>ROUND(P125,2)*Q125</f>
        <v>#DIV/0!</v>
      </c>
      <c r="T125" s="96" t="e">
        <f>Q125*dagenperjaar1</f>
        <v>#DIV/0!</v>
      </c>
      <c r="U125" s="27" t="e">
        <f>T125*ROUND(P125,2)</f>
        <v>#DIV/0!</v>
      </c>
    </row>
    <row r="126" spans="1:21" x14ac:dyDescent="0.2">
      <c r="A126" s="93" t="s">
        <v>244</v>
      </c>
      <c r="B126" s="94" t="s">
        <v>42</v>
      </c>
      <c r="C126" s="94" t="s">
        <v>372</v>
      </c>
      <c r="D126" s="94" t="s">
        <v>390</v>
      </c>
      <c r="E126" s="95" t="s">
        <v>391</v>
      </c>
      <c r="F126" s="94" t="s">
        <v>277</v>
      </c>
      <c r="G126" s="94" t="s">
        <v>227</v>
      </c>
      <c r="H126" s="94" t="s">
        <v>24</v>
      </c>
      <c r="I126" s="94" t="s">
        <v>191</v>
      </c>
      <c r="J126" s="94"/>
      <c r="K126" s="96">
        <v>47</v>
      </c>
      <c r="L126" s="96">
        <f>K126*VLOOKUP(H126,dagsoorttabel1,2,FALSE)</f>
        <v>0.23500000000000001</v>
      </c>
      <c r="M126" s="97">
        <f>prodnorm35</f>
        <v>0</v>
      </c>
      <c r="N126" s="41">
        <f>dagwerk35</f>
        <v>0</v>
      </c>
      <c r="O126" s="94" t="s">
        <v>108</v>
      </c>
      <c r="P126" s="26">
        <f>uurtarief35</f>
        <v>0</v>
      </c>
      <c r="Q126" s="96" t="e">
        <f>IF(ISBLANK(M126),0,L126/ROUND(M126,4))</f>
        <v>#DIV/0!</v>
      </c>
      <c r="R126" s="96" t="e">
        <f>IF(ISBLANK(M126),0,Q126*ROUND(N126,2))</f>
        <v>#DIV/0!</v>
      </c>
      <c r="S126" s="26" t="e">
        <f>ROUND(P126,2)*Q126</f>
        <v>#DIV/0!</v>
      </c>
      <c r="T126" s="96" t="e">
        <f>Q126*dagenperjaar1</f>
        <v>#DIV/0!</v>
      </c>
      <c r="U126" s="27" t="e">
        <f>T126*ROUND(P126,2)</f>
        <v>#DIV/0!</v>
      </c>
    </row>
    <row r="127" spans="1:21" x14ac:dyDescent="0.2">
      <c r="A127" s="93" t="s">
        <v>244</v>
      </c>
      <c r="B127" s="94" t="s">
        <v>42</v>
      </c>
      <c r="C127" s="94" t="s">
        <v>372</v>
      </c>
      <c r="D127" s="94" t="s">
        <v>392</v>
      </c>
      <c r="E127" s="95" t="s">
        <v>393</v>
      </c>
      <c r="F127" s="94" t="s">
        <v>296</v>
      </c>
      <c r="G127" s="94" t="s">
        <v>217</v>
      </c>
      <c r="H127" s="94" t="s">
        <v>10</v>
      </c>
      <c r="I127" s="94" t="s">
        <v>191</v>
      </c>
      <c r="J127" s="94"/>
      <c r="K127" s="96">
        <v>59</v>
      </c>
      <c r="L127" s="96">
        <f>K127*VLOOKUP(H127,dagsoorttabel1,2,FALSE)</f>
        <v>59</v>
      </c>
      <c r="M127" s="97">
        <f>prodnorm29</f>
        <v>0</v>
      </c>
      <c r="N127" s="41">
        <f>dagwerk29</f>
        <v>0</v>
      </c>
      <c r="O127" s="94" t="s">
        <v>108</v>
      </c>
      <c r="P127" s="26">
        <f>uurtarief29</f>
        <v>0</v>
      </c>
      <c r="Q127" s="96" t="e">
        <f>IF(ISBLANK(M127),0,L127/ROUND(M127,4))</f>
        <v>#DIV/0!</v>
      </c>
      <c r="R127" s="96" t="e">
        <f>IF(ISBLANK(M127),0,Q127*ROUND(N127,2))</f>
        <v>#DIV/0!</v>
      </c>
      <c r="S127" s="26" t="e">
        <f>ROUND(P127,2)*Q127</f>
        <v>#DIV/0!</v>
      </c>
      <c r="T127" s="96" t="e">
        <f>Q127*dagenperjaar1</f>
        <v>#DIV/0!</v>
      </c>
      <c r="U127" s="27" t="e">
        <f>T127*ROUND(P127,2)</f>
        <v>#DIV/0!</v>
      </c>
    </row>
    <row r="128" spans="1:21" x14ac:dyDescent="0.2">
      <c r="A128" s="93" t="s">
        <v>244</v>
      </c>
      <c r="B128" s="94" t="s">
        <v>42</v>
      </c>
      <c r="C128" s="94" t="s">
        <v>372</v>
      </c>
      <c r="D128" s="94" t="s">
        <v>394</v>
      </c>
      <c r="E128" s="95" t="s">
        <v>395</v>
      </c>
      <c r="F128" s="94" t="s">
        <v>296</v>
      </c>
      <c r="G128" s="94" t="s">
        <v>217</v>
      </c>
      <c r="H128" s="94" t="s">
        <v>10</v>
      </c>
      <c r="I128" s="94" t="s">
        <v>191</v>
      </c>
      <c r="J128" s="94"/>
      <c r="K128" s="96">
        <v>86.36</v>
      </c>
      <c r="L128" s="96">
        <f>K128*VLOOKUP(H128,dagsoorttabel1,2,FALSE)</f>
        <v>86.36</v>
      </c>
      <c r="M128" s="97">
        <f>prodnorm29</f>
        <v>0</v>
      </c>
      <c r="N128" s="41">
        <f>dagwerk29</f>
        <v>0</v>
      </c>
      <c r="O128" s="94" t="s">
        <v>108</v>
      </c>
      <c r="P128" s="26">
        <f>uurtarief29</f>
        <v>0</v>
      </c>
      <c r="Q128" s="96" t="e">
        <f>IF(ISBLANK(M128),0,L128/ROUND(M128,4))</f>
        <v>#DIV/0!</v>
      </c>
      <c r="R128" s="96" t="e">
        <f>IF(ISBLANK(M128),0,Q128*ROUND(N128,2))</f>
        <v>#DIV/0!</v>
      </c>
      <c r="S128" s="26" t="e">
        <f>ROUND(P128,2)*Q128</f>
        <v>#DIV/0!</v>
      </c>
      <c r="T128" s="96" t="e">
        <f>Q128*dagenperjaar1</f>
        <v>#DIV/0!</v>
      </c>
      <c r="U128" s="27" t="e">
        <f>T128*ROUND(P128,2)</f>
        <v>#DIV/0!</v>
      </c>
    </row>
    <row r="129" spans="1:21" x14ac:dyDescent="0.2">
      <c r="A129" s="93" t="s">
        <v>244</v>
      </c>
      <c r="B129" s="94" t="s">
        <v>42</v>
      </c>
      <c r="C129" s="94" t="s">
        <v>372</v>
      </c>
      <c r="D129" s="94" t="s">
        <v>396</v>
      </c>
      <c r="E129" s="95" t="s">
        <v>397</v>
      </c>
      <c r="F129" s="94" t="s">
        <v>269</v>
      </c>
      <c r="G129" s="94" t="s">
        <v>225</v>
      </c>
      <c r="H129" s="94" t="s">
        <v>10</v>
      </c>
      <c r="I129" s="94" t="s">
        <v>191</v>
      </c>
      <c r="J129" s="94"/>
      <c r="K129" s="96">
        <v>49.64</v>
      </c>
      <c r="L129" s="96">
        <f>K129*VLOOKUP(H129,dagsoorttabel1,2,FALSE)</f>
        <v>49.64</v>
      </c>
      <c r="M129" s="97">
        <f>prodnorm34</f>
        <v>0</v>
      </c>
      <c r="N129" s="41">
        <f>dagwerk34</f>
        <v>0</v>
      </c>
      <c r="O129" s="94" t="s">
        <v>108</v>
      </c>
      <c r="P129" s="26">
        <f>uurtarief34</f>
        <v>0</v>
      </c>
      <c r="Q129" s="96" t="e">
        <f>IF(ISBLANK(M129),0,L129/ROUND(M129,4))</f>
        <v>#DIV/0!</v>
      </c>
      <c r="R129" s="96" t="e">
        <f>IF(ISBLANK(M129),0,Q129*ROUND(N129,2))</f>
        <v>#DIV/0!</v>
      </c>
      <c r="S129" s="26" t="e">
        <f>ROUND(P129,2)*Q129</f>
        <v>#DIV/0!</v>
      </c>
      <c r="T129" s="96" t="e">
        <f>Q129*dagenperjaar1</f>
        <v>#DIV/0!</v>
      </c>
      <c r="U129" s="27" t="e">
        <f>T129*ROUND(P129,2)</f>
        <v>#DIV/0!</v>
      </c>
    </row>
    <row r="130" spans="1:21" x14ac:dyDescent="0.2">
      <c r="A130" s="93" t="s">
        <v>244</v>
      </c>
      <c r="B130" s="94" t="s">
        <v>42</v>
      </c>
      <c r="C130" s="94" t="s">
        <v>372</v>
      </c>
      <c r="D130" s="94" t="s">
        <v>398</v>
      </c>
      <c r="E130" s="95" t="s">
        <v>399</v>
      </c>
      <c r="F130" s="94" t="s">
        <v>277</v>
      </c>
      <c r="G130" s="94" t="s">
        <v>207</v>
      </c>
      <c r="H130" s="94" t="s">
        <v>10</v>
      </c>
      <c r="I130" s="94" t="s">
        <v>191</v>
      </c>
      <c r="J130" s="94"/>
      <c r="K130" s="96">
        <v>44.220000000000006</v>
      </c>
      <c r="L130" s="96">
        <f>K130*VLOOKUP(H130,dagsoorttabel1,2,FALSE)</f>
        <v>44.220000000000006</v>
      </c>
      <c r="M130" s="97">
        <f>prodnorm24</f>
        <v>0</v>
      </c>
      <c r="N130" s="41">
        <f>dagwerk24</f>
        <v>0</v>
      </c>
      <c r="O130" s="94" t="s">
        <v>108</v>
      </c>
      <c r="P130" s="26">
        <f>uurtarief24</f>
        <v>0</v>
      </c>
      <c r="Q130" s="96" t="e">
        <f>IF(ISBLANK(M130),0,L130/ROUND(M130,4))</f>
        <v>#DIV/0!</v>
      </c>
      <c r="R130" s="96" t="e">
        <f>IF(ISBLANK(M130),0,Q130*ROUND(N130,2))</f>
        <v>#DIV/0!</v>
      </c>
      <c r="S130" s="26" t="e">
        <f>ROUND(P130,2)*Q130</f>
        <v>#DIV/0!</v>
      </c>
      <c r="T130" s="96" t="e">
        <f>Q130*dagenperjaar1</f>
        <v>#DIV/0!</v>
      </c>
      <c r="U130" s="27" t="e">
        <f>T130*ROUND(P130,2)</f>
        <v>#DIV/0!</v>
      </c>
    </row>
    <row r="131" spans="1:21" x14ac:dyDescent="0.2">
      <c r="A131" s="93" t="s">
        <v>244</v>
      </c>
      <c r="B131" s="94" t="s">
        <v>42</v>
      </c>
      <c r="C131" s="94" t="s">
        <v>372</v>
      </c>
      <c r="D131" s="94" t="s">
        <v>398</v>
      </c>
      <c r="E131" s="95" t="s">
        <v>399</v>
      </c>
      <c r="F131" s="94" t="s">
        <v>277</v>
      </c>
      <c r="G131" s="94" t="s">
        <v>227</v>
      </c>
      <c r="H131" s="94" t="s">
        <v>24</v>
      </c>
      <c r="I131" s="94" t="s">
        <v>191</v>
      </c>
      <c r="J131" s="94"/>
      <c r="K131" s="96">
        <v>44.220000000000006</v>
      </c>
      <c r="L131" s="96">
        <f>K131*VLOOKUP(H131,dagsoorttabel1,2,FALSE)</f>
        <v>0.22110000000000005</v>
      </c>
      <c r="M131" s="97">
        <f>prodnorm35</f>
        <v>0</v>
      </c>
      <c r="N131" s="41">
        <f>dagwerk35</f>
        <v>0</v>
      </c>
      <c r="O131" s="94" t="s">
        <v>108</v>
      </c>
      <c r="P131" s="26">
        <f>uurtarief35</f>
        <v>0</v>
      </c>
      <c r="Q131" s="96" t="e">
        <f>IF(ISBLANK(M131),0,L131/ROUND(M131,4))</f>
        <v>#DIV/0!</v>
      </c>
      <c r="R131" s="96" t="e">
        <f>IF(ISBLANK(M131),0,Q131*ROUND(N131,2))</f>
        <v>#DIV/0!</v>
      </c>
      <c r="S131" s="26" t="e">
        <f>ROUND(P131,2)*Q131</f>
        <v>#DIV/0!</v>
      </c>
      <c r="T131" s="96" t="e">
        <f>Q131*dagenperjaar1</f>
        <v>#DIV/0!</v>
      </c>
      <c r="U131" s="27" t="e">
        <f>T131*ROUND(P131,2)</f>
        <v>#DIV/0!</v>
      </c>
    </row>
    <row r="132" spans="1:21" x14ac:dyDescent="0.2">
      <c r="A132" s="93" t="s">
        <v>244</v>
      </c>
      <c r="B132" s="94" t="s">
        <v>42</v>
      </c>
      <c r="C132" s="94" t="s">
        <v>372</v>
      </c>
      <c r="D132" s="94" t="s">
        <v>400</v>
      </c>
      <c r="E132" s="95" t="s">
        <v>294</v>
      </c>
      <c r="F132" s="94" t="s">
        <v>401</v>
      </c>
      <c r="G132" s="94" t="s">
        <v>219</v>
      </c>
      <c r="H132" s="94" t="s">
        <v>10</v>
      </c>
      <c r="I132" s="94" t="s">
        <v>191</v>
      </c>
      <c r="J132" s="94"/>
      <c r="K132" s="96">
        <v>20</v>
      </c>
      <c r="L132" s="96">
        <f>K132*VLOOKUP(H132,dagsoorttabel1,2,FALSE)</f>
        <v>20</v>
      </c>
      <c r="M132" s="97">
        <f>prodnorm30</f>
        <v>0</v>
      </c>
      <c r="N132" s="41">
        <f>dagwerk30</f>
        <v>0</v>
      </c>
      <c r="O132" s="94" t="s">
        <v>108</v>
      </c>
      <c r="P132" s="26">
        <f>uurtarief30</f>
        <v>0</v>
      </c>
      <c r="Q132" s="96" t="e">
        <f>IF(ISBLANK(M132),0,L132/ROUND(M132,4))</f>
        <v>#DIV/0!</v>
      </c>
      <c r="R132" s="96" t="e">
        <f>IF(ISBLANK(M132),0,Q132*ROUND(N132,2))</f>
        <v>#DIV/0!</v>
      </c>
      <c r="S132" s="26" t="e">
        <f>ROUND(P132,2)*Q132</f>
        <v>#DIV/0!</v>
      </c>
      <c r="T132" s="96" t="e">
        <f>Q132*dagenperjaar1</f>
        <v>#DIV/0!</v>
      </c>
      <c r="U132" s="27" t="e">
        <f>T132*ROUND(P132,2)</f>
        <v>#DIV/0!</v>
      </c>
    </row>
    <row r="133" spans="1:21" x14ac:dyDescent="0.2">
      <c r="A133" s="93" t="s">
        <v>244</v>
      </c>
      <c r="B133" s="94" t="s">
        <v>42</v>
      </c>
      <c r="C133" s="94" t="s">
        <v>372</v>
      </c>
      <c r="D133" s="94" t="s">
        <v>400</v>
      </c>
      <c r="E133" s="95" t="s">
        <v>294</v>
      </c>
      <c r="F133" s="94" t="s">
        <v>401</v>
      </c>
      <c r="G133" s="94" t="s">
        <v>221</v>
      </c>
      <c r="H133" s="94" t="s">
        <v>10</v>
      </c>
      <c r="I133" s="94" t="s">
        <v>191</v>
      </c>
      <c r="J133" s="94"/>
      <c r="K133" s="96">
        <v>20</v>
      </c>
      <c r="L133" s="96">
        <f>K133*VLOOKUP(H133,dagsoorttabel1,2,FALSE)</f>
        <v>20</v>
      </c>
      <c r="M133" s="97">
        <f>prodnorm31</f>
        <v>0</v>
      </c>
      <c r="N133" s="41">
        <f>dagwerk31</f>
        <v>0</v>
      </c>
      <c r="O133" s="94" t="s">
        <v>108</v>
      </c>
      <c r="P133" s="26">
        <f>uurtarief31</f>
        <v>0</v>
      </c>
      <c r="Q133" s="96" t="e">
        <f>IF(ISBLANK(M133),0,L133/ROUND(M133,4))</f>
        <v>#DIV/0!</v>
      </c>
      <c r="R133" s="96" t="e">
        <f>IF(ISBLANK(M133),0,Q133*ROUND(N133,2))</f>
        <v>#DIV/0!</v>
      </c>
      <c r="S133" s="26" t="e">
        <f>ROUND(P133,2)*Q133</f>
        <v>#DIV/0!</v>
      </c>
      <c r="T133" s="96" t="e">
        <f>Q133*dagenperjaar1</f>
        <v>#DIV/0!</v>
      </c>
      <c r="U133" s="27" t="e">
        <f>T133*ROUND(P133,2)</f>
        <v>#DIV/0!</v>
      </c>
    </row>
    <row r="134" spans="1:21" x14ac:dyDescent="0.2">
      <c r="A134" s="93" t="s">
        <v>244</v>
      </c>
      <c r="B134" s="94" t="s">
        <v>42</v>
      </c>
      <c r="C134" s="94" t="s">
        <v>372</v>
      </c>
      <c r="D134" s="94" t="s">
        <v>402</v>
      </c>
      <c r="E134" s="95" t="s">
        <v>292</v>
      </c>
      <c r="F134" s="94" t="s">
        <v>401</v>
      </c>
      <c r="G134" s="94" t="s">
        <v>219</v>
      </c>
      <c r="H134" s="94" t="s">
        <v>10</v>
      </c>
      <c r="I134" s="94" t="s">
        <v>191</v>
      </c>
      <c r="J134" s="94"/>
      <c r="K134" s="96">
        <v>20</v>
      </c>
      <c r="L134" s="96">
        <f>K134*VLOOKUP(H134,dagsoorttabel1,2,FALSE)</f>
        <v>20</v>
      </c>
      <c r="M134" s="97">
        <f>prodnorm30</f>
        <v>0</v>
      </c>
      <c r="N134" s="41">
        <f>dagwerk30</f>
        <v>0</v>
      </c>
      <c r="O134" s="94" t="s">
        <v>108</v>
      </c>
      <c r="P134" s="26">
        <f>uurtarief30</f>
        <v>0</v>
      </c>
      <c r="Q134" s="96" t="e">
        <f>IF(ISBLANK(M134),0,L134/ROUND(M134,4))</f>
        <v>#DIV/0!</v>
      </c>
      <c r="R134" s="96" t="e">
        <f>IF(ISBLANK(M134),0,Q134*ROUND(N134,2))</f>
        <v>#DIV/0!</v>
      </c>
      <c r="S134" s="26" t="e">
        <f>ROUND(P134,2)*Q134</f>
        <v>#DIV/0!</v>
      </c>
      <c r="T134" s="96" t="e">
        <f>Q134*dagenperjaar1</f>
        <v>#DIV/0!</v>
      </c>
      <c r="U134" s="27" t="e">
        <f>T134*ROUND(P134,2)</f>
        <v>#DIV/0!</v>
      </c>
    </row>
    <row r="135" spans="1:21" x14ac:dyDescent="0.2">
      <c r="A135" s="93" t="s">
        <v>244</v>
      </c>
      <c r="B135" s="94" t="s">
        <v>42</v>
      </c>
      <c r="C135" s="94" t="s">
        <v>372</v>
      </c>
      <c r="D135" s="94" t="s">
        <v>402</v>
      </c>
      <c r="E135" s="95" t="s">
        <v>292</v>
      </c>
      <c r="F135" s="94" t="s">
        <v>401</v>
      </c>
      <c r="G135" s="94" t="s">
        <v>221</v>
      </c>
      <c r="H135" s="94" t="s">
        <v>10</v>
      </c>
      <c r="I135" s="94" t="s">
        <v>191</v>
      </c>
      <c r="J135" s="94"/>
      <c r="K135" s="96">
        <v>20</v>
      </c>
      <c r="L135" s="96">
        <f>K135*VLOOKUP(H135,dagsoorttabel1,2,FALSE)</f>
        <v>20</v>
      </c>
      <c r="M135" s="97">
        <f>prodnorm31</f>
        <v>0</v>
      </c>
      <c r="N135" s="41">
        <f>dagwerk31</f>
        <v>0</v>
      </c>
      <c r="O135" s="94" t="s">
        <v>108</v>
      </c>
      <c r="P135" s="26">
        <f>uurtarief31</f>
        <v>0</v>
      </c>
      <c r="Q135" s="96" t="e">
        <f>IF(ISBLANK(M135),0,L135/ROUND(M135,4))</f>
        <v>#DIV/0!</v>
      </c>
      <c r="R135" s="96" t="e">
        <f>IF(ISBLANK(M135),0,Q135*ROUND(N135,2))</f>
        <v>#DIV/0!</v>
      </c>
      <c r="S135" s="26" t="e">
        <f>ROUND(P135,2)*Q135</f>
        <v>#DIV/0!</v>
      </c>
      <c r="T135" s="96" t="e">
        <f>Q135*dagenperjaar1</f>
        <v>#DIV/0!</v>
      </c>
      <c r="U135" s="27" t="e">
        <f>T135*ROUND(P135,2)</f>
        <v>#DIV/0!</v>
      </c>
    </row>
    <row r="136" spans="1:21" x14ac:dyDescent="0.2">
      <c r="A136" s="93" t="s">
        <v>244</v>
      </c>
      <c r="B136" s="94" t="s">
        <v>42</v>
      </c>
      <c r="C136" s="94" t="s">
        <v>372</v>
      </c>
      <c r="D136" s="94" t="s">
        <v>403</v>
      </c>
      <c r="E136" s="95" t="s">
        <v>404</v>
      </c>
      <c r="F136" s="94" t="s">
        <v>401</v>
      </c>
      <c r="G136" s="94" t="s">
        <v>219</v>
      </c>
      <c r="H136" s="94" t="s">
        <v>10</v>
      </c>
      <c r="I136" s="94" t="s">
        <v>191</v>
      </c>
      <c r="J136" s="94"/>
      <c r="K136" s="96">
        <v>3.9099999999999997</v>
      </c>
      <c r="L136" s="96">
        <f>K136*VLOOKUP(H136,dagsoorttabel1,2,FALSE)</f>
        <v>3.9099999999999997</v>
      </c>
      <c r="M136" s="97">
        <f>prodnorm30</f>
        <v>0</v>
      </c>
      <c r="N136" s="41">
        <f>dagwerk30</f>
        <v>0</v>
      </c>
      <c r="O136" s="94" t="s">
        <v>108</v>
      </c>
      <c r="P136" s="26">
        <f>uurtarief30</f>
        <v>0</v>
      </c>
      <c r="Q136" s="96" t="e">
        <f>IF(ISBLANK(M136),0,L136/ROUND(M136,4))</f>
        <v>#DIV/0!</v>
      </c>
      <c r="R136" s="96" t="e">
        <f>IF(ISBLANK(M136),0,Q136*ROUND(N136,2))</f>
        <v>#DIV/0!</v>
      </c>
      <c r="S136" s="26" t="e">
        <f>ROUND(P136,2)*Q136</f>
        <v>#DIV/0!</v>
      </c>
      <c r="T136" s="96" t="e">
        <f>Q136*dagenperjaar1</f>
        <v>#DIV/0!</v>
      </c>
      <c r="U136" s="27" t="e">
        <f>T136*ROUND(P136,2)</f>
        <v>#DIV/0!</v>
      </c>
    </row>
    <row r="137" spans="1:21" x14ac:dyDescent="0.2">
      <c r="A137" s="93" t="s">
        <v>244</v>
      </c>
      <c r="B137" s="94" t="s">
        <v>42</v>
      </c>
      <c r="C137" s="94" t="s">
        <v>372</v>
      </c>
      <c r="D137" s="94" t="s">
        <v>405</v>
      </c>
      <c r="E137" s="95" t="s">
        <v>284</v>
      </c>
      <c r="F137" s="94" t="s">
        <v>277</v>
      </c>
      <c r="G137" s="94" t="s">
        <v>225</v>
      </c>
      <c r="H137" s="94" t="s">
        <v>10</v>
      </c>
      <c r="I137" s="94" t="s">
        <v>191</v>
      </c>
      <c r="J137" s="94"/>
      <c r="K137" s="96">
        <v>271.8</v>
      </c>
      <c r="L137" s="96">
        <f>K137*VLOOKUP(H137,dagsoorttabel1,2,FALSE)</f>
        <v>271.8</v>
      </c>
      <c r="M137" s="97">
        <f>prodnorm34</f>
        <v>0</v>
      </c>
      <c r="N137" s="41">
        <f>dagwerk34</f>
        <v>0</v>
      </c>
      <c r="O137" s="94" t="s">
        <v>108</v>
      </c>
      <c r="P137" s="26">
        <f>uurtarief34</f>
        <v>0</v>
      </c>
      <c r="Q137" s="96" t="e">
        <f>IF(ISBLANK(M137),0,L137/ROUND(M137,4))</f>
        <v>#DIV/0!</v>
      </c>
      <c r="R137" s="96" t="e">
        <f>IF(ISBLANK(M137),0,Q137*ROUND(N137,2))</f>
        <v>#DIV/0!</v>
      </c>
      <c r="S137" s="26" t="e">
        <f>ROUND(P137,2)*Q137</f>
        <v>#DIV/0!</v>
      </c>
      <c r="T137" s="96" t="e">
        <f>Q137*dagenperjaar1</f>
        <v>#DIV/0!</v>
      </c>
      <c r="U137" s="27" t="e">
        <f>T137*ROUND(P137,2)</f>
        <v>#DIV/0!</v>
      </c>
    </row>
    <row r="138" spans="1:21" x14ac:dyDescent="0.2">
      <c r="A138" s="93" t="s">
        <v>244</v>
      </c>
      <c r="B138" s="94" t="s">
        <v>42</v>
      </c>
      <c r="C138" s="94" t="s">
        <v>372</v>
      </c>
      <c r="D138" s="94" t="s">
        <v>405</v>
      </c>
      <c r="E138" s="95" t="s">
        <v>284</v>
      </c>
      <c r="F138" s="94" t="s">
        <v>277</v>
      </c>
      <c r="G138" s="94" t="s">
        <v>227</v>
      </c>
      <c r="H138" s="94" t="s">
        <v>24</v>
      </c>
      <c r="I138" s="94" t="s">
        <v>191</v>
      </c>
      <c r="J138" s="94"/>
      <c r="K138" s="96">
        <v>271.8</v>
      </c>
      <c r="L138" s="96">
        <f>K138*VLOOKUP(H138,dagsoorttabel1,2,FALSE)</f>
        <v>1.359</v>
      </c>
      <c r="M138" s="97">
        <f>prodnorm35</f>
        <v>0</v>
      </c>
      <c r="N138" s="41">
        <f>dagwerk35</f>
        <v>0</v>
      </c>
      <c r="O138" s="94" t="s">
        <v>108</v>
      </c>
      <c r="P138" s="26">
        <f>uurtarief35</f>
        <v>0</v>
      </c>
      <c r="Q138" s="96" t="e">
        <f>IF(ISBLANK(M138),0,L138/ROUND(M138,4))</f>
        <v>#DIV/0!</v>
      </c>
      <c r="R138" s="96" t="e">
        <f>IF(ISBLANK(M138),0,Q138*ROUND(N138,2))</f>
        <v>#DIV/0!</v>
      </c>
      <c r="S138" s="26" t="e">
        <f>ROUND(P138,2)*Q138</f>
        <v>#DIV/0!</v>
      </c>
      <c r="T138" s="96" t="e">
        <f>Q138*dagenperjaar1</f>
        <v>#DIV/0!</v>
      </c>
      <c r="U138" s="27" t="e">
        <f>T138*ROUND(P138,2)</f>
        <v>#DIV/0!</v>
      </c>
    </row>
    <row r="139" spans="1:21" x14ac:dyDescent="0.2">
      <c r="A139" s="93" t="s">
        <v>244</v>
      </c>
      <c r="B139" s="94" t="s">
        <v>42</v>
      </c>
      <c r="C139" s="94" t="s">
        <v>372</v>
      </c>
      <c r="D139" s="94" t="s">
        <v>406</v>
      </c>
      <c r="E139" s="95" t="s">
        <v>407</v>
      </c>
      <c r="F139" s="94" t="s">
        <v>263</v>
      </c>
      <c r="G139" s="94" t="s">
        <v>199</v>
      </c>
      <c r="H139" s="94" t="s">
        <v>10</v>
      </c>
      <c r="I139" s="94" t="s">
        <v>191</v>
      </c>
      <c r="J139" s="94"/>
      <c r="K139" s="96">
        <v>17.7</v>
      </c>
      <c r="L139" s="96">
        <f>K139*VLOOKUP(H139,dagsoorttabel1,2,FALSE)</f>
        <v>17.7</v>
      </c>
      <c r="M139" s="97">
        <f>prodnorm18</f>
        <v>0</v>
      </c>
      <c r="N139" s="41">
        <f>dagwerk18</f>
        <v>0</v>
      </c>
      <c r="O139" s="94" t="s">
        <v>108</v>
      </c>
      <c r="P139" s="26">
        <f>uurtarief18</f>
        <v>0</v>
      </c>
      <c r="Q139" s="96" t="e">
        <f>IF(ISBLANK(M139),0,L139/ROUND(M139,4))</f>
        <v>#DIV/0!</v>
      </c>
      <c r="R139" s="96" t="e">
        <f>IF(ISBLANK(M139),0,Q139*ROUND(N139,2))</f>
        <v>#DIV/0!</v>
      </c>
      <c r="S139" s="26" t="e">
        <f>ROUND(P139,2)*Q139</f>
        <v>#DIV/0!</v>
      </c>
      <c r="T139" s="96" t="e">
        <f>Q139*dagenperjaar1</f>
        <v>#DIV/0!</v>
      </c>
      <c r="U139" s="27" t="e">
        <f>T139*ROUND(P139,2)</f>
        <v>#DIV/0!</v>
      </c>
    </row>
    <row r="140" spans="1:21" x14ac:dyDescent="0.2">
      <c r="A140" s="93" t="s">
        <v>244</v>
      </c>
      <c r="B140" s="94" t="s">
        <v>42</v>
      </c>
      <c r="C140" s="94" t="s">
        <v>372</v>
      </c>
      <c r="D140" s="94" t="s">
        <v>408</v>
      </c>
      <c r="E140" s="95" t="s">
        <v>321</v>
      </c>
      <c r="F140" s="94" t="s">
        <v>409</v>
      </c>
      <c r="G140" s="94" t="s">
        <v>199</v>
      </c>
      <c r="H140" s="94" t="s">
        <v>10</v>
      </c>
      <c r="I140" s="94" t="s">
        <v>191</v>
      </c>
      <c r="J140" s="94"/>
      <c r="K140" s="96">
        <v>13.5</v>
      </c>
      <c r="L140" s="96">
        <f>K140*VLOOKUP(H140,dagsoorttabel1,2,FALSE)</f>
        <v>13.5</v>
      </c>
      <c r="M140" s="97">
        <f>prodnorm18</f>
        <v>0</v>
      </c>
      <c r="N140" s="41">
        <f>dagwerk18</f>
        <v>0</v>
      </c>
      <c r="O140" s="94" t="s">
        <v>108</v>
      </c>
      <c r="P140" s="26">
        <f>uurtarief18</f>
        <v>0</v>
      </c>
      <c r="Q140" s="96" t="e">
        <f>IF(ISBLANK(M140),0,L140/ROUND(M140,4))</f>
        <v>#DIV/0!</v>
      </c>
      <c r="R140" s="96" t="e">
        <f>IF(ISBLANK(M140),0,Q140*ROUND(N140,2))</f>
        <v>#DIV/0!</v>
      </c>
      <c r="S140" s="26" t="e">
        <f>ROUND(P140,2)*Q140</f>
        <v>#DIV/0!</v>
      </c>
      <c r="T140" s="96" t="e">
        <f>Q140*dagenperjaar1</f>
        <v>#DIV/0!</v>
      </c>
      <c r="U140" s="27" t="e">
        <f>T140*ROUND(P140,2)</f>
        <v>#DIV/0!</v>
      </c>
    </row>
    <row r="141" spans="1:21" x14ac:dyDescent="0.2">
      <c r="A141" s="93" t="s">
        <v>244</v>
      </c>
      <c r="B141" s="94" t="s">
        <v>42</v>
      </c>
      <c r="C141" s="94" t="s">
        <v>372</v>
      </c>
      <c r="D141" s="94" t="s">
        <v>410</v>
      </c>
      <c r="E141" s="95" t="s">
        <v>341</v>
      </c>
      <c r="F141" s="94" t="s">
        <v>296</v>
      </c>
      <c r="G141" s="94" t="s">
        <v>223</v>
      </c>
      <c r="H141" s="94" t="s">
        <v>10</v>
      </c>
      <c r="I141" s="94" t="s">
        <v>191</v>
      </c>
      <c r="J141" s="94"/>
      <c r="K141" s="96">
        <v>15.84</v>
      </c>
      <c r="L141" s="96">
        <f>K141*VLOOKUP(H141,dagsoorttabel1,2,FALSE)</f>
        <v>15.84</v>
      </c>
      <c r="M141" s="97">
        <f>prodnorm32</f>
        <v>0</v>
      </c>
      <c r="N141" s="41">
        <f>dagwerk32</f>
        <v>0</v>
      </c>
      <c r="O141" s="94" t="s">
        <v>108</v>
      </c>
      <c r="P141" s="26">
        <f>uurtarief32</f>
        <v>0</v>
      </c>
      <c r="Q141" s="96" t="e">
        <f>IF(ISBLANK(M141),0,L141/ROUND(M141,4))</f>
        <v>#DIV/0!</v>
      </c>
      <c r="R141" s="96" t="e">
        <f>IF(ISBLANK(M141),0,Q141*ROUND(N141,2))</f>
        <v>#DIV/0!</v>
      </c>
      <c r="S141" s="26" t="e">
        <f>ROUND(P141,2)*Q141</f>
        <v>#DIV/0!</v>
      </c>
      <c r="T141" s="96" t="e">
        <f>Q141*dagenperjaar1</f>
        <v>#DIV/0!</v>
      </c>
      <c r="U141" s="27" t="e">
        <f>T141*ROUND(P141,2)</f>
        <v>#DIV/0!</v>
      </c>
    </row>
    <row r="142" spans="1:21" x14ac:dyDescent="0.2">
      <c r="A142" s="93" t="s">
        <v>244</v>
      </c>
      <c r="B142" s="94" t="s">
        <v>42</v>
      </c>
      <c r="C142" s="94" t="s">
        <v>372</v>
      </c>
      <c r="D142" s="94" t="s">
        <v>411</v>
      </c>
      <c r="E142" s="95" t="s">
        <v>284</v>
      </c>
      <c r="F142" s="94" t="s">
        <v>277</v>
      </c>
      <c r="G142" s="94" t="s">
        <v>225</v>
      </c>
      <c r="H142" s="94" t="s">
        <v>10</v>
      </c>
      <c r="I142" s="94" t="s">
        <v>191</v>
      </c>
      <c r="J142" s="94"/>
      <c r="K142" s="96">
        <v>176.31</v>
      </c>
      <c r="L142" s="96">
        <f>K142*VLOOKUP(H142,dagsoorttabel1,2,FALSE)</f>
        <v>176.31</v>
      </c>
      <c r="M142" s="97">
        <f>prodnorm34</f>
        <v>0</v>
      </c>
      <c r="N142" s="41">
        <f>dagwerk34</f>
        <v>0</v>
      </c>
      <c r="O142" s="94" t="s">
        <v>108</v>
      </c>
      <c r="P142" s="26">
        <f>uurtarief34</f>
        <v>0</v>
      </c>
      <c r="Q142" s="96" t="e">
        <f>IF(ISBLANK(M142),0,L142/ROUND(M142,4))</f>
        <v>#DIV/0!</v>
      </c>
      <c r="R142" s="96" t="e">
        <f>IF(ISBLANK(M142),0,Q142*ROUND(N142,2))</f>
        <v>#DIV/0!</v>
      </c>
      <c r="S142" s="26" t="e">
        <f>ROUND(P142,2)*Q142</f>
        <v>#DIV/0!</v>
      </c>
      <c r="T142" s="96" t="e">
        <f>Q142*dagenperjaar1</f>
        <v>#DIV/0!</v>
      </c>
      <c r="U142" s="27" t="e">
        <f>T142*ROUND(P142,2)</f>
        <v>#DIV/0!</v>
      </c>
    </row>
    <row r="143" spans="1:21" x14ac:dyDescent="0.2">
      <c r="A143" s="93" t="s">
        <v>244</v>
      </c>
      <c r="B143" s="94" t="s">
        <v>42</v>
      </c>
      <c r="C143" s="94" t="s">
        <v>372</v>
      </c>
      <c r="D143" s="94" t="s">
        <v>411</v>
      </c>
      <c r="E143" s="95" t="s">
        <v>284</v>
      </c>
      <c r="F143" s="94" t="s">
        <v>277</v>
      </c>
      <c r="G143" s="94" t="s">
        <v>227</v>
      </c>
      <c r="H143" s="94" t="s">
        <v>24</v>
      </c>
      <c r="I143" s="94" t="s">
        <v>191</v>
      </c>
      <c r="J143" s="94"/>
      <c r="K143" s="96">
        <v>176.31</v>
      </c>
      <c r="L143" s="96">
        <f>K143*VLOOKUP(H143,dagsoorttabel1,2,FALSE)</f>
        <v>0.88155000000000006</v>
      </c>
      <c r="M143" s="97">
        <f>prodnorm35</f>
        <v>0</v>
      </c>
      <c r="N143" s="41">
        <f>dagwerk35</f>
        <v>0</v>
      </c>
      <c r="O143" s="94" t="s">
        <v>108</v>
      </c>
      <c r="P143" s="26">
        <f>uurtarief35</f>
        <v>0</v>
      </c>
      <c r="Q143" s="96" t="e">
        <f>IF(ISBLANK(M143),0,L143/ROUND(M143,4))</f>
        <v>#DIV/0!</v>
      </c>
      <c r="R143" s="96" t="e">
        <f>IF(ISBLANK(M143),0,Q143*ROUND(N143,2))</f>
        <v>#DIV/0!</v>
      </c>
      <c r="S143" s="26" t="e">
        <f>ROUND(P143,2)*Q143</f>
        <v>#DIV/0!</v>
      </c>
      <c r="T143" s="96" t="e">
        <f>Q143*dagenperjaar1</f>
        <v>#DIV/0!</v>
      </c>
      <c r="U143" s="27" t="e">
        <f>T143*ROUND(P143,2)</f>
        <v>#DIV/0!</v>
      </c>
    </row>
    <row r="144" spans="1:21" x14ac:dyDescent="0.2">
      <c r="A144" s="93" t="s">
        <v>244</v>
      </c>
      <c r="B144" s="94" t="s">
        <v>42</v>
      </c>
      <c r="C144" s="94" t="s">
        <v>372</v>
      </c>
      <c r="D144" s="94" t="s">
        <v>412</v>
      </c>
      <c r="E144" s="95" t="s">
        <v>310</v>
      </c>
      <c r="F144" s="94" t="s">
        <v>277</v>
      </c>
      <c r="G144" s="94" t="s">
        <v>201</v>
      </c>
      <c r="H144" s="94" t="s">
        <v>10</v>
      </c>
      <c r="I144" s="94" t="s">
        <v>191</v>
      </c>
      <c r="J144" s="94"/>
      <c r="K144" s="96">
        <v>1.3</v>
      </c>
      <c r="L144" s="96">
        <f>K144*VLOOKUP(H144,dagsoorttabel1,2,FALSE)</f>
        <v>1.3</v>
      </c>
      <c r="M144" s="97">
        <f>prodnorm19</f>
        <v>0</v>
      </c>
      <c r="N144" s="41">
        <f>dagwerk19</f>
        <v>0</v>
      </c>
      <c r="O144" s="94" t="s">
        <v>108</v>
      </c>
      <c r="P144" s="26">
        <f>uurtarief19</f>
        <v>0</v>
      </c>
      <c r="Q144" s="96" t="e">
        <f>IF(ISBLANK(M144),0,L144/ROUND(M144,4))</f>
        <v>#DIV/0!</v>
      </c>
      <c r="R144" s="96" t="e">
        <f>IF(ISBLANK(M144),0,Q144*ROUND(N144,2))</f>
        <v>#DIV/0!</v>
      </c>
      <c r="S144" s="26" t="e">
        <f>ROUND(P144,2)*Q144</f>
        <v>#DIV/0!</v>
      </c>
      <c r="T144" s="96" t="e">
        <f>Q144*dagenperjaar1</f>
        <v>#DIV/0!</v>
      </c>
      <c r="U144" s="27" t="e">
        <f>T144*ROUND(P144,2)</f>
        <v>#DIV/0!</v>
      </c>
    </row>
    <row r="145" spans="1:21" x14ac:dyDescent="0.2">
      <c r="A145" s="93" t="s">
        <v>244</v>
      </c>
      <c r="B145" s="94" t="s">
        <v>42</v>
      </c>
      <c r="C145" s="94" t="s">
        <v>372</v>
      </c>
      <c r="D145" s="94" t="s">
        <v>412</v>
      </c>
      <c r="E145" s="95" t="s">
        <v>310</v>
      </c>
      <c r="F145" s="94" t="s">
        <v>277</v>
      </c>
      <c r="G145" s="94" t="s">
        <v>227</v>
      </c>
      <c r="H145" s="94" t="s">
        <v>24</v>
      </c>
      <c r="I145" s="94" t="s">
        <v>191</v>
      </c>
      <c r="J145" s="94"/>
      <c r="K145" s="96">
        <v>1.3</v>
      </c>
      <c r="L145" s="96">
        <f>K145*VLOOKUP(H145,dagsoorttabel1,2,FALSE)</f>
        <v>6.5000000000000006E-3</v>
      </c>
      <c r="M145" s="97">
        <f>prodnorm35</f>
        <v>0</v>
      </c>
      <c r="N145" s="41">
        <f>dagwerk35</f>
        <v>0</v>
      </c>
      <c r="O145" s="94" t="s">
        <v>108</v>
      </c>
      <c r="P145" s="26">
        <f>uurtarief35</f>
        <v>0</v>
      </c>
      <c r="Q145" s="96" t="e">
        <f>IF(ISBLANK(M145),0,L145/ROUND(M145,4))</f>
        <v>#DIV/0!</v>
      </c>
      <c r="R145" s="96" t="e">
        <f>IF(ISBLANK(M145),0,Q145*ROUND(N145,2))</f>
        <v>#DIV/0!</v>
      </c>
      <c r="S145" s="26" t="e">
        <f>ROUND(P145,2)*Q145</f>
        <v>#DIV/0!</v>
      </c>
      <c r="T145" s="96" t="e">
        <f>Q145*dagenperjaar1</f>
        <v>#DIV/0!</v>
      </c>
      <c r="U145" s="27" t="e">
        <f>T145*ROUND(P145,2)</f>
        <v>#DIV/0!</v>
      </c>
    </row>
    <row r="146" spans="1:21" x14ac:dyDescent="0.2">
      <c r="A146" s="93" t="s">
        <v>244</v>
      </c>
      <c r="B146" s="94" t="s">
        <v>42</v>
      </c>
      <c r="C146" s="94" t="s">
        <v>372</v>
      </c>
      <c r="D146" s="94" t="s">
        <v>413</v>
      </c>
      <c r="E146" s="95" t="s">
        <v>273</v>
      </c>
      <c r="F146" s="94" t="s">
        <v>277</v>
      </c>
      <c r="G146" s="94" t="s">
        <v>193</v>
      </c>
      <c r="H146" s="94" t="s">
        <v>14</v>
      </c>
      <c r="I146" s="94" t="s">
        <v>191</v>
      </c>
      <c r="J146" s="94"/>
      <c r="K146" s="96">
        <v>16.2</v>
      </c>
      <c r="L146" s="96">
        <f>K146*VLOOKUP(H146,dagsoorttabel1,2,FALSE)</f>
        <v>6.48</v>
      </c>
      <c r="M146" s="97">
        <f>prodnorm15</f>
        <v>0</v>
      </c>
      <c r="N146" s="41">
        <f>dagwerk15</f>
        <v>0</v>
      </c>
      <c r="O146" s="94" t="s">
        <v>108</v>
      </c>
      <c r="P146" s="26">
        <f>uurtarief15</f>
        <v>0</v>
      </c>
      <c r="Q146" s="96" t="e">
        <f>IF(ISBLANK(M146),0,L146/ROUND(M146,4))</f>
        <v>#DIV/0!</v>
      </c>
      <c r="R146" s="96" t="e">
        <f>IF(ISBLANK(M146),0,Q146*ROUND(N146,2))</f>
        <v>#DIV/0!</v>
      </c>
      <c r="S146" s="26" t="e">
        <f>ROUND(P146,2)*Q146</f>
        <v>#DIV/0!</v>
      </c>
      <c r="T146" s="96" t="e">
        <f>Q146*dagenperjaar1</f>
        <v>#DIV/0!</v>
      </c>
      <c r="U146" s="27" t="e">
        <f>T146*ROUND(P146,2)</f>
        <v>#DIV/0!</v>
      </c>
    </row>
    <row r="147" spans="1:21" x14ac:dyDescent="0.2">
      <c r="A147" s="93" t="s">
        <v>244</v>
      </c>
      <c r="B147" s="94" t="s">
        <v>42</v>
      </c>
      <c r="C147" s="94" t="s">
        <v>372</v>
      </c>
      <c r="D147" s="94" t="s">
        <v>413</v>
      </c>
      <c r="E147" s="95" t="s">
        <v>273</v>
      </c>
      <c r="F147" s="94" t="s">
        <v>277</v>
      </c>
      <c r="G147" s="94" t="s">
        <v>227</v>
      </c>
      <c r="H147" s="94" t="s">
        <v>24</v>
      </c>
      <c r="I147" s="94" t="s">
        <v>191</v>
      </c>
      <c r="J147" s="94"/>
      <c r="K147" s="96">
        <v>16.2</v>
      </c>
      <c r="L147" s="96">
        <f>K147*VLOOKUP(H147,dagsoorttabel1,2,FALSE)</f>
        <v>8.1000000000000003E-2</v>
      </c>
      <c r="M147" s="97">
        <f>prodnorm35</f>
        <v>0</v>
      </c>
      <c r="N147" s="41">
        <f>dagwerk35</f>
        <v>0</v>
      </c>
      <c r="O147" s="94" t="s">
        <v>108</v>
      </c>
      <c r="P147" s="26">
        <f>uurtarief35</f>
        <v>0</v>
      </c>
      <c r="Q147" s="96" t="e">
        <f>IF(ISBLANK(M147),0,L147/ROUND(M147,4))</f>
        <v>#DIV/0!</v>
      </c>
      <c r="R147" s="96" t="e">
        <f>IF(ISBLANK(M147),0,Q147*ROUND(N147,2))</f>
        <v>#DIV/0!</v>
      </c>
      <c r="S147" s="26" t="e">
        <f>ROUND(P147,2)*Q147</f>
        <v>#DIV/0!</v>
      </c>
      <c r="T147" s="96" t="e">
        <f>Q147*dagenperjaar1</f>
        <v>#DIV/0!</v>
      </c>
      <c r="U147" s="27" t="e">
        <f>T147*ROUND(P147,2)</f>
        <v>#DIV/0!</v>
      </c>
    </row>
    <row r="148" spans="1:21" x14ac:dyDescent="0.2">
      <c r="A148" s="93" t="s">
        <v>244</v>
      </c>
      <c r="B148" s="94" t="s">
        <v>42</v>
      </c>
      <c r="C148" s="94" t="s">
        <v>372</v>
      </c>
      <c r="D148" s="94" t="s">
        <v>414</v>
      </c>
      <c r="E148" s="95" t="s">
        <v>268</v>
      </c>
      <c r="F148" s="94" t="s">
        <v>296</v>
      </c>
      <c r="G148" s="94" t="s">
        <v>225</v>
      </c>
      <c r="H148" s="94" t="s">
        <v>10</v>
      </c>
      <c r="I148" s="94" t="s">
        <v>191</v>
      </c>
      <c r="J148" s="94"/>
      <c r="K148" s="96">
        <v>36</v>
      </c>
      <c r="L148" s="96">
        <f>K148*VLOOKUP(H148,dagsoorttabel1,2,FALSE)</f>
        <v>36</v>
      </c>
      <c r="M148" s="97">
        <f>prodnorm34</f>
        <v>0</v>
      </c>
      <c r="N148" s="41">
        <f>dagwerk34</f>
        <v>0</v>
      </c>
      <c r="O148" s="94" t="s">
        <v>108</v>
      </c>
      <c r="P148" s="26">
        <f>uurtarief34</f>
        <v>0</v>
      </c>
      <c r="Q148" s="96" t="e">
        <f>IF(ISBLANK(M148),0,L148/ROUND(M148,4))</f>
        <v>#DIV/0!</v>
      </c>
      <c r="R148" s="96" t="e">
        <f>IF(ISBLANK(M148),0,Q148*ROUND(N148,2))</f>
        <v>#DIV/0!</v>
      </c>
      <c r="S148" s="26" t="e">
        <f>ROUND(P148,2)*Q148</f>
        <v>#DIV/0!</v>
      </c>
      <c r="T148" s="96" t="e">
        <f>Q148*dagenperjaar1</f>
        <v>#DIV/0!</v>
      </c>
      <c r="U148" s="27" t="e">
        <f>T148*ROUND(P148,2)</f>
        <v>#DIV/0!</v>
      </c>
    </row>
    <row r="149" spans="1:21" x14ac:dyDescent="0.2">
      <c r="A149" s="93" t="s">
        <v>244</v>
      </c>
      <c r="B149" s="94" t="s">
        <v>42</v>
      </c>
      <c r="C149" s="94" t="s">
        <v>372</v>
      </c>
      <c r="D149" s="94" t="s">
        <v>415</v>
      </c>
      <c r="E149" s="95" t="s">
        <v>416</v>
      </c>
      <c r="F149" s="94" t="s">
        <v>296</v>
      </c>
      <c r="G149" s="94" t="s">
        <v>223</v>
      </c>
      <c r="H149" s="94" t="s">
        <v>10</v>
      </c>
      <c r="I149" s="94" t="s">
        <v>191</v>
      </c>
      <c r="J149" s="94"/>
      <c r="K149" s="96">
        <v>10.5</v>
      </c>
      <c r="L149" s="96">
        <f>K149*VLOOKUP(H149,dagsoorttabel1,2,FALSE)</f>
        <v>10.5</v>
      </c>
      <c r="M149" s="97">
        <f>prodnorm32</f>
        <v>0</v>
      </c>
      <c r="N149" s="41">
        <f>dagwerk32</f>
        <v>0</v>
      </c>
      <c r="O149" s="94" t="s">
        <v>108</v>
      </c>
      <c r="P149" s="26">
        <f>uurtarief32</f>
        <v>0</v>
      </c>
      <c r="Q149" s="96" t="e">
        <f>IF(ISBLANK(M149),0,L149/ROUND(M149,4))</f>
        <v>#DIV/0!</v>
      </c>
      <c r="R149" s="96" t="e">
        <f>IF(ISBLANK(M149),0,Q149*ROUND(N149,2))</f>
        <v>#DIV/0!</v>
      </c>
      <c r="S149" s="26" t="e">
        <f>ROUND(P149,2)*Q149</f>
        <v>#DIV/0!</v>
      </c>
      <c r="T149" s="96" t="e">
        <f>Q149*dagenperjaar1</f>
        <v>#DIV/0!</v>
      </c>
      <c r="U149" s="27" t="e">
        <f>T149*ROUND(P149,2)</f>
        <v>#DIV/0!</v>
      </c>
    </row>
    <row r="150" spans="1:21" x14ac:dyDescent="0.2">
      <c r="A150" s="93" t="s">
        <v>244</v>
      </c>
      <c r="B150" s="94" t="s">
        <v>42</v>
      </c>
      <c r="C150" s="94" t="s">
        <v>372</v>
      </c>
      <c r="D150" s="94" t="s">
        <v>417</v>
      </c>
      <c r="E150" s="95" t="s">
        <v>284</v>
      </c>
      <c r="F150" s="94" t="s">
        <v>269</v>
      </c>
      <c r="G150" s="94" t="s">
        <v>225</v>
      </c>
      <c r="H150" s="94" t="s">
        <v>10</v>
      </c>
      <c r="I150" s="94" t="s">
        <v>191</v>
      </c>
      <c r="J150" s="94"/>
      <c r="K150" s="96">
        <v>51.25</v>
      </c>
      <c r="L150" s="96">
        <f>K150*VLOOKUP(H150,dagsoorttabel1,2,FALSE)</f>
        <v>51.25</v>
      </c>
      <c r="M150" s="97">
        <f>prodnorm34</f>
        <v>0</v>
      </c>
      <c r="N150" s="41">
        <f>dagwerk34</f>
        <v>0</v>
      </c>
      <c r="O150" s="94" t="s">
        <v>108</v>
      </c>
      <c r="P150" s="26">
        <f>uurtarief34</f>
        <v>0</v>
      </c>
      <c r="Q150" s="96" t="e">
        <f>IF(ISBLANK(M150),0,L150/ROUND(M150,4))</f>
        <v>#DIV/0!</v>
      </c>
      <c r="R150" s="96" t="e">
        <f>IF(ISBLANK(M150),0,Q150*ROUND(N150,2))</f>
        <v>#DIV/0!</v>
      </c>
      <c r="S150" s="26" t="e">
        <f>ROUND(P150,2)*Q150</f>
        <v>#DIV/0!</v>
      </c>
      <c r="T150" s="96" t="e">
        <f>Q150*dagenperjaar1</f>
        <v>#DIV/0!</v>
      </c>
      <c r="U150" s="27" t="e">
        <f>T150*ROUND(P150,2)</f>
        <v>#DIV/0!</v>
      </c>
    </row>
    <row r="151" spans="1:21" x14ac:dyDescent="0.2">
      <c r="A151" s="93" t="s">
        <v>244</v>
      </c>
      <c r="B151" s="94" t="s">
        <v>42</v>
      </c>
      <c r="C151" s="94" t="s">
        <v>418</v>
      </c>
      <c r="D151" s="94" t="s">
        <v>419</v>
      </c>
      <c r="E151" s="95" t="s">
        <v>273</v>
      </c>
      <c r="F151" s="94" t="s">
        <v>277</v>
      </c>
      <c r="G151" s="94" t="s">
        <v>193</v>
      </c>
      <c r="H151" s="94" t="s">
        <v>14</v>
      </c>
      <c r="I151" s="94" t="s">
        <v>191</v>
      </c>
      <c r="J151" s="94"/>
      <c r="K151" s="96">
        <v>18</v>
      </c>
      <c r="L151" s="96">
        <f>K151*VLOOKUP(H151,dagsoorttabel1,2,FALSE)</f>
        <v>7.2</v>
      </c>
      <c r="M151" s="97">
        <f>prodnorm15</f>
        <v>0</v>
      </c>
      <c r="N151" s="41">
        <f>dagwerk15</f>
        <v>0</v>
      </c>
      <c r="O151" s="94" t="s">
        <v>108</v>
      </c>
      <c r="P151" s="26">
        <f>uurtarief15</f>
        <v>0</v>
      </c>
      <c r="Q151" s="96" t="e">
        <f>IF(ISBLANK(M151),0,L151/ROUND(M151,4))</f>
        <v>#DIV/0!</v>
      </c>
      <c r="R151" s="96" t="e">
        <f>IF(ISBLANK(M151),0,Q151*ROUND(N151,2))</f>
        <v>#DIV/0!</v>
      </c>
      <c r="S151" s="26" t="e">
        <f>ROUND(P151,2)*Q151</f>
        <v>#DIV/0!</v>
      </c>
      <c r="T151" s="96" t="e">
        <f>Q151*dagenperjaar1</f>
        <v>#DIV/0!</v>
      </c>
      <c r="U151" s="27" t="e">
        <f>T151*ROUND(P151,2)</f>
        <v>#DIV/0!</v>
      </c>
    </row>
    <row r="152" spans="1:21" x14ac:dyDescent="0.2">
      <c r="A152" s="93" t="s">
        <v>244</v>
      </c>
      <c r="B152" s="94" t="s">
        <v>42</v>
      </c>
      <c r="C152" s="94" t="s">
        <v>418</v>
      </c>
      <c r="D152" s="94" t="s">
        <v>419</v>
      </c>
      <c r="E152" s="95" t="s">
        <v>273</v>
      </c>
      <c r="F152" s="94" t="s">
        <v>277</v>
      </c>
      <c r="G152" s="94" t="s">
        <v>227</v>
      </c>
      <c r="H152" s="94" t="s">
        <v>24</v>
      </c>
      <c r="I152" s="94" t="s">
        <v>191</v>
      </c>
      <c r="J152" s="94"/>
      <c r="K152" s="96">
        <v>18</v>
      </c>
      <c r="L152" s="96">
        <f>K152*VLOOKUP(H152,dagsoorttabel1,2,FALSE)</f>
        <v>0.09</v>
      </c>
      <c r="M152" s="97">
        <f>prodnorm35</f>
        <v>0</v>
      </c>
      <c r="N152" s="41">
        <f>dagwerk35</f>
        <v>0</v>
      </c>
      <c r="O152" s="94" t="s">
        <v>108</v>
      </c>
      <c r="P152" s="26">
        <f>uurtarief35</f>
        <v>0</v>
      </c>
      <c r="Q152" s="96" t="e">
        <f>IF(ISBLANK(M152),0,L152/ROUND(M152,4))</f>
        <v>#DIV/0!</v>
      </c>
      <c r="R152" s="96" t="e">
        <f>IF(ISBLANK(M152),0,Q152*ROUND(N152,2))</f>
        <v>#DIV/0!</v>
      </c>
      <c r="S152" s="26" t="e">
        <f>ROUND(P152,2)*Q152</f>
        <v>#DIV/0!</v>
      </c>
      <c r="T152" s="96" t="e">
        <f>Q152*dagenperjaar1</f>
        <v>#DIV/0!</v>
      </c>
      <c r="U152" s="27" t="e">
        <f>T152*ROUND(P152,2)</f>
        <v>#DIV/0!</v>
      </c>
    </row>
    <row r="153" spans="1:21" x14ac:dyDescent="0.2">
      <c r="A153" s="93" t="s">
        <v>244</v>
      </c>
      <c r="B153" s="94" t="s">
        <v>42</v>
      </c>
      <c r="C153" s="94" t="s">
        <v>418</v>
      </c>
      <c r="D153" s="94" t="s">
        <v>420</v>
      </c>
      <c r="E153" s="95" t="s">
        <v>273</v>
      </c>
      <c r="F153" s="94" t="s">
        <v>277</v>
      </c>
      <c r="G153" s="94" t="s">
        <v>193</v>
      </c>
      <c r="H153" s="94" t="s">
        <v>14</v>
      </c>
      <c r="I153" s="94" t="s">
        <v>191</v>
      </c>
      <c r="J153" s="94"/>
      <c r="K153" s="96">
        <v>18</v>
      </c>
      <c r="L153" s="96">
        <f>K153*VLOOKUP(H153,dagsoorttabel1,2,FALSE)</f>
        <v>7.2</v>
      </c>
      <c r="M153" s="97">
        <f>prodnorm15</f>
        <v>0</v>
      </c>
      <c r="N153" s="41">
        <f>dagwerk15</f>
        <v>0</v>
      </c>
      <c r="O153" s="94" t="s">
        <v>108</v>
      </c>
      <c r="P153" s="26">
        <f>uurtarief15</f>
        <v>0</v>
      </c>
      <c r="Q153" s="96" t="e">
        <f>IF(ISBLANK(M153),0,L153/ROUND(M153,4))</f>
        <v>#DIV/0!</v>
      </c>
      <c r="R153" s="96" t="e">
        <f>IF(ISBLANK(M153),0,Q153*ROUND(N153,2))</f>
        <v>#DIV/0!</v>
      </c>
      <c r="S153" s="26" t="e">
        <f>ROUND(P153,2)*Q153</f>
        <v>#DIV/0!</v>
      </c>
      <c r="T153" s="96" t="e">
        <f>Q153*dagenperjaar1</f>
        <v>#DIV/0!</v>
      </c>
      <c r="U153" s="27" t="e">
        <f>T153*ROUND(P153,2)</f>
        <v>#DIV/0!</v>
      </c>
    </row>
    <row r="154" spans="1:21" x14ac:dyDescent="0.2">
      <c r="A154" s="93" t="s">
        <v>244</v>
      </c>
      <c r="B154" s="94" t="s">
        <v>42</v>
      </c>
      <c r="C154" s="94" t="s">
        <v>418</v>
      </c>
      <c r="D154" s="94" t="s">
        <v>420</v>
      </c>
      <c r="E154" s="95" t="s">
        <v>273</v>
      </c>
      <c r="F154" s="94" t="s">
        <v>277</v>
      </c>
      <c r="G154" s="94" t="s">
        <v>227</v>
      </c>
      <c r="H154" s="94" t="s">
        <v>24</v>
      </c>
      <c r="I154" s="94" t="s">
        <v>191</v>
      </c>
      <c r="J154" s="94"/>
      <c r="K154" s="96">
        <v>18</v>
      </c>
      <c r="L154" s="96">
        <f>K154*VLOOKUP(H154,dagsoorttabel1,2,FALSE)</f>
        <v>0.09</v>
      </c>
      <c r="M154" s="97">
        <f>prodnorm35</f>
        <v>0</v>
      </c>
      <c r="N154" s="41">
        <f>dagwerk35</f>
        <v>0</v>
      </c>
      <c r="O154" s="94" t="s">
        <v>108</v>
      </c>
      <c r="P154" s="26">
        <f>uurtarief35</f>
        <v>0</v>
      </c>
      <c r="Q154" s="96" t="e">
        <f>IF(ISBLANK(M154),0,L154/ROUND(M154,4))</f>
        <v>#DIV/0!</v>
      </c>
      <c r="R154" s="96" t="e">
        <f>IF(ISBLANK(M154),0,Q154*ROUND(N154,2))</f>
        <v>#DIV/0!</v>
      </c>
      <c r="S154" s="26" t="e">
        <f>ROUND(P154,2)*Q154</f>
        <v>#DIV/0!</v>
      </c>
      <c r="T154" s="96" t="e">
        <f>Q154*dagenperjaar1</f>
        <v>#DIV/0!</v>
      </c>
      <c r="U154" s="27" t="e">
        <f>T154*ROUND(P154,2)</f>
        <v>#DIV/0!</v>
      </c>
    </row>
    <row r="155" spans="1:21" x14ac:dyDescent="0.2">
      <c r="A155" s="93" t="s">
        <v>244</v>
      </c>
      <c r="B155" s="94" t="s">
        <v>42</v>
      </c>
      <c r="C155" s="94" t="s">
        <v>418</v>
      </c>
      <c r="D155" s="94" t="s">
        <v>421</v>
      </c>
      <c r="E155" s="95" t="s">
        <v>422</v>
      </c>
      <c r="F155" s="94" t="s">
        <v>277</v>
      </c>
      <c r="G155" s="94" t="s">
        <v>193</v>
      </c>
      <c r="H155" s="94" t="s">
        <v>14</v>
      </c>
      <c r="I155" s="94" t="s">
        <v>191</v>
      </c>
      <c r="J155" s="94"/>
      <c r="K155" s="96">
        <v>23.5</v>
      </c>
      <c r="L155" s="96">
        <f>K155*VLOOKUP(H155,dagsoorttabel1,2,FALSE)</f>
        <v>9.4</v>
      </c>
      <c r="M155" s="97">
        <f>prodnorm15</f>
        <v>0</v>
      </c>
      <c r="N155" s="41">
        <f>dagwerk15</f>
        <v>0</v>
      </c>
      <c r="O155" s="94" t="s">
        <v>108</v>
      </c>
      <c r="P155" s="26">
        <f>uurtarief15</f>
        <v>0</v>
      </c>
      <c r="Q155" s="96" t="e">
        <f>IF(ISBLANK(M155),0,L155/ROUND(M155,4))</f>
        <v>#DIV/0!</v>
      </c>
      <c r="R155" s="96" t="e">
        <f>IF(ISBLANK(M155),0,Q155*ROUND(N155,2))</f>
        <v>#DIV/0!</v>
      </c>
      <c r="S155" s="26" t="e">
        <f>ROUND(P155,2)*Q155</f>
        <v>#DIV/0!</v>
      </c>
      <c r="T155" s="96" t="e">
        <f>Q155*dagenperjaar1</f>
        <v>#DIV/0!</v>
      </c>
      <c r="U155" s="27" t="e">
        <f>T155*ROUND(P155,2)</f>
        <v>#DIV/0!</v>
      </c>
    </row>
    <row r="156" spans="1:21" x14ac:dyDescent="0.2">
      <c r="A156" s="93" t="s">
        <v>244</v>
      </c>
      <c r="B156" s="94" t="s">
        <v>42</v>
      </c>
      <c r="C156" s="94" t="s">
        <v>418</v>
      </c>
      <c r="D156" s="94" t="s">
        <v>421</v>
      </c>
      <c r="E156" s="95" t="s">
        <v>422</v>
      </c>
      <c r="F156" s="94" t="s">
        <v>277</v>
      </c>
      <c r="G156" s="94" t="s">
        <v>227</v>
      </c>
      <c r="H156" s="94" t="s">
        <v>24</v>
      </c>
      <c r="I156" s="94" t="s">
        <v>191</v>
      </c>
      <c r="J156" s="94"/>
      <c r="K156" s="96">
        <v>23.5</v>
      </c>
      <c r="L156" s="96">
        <f>K156*VLOOKUP(H156,dagsoorttabel1,2,FALSE)</f>
        <v>0.11750000000000001</v>
      </c>
      <c r="M156" s="97">
        <f>prodnorm35</f>
        <v>0</v>
      </c>
      <c r="N156" s="41">
        <f>dagwerk35</f>
        <v>0</v>
      </c>
      <c r="O156" s="94" t="s">
        <v>108</v>
      </c>
      <c r="P156" s="26">
        <f>uurtarief35</f>
        <v>0</v>
      </c>
      <c r="Q156" s="96" t="e">
        <f>IF(ISBLANK(M156),0,L156/ROUND(M156,4))</f>
        <v>#DIV/0!</v>
      </c>
      <c r="R156" s="96" t="e">
        <f>IF(ISBLANK(M156),0,Q156*ROUND(N156,2))</f>
        <v>#DIV/0!</v>
      </c>
      <c r="S156" s="26" t="e">
        <f>ROUND(P156,2)*Q156</f>
        <v>#DIV/0!</v>
      </c>
      <c r="T156" s="96" t="e">
        <f>Q156*dagenperjaar1</f>
        <v>#DIV/0!</v>
      </c>
      <c r="U156" s="27" t="e">
        <f>T156*ROUND(P156,2)</f>
        <v>#DIV/0!</v>
      </c>
    </row>
    <row r="157" spans="1:21" x14ac:dyDescent="0.2">
      <c r="A157" s="93" t="s">
        <v>244</v>
      </c>
      <c r="B157" s="94" t="s">
        <v>42</v>
      </c>
      <c r="C157" s="94" t="s">
        <v>418</v>
      </c>
      <c r="D157" s="94" t="s">
        <v>423</v>
      </c>
      <c r="E157" s="95" t="s">
        <v>424</v>
      </c>
      <c r="F157" s="94" t="s">
        <v>277</v>
      </c>
      <c r="G157" s="94" t="s">
        <v>193</v>
      </c>
      <c r="H157" s="94" t="s">
        <v>14</v>
      </c>
      <c r="I157" s="94" t="s">
        <v>191</v>
      </c>
      <c r="J157" s="94"/>
      <c r="K157" s="96">
        <v>13.5</v>
      </c>
      <c r="L157" s="96">
        <f>K157*VLOOKUP(H157,dagsoorttabel1,2,FALSE)</f>
        <v>5.4</v>
      </c>
      <c r="M157" s="97">
        <f>prodnorm15</f>
        <v>0</v>
      </c>
      <c r="N157" s="41">
        <f>dagwerk15</f>
        <v>0</v>
      </c>
      <c r="O157" s="94" t="s">
        <v>108</v>
      </c>
      <c r="P157" s="26">
        <f>uurtarief15</f>
        <v>0</v>
      </c>
      <c r="Q157" s="96" t="e">
        <f>IF(ISBLANK(M157),0,L157/ROUND(M157,4))</f>
        <v>#DIV/0!</v>
      </c>
      <c r="R157" s="96" t="e">
        <f>IF(ISBLANK(M157),0,Q157*ROUND(N157,2))</f>
        <v>#DIV/0!</v>
      </c>
      <c r="S157" s="26" t="e">
        <f>ROUND(P157,2)*Q157</f>
        <v>#DIV/0!</v>
      </c>
      <c r="T157" s="96" t="e">
        <f>Q157*dagenperjaar1</f>
        <v>#DIV/0!</v>
      </c>
      <c r="U157" s="27" t="e">
        <f>T157*ROUND(P157,2)</f>
        <v>#DIV/0!</v>
      </c>
    </row>
    <row r="158" spans="1:21" x14ac:dyDescent="0.2">
      <c r="A158" s="93" t="s">
        <v>244</v>
      </c>
      <c r="B158" s="94" t="s">
        <v>42</v>
      </c>
      <c r="C158" s="94" t="s">
        <v>418</v>
      </c>
      <c r="D158" s="94" t="s">
        <v>423</v>
      </c>
      <c r="E158" s="95" t="s">
        <v>424</v>
      </c>
      <c r="F158" s="94" t="s">
        <v>277</v>
      </c>
      <c r="G158" s="94" t="s">
        <v>227</v>
      </c>
      <c r="H158" s="94" t="s">
        <v>24</v>
      </c>
      <c r="I158" s="94" t="s">
        <v>191</v>
      </c>
      <c r="J158" s="94"/>
      <c r="K158" s="96">
        <v>13.5</v>
      </c>
      <c r="L158" s="96">
        <f>K158*VLOOKUP(H158,dagsoorttabel1,2,FALSE)</f>
        <v>6.7500000000000004E-2</v>
      </c>
      <c r="M158" s="97">
        <f>prodnorm35</f>
        <v>0</v>
      </c>
      <c r="N158" s="41">
        <f>dagwerk35</f>
        <v>0</v>
      </c>
      <c r="O158" s="94" t="s">
        <v>108</v>
      </c>
      <c r="P158" s="26">
        <f>uurtarief35</f>
        <v>0</v>
      </c>
      <c r="Q158" s="96" t="e">
        <f>IF(ISBLANK(M158),0,L158/ROUND(M158,4))</f>
        <v>#DIV/0!</v>
      </c>
      <c r="R158" s="96" t="e">
        <f>IF(ISBLANK(M158),0,Q158*ROUND(N158,2))</f>
        <v>#DIV/0!</v>
      </c>
      <c r="S158" s="26" t="e">
        <f>ROUND(P158,2)*Q158</f>
        <v>#DIV/0!</v>
      </c>
      <c r="T158" s="96" t="e">
        <f>Q158*dagenperjaar1</f>
        <v>#DIV/0!</v>
      </c>
      <c r="U158" s="27" t="e">
        <f>T158*ROUND(P158,2)</f>
        <v>#DIV/0!</v>
      </c>
    </row>
    <row r="159" spans="1:21" x14ac:dyDescent="0.2">
      <c r="A159" s="93" t="s">
        <v>244</v>
      </c>
      <c r="B159" s="94" t="s">
        <v>42</v>
      </c>
      <c r="C159" s="94" t="s">
        <v>418</v>
      </c>
      <c r="D159" s="94" t="s">
        <v>425</v>
      </c>
      <c r="E159" s="95" t="s">
        <v>273</v>
      </c>
      <c r="F159" s="94" t="s">
        <v>277</v>
      </c>
      <c r="G159" s="94" t="s">
        <v>193</v>
      </c>
      <c r="H159" s="94" t="s">
        <v>14</v>
      </c>
      <c r="I159" s="94" t="s">
        <v>191</v>
      </c>
      <c r="J159" s="94"/>
      <c r="K159" s="96">
        <v>18.2</v>
      </c>
      <c r="L159" s="96">
        <f>K159*VLOOKUP(H159,dagsoorttabel1,2,FALSE)</f>
        <v>7.28</v>
      </c>
      <c r="M159" s="97">
        <f>prodnorm15</f>
        <v>0</v>
      </c>
      <c r="N159" s="41">
        <f>dagwerk15</f>
        <v>0</v>
      </c>
      <c r="O159" s="94" t="s">
        <v>108</v>
      </c>
      <c r="P159" s="26">
        <f>uurtarief15</f>
        <v>0</v>
      </c>
      <c r="Q159" s="96" t="e">
        <f>IF(ISBLANK(M159),0,L159/ROUND(M159,4))</f>
        <v>#DIV/0!</v>
      </c>
      <c r="R159" s="96" t="e">
        <f>IF(ISBLANK(M159),0,Q159*ROUND(N159,2))</f>
        <v>#DIV/0!</v>
      </c>
      <c r="S159" s="26" t="e">
        <f>ROUND(P159,2)*Q159</f>
        <v>#DIV/0!</v>
      </c>
      <c r="T159" s="96" t="e">
        <f>Q159*dagenperjaar1</f>
        <v>#DIV/0!</v>
      </c>
      <c r="U159" s="27" t="e">
        <f>T159*ROUND(P159,2)</f>
        <v>#DIV/0!</v>
      </c>
    </row>
    <row r="160" spans="1:21" x14ac:dyDescent="0.2">
      <c r="A160" s="93" t="s">
        <v>244</v>
      </c>
      <c r="B160" s="94" t="s">
        <v>42</v>
      </c>
      <c r="C160" s="94" t="s">
        <v>418</v>
      </c>
      <c r="D160" s="94" t="s">
        <v>425</v>
      </c>
      <c r="E160" s="95" t="s">
        <v>273</v>
      </c>
      <c r="F160" s="94" t="s">
        <v>277</v>
      </c>
      <c r="G160" s="94" t="s">
        <v>227</v>
      </c>
      <c r="H160" s="94" t="s">
        <v>24</v>
      </c>
      <c r="I160" s="94" t="s">
        <v>191</v>
      </c>
      <c r="J160" s="94"/>
      <c r="K160" s="96">
        <v>18.2</v>
      </c>
      <c r="L160" s="96">
        <f>K160*VLOOKUP(H160,dagsoorttabel1,2,FALSE)</f>
        <v>9.0999999999999998E-2</v>
      </c>
      <c r="M160" s="97">
        <f>prodnorm35</f>
        <v>0</v>
      </c>
      <c r="N160" s="41">
        <f>dagwerk35</f>
        <v>0</v>
      </c>
      <c r="O160" s="94" t="s">
        <v>108</v>
      </c>
      <c r="P160" s="26">
        <f>uurtarief35</f>
        <v>0</v>
      </c>
      <c r="Q160" s="96" t="e">
        <f>IF(ISBLANK(M160),0,L160/ROUND(M160,4))</f>
        <v>#DIV/0!</v>
      </c>
      <c r="R160" s="96" t="e">
        <f>IF(ISBLANK(M160),0,Q160*ROUND(N160,2))</f>
        <v>#DIV/0!</v>
      </c>
      <c r="S160" s="26" t="e">
        <f>ROUND(P160,2)*Q160</f>
        <v>#DIV/0!</v>
      </c>
      <c r="T160" s="96" t="e">
        <f>Q160*dagenperjaar1</f>
        <v>#DIV/0!</v>
      </c>
      <c r="U160" s="27" t="e">
        <f>T160*ROUND(P160,2)</f>
        <v>#DIV/0!</v>
      </c>
    </row>
    <row r="161" spans="1:21" x14ac:dyDescent="0.2">
      <c r="A161" s="93" t="s">
        <v>244</v>
      </c>
      <c r="B161" s="94" t="s">
        <v>42</v>
      </c>
      <c r="C161" s="94" t="s">
        <v>418</v>
      </c>
      <c r="D161" s="94" t="s">
        <v>426</v>
      </c>
      <c r="E161" s="95" t="s">
        <v>273</v>
      </c>
      <c r="F161" s="94" t="s">
        <v>277</v>
      </c>
      <c r="G161" s="94" t="s">
        <v>193</v>
      </c>
      <c r="H161" s="94" t="s">
        <v>14</v>
      </c>
      <c r="I161" s="94" t="s">
        <v>191</v>
      </c>
      <c r="J161" s="94"/>
      <c r="K161" s="96">
        <v>18.2</v>
      </c>
      <c r="L161" s="96">
        <f>K161*VLOOKUP(H161,dagsoorttabel1,2,FALSE)</f>
        <v>7.28</v>
      </c>
      <c r="M161" s="97">
        <f>prodnorm15</f>
        <v>0</v>
      </c>
      <c r="N161" s="41">
        <f>dagwerk15</f>
        <v>0</v>
      </c>
      <c r="O161" s="94" t="s">
        <v>108</v>
      </c>
      <c r="P161" s="26">
        <f>uurtarief15</f>
        <v>0</v>
      </c>
      <c r="Q161" s="96" t="e">
        <f>IF(ISBLANK(M161),0,L161/ROUND(M161,4))</f>
        <v>#DIV/0!</v>
      </c>
      <c r="R161" s="96" t="e">
        <f>IF(ISBLANK(M161),0,Q161*ROUND(N161,2))</f>
        <v>#DIV/0!</v>
      </c>
      <c r="S161" s="26" t="e">
        <f>ROUND(P161,2)*Q161</f>
        <v>#DIV/0!</v>
      </c>
      <c r="T161" s="96" t="e">
        <f>Q161*dagenperjaar1</f>
        <v>#DIV/0!</v>
      </c>
      <c r="U161" s="27" t="e">
        <f>T161*ROUND(P161,2)</f>
        <v>#DIV/0!</v>
      </c>
    </row>
    <row r="162" spans="1:21" x14ac:dyDescent="0.2">
      <c r="A162" s="93" t="s">
        <v>244</v>
      </c>
      <c r="B162" s="94" t="s">
        <v>42</v>
      </c>
      <c r="C162" s="94" t="s">
        <v>418</v>
      </c>
      <c r="D162" s="94" t="s">
        <v>426</v>
      </c>
      <c r="E162" s="95" t="s">
        <v>273</v>
      </c>
      <c r="F162" s="94" t="s">
        <v>277</v>
      </c>
      <c r="G162" s="94" t="s">
        <v>227</v>
      </c>
      <c r="H162" s="94" t="s">
        <v>24</v>
      </c>
      <c r="I162" s="94" t="s">
        <v>191</v>
      </c>
      <c r="J162" s="94"/>
      <c r="K162" s="96">
        <v>18.2</v>
      </c>
      <c r="L162" s="96">
        <f>K162*VLOOKUP(H162,dagsoorttabel1,2,FALSE)</f>
        <v>9.0999999999999998E-2</v>
      </c>
      <c r="M162" s="97">
        <f>prodnorm35</f>
        <v>0</v>
      </c>
      <c r="N162" s="41">
        <f>dagwerk35</f>
        <v>0</v>
      </c>
      <c r="O162" s="94" t="s">
        <v>108</v>
      </c>
      <c r="P162" s="26">
        <f>uurtarief35</f>
        <v>0</v>
      </c>
      <c r="Q162" s="96" t="e">
        <f>IF(ISBLANK(M162),0,L162/ROUND(M162,4))</f>
        <v>#DIV/0!</v>
      </c>
      <c r="R162" s="96" t="e">
        <f>IF(ISBLANK(M162),0,Q162*ROUND(N162,2))</f>
        <v>#DIV/0!</v>
      </c>
      <c r="S162" s="26" t="e">
        <f>ROUND(P162,2)*Q162</f>
        <v>#DIV/0!</v>
      </c>
      <c r="T162" s="96" t="e">
        <f>Q162*dagenperjaar1</f>
        <v>#DIV/0!</v>
      </c>
      <c r="U162" s="27" t="e">
        <f>T162*ROUND(P162,2)</f>
        <v>#DIV/0!</v>
      </c>
    </row>
    <row r="163" spans="1:21" x14ac:dyDescent="0.2">
      <c r="A163" s="93" t="s">
        <v>244</v>
      </c>
      <c r="B163" s="94" t="s">
        <v>42</v>
      </c>
      <c r="C163" s="94" t="s">
        <v>418</v>
      </c>
      <c r="D163" s="94" t="s">
        <v>427</v>
      </c>
      <c r="E163" s="95" t="s">
        <v>273</v>
      </c>
      <c r="F163" s="94" t="s">
        <v>277</v>
      </c>
      <c r="G163" s="94" t="s">
        <v>193</v>
      </c>
      <c r="H163" s="94" t="s">
        <v>14</v>
      </c>
      <c r="I163" s="94" t="s">
        <v>191</v>
      </c>
      <c r="J163" s="94"/>
      <c r="K163" s="96">
        <v>18.3</v>
      </c>
      <c r="L163" s="96">
        <f>K163*VLOOKUP(H163,dagsoorttabel1,2,FALSE)</f>
        <v>7.32</v>
      </c>
      <c r="M163" s="97">
        <f>prodnorm15</f>
        <v>0</v>
      </c>
      <c r="N163" s="41">
        <f>dagwerk15</f>
        <v>0</v>
      </c>
      <c r="O163" s="94" t="s">
        <v>108</v>
      </c>
      <c r="P163" s="26">
        <f>uurtarief15</f>
        <v>0</v>
      </c>
      <c r="Q163" s="96" t="e">
        <f>IF(ISBLANK(M163),0,L163/ROUND(M163,4))</f>
        <v>#DIV/0!</v>
      </c>
      <c r="R163" s="96" t="e">
        <f>IF(ISBLANK(M163),0,Q163*ROUND(N163,2))</f>
        <v>#DIV/0!</v>
      </c>
      <c r="S163" s="26" t="e">
        <f>ROUND(P163,2)*Q163</f>
        <v>#DIV/0!</v>
      </c>
      <c r="T163" s="96" t="e">
        <f>Q163*dagenperjaar1</f>
        <v>#DIV/0!</v>
      </c>
      <c r="U163" s="27" t="e">
        <f>T163*ROUND(P163,2)</f>
        <v>#DIV/0!</v>
      </c>
    </row>
    <row r="164" spans="1:21" x14ac:dyDescent="0.2">
      <c r="A164" s="93" t="s">
        <v>244</v>
      </c>
      <c r="B164" s="94" t="s">
        <v>42</v>
      </c>
      <c r="C164" s="94" t="s">
        <v>418</v>
      </c>
      <c r="D164" s="94" t="s">
        <v>427</v>
      </c>
      <c r="E164" s="95" t="s">
        <v>273</v>
      </c>
      <c r="F164" s="94" t="s">
        <v>277</v>
      </c>
      <c r="G164" s="94" t="s">
        <v>227</v>
      </c>
      <c r="H164" s="94" t="s">
        <v>24</v>
      </c>
      <c r="I164" s="94" t="s">
        <v>191</v>
      </c>
      <c r="J164" s="94"/>
      <c r="K164" s="96">
        <v>18.3</v>
      </c>
      <c r="L164" s="96">
        <f>K164*VLOOKUP(H164,dagsoorttabel1,2,FALSE)</f>
        <v>9.1500000000000012E-2</v>
      </c>
      <c r="M164" s="97">
        <f>prodnorm35</f>
        <v>0</v>
      </c>
      <c r="N164" s="41">
        <f>dagwerk35</f>
        <v>0</v>
      </c>
      <c r="O164" s="94" t="s">
        <v>108</v>
      </c>
      <c r="P164" s="26">
        <f>uurtarief35</f>
        <v>0</v>
      </c>
      <c r="Q164" s="96" t="e">
        <f>IF(ISBLANK(M164),0,L164/ROUND(M164,4))</f>
        <v>#DIV/0!</v>
      </c>
      <c r="R164" s="96" t="e">
        <f>IF(ISBLANK(M164),0,Q164*ROUND(N164,2))</f>
        <v>#DIV/0!</v>
      </c>
      <c r="S164" s="26" t="e">
        <f>ROUND(P164,2)*Q164</f>
        <v>#DIV/0!</v>
      </c>
      <c r="T164" s="96" t="e">
        <f>Q164*dagenperjaar1</f>
        <v>#DIV/0!</v>
      </c>
      <c r="U164" s="27" t="e">
        <f>T164*ROUND(P164,2)</f>
        <v>#DIV/0!</v>
      </c>
    </row>
    <row r="165" spans="1:21" x14ac:dyDescent="0.2">
      <c r="A165" s="93" t="s">
        <v>244</v>
      </c>
      <c r="B165" s="94" t="s">
        <v>42</v>
      </c>
      <c r="C165" s="94" t="s">
        <v>418</v>
      </c>
      <c r="D165" s="94" t="s">
        <v>428</v>
      </c>
      <c r="E165" s="95" t="s">
        <v>273</v>
      </c>
      <c r="F165" s="94" t="s">
        <v>277</v>
      </c>
      <c r="G165" s="94" t="s">
        <v>193</v>
      </c>
      <c r="H165" s="94" t="s">
        <v>14</v>
      </c>
      <c r="I165" s="94" t="s">
        <v>191</v>
      </c>
      <c r="J165" s="94"/>
      <c r="K165" s="96">
        <v>18.3</v>
      </c>
      <c r="L165" s="96">
        <f>K165*VLOOKUP(H165,dagsoorttabel1,2,FALSE)</f>
        <v>7.32</v>
      </c>
      <c r="M165" s="97">
        <f>prodnorm15</f>
        <v>0</v>
      </c>
      <c r="N165" s="41">
        <f>dagwerk15</f>
        <v>0</v>
      </c>
      <c r="O165" s="94" t="s">
        <v>108</v>
      </c>
      <c r="P165" s="26">
        <f>uurtarief15</f>
        <v>0</v>
      </c>
      <c r="Q165" s="96" t="e">
        <f>IF(ISBLANK(M165),0,L165/ROUND(M165,4))</f>
        <v>#DIV/0!</v>
      </c>
      <c r="R165" s="96" t="e">
        <f>IF(ISBLANK(M165),0,Q165*ROUND(N165,2))</f>
        <v>#DIV/0!</v>
      </c>
      <c r="S165" s="26" t="e">
        <f>ROUND(P165,2)*Q165</f>
        <v>#DIV/0!</v>
      </c>
      <c r="T165" s="96" t="e">
        <f>Q165*dagenperjaar1</f>
        <v>#DIV/0!</v>
      </c>
      <c r="U165" s="27" t="e">
        <f>T165*ROUND(P165,2)</f>
        <v>#DIV/0!</v>
      </c>
    </row>
    <row r="166" spans="1:21" x14ac:dyDescent="0.2">
      <c r="A166" s="93" t="s">
        <v>244</v>
      </c>
      <c r="B166" s="94" t="s">
        <v>42</v>
      </c>
      <c r="C166" s="94" t="s">
        <v>418</v>
      </c>
      <c r="D166" s="94" t="s">
        <v>428</v>
      </c>
      <c r="E166" s="95" t="s">
        <v>273</v>
      </c>
      <c r="F166" s="94" t="s">
        <v>277</v>
      </c>
      <c r="G166" s="94" t="s">
        <v>227</v>
      </c>
      <c r="H166" s="94" t="s">
        <v>24</v>
      </c>
      <c r="I166" s="94" t="s">
        <v>191</v>
      </c>
      <c r="J166" s="94"/>
      <c r="K166" s="96">
        <v>18.3</v>
      </c>
      <c r="L166" s="96">
        <f>K166*VLOOKUP(H166,dagsoorttabel1,2,FALSE)</f>
        <v>9.1500000000000012E-2</v>
      </c>
      <c r="M166" s="97">
        <f>prodnorm35</f>
        <v>0</v>
      </c>
      <c r="N166" s="41">
        <f>dagwerk35</f>
        <v>0</v>
      </c>
      <c r="O166" s="94" t="s">
        <v>108</v>
      </c>
      <c r="P166" s="26">
        <f>uurtarief35</f>
        <v>0</v>
      </c>
      <c r="Q166" s="96" t="e">
        <f>IF(ISBLANK(M166),0,L166/ROUND(M166,4))</f>
        <v>#DIV/0!</v>
      </c>
      <c r="R166" s="96" t="e">
        <f>IF(ISBLANK(M166),0,Q166*ROUND(N166,2))</f>
        <v>#DIV/0!</v>
      </c>
      <c r="S166" s="26" t="e">
        <f>ROUND(P166,2)*Q166</f>
        <v>#DIV/0!</v>
      </c>
      <c r="T166" s="96" t="e">
        <f>Q166*dagenperjaar1</f>
        <v>#DIV/0!</v>
      </c>
      <c r="U166" s="27" t="e">
        <f>T166*ROUND(P166,2)</f>
        <v>#DIV/0!</v>
      </c>
    </row>
    <row r="167" spans="1:21" x14ac:dyDescent="0.2">
      <c r="A167" s="93" t="s">
        <v>244</v>
      </c>
      <c r="B167" s="94" t="s">
        <v>42</v>
      </c>
      <c r="C167" s="94" t="s">
        <v>418</v>
      </c>
      <c r="D167" s="94" t="s">
        <v>429</v>
      </c>
      <c r="E167" s="95" t="s">
        <v>273</v>
      </c>
      <c r="F167" s="94" t="s">
        <v>277</v>
      </c>
      <c r="G167" s="94" t="s">
        <v>193</v>
      </c>
      <c r="H167" s="94" t="s">
        <v>14</v>
      </c>
      <c r="I167" s="94" t="s">
        <v>191</v>
      </c>
      <c r="J167" s="94"/>
      <c r="K167" s="96">
        <v>19.2</v>
      </c>
      <c r="L167" s="96">
        <f>K167*VLOOKUP(H167,dagsoorttabel1,2,FALSE)</f>
        <v>7.68</v>
      </c>
      <c r="M167" s="97">
        <f>prodnorm15</f>
        <v>0</v>
      </c>
      <c r="N167" s="41">
        <f>dagwerk15</f>
        <v>0</v>
      </c>
      <c r="O167" s="94" t="s">
        <v>108</v>
      </c>
      <c r="P167" s="26">
        <f>uurtarief15</f>
        <v>0</v>
      </c>
      <c r="Q167" s="96" t="e">
        <f>IF(ISBLANK(M167),0,L167/ROUND(M167,4))</f>
        <v>#DIV/0!</v>
      </c>
      <c r="R167" s="96" t="e">
        <f>IF(ISBLANK(M167),0,Q167*ROUND(N167,2))</f>
        <v>#DIV/0!</v>
      </c>
      <c r="S167" s="26" t="e">
        <f>ROUND(P167,2)*Q167</f>
        <v>#DIV/0!</v>
      </c>
      <c r="T167" s="96" t="e">
        <f>Q167*dagenperjaar1</f>
        <v>#DIV/0!</v>
      </c>
      <c r="U167" s="27" t="e">
        <f>T167*ROUND(P167,2)</f>
        <v>#DIV/0!</v>
      </c>
    </row>
    <row r="168" spans="1:21" x14ac:dyDescent="0.2">
      <c r="A168" s="93" t="s">
        <v>244</v>
      </c>
      <c r="B168" s="94" t="s">
        <v>42</v>
      </c>
      <c r="C168" s="94" t="s">
        <v>418</v>
      </c>
      <c r="D168" s="94" t="s">
        <v>429</v>
      </c>
      <c r="E168" s="95" t="s">
        <v>273</v>
      </c>
      <c r="F168" s="94" t="s">
        <v>277</v>
      </c>
      <c r="G168" s="94" t="s">
        <v>227</v>
      </c>
      <c r="H168" s="94" t="s">
        <v>24</v>
      </c>
      <c r="I168" s="94" t="s">
        <v>191</v>
      </c>
      <c r="J168" s="94"/>
      <c r="K168" s="96">
        <v>19.2</v>
      </c>
      <c r="L168" s="96">
        <f>K168*VLOOKUP(H168,dagsoorttabel1,2,FALSE)</f>
        <v>9.6000000000000002E-2</v>
      </c>
      <c r="M168" s="97">
        <f>prodnorm35</f>
        <v>0</v>
      </c>
      <c r="N168" s="41">
        <f>dagwerk35</f>
        <v>0</v>
      </c>
      <c r="O168" s="94" t="s">
        <v>108</v>
      </c>
      <c r="P168" s="26">
        <f>uurtarief35</f>
        <v>0</v>
      </c>
      <c r="Q168" s="96" t="e">
        <f>IF(ISBLANK(M168),0,L168/ROUND(M168,4))</f>
        <v>#DIV/0!</v>
      </c>
      <c r="R168" s="96" t="e">
        <f>IF(ISBLANK(M168),0,Q168*ROUND(N168,2))</f>
        <v>#DIV/0!</v>
      </c>
      <c r="S168" s="26" t="e">
        <f>ROUND(P168,2)*Q168</f>
        <v>#DIV/0!</v>
      </c>
      <c r="T168" s="96" t="e">
        <f>Q168*dagenperjaar1</f>
        <v>#DIV/0!</v>
      </c>
      <c r="U168" s="27" t="e">
        <f>T168*ROUND(P168,2)</f>
        <v>#DIV/0!</v>
      </c>
    </row>
    <row r="169" spans="1:21" x14ac:dyDescent="0.2">
      <c r="A169" s="93" t="s">
        <v>244</v>
      </c>
      <c r="B169" s="94" t="s">
        <v>42</v>
      </c>
      <c r="C169" s="94" t="s">
        <v>418</v>
      </c>
      <c r="D169" s="94" t="s">
        <v>430</v>
      </c>
      <c r="E169" s="95" t="s">
        <v>431</v>
      </c>
      <c r="F169" s="94" t="s">
        <v>277</v>
      </c>
      <c r="G169" s="94" t="s">
        <v>190</v>
      </c>
      <c r="H169" s="94" t="s">
        <v>10</v>
      </c>
      <c r="I169" s="94" t="s">
        <v>191</v>
      </c>
      <c r="J169" s="94"/>
      <c r="K169" s="96">
        <v>204</v>
      </c>
      <c r="L169" s="96">
        <f>K169*VLOOKUP(H169,dagsoorttabel1,2,FALSE)</f>
        <v>204</v>
      </c>
      <c r="M169" s="97">
        <f>prodnorm12</f>
        <v>0</v>
      </c>
      <c r="N169" s="41">
        <f>dagwerk12</f>
        <v>0</v>
      </c>
      <c r="O169" s="94" t="s">
        <v>108</v>
      </c>
      <c r="P169" s="26">
        <f>uurtarief12</f>
        <v>0</v>
      </c>
      <c r="Q169" s="96" t="e">
        <f>IF(ISBLANK(M169),0,L169/ROUND(M169,4))</f>
        <v>#DIV/0!</v>
      </c>
      <c r="R169" s="96" t="e">
        <f>IF(ISBLANK(M169),0,Q169*ROUND(N169,2))</f>
        <v>#DIV/0!</v>
      </c>
      <c r="S169" s="26" t="e">
        <f>ROUND(P169,2)*Q169</f>
        <v>#DIV/0!</v>
      </c>
      <c r="T169" s="96" t="e">
        <f>Q169*dagenperjaar1</f>
        <v>#DIV/0!</v>
      </c>
      <c r="U169" s="27" t="e">
        <f>T169*ROUND(P169,2)</f>
        <v>#DIV/0!</v>
      </c>
    </row>
    <row r="170" spans="1:21" x14ac:dyDescent="0.2">
      <c r="A170" s="93" t="s">
        <v>244</v>
      </c>
      <c r="B170" s="94" t="s">
        <v>42</v>
      </c>
      <c r="C170" s="94" t="s">
        <v>418</v>
      </c>
      <c r="D170" s="94" t="s">
        <v>430</v>
      </c>
      <c r="E170" s="95" t="s">
        <v>431</v>
      </c>
      <c r="F170" s="94" t="s">
        <v>277</v>
      </c>
      <c r="G170" s="94" t="s">
        <v>227</v>
      </c>
      <c r="H170" s="94" t="s">
        <v>24</v>
      </c>
      <c r="I170" s="94" t="s">
        <v>191</v>
      </c>
      <c r="J170" s="94"/>
      <c r="K170" s="96">
        <v>204</v>
      </c>
      <c r="L170" s="96">
        <f>K170*VLOOKUP(H170,dagsoorttabel1,2,FALSE)</f>
        <v>1.02</v>
      </c>
      <c r="M170" s="97">
        <f>prodnorm35</f>
        <v>0</v>
      </c>
      <c r="N170" s="41">
        <f>dagwerk35</f>
        <v>0</v>
      </c>
      <c r="O170" s="94" t="s">
        <v>108</v>
      </c>
      <c r="P170" s="26">
        <f>uurtarief35</f>
        <v>0</v>
      </c>
      <c r="Q170" s="96" t="e">
        <f>IF(ISBLANK(M170),0,L170/ROUND(M170,4))</f>
        <v>#DIV/0!</v>
      </c>
      <c r="R170" s="96" t="e">
        <f>IF(ISBLANK(M170),0,Q170*ROUND(N170,2))</f>
        <v>#DIV/0!</v>
      </c>
      <c r="S170" s="26" t="e">
        <f>ROUND(P170,2)*Q170</f>
        <v>#DIV/0!</v>
      </c>
      <c r="T170" s="96" t="e">
        <f>Q170*dagenperjaar1</f>
        <v>#DIV/0!</v>
      </c>
      <c r="U170" s="27" t="e">
        <f>T170*ROUND(P170,2)</f>
        <v>#DIV/0!</v>
      </c>
    </row>
    <row r="171" spans="1:21" x14ac:dyDescent="0.2">
      <c r="A171" s="93" t="s">
        <v>244</v>
      </c>
      <c r="B171" s="94" t="s">
        <v>42</v>
      </c>
      <c r="C171" s="94" t="s">
        <v>418</v>
      </c>
      <c r="D171" s="94" t="s">
        <v>432</v>
      </c>
      <c r="E171" s="95" t="s">
        <v>433</v>
      </c>
      <c r="F171" s="94" t="s">
        <v>434</v>
      </c>
      <c r="G171" s="94" t="s">
        <v>225</v>
      </c>
      <c r="H171" s="94" t="s">
        <v>10</v>
      </c>
      <c r="I171" s="94" t="s">
        <v>191</v>
      </c>
      <c r="J171" s="94"/>
      <c r="K171" s="96">
        <v>4.2</v>
      </c>
      <c r="L171" s="96">
        <f>K171*VLOOKUP(H171,dagsoorttabel1,2,FALSE)</f>
        <v>4.2</v>
      </c>
      <c r="M171" s="97">
        <f>prodnorm34</f>
        <v>0</v>
      </c>
      <c r="N171" s="41">
        <f>dagwerk34</f>
        <v>0</v>
      </c>
      <c r="O171" s="94" t="s">
        <v>108</v>
      </c>
      <c r="P171" s="26">
        <f>uurtarief34</f>
        <v>0</v>
      </c>
      <c r="Q171" s="96" t="e">
        <f>IF(ISBLANK(M171),0,L171/ROUND(M171,4))</f>
        <v>#DIV/0!</v>
      </c>
      <c r="R171" s="96" t="e">
        <f>IF(ISBLANK(M171),0,Q171*ROUND(N171,2))</f>
        <v>#DIV/0!</v>
      </c>
      <c r="S171" s="26" t="e">
        <f>ROUND(P171,2)*Q171</f>
        <v>#DIV/0!</v>
      </c>
      <c r="T171" s="96" t="e">
        <f>Q171*dagenperjaar1</f>
        <v>#DIV/0!</v>
      </c>
      <c r="U171" s="27" t="e">
        <f>T171*ROUND(P171,2)</f>
        <v>#DIV/0!</v>
      </c>
    </row>
    <row r="172" spans="1:21" x14ac:dyDescent="0.2">
      <c r="A172" s="93" t="s">
        <v>244</v>
      </c>
      <c r="B172" s="94" t="s">
        <v>42</v>
      </c>
      <c r="C172" s="94" t="s">
        <v>418</v>
      </c>
      <c r="D172" s="94" t="s">
        <v>435</v>
      </c>
      <c r="E172" s="95" t="s">
        <v>436</v>
      </c>
      <c r="F172" s="94" t="s">
        <v>277</v>
      </c>
      <c r="G172" s="94" t="s">
        <v>225</v>
      </c>
      <c r="H172" s="94" t="s">
        <v>10</v>
      </c>
      <c r="I172" s="94" t="s">
        <v>191</v>
      </c>
      <c r="J172" s="94"/>
      <c r="K172" s="96">
        <v>18</v>
      </c>
      <c r="L172" s="96">
        <f>K172*VLOOKUP(H172,dagsoorttabel1,2,FALSE)</f>
        <v>18</v>
      </c>
      <c r="M172" s="97">
        <f>prodnorm34</f>
        <v>0</v>
      </c>
      <c r="N172" s="41">
        <f>dagwerk34</f>
        <v>0</v>
      </c>
      <c r="O172" s="94" t="s">
        <v>108</v>
      </c>
      <c r="P172" s="26">
        <f>uurtarief34</f>
        <v>0</v>
      </c>
      <c r="Q172" s="96" t="e">
        <f>IF(ISBLANK(M172),0,L172/ROUND(M172,4))</f>
        <v>#DIV/0!</v>
      </c>
      <c r="R172" s="96" t="e">
        <f>IF(ISBLANK(M172),0,Q172*ROUND(N172,2))</f>
        <v>#DIV/0!</v>
      </c>
      <c r="S172" s="26" t="e">
        <f>ROUND(P172,2)*Q172</f>
        <v>#DIV/0!</v>
      </c>
      <c r="T172" s="96" t="e">
        <f>Q172*dagenperjaar1</f>
        <v>#DIV/0!</v>
      </c>
      <c r="U172" s="27" t="e">
        <f>T172*ROUND(P172,2)</f>
        <v>#DIV/0!</v>
      </c>
    </row>
    <row r="173" spans="1:21" x14ac:dyDescent="0.2">
      <c r="A173" s="93" t="s">
        <v>244</v>
      </c>
      <c r="B173" s="94" t="s">
        <v>42</v>
      </c>
      <c r="C173" s="94" t="s">
        <v>418</v>
      </c>
      <c r="D173" s="94" t="s">
        <v>435</v>
      </c>
      <c r="E173" s="95" t="s">
        <v>436</v>
      </c>
      <c r="F173" s="94" t="s">
        <v>277</v>
      </c>
      <c r="G173" s="94" t="s">
        <v>227</v>
      </c>
      <c r="H173" s="94" t="s">
        <v>24</v>
      </c>
      <c r="I173" s="94" t="s">
        <v>191</v>
      </c>
      <c r="J173" s="94"/>
      <c r="K173" s="96">
        <v>18</v>
      </c>
      <c r="L173" s="96">
        <f>K173*VLOOKUP(H173,dagsoorttabel1,2,FALSE)</f>
        <v>0.09</v>
      </c>
      <c r="M173" s="97">
        <f>prodnorm35</f>
        <v>0</v>
      </c>
      <c r="N173" s="41">
        <f>dagwerk35</f>
        <v>0</v>
      </c>
      <c r="O173" s="94" t="s">
        <v>108</v>
      </c>
      <c r="P173" s="26">
        <f>uurtarief35</f>
        <v>0</v>
      </c>
      <c r="Q173" s="96" t="e">
        <f>IF(ISBLANK(M173),0,L173/ROUND(M173,4))</f>
        <v>#DIV/0!</v>
      </c>
      <c r="R173" s="96" t="e">
        <f>IF(ISBLANK(M173),0,Q173*ROUND(N173,2))</f>
        <v>#DIV/0!</v>
      </c>
      <c r="S173" s="26" t="e">
        <f>ROUND(P173,2)*Q173</f>
        <v>#DIV/0!</v>
      </c>
      <c r="T173" s="96" t="e">
        <f>Q173*dagenperjaar1</f>
        <v>#DIV/0!</v>
      </c>
      <c r="U173" s="27" t="e">
        <f>T173*ROUND(P173,2)</f>
        <v>#DIV/0!</v>
      </c>
    </row>
    <row r="174" spans="1:21" x14ac:dyDescent="0.2">
      <c r="A174" s="93" t="s">
        <v>244</v>
      </c>
      <c r="B174" s="94" t="s">
        <v>42</v>
      </c>
      <c r="C174" s="94" t="s">
        <v>418</v>
      </c>
      <c r="D174" s="94" t="s">
        <v>437</v>
      </c>
      <c r="E174" s="95" t="s">
        <v>416</v>
      </c>
      <c r="F174" s="94" t="s">
        <v>438</v>
      </c>
      <c r="G174" s="94" t="s">
        <v>225</v>
      </c>
      <c r="H174" s="94" t="s">
        <v>10</v>
      </c>
      <c r="I174" s="94" t="s">
        <v>191</v>
      </c>
      <c r="J174" s="94"/>
      <c r="K174" s="96">
        <v>6.63</v>
      </c>
      <c r="L174" s="96">
        <f>K174*VLOOKUP(H174,dagsoorttabel1,2,FALSE)</f>
        <v>6.63</v>
      </c>
      <c r="M174" s="97">
        <f>prodnorm34</f>
        <v>0</v>
      </c>
      <c r="N174" s="41">
        <f>dagwerk34</f>
        <v>0</v>
      </c>
      <c r="O174" s="94" t="s">
        <v>108</v>
      </c>
      <c r="P174" s="26">
        <f>uurtarief34</f>
        <v>0</v>
      </c>
      <c r="Q174" s="96" t="e">
        <f>IF(ISBLANK(M174),0,L174/ROUND(M174,4))</f>
        <v>#DIV/0!</v>
      </c>
      <c r="R174" s="96" t="e">
        <f>IF(ISBLANK(M174),0,Q174*ROUND(N174,2))</f>
        <v>#DIV/0!</v>
      </c>
      <c r="S174" s="26" t="e">
        <f>ROUND(P174,2)*Q174</f>
        <v>#DIV/0!</v>
      </c>
      <c r="T174" s="96" t="e">
        <f>Q174*dagenperjaar1</f>
        <v>#DIV/0!</v>
      </c>
      <c r="U174" s="27" t="e">
        <f>T174*ROUND(P174,2)</f>
        <v>#DIV/0!</v>
      </c>
    </row>
    <row r="175" spans="1:21" x14ac:dyDescent="0.2">
      <c r="A175" s="93" t="s">
        <v>244</v>
      </c>
      <c r="B175" s="94" t="s">
        <v>42</v>
      </c>
      <c r="C175" s="94" t="s">
        <v>418</v>
      </c>
      <c r="D175" s="94" t="s">
        <v>439</v>
      </c>
      <c r="E175" s="95" t="s">
        <v>316</v>
      </c>
      <c r="F175" s="94" t="s">
        <v>269</v>
      </c>
      <c r="G175" s="94" t="s">
        <v>219</v>
      </c>
      <c r="H175" s="94" t="s">
        <v>10</v>
      </c>
      <c r="I175" s="94" t="s">
        <v>191</v>
      </c>
      <c r="J175" s="94"/>
      <c r="K175" s="96">
        <v>1</v>
      </c>
      <c r="L175" s="96">
        <f>K175*VLOOKUP(H175,dagsoorttabel1,2,FALSE)</f>
        <v>1</v>
      </c>
      <c r="M175" s="97">
        <f>prodnorm30</f>
        <v>0</v>
      </c>
      <c r="N175" s="41">
        <f>dagwerk30</f>
        <v>0</v>
      </c>
      <c r="O175" s="94" t="s">
        <v>108</v>
      </c>
      <c r="P175" s="26">
        <f>uurtarief30</f>
        <v>0</v>
      </c>
      <c r="Q175" s="96" t="e">
        <f>IF(ISBLANK(M175),0,L175/ROUND(M175,4))</f>
        <v>#DIV/0!</v>
      </c>
      <c r="R175" s="96" t="e">
        <f>IF(ISBLANK(M175),0,Q175*ROUND(N175,2))</f>
        <v>#DIV/0!</v>
      </c>
      <c r="S175" s="26" t="e">
        <f>ROUND(P175,2)*Q175</f>
        <v>#DIV/0!</v>
      </c>
      <c r="T175" s="96" t="e">
        <f>Q175*dagenperjaar1</f>
        <v>#DIV/0!</v>
      </c>
      <c r="U175" s="27" t="e">
        <f>T175*ROUND(P175,2)</f>
        <v>#DIV/0!</v>
      </c>
    </row>
    <row r="176" spans="1:21" x14ac:dyDescent="0.2">
      <c r="A176" s="93" t="s">
        <v>244</v>
      </c>
      <c r="B176" s="94" t="s">
        <v>42</v>
      </c>
      <c r="C176" s="94" t="s">
        <v>418</v>
      </c>
      <c r="D176" s="94" t="s">
        <v>440</v>
      </c>
      <c r="E176" s="95" t="s">
        <v>316</v>
      </c>
      <c r="F176" s="94" t="s">
        <v>269</v>
      </c>
      <c r="G176" s="94" t="s">
        <v>219</v>
      </c>
      <c r="H176" s="94" t="s">
        <v>10</v>
      </c>
      <c r="I176" s="94" t="s">
        <v>191</v>
      </c>
      <c r="J176" s="94"/>
      <c r="K176" s="96">
        <v>1</v>
      </c>
      <c r="L176" s="96">
        <f>K176*VLOOKUP(H176,dagsoorttabel1,2,FALSE)</f>
        <v>1</v>
      </c>
      <c r="M176" s="97">
        <f>prodnorm30</f>
        <v>0</v>
      </c>
      <c r="N176" s="41">
        <f>dagwerk30</f>
        <v>0</v>
      </c>
      <c r="O176" s="94" t="s">
        <v>108</v>
      </c>
      <c r="P176" s="26">
        <f>uurtarief30</f>
        <v>0</v>
      </c>
      <c r="Q176" s="96" t="e">
        <f>IF(ISBLANK(M176),0,L176/ROUND(M176,4))</f>
        <v>#DIV/0!</v>
      </c>
      <c r="R176" s="96" t="e">
        <f>IF(ISBLANK(M176),0,Q176*ROUND(N176,2))</f>
        <v>#DIV/0!</v>
      </c>
      <c r="S176" s="26" t="e">
        <f>ROUND(P176,2)*Q176</f>
        <v>#DIV/0!</v>
      </c>
      <c r="T176" s="96" t="e">
        <f>Q176*dagenperjaar1</f>
        <v>#DIV/0!</v>
      </c>
      <c r="U176" s="27" t="e">
        <f>T176*ROUND(P176,2)</f>
        <v>#DIV/0!</v>
      </c>
    </row>
    <row r="177" spans="1:21" x14ac:dyDescent="0.2">
      <c r="A177" s="93" t="s">
        <v>244</v>
      </c>
      <c r="B177" s="94" t="s">
        <v>42</v>
      </c>
      <c r="C177" s="94" t="s">
        <v>418</v>
      </c>
      <c r="D177" s="94" t="s">
        <v>441</v>
      </c>
      <c r="E177" s="95" t="s">
        <v>284</v>
      </c>
      <c r="F177" s="94" t="s">
        <v>277</v>
      </c>
      <c r="G177" s="94" t="s">
        <v>225</v>
      </c>
      <c r="H177" s="94" t="s">
        <v>10</v>
      </c>
      <c r="I177" s="94" t="s">
        <v>191</v>
      </c>
      <c r="J177" s="94"/>
      <c r="K177" s="96">
        <v>92.1</v>
      </c>
      <c r="L177" s="96">
        <f>K177*VLOOKUP(H177,dagsoorttabel1,2,FALSE)</f>
        <v>92.1</v>
      </c>
      <c r="M177" s="97">
        <f>prodnorm34</f>
        <v>0</v>
      </c>
      <c r="N177" s="41">
        <f>dagwerk34</f>
        <v>0</v>
      </c>
      <c r="O177" s="94" t="s">
        <v>108</v>
      </c>
      <c r="P177" s="26">
        <f>uurtarief34</f>
        <v>0</v>
      </c>
      <c r="Q177" s="96" t="e">
        <f>IF(ISBLANK(M177),0,L177/ROUND(M177,4))</f>
        <v>#DIV/0!</v>
      </c>
      <c r="R177" s="96" t="e">
        <f>IF(ISBLANK(M177),0,Q177*ROUND(N177,2))</f>
        <v>#DIV/0!</v>
      </c>
      <c r="S177" s="26" t="e">
        <f>ROUND(P177,2)*Q177</f>
        <v>#DIV/0!</v>
      </c>
      <c r="T177" s="96" t="e">
        <f>Q177*dagenperjaar1</f>
        <v>#DIV/0!</v>
      </c>
      <c r="U177" s="27" t="e">
        <f>T177*ROUND(P177,2)</f>
        <v>#DIV/0!</v>
      </c>
    </row>
    <row r="178" spans="1:21" x14ac:dyDescent="0.2">
      <c r="A178" s="93" t="s">
        <v>244</v>
      </c>
      <c r="B178" s="94" t="s">
        <v>42</v>
      </c>
      <c r="C178" s="94" t="s">
        <v>418</v>
      </c>
      <c r="D178" s="94" t="s">
        <v>441</v>
      </c>
      <c r="E178" s="95" t="s">
        <v>284</v>
      </c>
      <c r="F178" s="94" t="s">
        <v>277</v>
      </c>
      <c r="G178" s="94" t="s">
        <v>227</v>
      </c>
      <c r="H178" s="94" t="s">
        <v>24</v>
      </c>
      <c r="I178" s="94" t="s">
        <v>191</v>
      </c>
      <c r="J178" s="94"/>
      <c r="K178" s="96">
        <v>92.1</v>
      </c>
      <c r="L178" s="96">
        <f>K178*VLOOKUP(H178,dagsoorttabel1,2,FALSE)</f>
        <v>0.46049999999999996</v>
      </c>
      <c r="M178" s="97">
        <f>prodnorm35</f>
        <v>0</v>
      </c>
      <c r="N178" s="41">
        <f>dagwerk35</f>
        <v>0</v>
      </c>
      <c r="O178" s="94" t="s">
        <v>108</v>
      </c>
      <c r="P178" s="26">
        <f>uurtarief35</f>
        <v>0</v>
      </c>
      <c r="Q178" s="96" t="e">
        <f>IF(ISBLANK(M178),0,L178/ROUND(M178,4))</f>
        <v>#DIV/0!</v>
      </c>
      <c r="R178" s="96" t="e">
        <f>IF(ISBLANK(M178),0,Q178*ROUND(N178,2))</f>
        <v>#DIV/0!</v>
      </c>
      <c r="S178" s="26" t="e">
        <f>ROUND(P178,2)*Q178</f>
        <v>#DIV/0!</v>
      </c>
      <c r="T178" s="96" t="e">
        <f>Q178*dagenperjaar1</f>
        <v>#DIV/0!</v>
      </c>
      <c r="U178" s="27" t="e">
        <f>T178*ROUND(P178,2)</f>
        <v>#DIV/0!</v>
      </c>
    </row>
    <row r="179" spans="1:21" x14ac:dyDescent="0.2">
      <c r="A179" s="93" t="s">
        <v>244</v>
      </c>
      <c r="B179" s="94" t="s">
        <v>42</v>
      </c>
      <c r="C179" s="94" t="s">
        <v>418</v>
      </c>
      <c r="D179" s="94" t="s">
        <v>442</v>
      </c>
      <c r="E179" s="95" t="s">
        <v>341</v>
      </c>
      <c r="F179" s="94" t="s">
        <v>443</v>
      </c>
      <c r="G179" s="94" t="s">
        <v>225</v>
      </c>
      <c r="H179" s="94" t="s">
        <v>10</v>
      </c>
      <c r="I179" s="94" t="s">
        <v>191</v>
      </c>
      <c r="J179" s="94"/>
      <c r="K179" s="96">
        <v>4.05</v>
      </c>
      <c r="L179" s="96">
        <f>K179*VLOOKUP(H179,dagsoorttabel1,2,FALSE)</f>
        <v>4.05</v>
      </c>
      <c r="M179" s="97">
        <f>prodnorm34</f>
        <v>0</v>
      </c>
      <c r="N179" s="41">
        <f>dagwerk34</f>
        <v>0</v>
      </c>
      <c r="O179" s="94" t="s">
        <v>108</v>
      </c>
      <c r="P179" s="26">
        <f>uurtarief34</f>
        <v>0</v>
      </c>
      <c r="Q179" s="96" t="e">
        <f>IF(ISBLANK(M179),0,L179/ROUND(M179,4))</f>
        <v>#DIV/0!</v>
      </c>
      <c r="R179" s="96" t="e">
        <f>IF(ISBLANK(M179),0,Q179*ROUND(N179,2))</f>
        <v>#DIV/0!</v>
      </c>
      <c r="S179" s="26" t="e">
        <f>ROUND(P179,2)*Q179</f>
        <v>#DIV/0!</v>
      </c>
      <c r="T179" s="96" t="e">
        <f>Q179*dagenperjaar1</f>
        <v>#DIV/0!</v>
      </c>
      <c r="U179" s="27" t="e">
        <f>T179*ROUND(P179,2)</f>
        <v>#DIV/0!</v>
      </c>
    </row>
    <row r="180" spans="1:21" x14ac:dyDescent="0.2">
      <c r="A180" s="93" t="s">
        <v>244</v>
      </c>
      <c r="B180" s="94" t="s">
        <v>42</v>
      </c>
      <c r="C180" s="94" t="s">
        <v>418</v>
      </c>
      <c r="D180" s="94" t="s">
        <v>442</v>
      </c>
      <c r="E180" s="95" t="s">
        <v>341</v>
      </c>
      <c r="F180" s="94" t="s">
        <v>443</v>
      </c>
      <c r="G180" s="94" t="s">
        <v>227</v>
      </c>
      <c r="H180" s="94" t="s">
        <v>24</v>
      </c>
      <c r="I180" s="94" t="s">
        <v>191</v>
      </c>
      <c r="J180" s="94"/>
      <c r="K180" s="96">
        <v>4.05</v>
      </c>
      <c r="L180" s="96">
        <f>K180*VLOOKUP(H180,dagsoorttabel1,2,FALSE)</f>
        <v>2.0250000000000001E-2</v>
      </c>
      <c r="M180" s="97">
        <f>prodnorm35</f>
        <v>0</v>
      </c>
      <c r="N180" s="41">
        <f>dagwerk35</f>
        <v>0</v>
      </c>
      <c r="O180" s="94" t="s">
        <v>108</v>
      </c>
      <c r="P180" s="26">
        <f>uurtarief35</f>
        <v>0</v>
      </c>
      <c r="Q180" s="96" t="e">
        <f>IF(ISBLANK(M180),0,L180/ROUND(M180,4))</f>
        <v>#DIV/0!</v>
      </c>
      <c r="R180" s="96" t="e">
        <f>IF(ISBLANK(M180),0,Q180*ROUND(N180,2))</f>
        <v>#DIV/0!</v>
      </c>
      <c r="S180" s="26" t="e">
        <f>ROUND(P180,2)*Q180</f>
        <v>#DIV/0!</v>
      </c>
      <c r="T180" s="96" t="e">
        <f>Q180*dagenperjaar1</f>
        <v>#DIV/0!</v>
      </c>
      <c r="U180" s="27" t="e">
        <f>T180*ROUND(P180,2)</f>
        <v>#DIV/0!</v>
      </c>
    </row>
    <row r="181" spans="1:21" x14ac:dyDescent="0.2">
      <c r="A181" s="93" t="s">
        <v>244</v>
      </c>
      <c r="B181" s="94" t="s">
        <v>42</v>
      </c>
      <c r="C181" s="94" t="s">
        <v>418</v>
      </c>
      <c r="D181" s="94" t="s">
        <v>444</v>
      </c>
      <c r="E181" s="95" t="s">
        <v>445</v>
      </c>
      <c r="F181" s="94" t="s">
        <v>277</v>
      </c>
      <c r="G181" s="94" t="s">
        <v>227</v>
      </c>
      <c r="H181" s="94" t="s">
        <v>24</v>
      </c>
      <c r="I181" s="94" t="s">
        <v>191</v>
      </c>
      <c r="J181" s="94"/>
      <c r="K181" s="96">
        <v>232.7</v>
      </c>
      <c r="L181" s="96">
        <f>K181*VLOOKUP(H181,dagsoorttabel1,2,FALSE)</f>
        <v>1.1635</v>
      </c>
      <c r="M181" s="97">
        <f>prodnorm35</f>
        <v>0</v>
      </c>
      <c r="N181" s="41">
        <f>dagwerk35</f>
        <v>0</v>
      </c>
      <c r="O181" s="94" t="s">
        <v>108</v>
      </c>
      <c r="P181" s="26">
        <f>uurtarief35</f>
        <v>0</v>
      </c>
      <c r="Q181" s="96" t="e">
        <f>IF(ISBLANK(M181),0,L181/ROUND(M181,4))</f>
        <v>#DIV/0!</v>
      </c>
      <c r="R181" s="96" t="e">
        <f>IF(ISBLANK(M181),0,Q181*ROUND(N181,2))</f>
        <v>#DIV/0!</v>
      </c>
      <c r="S181" s="26" t="e">
        <f>ROUND(P181,2)*Q181</f>
        <v>#DIV/0!</v>
      </c>
      <c r="T181" s="96" t="e">
        <f>Q181*dagenperjaar1</f>
        <v>#DIV/0!</v>
      </c>
      <c r="U181" s="27" t="e">
        <f>T181*ROUND(P181,2)</f>
        <v>#DIV/0!</v>
      </c>
    </row>
    <row r="182" spans="1:21" x14ac:dyDescent="0.2">
      <c r="A182" s="93" t="s">
        <v>244</v>
      </c>
      <c r="B182" s="94" t="s">
        <v>42</v>
      </c>
      <c r="C182" s="94" t="s">
        <v>418</v>
      </c>
      <c r="D182" s="94" t="s">
        <v>446</v>
      </c>
      <c r="E182" s="95" t="s">
        <v>447</v>
      </c>
      <c r="F182" s="94" t="s">
        <v>277</v>
      </c>
      <c r="G182" s="94" t="s">
        <v>190</v>
      </c>
      <c r="H182" s="94" t="s">
        <v>10</v>
      </c>
      <c r="I182" s="94" t="s">
        <v>191</v>
      </c>
      <c r="J182" s="94"/>
      <c r="K182" s="96">
        <v>321.2</v>
      </c>
      <c r="L182" s="96">
        <f>K182*VLOOKUP(H182,dagsoorttabel1,2,FALSE)</f>
        <v>321.2</v>
      </c>
      <c r="M182" s="97">
        <f>prodnorm12</f>
        <v>0</v>
      </c>
      <c r="N182" s="41">
        <f>dagwerk12</f>
        <v>0</v>
      </c>
      <c r="O182" s="94" t="s">
        <v>108</v>
      </c>
      <c r="P182" s="26">
        <f>uurtarief12</f>
        <v>0</v>
      </c>
      <c r="Q182" s="96" t="e">
        <f>IF(ISBLANK(M182),0,L182/ROUND(M182,4))</f>
        <v>#DIV/0!</v>
      </c>
      <c r="R182" s="96" t="e">
        <f>IF(ISBLANK(M182),0,Q182*ROUND(N182,2))</f>
        <v>#DIV/0!</v>
      </c>
      <c r="S182" s="26" t="e">
        <f>ROUND(P182,2)*Q182</f>
        <v>#DIV/0!</v>
      </c>
      <c r="T182" s="96" t="e">
        <f>Q182*dagenperjaar1</f>
        <v>#DIV/0!</v>
      </c>
      <c r="U182" s="27" t="e">
        <f>T182*ROUND(P182,2)</f>
        <v>#DIV/0!</v>
      </c>
    </row>
    <row r="183" spans="1:21" x14ac:dyDescent="0.2">
      <c r="A183" s="93" t="s">
        <v>244</v>
      </c>
      <c r="B183" s="94" t="s">
        <v>42</v>
      </c>
      <c r="C183" s="94" t="s">
        <v>418</v>
      </c>
      <c r="D183" s="94" t="s">
        <v>446</v>
      </c>
      <c r="E183" s="95" t="s">
        <v>447</v>
      </c>
      <c r="F183" s="94" t="s">
        <v>277</v>
      </c>
      <c r="G183" s="94" t="s">
        <v>227</v>
      </c>
      <c r="H183" s="94" t="s">
        <v>24</v>
      </c>
      <c r="I183" s="94" t="s">
        <v>191</v>
      </c>
      <c r="J183" s="94"/>
      <c r="K183" s="96">
        <v>321.2</v>
      </c>
      <c r="L183" s="96">
        <f>K183*VLOOKUP(H183,dagsoorttabel1,2,FALSE)</f>
        <v>1.6059999999999999</v>
      </c>
      <c r="M183" s="97">
        <f>prodnorm35</f>
        <v>0</v>
      </c>
      <c r="N183" s="41">
        <f>dagwerk35</f>
        <v>0</v>
      </c>
      <c r="O183" s="94" t="s">
        <v>108</v>
      </c>
      <c r="P183" s="26">
        <f>uurtarief35</f>
        <v>0</v>
      </c>
      <c r="Q183" s="96" t="e">
        <f>IF(ISBLANK(M183),0,L183/ROUND(M183,4))</f>
        <v>#DIV/0!</v>
      </c>
      <c r="R183" s="96" t="e">
        <f>IF(ISBLANK(M183),0,Q183*ROUND(N183,2))</f>
        <v>#DIV/0!</v>
      </c>
      <c r="S183" s="26" t="e">
        <f>ROUND(P183,2)*Q183</f>
        <v>#DIV/0!</v>
      </c>
      <c r="T183" s="96" t="e">
        <f>Q183*dagenperjaar1</f>
        <v>#DIV/0!</v>
      </c>
      <c r="U183" s="27" t="e">
        <f>T183*ROUND(P183,2)</f>
        <v>#DIV/0!</v>
      </c>
    </row>
    <row r="184" spans="1:21" x14ac:dyDescent="0.2">
      <c r="A184" s="93" t="s">
        <v>244</v>
      </c>
      <c r="B184" s="94" t="s">
        <v>42</v>
      </c>
      <c r="C184" s="94" t="s">
        <v>418</v>
      </c>
      <c r="D184" s="94" t="s">
        <v>448</v>
      </c>
      <c r="E184" s="95" t="s">
        <v>433</v>
      </c>
      <c r="F184" s="94" t="s">
        <v>434</v>
      </c>
      <c r="G184" s="94" t="s">
        <v>225</v>
      </c>
      <c r="H184" s="94" t="s">
        <v>10</v>
      </c>
      <c r="I184" s="94" t="s">
        <v>191</v>
      </c>
      <c r="J184" s="94"/>
      <c r="K184" s="96">
        <v>23.7</v>
      </c>
      <c r="L184" s="96">
        <f>K184*VLOOKUP(H184,dagsoorttabel1,2,FALSE)</f>
        <v>23.7</v>
      </c>
      <c r="M184" s="97">
        <f>prodnorm34</f>
        <v>0</v>
      </c>
      <c r="N184" s="41">
        <f>dagwerk34</f>
        <v>0</v>
      </c>
      <c r="O184" s="94" t="s">
        <v>108</v>
      </c>
      <c r="P184" s="26">
        <f>uurtarief34</f>
        <v>0</v>
      </c>
      <c r="Q184" s="96" t="e">
        <f>IF(ISBLANK(M184),0,L184/ROUND(M184,4))</f>
        <v>#DIV/0!</v>
      </c>
      <c r="R184" s="96" t="e">
        <f>IF(ISBLANK(M184),0,Q184*ROUND(N184,2))</f>
        <v>#DIV/0!</v>
      </c>
      <c r="S184" s="26" t="e">
        <f>ROUND(P184,2)*Q184</f>
        <v>#DIV/0!</v>
      </c>
      <c r="T184" s="96" t="e">
        <f>Q184*dagenperjaar1</f>
        <v>#DIV/0!</v>
      </c>
      <c r="U184" s="27" t="e">
        <f>T184*ROUND(P184,2)</f>
        <v>#DIV/0!</v>
      </c>
    </row>
    <row r="185" spans="1:21" x14ac:dyDescent="0.2">
      <c r="A185" s="93" t="s">
        <v>244</v>
      </c>
      <c r="B185" s="94" t="s">
        <v>42</v>
      </c>
      <c r="C185" s="94" t="s">
        <v>418</v>
      </c>
      <c r="D185" s="94" t="s">
        <v>449</v>
      </c>
      <c r="E185" s="95" t="s">
        <v>268</v>
      </c>
      <c r="F185" s="94" t="s">
        <v>277</v>
      </c>
      <c r="G185" s="94" t="s">
        <v>225</v>
      </c>
      <c r="H185" s="94" t="s">
        <v>10</v>
      </c>
      <c r="I185" s="94" t="s">
        <v>191</v>
      </c>
      <c r="J185" s="94"/>
      <c r="K185" s="96">
        <v>5.2</v>
      </c>
      <c r="L185" s="96">
        <f>K185*VLOOKUP(H185,dagsoorttabel1,2,FALSE)</f>
        <v>5.2</v>
      </c>
      <c r="M185" s="97">
        <f>prodnorm34</f>
        <v>0</v>
      </c>
      <c r="N185" s="41">
        <f>dagwerk34</f>
        <v>0</v>
      </c>
      <c r="O185" s="94" t="s">
        <v>108</v>
      </c>
      <c r="P185" s="26">
        <f>uurtarief34</f>
        <v>0</v>
      </c>
      <c r="Q185" s="96" t="e">
        <f>IF(ISBLANK(M185),0,L185/ROUND(M185,4))</f>
        <v>#DIV/0!</v>
      </c>
      <c r="R185" s="96" t="e">
        <f>IF(ISBLANK(M185),0,Q185*ROUND(N185,2))</f>
        <v>#DIV/0!</v>
      </c>
      <c r="S185" s="26" t="e">
        <f>ROUND(P185,2)*Q185</f>
        <v>#DIV/0!</v>
      </c>
      <c r="T185" s="96" t="e">
        <f>Q185*dagenperjaar1</f>
        <v>#DIV/0!</v>
      </c>
      <c r="U185" s="27" t="e">
        <f>T185*ROUND(P185,2)</f>
        <v>#DIV/0!</v>
      </c>
    </row>
    <row r="186" spans="1:21" x14ac:dyDescent="0.2">
      <c r="A186" s="93" t="s">
        <v>244</v>
      </c>
      <c r="B186" s="94" t="s">
        <v>42</v>
      </c>
      <c r="C186" s="94" t="s">
        <v>418</v>
      </c>
      <c r="D186" s="94" t="s">
        <v>449</v>
      </c>
      <c r="E186" s="95" t="s">
        <v>268</v>
      </c>
      <c r="F186" s="94" t="s">
        <v>277</v>
      </c>
      <c r="G186" s="94" t="s">
        <v>227</v>
      </c>
      <c r="H186" s="94" t="s">
        <v>24</v>
      </c>
      <c r="I186" s="94" t="s">
        <v>191</v>
      </c>
      <c r="J186" s="94"/>
      <c r="K186" s="96">
        <v>5.2</v>
      </c>
      <c r="L186" s="96">
        <f>K186*VLOOKUP(H186,dagsoorttabel1,2,FALSE)</f>
        <v>2.6000000000000002E-2</v>
      </c>
      <c r="M186" s="97">
        <f>prodnorm35</f>
        <v>0</v>
      </c>
      <c r="N186" s="41">
        <f>dagwerk35</f>
        <v>0</v>
      </c>
      <c r="O186" s="94" t="s">
        <v>108</v>
      </c>
      <c r="P186" s="26">
        <f>uurtarief35</f>
        <v>0</v>
      </c>
      <c r="Q186" s="96" t="e">
        <f>IF(ISBLANK(M186),0,L186/ROUND(M186,4))</f>
        <v>#DIV/0!</v>
      </c>
      <c r="R186" s="96" t="e">
        <f>IF(ISBLANK(M186),0,Q186*ROUND(N186,2))</f>
        <v>#DIV/0!</v>
      </c>
      <c r="S186" s="26" t="e">
        <f>ROUND(P186,2)*Q186</f>
        <v>#DIV/0!</v>
      </c>
      <c r="T186" s="96" t="e">
        <f>Q186*dagenperjaar1</f>
        <v>#DIV/0!</v>
      </c>
      <c r="U186" s="27" t="e">
        <f>T186*ROUND(P186,2)</f>
        <v>#DIV/0!</v>
      </c>
    </row>
    <row r="187" spans="1:21" x14ac:dyDescent="0.2">
      <c r="A187" s="93" t="s">
        <v>244</v>
      </c>
      <c r="B187" s="94" t="s">
        <v>42</v>
      </c>
      <c r="C187" s="94" t="s">
        <v>418</v>
      </c>
      <c r="D187" s="94" t="s">
        <v>450</v>
      </c>
      <c r="E187" s="95" t="s">
        <v>324</v>
      </c>
      <c r="F187" s="94" t="s">
        <v>330</v>
      </c>
      <c r="G187" s="94" t="s">
        <v>223</v>
      </c>
      <c r="H187" s="94" t="s">
        <v>10</v>
      </c>
      <c r="I187" s="94" t="s">
        <v>191</v>
      </c>
      <c r="J187" s="94"/>
      <c r="K187" s="96">
        <v>2</v>
      </c>
      <c r="L187" s="96">
        <f>K187*VLOOKUP(H187,dagsoorttabel1,2,FALSE)</f>
        <v>2</v>
      </c>
      <c r="M187" s="97">
        <f>prodnorm32</f>
        <v>0</v>
      </c>
      <c r="N187" s="41">
        <f>dagwerk32</f>
        <v>0</v>
      </c>
      <c r="O187" s="94" t="s">
        <v>108</v>
      </c>
      <c r="P187" s="26">
        <f>uurtarief32</f>
        <v>0</v>
      </c>
      <c r="Q187" s="96" t="e">
        <f>IF(ISBLANK(M187),0,L187/ROUND(M187,4))</f>
        <v>#DIV/0!</v>
      </c>
      <c r="R187" s="96" t="e">
        <f>IF(ISBLANK(M187),0,Q187*ROUND(N187,2))</f>
        <v>#DIV/0!</v>
      </c>
      <c r="S187" s="26" t="e">
        <f>ROUND(P187,2)*Q187</f>
        <v>#DIV/0!</v>
      </c>
      <c r="T187" s="96" t="e">
        <f>Q187*dagenperjaar1</f>
        <v>#DIV/0!</v>
      </c>
      <c r="U187" s="27" t="e">
        <f>T187*ROUND(P187,2)</f>
        <v>#DIV/0!</v>
      </c>
    </row>
    <row r="188" spans="1:21" x14ac:dyDescent="0.2">
      <c r="A188" s="93" t="s">
        <v>244</v>
      </c>
      <c r="B188" s="94" t="s">
        <v>42</v>
      </c>
      <c r="C188" s="94" t="s">
        <v>418</v>
      </c>
      <c r="D188" s="94" t="s">
        <v>451</v>
      </c>
      <c r="E188" s="95" t="s">
        <v>341</v>
      </c>
      <c r="F188" s="94" t="s">
        <v>330</v>
      </c>
      <c r="G188" s="94" t="s">
        <v>223</v>
      </c>
      <c r="H188" s="94" t="s">
        <v>10</v>
      </c>
      <c r="I188" s="94" t="s">
        <v>191</v>
      </c>
      <c r="J188" s="94"/>
      <c r="K188" s="96">
        <v>17</v>
      </c>
      <c r="L188" s="96">
        <f>K188*VLOOKUP(H188,dagsoorttabel1,2,FALSE)</f>
        <v>17</v>
      </c>
      <c r="M188" s="97">
        <f>prodnorm32</f>
        <v>0</v>
      </c>
      <c r="N188" s="41">
        <f>dagwerk32</f>
        <v>0</v>
      </c>
      <c r="O188" s="94" t="s">
        <v>108</v>
      </c>
      <c r="P188" s="26">
        <f>uurtarief32</f>
        <v>0</v>
      </c>
      <c r="Q188" s="96" t="e">
        <f>IF(ISBLANK(M188),0,L188/ROUND(M188,4))</f>
        <v>#DIV/0!</v>
      </c>
      <c r="R188" s="96" t="e">
        <f>IF(ISBLANK(M188),0,Q188*ROUND(N188,2))</f>
        <v>#DIV/0!</v>
      </c>
      <c r="S188" s="26" t="e">
        <f>ROUND(P188,2)*Q188</f>
        <v>#DIV/0!</v>
      </c>
      <c r="T188" s="96" t="e">
        <f>Q188*dagenperjaar1</f>
        <v>#DIV/0!</v>
      </c>
      <c r="U188" s="27" t="e">
        <f>T188*ROUND(P188,2)</f>
        <v>#DIV/0!</v>
      </c>
    </row>
    <row r="189" spans="1:21" x14ac:dyDescent="0.2">
      <c r="A189" s="93" t="s">
        <v>244</v>
      </c>
      <c r="B189" s="94" t="s">
        <v>42</v>
      </c>
      <c r="C189" s="94" t="s">
        <v>452</v>
      </c>
      <c r="D189" s="94" t="s">
        <v>453</v>
      </c>
      <c r="E189" s="95" t="s">
        <v>273</v>
      </c>
      <c r="F189" s="94" t="s">
        <v>266</v>
      </c>
      <c r="G189" s="94" t="s">
        <v>193</v>
      </c>
      <c r="H189" s="94" t="s">
        <v>14</v>
      </c>
      <c r="I189" s="94" t="s">
        <v>191</v>
      </c>
      <c r="J189" s="94"/>
      <c r="K189" s="96">
        <v>11.88</v>
      </c>
      <c r="L189" s="96">
        <f>K189*VLOOKUP(H189,dagsoorttabel1,2,FALSE)</f>
        <v>4.7520000000000007</v>
      </c>
      <c r="M189" s="97">
        <f>prodnorm15</f>
        <v>0</v>
      </c>
      <c r="N189" s="41">
        <f>dagwerk15</f>
        <v>0</v>
      </c>
      <c r="O189" s="94" t="s">
        <v>108</v>
      </c>
      <c r="P189" s="26">
        <f>uurtarief15</f>
        <v>0</v>
      </c>
      <c r="Q189" s="96" t="e">
        <f>IF(ISBLANK(M189),0,L189/ROUND(M189,4))</f>
        <v>#DIV/0!</v>
      </c>
      <c r="R189" s="96" t="e">
        <f>IF(ISBLANK(M189),0,Q189*ROUND(N189,2))</f>
        <v>#DIV/0!</v>
      </c>
      <c r="S189" s="26" t="e">
        <f>ROUND(P189,2)*Q189</f>
        <v>#DIV/0!</v>
      </c>
      <c r="T189" s="96" t="e">
        <f>Q189*dagenperjaar1</f>
        <v>#DIV/0!</v>
      </c>
      <c r="U189" s="27" t="e">
        <f>T189*ROUND(P189,2)</f>
        <v>#DIV/0!</v>
      </c>
    </row>
    <row r="190" spans="1:21" x14ac:dyDescent="0.2">
      <c r="A190" s="93" t="s">
        <v>244</v>
      </c>
      <c r="B190" s="94" t="s">
        <v>42</v>
      </c>
      <c r="C190" s="94" t="s">
        <v>452</v>
      </c>
      <c r="D190" s="94" t="s">
        <v>453</v>
      </c>
      <c r="E190" s="95" t="s">
        <v>273</v>
      </c>
      <c r="F190" s="94" t="s">
        <v>266</v>
      </c>
      <c r="G190" s="94" t="s">
        <v>227</v>
      </c>
      <c r="H190" s="94" t="s">
        <v>24</v>
      </c>
      <c r="I190" s="94" t="s">
        <v>191</v>
      </c>
      <c r="J190" s="94"/>
      <c r="K190" s="96">
        <v>11.88</v>
      </c>
      <c r="L190" s="96">
        <f>K190*VLOOKUP(H190,dagsoorttabel1,2,FALSE)</f>
        <v>5.9400000000000008E-2</v>
      </c>
      <c r="M190" s="97">
        <f>prodnorm35</f>
        <v>0</v>
      </c>
      <c r="N190" s="41">
        <f>dagwerk35</f>
        <v>0</v>
      </c>
      <c r="O190" s="94" t="s">
        <v>108</v>
      </c>
      <c r="P190" s="26">
        <f>uurtarief35</f>
        <v>0</v>
      </c>
      <c r="Q190" s="96" t="e">
        <f>IF(ISBLANK(M190),0,L190/ROUND(M190,4))</f>
        <v>#DIV/0!</v>
      </c>
      <c r="R190" s="96" t="e">
        <f>IF(ISBLANK(M190),0,Q190*ROUND(N190,2))</f>
        <v>#DIV/0!</v>
      </c>
      <c r="S190" s="26" t="e">
        <f>ROUND(P190,2)*Q190</f>
        <v>#DIV/0!</v>
      </c>
      <c r="T190" s="96" t="e">
        <f>Q190*dagenperjaar1</f>
        <v>#DIV/0!</v>
      </c>
      <c r="U190" s="27" t="e">
        <f>T190*ROUND(P190,2)</f>
        <v>#DIV/0!</v>
      </c>
    </row>
    <row r="191" spans="1:21" x14ac:dyDescent="0.2">
      <c r="A191" s="93" t="s">
        <v>244</v>
      </c>
      <c r="B191" s="94" t="s">
        <v>42</v>
      </c>
      <c r="C191" s="94" t="s">
        <v>452</v>
      </c>
      <c r="D191" s="94" t="s">
        <v>454</v>
      </c>
      <c r="E191" s="95" t="s">
        <v>273</v>
      </c>
      <c r="F191" s="94" t="s">
        <v>266</v>
      </c>
      <c r="G191" s="94" t="s">
        <v>193</v>
      </c>
      <c r="H191" s="94" t="s">
        <v>14</v>
      </c>
      <c r="I191" s="94" t="s">
        <v>191</v>
      </c>
      <c r="J191" s="94"/>
      <c r="K191" s="96">
        <v>11.139999999999999</v>
      </c>
      <c r="L191" s="96">
        <f>K191*VLOOKUP(H191,dagsoorttabel1,2,FALSE)</f>
        <v>4.4559999999999995</v>
      </c>
      <c r="M191" s="97">
        <f>prodnorm15</f>
        <v>0</v>
      </c>
      <c r="N191" s="41">
        <f>dagwerk15</f>
        <v>0</v>
      </c>
      <c r="O191" s="94" t="s">
        <v>108</v>
      </c>
      <c r="P191" s="26">
        <f>uurtarief15</f>
        <v>0</v>
      </c>
      <c r="Q191" s="96" t="e">
        <f>IF(ISBLANK(M191),0,L191/ROUND(M191,4))</f>
        <v>#DIV/0!</v>
      </c>
      <c r="R191" s="96" t="e">
        <f>IF(ISBLANK(M191),0,Q191*ROUND(N191,2))</f>
        <v>#DIV/0!</v>
      </c>
      <c r="S191" s="26" t="e">
        <f>ROUND(P191,2)*Q191</f>
        <v>#DIV/0!</v>
      </c>
      <c r="T191" s="96" t="e">
        <f>Q191*dagenperjaar1</f>
        <v>#DIV/0!</v>
      </c>
      <c r="U191" s="27" t="e">
        <f>T191*ROUND(P191,2)</f>
        <v>#DIV/0!</v>
      </c>
    </row>
    <row r="192" spans="1:21" x14ac:dyDescent="0.2">
      <c r="A192" s="93" t="s">
        <v>244</v>
      </c>
      <c r="B192" s="94" t="s">
        <v>42</v>
      </c>
      <c r="C192" s="94" t="s">
        <v>452</v>
      </c>
      <c r="D192" s="94" t="s">
        <v>454</v>
      </c>
      <c r="E192" s="95" t="s">
        <v>273</v>
      </c>
      <c r="F192" s="94" t="s">
        <v>266</v>
      </c>
      <c r="G192" s="94" t="s">
        <v>227</v>
      </c>
      <c r="H192" s="94" t="s">
        <v>24</v>
      </c>
      <c r="I192" s="94" t="s">
        <v>191</v>
      </c>
      <c r="J192" s="94"/>
      <c r="K192" s="96">
        <v>11.139999999999999</v>
      </c>
      <c r="L192" s="96">
        <f>K192*VLOOKUP(H192,dagsoorttabel1,2,FALSE)</f>
        <v>5.5699999999999993E-2</v>
      </c>
      <c r="M192" s="97">
        <f>prodnorm35</f>
        <v>0</v>
      </c>
      <c r="N192" s="41">
        <f>dagwerk35</f>
        <v>0</v>
      </c>
      <c r="O192" s="94" t="s">
        <v>108</v>
      </c>
      <c r="P192" s="26">
        <f>uurtarief35</f>
        <v>0</v>
      </c>
      <c r="Q192" s="96" t="e">
        <f>IF(ISBLANK(M192),0,L192/ROUND(M192,4))</f>
        <v>#DIV/0!</v>
      </c>
      <c r="R192" s="96" t="e">
        <f>IF(ISBLANK(M192),0,Q192*ROUND(N192,2))</f>
        <v>#DIV/0!</v>
      </c>
      <c r="S192" s="26" t="e">
        <f>ROUND(P192,2)*Q192</f>
        <v>#DIV/0!</v>
      </c>
      <c r="T192" s="96" t="e">
        <f>Q192*dagenperjaar1</f>
        <v>#DIV/0!</v>
      </c>
      <c r="U192" s="27" t="e">
        <f>T192*ROUND(P192,2)</f>
        <v>#DIV/0!</v>
      </c>
    </row>
    <row r="193" spans="1:21" x14ac:dyDescent="0.2">
      <c r="A193" s="93" t="s">
        <v>244</v>
      </c>
      <c r="B193" s="94" t="s">
        <v>42</v>
      </c>
      <c r="C193" s="94" t="s">
        <v>452</v>
      </c>
      <c r="D193" s="94" t="s">
        <v>455</v>
      </c>
      <c r="E193" s="95" t="s">
        <v>374</v>
      </c>
      <c r="F193" s="94" t="s">
        <v>277</v>
      </c>
      <c r="G193" s="94" t="s">
        <v>207</v>
      </c>
      <c r="H193" s="94" t="s">
        <v>10</v>
      </c>
      <c r="I193" s="94" t="s">
        <v>191</v>
      </c>
      <c r="J193" s="94"/>
      <c r="K193" s="96">
        <v>43.56</v>
      </c>
      <c r="L193" s="96">
        <f>K193*VLOOKUP(H193,dagsoorttabel1,2,FALSE)</f>
        <v>43.56</v>
      </c>
      <c r="M193" s="97">
        <f>prodnorm24</f>
        <v>0</v>
      </c>
      <c r="N193" s="41">
        <f>dagwerk24</f>
        <v>0</v>
      </c>
      <c r="O193" s="94" t="s">
        <v>108</v>
      </c>
      <c r="P193" s="26">
        <f>uurtarief24</f>
        <v>0</v>
      </c>
      <c r="Q193" s="96" t="e">
        <f>IF(ISBLANK(M193),0,L193/ROUND(M193,4))</f>
        <v>#DIV/0!</v>
      </c>
      <c r="R193" s="96" t="e">
        <f>IF(ISBLANK(M193),0,Q193*ROUND(N193,2))</f>
        <v>#DIV/0!</v>
      </c>
      <c r="S193" s="26" t="e">
        <f>ROUND(P193,2)*Q193</f>
        <v>#DIV/0!</v>
      </c>
      <c r="T193" s="96" t="e">
        <f>Q193*dagenperjaar1</f>
        <v>#DIV/0!</v>
      </c>
      <c r="U193" s="27" t="e">
        <f>T193*ROUND(P193,2)</f>
        <v>#DIV/0!</v>
      </c>
    </row>
    <row r="194" spans="1:21" x14ac:dyDescent="0.2">
      <c r="A194" s="93" t="s">
        <v>244</v>
      </c>
      <c r="B194" s="94" t="s">
        <v>42</v>
      </c>
      <c r="C194" s="94" t="s">
        <v>452</v>
      </c>
      <c r="D194" s="94" t="s">
        <v>455</v>
      </c>
      <c r="E194" s="95" t="s">
        <v>374</v>
      </c>
      <c r="F194" s="94" t="s">
        <v>277</v>
      </c>
      <c r="G194" s="94" t="s">
        <v>227</v>
      </c>
      <c r="H194" s="94" t="s">
        <v>24</v>
      </c>
      <c r="I194" s="94" t="s">
        <v>191</v>
      </c>
      <c r="J194" s="94"/>
      <c r="K194" s="96">
        <v>43.56</v>
      </c>
      <c r="L194" s="96">
        <f>K194*VLOOKUP(H194,dagsoorttabel1,2,FALSE)</f>
        <v>0.21780000000000002</v>
      </c>
      <c r="M194" s="97">
        <f>prodnorm35</f>
        <v>0</v>
      </c>
      <c r="N194" s="41">
        <f>dagwerk35</f>
        <v>0</v>
      </c>
      <c r="O194" s="94" t="s">
        <v>108</v>
      </c>
      <c r="P194" s="26">
        <f>uurtarief35</f>
        <v>0</v>
      </c>
      <c r="Q194" s="96" t="e">
        <f>IF(ISBLANK(M194),0,L194/ROUND(M194,4))</f>
        <v>#DIV/0!</v>
      </c>
      <c r="R194" s="96" t="e">
        <f>IF(ISBLANK(M194),0,Q194*ROUND(N194,2))</f>
        <v>#DIV/0!</v>
      </c>
      <c r="S194" s="26" t="e">
        <f>ROUND(P194,2)*Q194</f>
        <v>#DIV/0!</v>
      </c>
      <c r="T194" s="96" t="e">
        <f>Q194*dagenperjaar1</f>
        <v>#DIV/0!</v>
      </c>
      <c r="U194" s="27" t="e">
        <f>T194*ROUND(P194,2)</f>
        <v>#DIV/0!</v>
      </c>
    </row>
    <row r="195" spans="1:21" x14ac:dyDescent="0.2">
      <c r="A195" s="93" t="s">
        <v>244</v>
      </c>
      <c r="B195" s="94" t="s">
        <v>42</v>
      </c>
      <c r="C195" s="94" t="s">
        <v>452</v>
      </c>
      <c r="D195" s="94" t="s">
        <v>456</v>
      </c>
      <c r="E195" s="95" t="s">
        <v>374</v>
      </c>
      <c r="F195" s="94" t="s">
        <v>277</v>
      </c>
      <c r="G195" s="94" t="s">
        <v>207</v>
      </c>
      <c r="H195" s="94" t="s">
        <v>10</v>
      </c>
      <c r="I195" s="94" t="s">
        <v>191</v>
      </c>
      <c r="J195" s="94"/>
      <c r="K195" s="96">
        <v>43.56</v>
      </c>
      <c r="L195" s="96">
        <f>K195*VLOOKUP(H195,dagsoorttabel1,2,FALSE)</f>
        <v>43.56</v>
      </c>
      <c r="M195" s="97">
        <f>prodnorm24</f>
        <v>0</v>
      </c>
      <c r="N195" s="41">
        <f>dagwerk24</f>
        <v>0</v>
      </c>
      <c r="O195" s="94" t="s">
        <v>108</v>
      </c>
      <c r="P195" s="26">
        <f>uurtarief24</f>
        <v>0</v>
      </c>
      <c r="Q195" s="96" t="e">
        <f>IF(ISBLANK(M195),0,L195/ROUND(M195,4))</f>
        <v>#DIV/0!</v>
      </c>
      <c r="R195" s="96" t="e">
        <f>IF(ISBLANK(M195),0,Q195*ROUND(N195,2))</f>
        <v>#DIV/0!</v>
      </c>
      <c r="S195" s="26" t="e">
        <f>ROUND(P195,2)*Q195</f>
        <v>#DIV/0!</v>
      </c>
      <c r="T195" s="96" t="e">
        <f>Q195*dagenperjaar1</f>
        <v>#DIV/0!</v>
      </c>
      <c r="U195" s="27" t="e">
        <f>T195*ROUND(P195,2)</f>
        <v>#DIV/0!</v>
      </c>
    </row>
    <row r="196" spans="1:21" x14ac:dyDescent="0.2">
      <c r="A196" s="93" t="s">
        <v>244</v>
      </c>
      <c r="B196" s="94" t="s">
        <v>42</v>
      </c>
      <c r="C196" s="94" t="s">
        <v>452</v>
      </c>
      <c r="D196" s="94" t="s">
        <v>456</v>
      </c>
      <c r="E196" s="95" t="s">
        <v>374</v>
      </c>
      <c r="F196" s="94" t="s">
        <v>277</v>
      </c>
      <c r="G196" s="94" t="s">
        <v>227</v>
      </c>
      <c r="H196" s="94" t="s">
        <v>24</v>
      </c>
      <c r="I196" s="94" t="s">
        <v>191</v>
      </c>
      <c r="J196" s="94"/>
      <c r="K196" s="96">
        <v>43.56</v>
      </c>
      <c r="L196" s="96">
        <f>K196*VLOOKUP(H196,dagsoorttabel1,2,FALSE)</f>
        <v>0.21780000000000002</v>
      </c>
      <c r="M196" s="97">
        <f>prodnorm35</f>
        <v>0</v>
      </c>
      <c r="N196" s="41">
        <f>dagwerk35</f>
        <v>0</v>
      </c>
      <c r="O196" s="94" t="s">
        <v>108</v>
      </c>
      <c r="P196" s="26">
        <f>uurtarief35</f>
        <v>0</v>
      </c>
      <c r="Q196" s="96" t="e">
        <f>IF(ISBLANK(M196),0,L196/ROUND(M196,4))</f>
        <v>#DIV/0!</v>
      </c>
      <c r="R196" s="96" t="e">
        <f>IF(ISBLANK(M196),0,Q196*ROUND(N196,2))</f>
        <v>#DIV/0!</v>
      </c>
      <c r="S196" s="26" t="e">
        <f>ROUND(P196,2)*Q196</f>
        <v>#DIV/0!</v>
      </c>
      <c r="T196" s="96" t="e">
        <f>Q196*dagenperjaar1</f>
        <v>#DIV/0!</v>
      </c>
      <c r="U196" s="27" t="e">
        <f>T196*ROUND(P196,2)</f>
        <v>#DIV/0!</v>
      </c>
    </row>
    <row r="197" spans="1:21" x14ac:dyDescent="0.2">
      <c r="A197" s="93" t="s">
        <v>244</v>
      </c>
      <c r="B197" s="94" t="s">
        <v>42</v>
      </c>
      <c r="C197" s="94" t="s">
        <v>452</v>
      </c>
      <c r="D197" s="94" t="s">
        <v>457</v>
      </c>
      <c r="E197" s="95" t="s">
        <v>374</v>
      </c>
      <c r="F197" s="94" t="s">
        <v>277</v>
      </c>
      <c r="G197" s="94" t="s">
        <v>207</v>
      </c>
      <c r="H197" s="94" t="s">
        <v>10</v>
      </c>
      <c r="I197" s="94" t="s">
        <v>191</v>
      </c>
      <c r="J197" s="94"/>
      <c r="K197" s="96">
        <v>43.56</v>
      </c>
      <c r="L197" s="96">
        <f>K197*VLOOKUP(H197,dagsoorttabel1,2,FALSE)</f>
        <v>43.56</v>
      </c>
      <c r="M197" s="97">
        <f>prodnorm24</f>
        <v>0</v>
      </c>
      <c r="N197" s="41">
        <f>dagwerk24</f>
        <v>0</v>
      </c>
      <c r="O197" s="94" t="s">
        <v>108</v>
      </c>
      <c r="P197" s="26">
        <f>uurtarief24</f>
        <v>0</v>
      </c>
      <c r="Q197" s="96" t="e">
        <f>IF(ISBLANK(M197),0,L197/ROUND(M197,4))</f>
        <v>#DIV/0!</v>
      </c>
      <c r="R197" s="96" t="e">
        <f>IF(ISBLANK(M197),0,Q197*ROUND(N197,2))</f>
        <v>#DIV/0!</v>
      </c>
      <c r="S197" s="26" t="e">
        <f>ROUND(P197,2)*Q197</f>
        <v>#DIV/0!</v>
      </c>
      <c r="T197" s="96" t="e">
        <f>Q197*dagenperjaar1</f>
        <v>#DIV/0!</v>
      </c>
      <c r="U197" s="27" t="e">
        <f>T197*ROUND(P197,2)</f>
        <v>#DIV/0!</v>
      </c>
    </row>
    <row r="198" spans="1:21" x14ac:dyDescent="0.2">
      <c r="A198" s="93" t="s">
        <v>244</v>
      </c>
      <c r="B198" s="94" t="s">
        <v>42</v>
      </c>
      <c r="C198" s="94" t="s">
        <v>452</v>
      </c>
      <c r="D198" s="94" t="s">
        <v>457</v>
      </c>
      <c r="E198" s="95" t="s">
        <v>374</v>
      </c>
      <c r="F198" s="94" t="s">
        <v>277</v>
      </c>
      <c r="G198" s="94" t="s">
        <v>227</v>
      </c>
      <c r="H198" s="94" t="s">
        <v>24</v>
      </c>
      <c r="I198" s="94" t="s">
        <v>191</v>
      </c>
      <c r="J198" s="94"/>
      <c r="K198" s="96">
        <v>43.56</v>
      </c>
      <c r="L198" s="96">
        <f>K198*VLOOKUP(H198,dagsoorttabel1,2,FALSE)</f>
        <v>0.21780000000000002</v>
      </c>
      <c r="M198" s="97">
        <f>prodnorm35</f>
        <v>0</v>
      </c>
      <c r="N198" s="41">
        <f>dagwerk35</f>
        <v>0</v>
      </c>
      <c r="O198" s="94" t="s">
        <v>108</v>
      </c>
      <c r="P198" s="26">
        <f>uurtarief35</f>
        <v>0</v>
      </c>
      <c r="Q198" s="96" t="e">
        <f>IF(ISBLANK(M198),0,L198/ROUND(M198,4))</f>
        <v>#DIV/0!</v>
      </c>
      <c r="R198" s="96" t="e">
        <f>IF(ISBLANK(M198),0,Q198*ROUND(N198,2))</f>
        <v>#DIV/0!</v>
      </c>
      <c r="S198" s="26" t="e">
        <f>ROUND(P198,2)*Q198</f>
        <v>#DIV/0!</v>
      </c>
      <c r="T198" s="96" t="e">
        <f>Q198*dagenperjaar1</f>
        <v>#DIV/0!</v>
      </c>
      <c r="U198" s="27" t="e">
        <f>T198*ROUND(P198,2)</f>
        <v>#DIV/0!</v>
      </c>
    </row>
    <row r="199" spans="1:21" x14ac:dyDescent="0.2">
      <c r="A199" s="93" t="s">
        <v>244</v>
      </c>
      <c r="B199" s="94" t="s">
        <v>42</v>
      </c>
      <c r="C199" s="94" t="s">
        <v>452</v>
      </c>
      <c r="D199" s="94" t="s">
        <v>458</v>
      </c>
      <c r="E199" s="95" t="s">
        <v>374</v>
      </c>
      <c r="F199" s="94" t="s">
        <v>277</v>
      </c>
      <c r="G199" s="94" t="s">
        <v>207</v>
      </c>
      <c r="H199" s="94" t="s">
        <v>10</v>
      </c>
      <c r="I199" s="94" t="s">
        <v>191</v>
      </c>
      <c r="J199" s="94"/>
      <c r="K199" s="96">
        <v>43.56</v>
      </c>
      <c r="L199" s="96">
        <f>K199*VLOOKUP(H199,dagsoorttabel1,2,FALSE)</f>
        <v>43.56</v>
      </c>
      <c r="M199" s="97">
        <f>prodnorm24</f>
        <v>0</v>
      </c>
      <c r="N199" s="41">
        <f>dagwerk24</f>
        <v>0</v>
      </c>
      <c r="O199" s="94" t="s">
        <v>108</v>
      </c>
      <c r="P199" s="26">
        <f>uurtarief24</f>
        <v>0</v>
      </c>
      <c r="Q199" s="96" t="e">
        <f>IF(ISBLANK(M199),0,L199/ROUND(M199,4))</f>
        <v>#DIV/0!</v>
      </c>
      <c r="R199" s="96" t="e">
        <f>IF(ISBLANK(M199),0,Q199*ROUND(N199,2))</f>
        <v>#DIV/0!</v>
      </c>
      <c r="S199" s="26" t="e">
        <f>ROUND(P199,2)*Q199</f>
        <v>#DIV/0!</v>
      </c>
      <c r="T199" s="96" t="e">
        <f>Q199*dagenperjaar1</f>
        <v>#DIV/0!</v>
      </c>
      <c r="U199" s="27" t="e">
        <f>T199*ROUND(P199,2)</f>
        <v>#DIV/0!</v>
      </c>
    </row>
    <row r="200" spans="1:21" x14ac:dyDescent="0.2">
      <c r="A200" s="93" t="s">
        <v>244</v>
      </c>
      <c r="B200" s="94" t="s">
        <v>42</v>
      </c>
      <c r="C200" s="94" t="s">
        <v>452</v>
      </c>
      <c r="D200" s="94" t="s">
        <v>458</v>
      </c>
      <c r="E200" s="95" t="s">
        <v>374</v>
      </c>
      <c r="F200" s="94" t="s">
        <v>277</v>
      </c>
      <c r="G200" s="94" t="s">
        <v>227</v>
      </c>
      <c r="H200" s="94" t="s">
        <v>24</v>
      </c>
      <c r="I200" s="94" t="s">
        <v>191</v>
      </c>
      <c r="J200" s="94"/>
      <c r="K200" s="96">
        <v>43.56</v>
      </c>
      <c r="L200" s="96">
        <f>K200*VLOOKUP(H200,dagsoorttabel1,2,FALSE)</f>
        <v>0.21780000000000002</v>
      </c>
      <c r="M200" s="97">
        <f>prodnorm35</f>
        <v>0</v>
      </c>
      <c r="N200" s="41">
        <f>dagwerk35</f>
        <v>0</v>
      </c>
      <c r="O200" s="94" t="s">
        <v>108</v>
      </c>
      <c r="P200" s="26">
        <f>uurtarief35</f>
        <v>0</v>
      </c>
      <c r="Q200" s="96" t="e">
        <f>IF(ISBLANK(M200),0,L200/ROUND(M200,4))</f>
        <v>#DIV/0!</v>
      </c>
      <c r="R200" s="96" t="e">
        <f>IF(ISBLANK(M200),0,Q200*ROUND(N200,2))</f>
        <v>#DIV/0!</v>
      </c>
      <c r="S200" s="26" t="e">
        <f>ROUND(P200,2)*Q200</f>
        <v>#DIV/0!</v>
      </c>
      <c r="T200" s="96" t="e">
        <f>Q200*dagenperjaar1</f>
        <v>#DIV/0!</v>
      </c>
      <c r="U200" s="27" t="e">
        <f>T200*ROUND(P200,2)</f>
        <v>#DIV/0!</v>
      </c>
    </row>
    <row r="201" spans="1:21" x14ac:dyDescent="0.2">
      <c r="A201" s="93" t="s">
        <v>244</v>
      </c>
      <c r="B201" s="94" t="s">
        <v>42</v>
      </c>
      <c r="C201" s="94" t="s">
        <v>452</v>
      </c>
      <c r="D201" s="94" t="s">
        <v>459</v>
      </c>
      <c r="E201" s="95" t="s">
        <v>374</v>
      </c>
      <c r="F201" s="94" t="s">
        <v>277</v>
      </c>
      <c r="G201" s="94" t="s">
        <v>207</v>
      </c>
      <c r="H201" s="94" t="s">
        <v>10</v>
      </c>
      <c r="I201" s="94" t="s">
        <v>191</v>
      </c>
      <c r="J201" s="94"/>
      <c r="K201" s="96">
        <v>43.56</v>
      </c>
      <c r="L201" s="96">
        <f>K201*VLOOKUP(H201,dagsoorttabel1,2,FALSE)</f>
        <v>43.56</v>
      </c>
      <c r="M201" s="97">
        <f>prodnorm24</f>
        <v>0</v>
      </c>
      <c r="N201" s="41">
        <f>dagwerk24</f>
        <v>0</v>
      </c>
      <c r="O201" s="94" t="s">
        <v>108</v>
      </c>
      <c r="P201" s="26">
        <f>uurtarief24</f>
        <v>0</v>
      </c>
      <c r="Q201" s="96" t="e">
        <f>IF(ISBLANK(M201),0,L201/ROUND(M201,4))</f>
        <v>#DIV/0!</v>
      </c>
      <c r="R201" s="96" t="e">
        <f>IF(ISBLANK(M201),0,Q201*ROUND(N201,2))</f>
        <v>#DIV/0!</v>
      </c>
      <c r="S201" s="26" t="e">
        <f>ROUND(P201,2)*Q201</f>
        <v>#DIV/0!</v>
      </c>
      <c r="T201" s="96" t="e">
        <f>Q201*dagenperjaar1</f>
        <v>#DIV/0!</v>
      </c>
      <c r="U201" s="27" t="e">
        <f>T201*ROUND(P201,2)</f>
        <v>#DIV/0!</v>
      </c>
    </row>
    <row r="202" spans="1:21" x14ac:dyDescent="0.2">
      <c r="A202" s="93" t="s">
        <v>244</v>
      </c>
      <c r="B202" s="94" t="s">
        <v>42</v>
      </c>
      <c r="C202" s="94" t="s">
        <v>452</v>
      </c>
      <c r="D202" s="94" t="s">
        <v>459</v>
      </c>
      <c r="E202" s="95" t="s">
        <v>374</v>
      </c>
      <c r="F202" s="94" t="s">
        <v>277</v>
      </c>
      <c r="G202" s="94" t="s">
        <v>227</v>
      </c>
      <c r="H202" s="94" t="s">
        <v>24</v>
      </c>
      <c r="I202" s="94" t="s">
        <v>191</v>
      </c>
      <c r="J202" s="94"/>
      <c r="K202" s="96">
        <v>43.56</v>
      </c>
      <c r="L202" s="96">
        <f>K202*VLOOKUP(H202,dagsoorttabel1,2,FALSE)</f>
        <v>0.21780000000000002</v>
      </c>
      <c r="M202" s="97">
        <f>prodnorm35</f>
        <v>0</v>
      </c>
      <c r="N202" s="41">
        <f>dagwerk35</f>
        <v>0</v>
      </c>
      <c r="O202" s="94" t="s">
        <v>108</v>
      </c>
      <c r="P202" s="26">
        <f>uurtarief35</f>
        <v>0</v>
      </c>
      <c r="Q202" s="96" t="e">
        <f>IF(ISBLANK(M202),0,L202/ROUND(M202,4))</f>
        <v>#DIV/0!</v>
      </c>
      <c r="R202" s="96" t="e">
        <f>IF(ISBLANK(M202),0,Q202*ROUND(N202,2))</f>
        <v>#DIV/0!</v>
      </c>
      <c r="S202" s="26" t="e">
        <f>ROUND(P202,2)*Q202</f>
        <v>#DIV/0!</v>
      </c>
      <c r="T202" s="96" t="e">
        <f>Q202*dagenperjaar1</f>
        <v>#DIV/0!</v>
      </c>
      <c r="U202" s="27" t="e">
        <f>T202*ROUND(P202,2)</f>
        <v>#DIV/0!</v>
      </c>
    </row>
    <row r="203" spans="1:21" x14ac:dyDescent="0.2">
      <c r="A203" s="93" t="s">
        <v>244</v>
      </c>
      <c r="B203" s="94" t="s">
        <v>42</v>
      </c>
      <c r="C203" s="94" t="s">
        <v>452</v>
      </c>
      <c r="D203" s="94" t="s">
        <v>460</v>
      </c>
      <c r="E203" s="95" t="s">
        <v>374</v>
      </c>
      <c r="F203" s="94" t="s">
        <v>277</v>
      </c>
      <c r="G203" s="94" t="s">
        <v>207</v>
      </c>
      <c r="H203" s="94" t="s">
        <v>10</v>
      </c>
      <c r="I203" s="94" t="s">
        <v>191</v>
      </c>
      <c r="J203" s="94"/>
      <c r="K203" s="96">
        <v>43.56</v>
      </c>
      <c r="L203" s="96">
        <f>K203*VLOOKUP(H203,dagsoorttabel1,2,FALSE)</f>
        <v>43.56</v>
      </c>
      <c r="M203" s="97">
        <f>prodnorm24</f>
        <v>0</v>
      </c>
      <c r="N203" s="41">
        <f>dagwerk24</f>
        <v>0</v>
      </c>
      <c r="O203" s="94" t="s">
        <v>108</v>
      </c>
      <c r="P203" s="26">
        <f>uurtarief24</f>
        <v>0</v>
      </c>
      <c r="Q203" s="96" t="e">
        <f>IF(ISBLANK(M203),0,L203/ROUND(M203,4))</f>
        <v>#DIV/0!</v>
      </c>
      <c r="R203" s="96" t="e">
        <f>IF(ISBLANK(M203),0,Q203*ROUND(N203,2))</f>
        <v>#DIV/0!</v>
      </c>
      <c r="S203" s="26" t="e">
        <f>ROUND(P203,2)*Q203</f>
        <v>#DIV/0!</v>
      </c>
      <c r="T203" s="96" t="e">
        <f>Q203*dagenperjaar1</f>
        <v>#DIV/0!</v>
      </c>
      <c r="U203" s="27" t="e">
        <f>T203*ROUND(P203,2)</f>
        <v>#DIV/0!</v>
      </c>
    </row>
    <row r="204" spans="1:21" x14ac:dyDescent="0.2">
      <c r="A204" s="93" t="s">
        <v>244</v>
      </c>
      <c r="B204" s="94" t="s">
        <v>42</v>
      </c>
      <c r="C204" s="94" t="s">
        <v>452</v>
      </c>
      <c r="D204" s="94" t="s">
        <v>460</v>
      </c>
      <c r="E204" s="95" t="s">
        <v>374</v>
      </c>
      <c r="F204" s="94" t="s">
        <v>277</v>
      </c>
      <c r="G204" s="94" t="s">
        <v>227</v>
      </c>
      <c r="H204" s="94" t="s">
        <v>24</v>
      </c>
      <c r="I204" s="94" t="s">
        <v>191</v>
      </c>
      <c r="J204" s="94"/>
      <c r="K204" s="96">
        <v>43.56</v>
      </c>
      <c r="L204" s="96">
        <f>K204*VLOOKUP(H204,dagsoorttabel1,2,FALSE)</f>
        <v>0.21780000000000002</v>
      </c>
      <c r="M204" s="97">
        <f>prodnorm35</f>
        <v>0</v>
      </c>
      <c r="N204" s="41">
        <f>dagwerk35</f>
        <v>0</v>
      </c>
      <c r="O204" s="94" t="s">
        <v>108</v>
      </c>
      <c r="P204" s="26">
        <f>uurtarief35</f>
        <v>0</v>
      </c>
      <c r="Q204" s="96" t="e">
        <f>IF(ISBLANK(M204),0,L204/ROUND(M204,4))</f>
        <v>#DIV/0!</v>
      </c>
      <c r="R204" s="96" t="e">
        <f>IF(ISBLANK(M204),0,Q204*ROUND(N204,2))</f>
        <v>#DIV/0!</v>
      </c>
      <c r="S204" s="26" t="e">
        <f>ROUND(P204,2)*Q204</f>
        <v>#DIV/0!</v>
      </c>
      <c r="T204" s="96" t="e">
        <f>Q204*dagenperjaar1</f>
        <v>#DIV/0!</v>
      </c>
      <c r="U204" s="27" t="e">
        <f>T204*ROUND(P204,2)</f>
        <v>#DIV/0!</v>
      </c>
    </row>
    <row r="205" spans="1:21" x14ac:dyDescent="0.2">
      <c r="A205" s="93" t="s">
        <v>244</v>
      </c>
      <c r="B205" s="94" t="s">
        <v>42</v>
      </c>
      <c r="C205" s="94" t="s">
        <v>452</v>
      </c>
      <c r="D205" s="94" t="s">
        <v>461</v>
      </c>
      <c r="E205" s="95" t="s">
        <v>374</v>
      </c>
      <c r="F205" s="94" t="s">
        <v>277</v>
      </c>
      <c r="G205" s="94" t="s">
        <v>207</v>
      </c>
      <c r="H205" s="94" t="s">
        <v>10</v>
      </c>
      <c r="I205" s="94" t="s">
        <v>191</v>
      </c>
      <c r="J205" s="94"/>
      <c r="K205" s="96">
        <v>43.56</v>
      </c>
      <c r="L205" s="96">
        <f>K205*VLOOKUP(H205,dagsoorttabel1,2,FALSE)</f>
        <v>43.56</v>
      </c>
      <c r="M205" s="97">
        <f>prodnorm24</f>
        <v>0</v>
      </c>
      <c r="N205" s="41">
        <f>dagwerk24</f>
        <v>0</v>
      </c>
      <c r="O205" s="94" t="s">
        <v>108</v>
      </c>
      <c r="P205" s="26">
        <f>uurtarief24</f>
        <v>0</v>
      </c>
      <c r="Q205" s="96" t="e">
        <f>IF(ISBLANK(M205),0,L205/ROUND(M205,4))</f>
        <v>#DIV/0!</v>
      </c>
      <c r="R205" s="96" t="e">
        <f>IF(ISBLANK(M205),0,Q205*ROUND(N205,2))</f>
        <v>#DIV/0!</v>
      </c>
      <c r="S205" s="26" t="e">
        <f>ROUND(P205,2)*Q205</f>
        <v>#DIV/0!</v>
      </c>
      <c r="T205" s="96" t="e">
        <f>Q205*dagenperjaar1</f>
        <v>#DIV/0!</v>
      </c>
      <c r="U205" s="27" t="e">
        <f>T205*ROUND(P205,2)</f>
        <v>#DIV/0!</v>
      </c>
    </row>
    <row r="206" spans="1:21" x14ac:dyDescent="0.2">
      <c r="A206" s="93" t="s">
        <v>244</v>
      </c>
      <c r="B206" s="94" t="s">
        <v>42</v>
      </c>
      <c r="C206" s="94" t="s">
        <v>452</v>
      </c>
      <c r="D206" s="94" t="s">
        <v>461</v>
      </c>
      <c r="E206" s="95" t="s">
        <v>374</v>
      </c>
      <c r="F206" s="94" t="s">
        <v>277</v>
      </c>
      <c r="G206" s="94" t="s">
        <v>227</v>
      </c>
      <c r="H206" s="94" t="s">
        <v>24</v>
      </c>
      <c r="I206" s="94" t="s">
        <v>191</v>
      </c>
      <c r="J206" s="94"/>
      <c r="K206" s="96">
        <v>43.56</v>
      </c>
      <c r="L206" s="96">
        <f>K206*VLOOKUP(H206,dagsoorttabel1,2,FALSE)</f>
        <v>0.21780000000000002</v>
      </c>
      <c r="M206" s="97">
        <f>prodnorm35</f>
        <v>0</v>
      </c>
      <c r="N206" s="41">
        <f>dagwerk35</f>
        <v>0</v>
      </c>
      <c r="O206" s="94" t="s">
        <v>108</v>
      </c>
      <c r="P206" s="26">
        <f>uurtarief35</f>
        <v>0</v>
      </c>
      <c r="Q206" s="96" t="e">
        <f>IF(ISBLANK(M206),0,L206/ROUND(M206,4))</f>
        <v>#DIV/0!</v>
      </c>
      <c r="R206" s="96" t="e">
        <f>IF(ISBLANK(M206),0,Q206*ROUND(N206,2))</f>
        <v>#DIV/0!</v>
      </c>
      <c r="S206" s="26" t="e">
        <f>ROUND(P206,2)*Q206</f>
        <v>#DIV/0!</v>
      </c>
      <c r="T206" s="96" t="e">
        <f>Q206*dagenperjaar1</f>
        <v>#DIV/0!</v>
      </c>
      <c r="U206" s="27" t="e">
        <f>T206*ROUND(P206,2)</f>
        <v>#DIV/0!</v>
      </c>
    </row>
    <row r="207" spans="1:21" x14ac:dyDescent="0.2">
      <c r="A207" s="93" t="s">
        <v>244</v>
      </c>
      <c r="B207" s="94" t="s">
        <v>42</v>
      </c>
      <c r="C207" s="94" t="s">
        <v>452</v>
      </c>
      <c r="D207" s="94" t="s">
        <v>462</v>
      </c>
      <c r="E207" s="95" t="s">
        <v>374</v>
      </c>
      <c r="F207" s="94" t="s">
        <v>277</v>
      </c>
      <c r="G207" s="94" t="s">
        <v>207</v>
      </c>
      <c r="H207" s="94" t="s">
        <v>10</v>
      </c>
      <c r="I207" s="94" t="s">
        <v>191</v>
      </c>
      <c r="J207" s="94"/>
      <c r="K207" s="96">
        <v>43.56</v>
      </c>
      <c r="L207" s="96">
        <f>K207*VLOOKUP(H207,dagsoorttabel1,2,FALSE)</f>
        <v>43.56</v>
      </c>
      <c r="M207" s="97">
        <f>prodnorm24</f>
        <v>0</v>
      </c>
      <c r="N207" s="41">
        <f>dagwerk24</f>
        <v>0</v>
      </c>
      <c r="O207" s="94" t="s">
        <v>108</v>
      </c>
      <c r="P207" s="26">
        <f>uurtarief24</f>
        <v>0</v>
      </c>
      <c r="Q207" s="96" t="e">
        <f>IF(ISBLANK(M207),0,L207/ROUND(M207,4))</f>
        <v>#DIV/0!</v>
      </c>
      <c r="R207" s="96" t="e">
        <f>IF(ISBLANK(M207),0,Q207*ROUND(N207,2))</f>
        <v>#DIV/0!</v>
      </c>
      <c r="S207" s="26" t="e">
        <f>ROUND(P207,2)*Q207</f>
        <v>#DIV/0!</v>
      </c>
      <c r="T207" s="96" t="e">
        <f>Q207*dagenperjaar1</f>
        <v>#DIV/0!</v>
      </c>
      <c r="U207" s="27" t="e">
        <f>T207*ROUND(P207,2)</f>
        <v>#DIV/0!</v>
      </c>
    </row>
    <row r="208" spans="1:21" x14ac:dyDescent="0.2">
      <c r="A208" s="93" t="s">
        <v>244</v>
      </c>
      <c r="B208" s="94" t="s">
        <v>42</v>
      </c>
      <c r="C208" s="94" t="s">
        <v>452</v>
      </c>
      <c r="D208" s="94" t="s">
        <v>462</v>
      </c>
      <c r="E208" s="95" t="s">
        <v>374</v>
      </c>
      <c r="F208" s="94" t="s">
        <v>277</v>
      </c>
      <c r="G208" s="94" t="s">
        <v>227</v>
      </c>
      <c r="H208" s="94" t="s">
        <v>24</v>
      </c>
      <c r="I208" s="94" t="s">
        <v>191</v>
      </c>
      <c r="J208" s="94"/>
      <c r="K208" s="96">
        <v>43.56</v>
      </c>
      <c r="L208" s="96">
        <f>K208*VLOOKUP(H208,dagsoorttabel1,2,FALSE)</f>
        <v>0.21780000000000002</v>
      </c>
      <c r="M208" s="97">
        <f>prodnorm35</f>
        <v>0</v>
      </c>
      <c r="N208" s="41">
        <f>dagwerk35</f>
        <v>0</v>
      </c>
      <c r="O208" s="94" t="s">
        <v>108</v>
      </c>
      <c r="P208" s="26">
        <f>uurtarief35</f>
        <v>0</v>
      </c>
      <c r="Q208" s="96" t="e">
        <f>IF(ISBLANK(M208),0,L208/ROUND(M208,4))</f>
        <v>#DIV/0!</v>
      </c>
      <c r="R208" s="96" t="e">
        <f>IF(ISBLANK(M208),0,Q208*ROUND(N208,2))</f>
        <v>#DIV/0!</v>
      </c>
      <c r="S208" s="26" t="e">
        <f>ROUND(P208,2)*Q208</f>
        <v>#DIV/0!</v>
      </c>
      <c r="T208" s="96" t="e">
        <f>Q208*dagenperjaar1</f>
        <v>#DIV/0!</v>
      </c>
      <c r="U208" s="27" t="e">
        <f>T208*ROUND(P208,2)</f>
        <v>#DIV/0!</v>
      </c>
    </row>
    <row r="209" spans="1:21" x14ac:dyDescent="0.2">
      <c r="A209" s="93" t="s">
        <v>244</v>
      </c>
      <c r="B209" s="94" t="s">
        <v>42</v>
      </c>
      <c r="C209" s="94" t="s">
        <v>452</v>
      </c>
      <c r="D209" s="94" t="s">
        <v>463</v>
      </c>
      <c r="E209" s="95" t="s">
        <v>374</v>
      </c>
      <c r="F209" s="94" t="s">
        <v>277</v>
      </c>
      <c r="G209" s="94" t="s">
        <v>207</v>
      </c>
      <c r="H209" s="94" t="s">
        <v>10</v>
      </c>
      <c r="I209" s="94" t="s">
        <v>191</v>
      </c>
      <c r="J209" s="94"/>
      <c r="K209" s="96">
        <v>43.56</v>
      </c>
      <c r="L209" s="96">
        <f>K209*VLOOKUP(H209,dagsoorttabel1,2,FALSE)</f>
        <v>43.56</v>
      </c>
      <c r="M209" s="97">
        <f>prodnorm24</f>
        <v>0</v>
      </c>
      <c r="N209" s="41">
        <f>dagwerk24</f>
        <v>0</v>
      </c>
      <c r="O209" s="94" t="s">
        <v>108</v>
      </c>
      <c r="P209" s="26">
        <f>uurtarief24</f>
        <v>0</v>
      </c>
      <c r="Q209" s="96" t="e">
        <f>IF(ISBLANK(M209),0,L209/ROUND(M209,4))</f>
        <v>#DIV/0!</v>
      </c>
      <c r="R209" s="96" t="e">
        <f>IF(ISBLANK(M209),0,Q209*ROUND(N209,2))</f>
        <v>#DIV/0!</v>
      </c>
      <c r="S209" s="26" t="e">
        <f>ROUND(P209,2)*Q209</f>
        <v>#DIV/0!</v>
      </c>
      <c r="T209" s="96" t="e">
        <f>Q209*dagenperjaar1</f>
        <v>#DIV/0!</v>
      </c>
      <c r="U209" s="27" t="e">
        <f>T209*ROUND(P209,2)</f>
        <v>#DIV/0!</v>
      </c>
    </row>
    <row r="210" spans="1:21" x14ac:dyDescent="0.2">
      <c r="A210" s="93" t="s">
        <v>244</v>
      </c>
      <c r="B210" s="94" t="s">
        <v>42</v>
      </c>
      <c r="C210" s="94" t="s">
        <v>452</v>
      </c>
      <c r="D210" s="94" t="s">
        <v>463</v>
      </c>
      <c r="E210" s="95" t="s">
        <v>374</v>
      </c>
      <c r="F210" s="94" t="s">
        <v>277</v>
      </c>
      <c r="G210" s="94" t="s">
        <v>227</v>
      </c>
      <c r="H210" s="94" t="s">
        <v>24</v>
      </c>
      <c r="I210" s="94" t="s">
        <v>191</v>
      </c>
      <c r="J210" s="94"/>
      <c r="K210" s="96">
        <v>43.56</v>
      </c>
      <c r="L210" s="96">
        <f>K210*VLOOKUP(H210,dagsoorttabel1,2,FALSE)</f>
        <v>0.21780000000000002</v>
      </c>
      <c r="M210" s="97">
        <f>prodnorm35</f>
        <v>0</v>
      </c>
      <c r="N210" s="41">
        <f>dagwerk35</f>
        <v>0</v>
      </c>
      <c r="O210" s="94" t="s">
        <v>108</v>
      </c>
      <c r="P210" s="26">
        <f>uurtarief35</f>
        <v>0</v>
      </c>
      <c r="Q210" s="96" t="e">
        <f>IF(ISBLANK(M210),0,L210/ROUND(M210,4))</f>
        <v>#DIV/0!</v>
      </c>
      <c r="R210" s="96" t="e">
        <f>IF(ISBLANK(M210),0,Q210*ROUND(N210,2))</f>
        <v>#DIV/0!</v>
      </c>
      <c r="S210" s="26" t="e">
        <f>ROUND(P210,2)*Q210</f>
        <v>#DIV/0!</v>
      </c>
      <c r="T210" s="96" t="e">
        <f>Q210*dagenperjaar1</f>
        <v>#DIV/0!</v>
      </c>
      <c r="U210" s="27" t="e">
        <f>T210*ROUND(P210,2)</f>
        <v>#DIV/0!</v>
      </c>
    </row>
    <row r="211" spans="1:21" x14ac:dyDescent="0.2">
      <c r="A211" s="93" t="s">
        <v>244</v>
      </c>
      <c r="B211" s="94" t="s">
        <v>42</v>
      </c>
      <c r="C211" s="94" t="s">
        <v>452</v>
      </c>
      <c r="D211" s="94" t="s">
        <v>464</v>
      </c>
      <c r="E211" s="95" t="s">
        <v>374</v>
      </c>
      <c r="F211" s="94" t="s">
        <v>277</v>
      </c>
      <c r="G211" s="94" t="s">
        <v>207</v>
      </c>
      <c r="H211" s="94" t="s">
        <v>10</v>
      </c>
      <c r="I211" s="94" t="s">
        <v>191</v>
      </c>
      <c r="J211" s="94"/>
      <c r="K211" s="96">
        <v>43.56</v>
      </c>
      <c r="L211" s="96">
        <f>K211*VLOOKUP(H211,dagsoorttabel1,2,FALSE)</f>
        <v>43.56</v>
      </c>
      <c r="M211" s="97">
        <f>prodnorm24</f>
        <v>0</v>
      </c>
      <c r="N211" s="41">
        <f>dagwerk24</f>
        <v>0</v>
      </c>
      <c r="O211" s="94" t="s">
        <v>108</v>
      </c>
      <c r="P211" s="26">
        <f>uurtarief24</f>
        <v>0</v>
      </c>
      <c r="Q211" s="96" t="e">
        <f>IF(ISBLANK(M211),0,L211/ROUND(M211,4))</f>
        <v>#DIV/0!</v>
      </c>
      <c r="R211" s="96" t="e">
        <f>IF(ISBLANK(M211),0,Q211*ROUND(N211,2))</f>
        <v>#DIV/0!</v>
      </c>
      <c r="S211" s="26" t="e">
        <f>ROUND(P211,2)*Q211</f>
        <v>#DIV/0!</v>
      </c>
      <c r="T211" s="96" t="e">
        <f>Q211*dagenperjaar1</f>
        <v>#DIV/0!</v>
      </c>
      <c r="U211" s="27" t="e">
        <f>T211*ROUND(P211,2)</f>
        <v>#DIV/0!</v>
      </c>
    </row>
    <row r="212" spans="1:21" x14ac:dyDescent="0.2">
      <c r="A212" s="93" t="s">
        <v>244</v>
      </c>
      <c r="B212" s="94" t="s">
        <v>42</v>
      </c>
      <c r="C212" s="94" t="s">
        <v>452</v>
      </c>
      <c r="D212" s="94" t="s">
        <v>464</v>
      </c>
      <c r="E212" s="95" t="s">
        <v>374</v>
      </c>
      <c r="F212" s="94" t="s">
        <v>277</v>
      </c>
      <c r="G212" s="94" t="s">
        <v>227</v>
      </c>
      <c r="H212" s="94" t="s">
        <v>24</v>
      </c>
      <c r="I212" s="94" t="s">
        <v>191</v>
      </c>
      <c r="J212" s="94"/>
      <c r="K212" s="96">
        <v>43.56</v>
      </c>
      <c r="L212" s="96">
        <f>K212*VLOOKUP(H212,dagsoorttabel1,2,FALSE)</f>
        <v>0.21780000000000002</v>
      </c>
      <c r="M212" s="97">
        <f>prodnorm35</f>
        <v>0</v>
      </c>
      <c r="N212" s="41">
        <f>dagwerk35</f>
        <v>0</v>
      </c>
      <c r="O212" s="94" t="s">
        <v>108</v>
      </c>
      <c r="P212" s="26">
        <f>uurtarief35</f>
        <v>0</v>
      </c>
      <c r="Q212" s="96" t="e">
        <f>IF(ISBLANK(M212),0,L212/ROUND(M212,4))</f>
        <v>#DIV/0!</v>
      </c>
      <c r="R212" s="96" t="e">
        <f>IF(ISBLANK(M212),0,Q212*ROUND(N212,2))</f>
        <v>#DIV/0!</v>
      </c>
      <c r="S212" s="26" t="e">
        <f>ROUND(P212,2)*Q212</f>
        <v>#DIV/0!</v>
      </c>
      <c r="T212" s="96" t="e">
        <f>Q212*dagenperjaar1</f>
        <v>#DIV/0!</v>
      </c>
      <c r="U212" s="27" t="e">
        <f>T212*ROUND(P212,2)</f>
        <v>#DIV/0!</v>
      </c>
    </row>
    <row r="213" spans="1:21" x14ac:dyDescent="0.2">
      <c r="A213" s="93" t="s">
        <v>244</v>
      </c>
      <c r="B213" s="94" t="s">
        <v>42</v>
      </c>
      <c r="C213" s="94" t="s">
        <v>452</v>
      </c>
      <c r="D213" s="94" t="s">
        <v>465</v>
      </c>
      <c r="E213" s="95" t="s">
        <v>374</v>
      </c>
      <c r="F213" s="94" t="s">
        <v>277</v>
      </c>
      <c r="G213" s="94" t="s">
        <v>207</v>
      </c>
      <c r="H213" s="94" t="s">
        <v>10</v>
      </c>
      <c r="I213" s="94" t="s">
        <v>191</v>
      </c>
      <c r="J213" s="94"/>
      <c r="K213" s="96">
        <v>43.56</v>
      </c>
      <c r="L213" s="96">
        <f>K213*VLOOKUP(H213,dagsoorttabel1,2,FALSE)</f>
        <v>43.56</v>
      </c>
      <c r="M213" s="97">
        <f>prodnorm24</f>
        <v>0</v>
      </c>
      <c r="N213" s="41">
        <f>dagwerk24</f>
        <v>0</v>
      </c>
      <c r="O213" s="94" t="s">
        <v>108</v>
      </c>
      <c r="P213" s="26">
        <f>uurtarief24</f>
        <v>0</v>
      </c>
      <c r="Q213" s="96" t="e">
        <f>IF(ISBLANK(M213),0,L213/ROUND(M213,4))</f>
        <v>#DIV/0!</v>
      </c>
      <c r="R213" s="96" t="e">
        <f>IF(ISBLANK(M213),0,Q213*ROUND(N213,2))</f>
        <v>#DIV/0!</v>
      </c>
      <c r="S213" s="26" t="e">
        <f>ROUND(P213,2)*Q213</f>
        <v>#DIV/0!</v>
      </c>
      <c r="T213" s="96" t="e">
        <f>Q213*dagenperjaar1</f>
        <v>#DIV/0!</v>
      </c>
      <c r="U213" s="27" t="e">
        <f>T213*ROUND(P213,2)</f>
        <v>#DIV/0!</v>
      </c>
    </row>
    <row r="214" spans="1:21" x14ac:dyDescent="0.2">
      <c r="A214" s="93" t="s">
        <v>244</v>
      </c>
      <c r="B214" s="94" t="s">
        <v>42</v>
      </c>
      <c r="C214" s="94" t="s">
        <v>452</v>
      </c>
      <c r="D214" s="94" t="s">
        <v>465</v>
      </c>
      <c r="E214" s="95" t="s">
        <v>374</v>
      </c>
      <c r="F214" s="94" t="s">
        <v>277</v>
      </c>
      <c r="G214" s="94" t="s">
        <v>227</v>
      </c>
      <c r="H214" s="94" t="s">
        <v>24</v>
      </c>
      <c r="I214" s="94" t="s">
        <v>191</v>
      </c>
      <c r="J214" s="94"/>
      <c r="K214" s="96">
        <v>43.56</v>
      </c>
      <c r="L214" s="96">
        <f>K214*VLOOKUP(H214,dagsoorttabel1,2,FALSE)</f>
        <v>0.21780000000000002</v>
      </c>
      <c r="M214" s="97">
        <f>prodnorm35</f>
        <v>0</v>
      </c>
      <c r="N214" s="41">
        <f>dagwerk35</f>
        <v>0</v>
      </c>
      <c r="O214" s="94" t="s">
        <v>108</v>
      </c>
      <c r="P214" s="26">
        <f>uurtarief35</f>
        <v>0</v>
      </c>
      <c r="Q214" s="96" t="e">
        <f>IF(ISBLANK(M214),0,L214/ROUND(M214,4))</f>
        <v>#DIV/0!</v>
      </c>
      <c r="R214" s="96" t="e">
        <f>IF(ISBLANK(M214),0,Q214*ROUND(N214,2))</f>
        <v>#DIV/0!</v>
      </c>
      <c r="S214" s="26" t="e">
        <f>ROUND(P214,2)*Q214</f>
        <v>#DIV/0!</v>
      </c>
      <c r="T214" s="96" t="e">
        <f>Q214*dagenperjaar1</f>
        <v>#DIV/0!</v>
      </c>
      <c r="U214" s="27" t="e">
        <f>T214*ROUND(P214,2)</f>
        <v>#DIV/0!</v>
      </c>
    </row>
    <row r="215" spans="1:21" x14ac:dyDescent="0.2">
      <c r="A215" s="93" t="s">
        <v>244</v>
      </c>
      <c r="B215" s="94" t="s">
        <v>42</v>
      </c>
      <c r="C215" s="94" t="s">
        <v>452</v>
      </c>
      <c r="D215" s="94" t="s">
        <v>466</v>
      </c>
      <c r="E215" s="95" t="s">
        <v>273</v>
      </c>
      <c r="F215" s="94" t="s">
        <v>277</v>
      </c>
      <c r="G215" s="94" t="s">
        <v>193</v>
      </c>
      <c r="H215" s="94" t="s">
        <v>14</v>
      </c>
      <c r="I215" s="94" t="s">
        <v>191</v>
      </c>
      <c r="J215" s="94"/>
      <c r="K215" s="96">
        <v>15.25</v>
      </c>
      <c r="L215" s="96">
        <f>K215*VLOOKUP(H215,dagsoorttabel1,2,FALSE)</f>
        <v>6.1000000000000005</v>
      </c>
      <c r="M215" s="97">
        <f>prodnorm15</f>
        <v>0</v>
      </c>
      <c r="N215" s="41">
        <f>dagwerk15</f>
        <v>0</v>
      </c>
      <c r="O215" s="94" t="s">
        <v>108</v>
      </c>
      <c r="P215" s="26">
        <f>uurtarief15</f>
        <v>0</v>
      </c>
      <c r="Q215" s="96" t="e">
        <f>IF(ISBLANK(M215),0,L215/ROUND(M215,4))</f>
        <v>#DIV/0!</v>
      </c>
      <c r="R215" s="96" t="e">
        <f>IF(ISBLANK(M215),0,Q215*ROUND(N215,2))</f>
        <v>#DIV/0!</v>
      </c>
      <c r="S215" s="26" t="e">
        <f>ROUND(P215,2)*Q215</f>
        <v>#DIV/0!</v>
      </c>
      <c r="T215" s="96" t="e">
        <f>Q215*dagenperjaar1</f>
        <v>#DIV/0!</v>
      </c>
      <c r="U215" s="27" t="e">
        <f>T215*ROUND(P215,2)</f>
        <v>#DIV/0!</v>
      </c>
    </row>
    <row r="216" spans="1:21" x14ac:dyDescent="0.2">
      <c r="A216" s="93" t="s">
        <v>244</v>
      </c>
      <c r="B216" s="94" t="s">
        <v>42</v>
      </c>
      <c r="C216" s="94" t="s">
        <v>452</v>
      </c>
      <c r="D216" s="94" t="s">
        <v>466</v>
      </c>
      <c r="E216" s="95" t="s">
        <v>273</v>
      </c>
      <c r="F216" s="94" t="s">
        <v>277</v>
      </c>
      <c r="G216" s="94" t="s">
        <v>227</v>
      </c>
      <c r="H216" s="94" t="s">
        <v>24</v>
      </c>
      <c r="I216" s="94" t="s">
        <v>191</v>
      </c>
      <c r="J216" s="94"/>
      <c r="K216" s="96">
        <v>15.25</v>
      </c>
      <c r="L216" s="96">
        <f>K216*VLOOKUP(H216,dagsoorttabel1,2,FALSE)</f>
        <v>7.6249999999999998E-2</v>
      </c>
      <c r="M216" s="97">
        <f>prodnorm35</f>
        <v>0</v>
      </c>
      <c r="N216" s="41">
        <f>dagwerk35</f>
        <v>0</v>
      </c>
      <c r="O216" s="94" t="s">
        <v>108</v>
      </c>
      <c r="P216" s="26">
        <f>uurtarief35</f>
        <v>0</v>
      </c>
      <c r="Q216" s="96" t="e">
        <f>IF(ISBLANK(M216),0,L216/ROUND(M216,4))</f>
        <v>#DIV/0!</v>
      </c>
      <c r="R216" s="96" t="e">
        <f>IF(ISBLANK(M216),0,Q216*ROUND(N216,2))</f>
        <v>#DIV/0!</v>
      </c>
      <c r="S216" s="26" t="e">
        <f>ROUND(P216,2)*Q216</f>
        <v>#DIV/0!</v>
      </c>
      <c r="T216" s="96" t="e">
        <f>Q216*dagenperjaar1</f>
        <v>#DIV/0!</v>
      </c>
      <c r="U216" s="27" t="e">
        <f>T216*ROUND(P216,2)</f>
        <v>#DIV/0!</v>
      </c>
    </row>
    <row r="217" spans="1:21" x14ac:dyDescent="0.2">
      <c r="A217" s="93" t="s">
        <v>244</v>
      </c>
      <c r="B217" s="94" t="s">
        <v>42</v>
      </c>
      <c r="C217" s="94" t="s">
        <v>452</v>
      </c>
      <c r="D217" s="94" t="s">
        <v>467</v>
      </c>
      <c r="E217" s="95" t="s">
        <v>374</v>
      </c>
      <c r="F217" s="94" t="s">
        <v>263</v>
      </c>
      <c r="G217" s="94" t="s">
        <v>207</v>
      </c>
      <c r="H217" s="94" t="s">
        <v>10</v>
      </c>
      <c r="I217" s="94" t="s">
        <v>191</v>
      </c>
      <c r="J217" s="94"/>
      <c r="K217" s="96">
        <v>78.75</v>
      </c>
      <c r="L217" s="96">
        <f>K217*VLOOKUP(H217,dagsoorttabel1,2,FALSE)</f>
        <v>78.75</v>
      </c>
      <c r="M217" s="97">
        <f>prodnorm24</f>
        <v>0</v>
      </c>
      <c r="N217" s="41">
        <f>dagwerk24</f>
        <v>0</v>
      </c>
      <c r="O217" s="94" t="s">
        <v>108</v>
      </c>
      <c r="P217" s="26">
        <f>uurtarief24</f>
        <v>0</v>
      </c>
      <c r="Q217" s="96" t="e">
        <f>IF(ISBLANK(M217),0,L217/ROUND(M217,4))</f>
        <v>#DIV/0!</v>
      </c>
      <c r="R217" s="96" t="e">
        <f>IF(ISBLANK(M217),0,Q217*ROUND(N217,2))</f>
        <v>#DIV/0!</v>
      </c>
      <c r="S217" s="26" t="e">
        <f>ROUND(P217,2)*Q217</f>
        <v>#DIV/0!</v>
      </c>
      <c r="T217" s="96" t="e">
        <f>Q217*dagenperjaar1</f>
        <v>#DIV/0!</v>
      </c>
      <c r="U217" s="27" t="e">
        <f>T217*ROUND(P217,2)</f>
        <v>#DIV/0!</v>
      </c>
    </row>
    <row r="218" spans="1:21" x14ac:dyDescent="0.2">
      <c r="A218" s="93" t="s">
        <v>244</v>
      </c>
      <c r="B218" s="94" t="s">
        <v>42</v>
      </c>
      <c r="C218" s="94" t="s">
        <v>452</v>
      </c>
      <c r="D218" s="94" t="s">
        <v>468</v>
      </c>
      <c r="E218" s="95" t="s">
        <v>391</v>
      </c>
      <c r="F218" s="94" t="s">
        <v>282</v>
      </c>
      <c r="G218" s="94" t="s">
        <v>193</v>
      </c>
      <c r="H218" s="94" t="s">
        <v>14</v>
      </c>
      <c r="I218" s="94" t="s">
        <v>191</v>
      </c>
      <c r="J218" s="94"/>
      <c r="K218" s="96">
        <v>48.75</v>
      </c>
      <c r="L218" s="96">
        <f>K218*VLOOKUP(H218,dagsoorttabel1,2,FALSE)</f>
        <v>19.5</v>
      </c>
      <c r="M218" s="97">
        <f>prodnorm15</f>
        <v>0</v>
      </c>
      <c r="N218" s="41">
        <f>dagwerk15</f>
        <v>0</v>
      </c>
      <c r="O218" s="94" t="s">
        <v>108</v>
      </c>
      <c r="P218" s="26">
        <f>uurtarief15</f>
        <v>0</v>
      </c>
      <c r="Q218" s="96" t="e">
        <f>IF(ISBLANK(M218),0,L218/ROUND(M218,4))</f>
        <v>#DIV/0!</v>
      </c>
      <c r="R218" s="96" t="e">
        <f>IF(ISBLANK(M218),0,Q218*ROUND(N218,2))</f>
        <v>#DIV/0!</v>
      </c>
      <c r="S218" s="26" t="e">
        <f>ROUND(P218,2)*Q218</f>
        <v>#DIV/0!</v>
      </c>
      <c r="T218" s="96" t="e">
        <f>Q218*dagenperjaar1</f>
        <v>#DIV/0!</v>
      </c>
      <c r="U218" s="27" t="e">
        <f>T218*ROUND(P218,2)</f>
        <v>#DIV/0!</v>
      </c>
    </row>
    <row r="219" spans="1:21" x14ac:dyDescent="0.2">
      <c r="A219" s="93" t="s">
        <v>244</v>
      </c>
      <c r="B219" s="94" t="s">
        <v>42</v>
      </c>
      <c r="C219" s="94" t="s">
        <v>452</v>
      </c>
      <c r="D219" s="94" t="s">
        <v>469</v>
      </c>
      <c r="E219" s="95" t="s">
        <v>470</v>
      </c>
      <c r="F219" s="94" t="s">
        <v>277</v>
      </c>
      <c r="G219" s="94" t="s">
        <v>217</v>
      </c>
      <c r="H219" s="94" t="s">
        <v>10</v>
      </c>
      <c r="I219" s="94" t="s">
        <v>191</v>
      </c>
      <c r="J219" s="94"/>
      <c r="K219" s="96">
        <v>83.75</v>
      </c>
      <c r="L219" s="96">
        <f>K219*VLOOKUP(H219,dagsoorttabel1,2,FALSE)</f>
        <v>83.75</v>
      </c>
      <c r="M219" s="97">
        <f>prodnorm29</f>
        <v>0</v>
      </c>
      <c r="N219" s="41">
        <f>dagwerk29</f>
        <v>0</v>
      </c>
      <c r="O219" s="94" t="s">
        <v>108</v>
      </c>
      <c r="P219" s="26">
        <f>uurtarief29</f>
        <v>0</v>
      </c>
      <c r="Q219" s="96" t="e">
        <f>IF(ISBLANK(M219),0,L219/ROUND(M219,4))</f>
        <v>#DIV/0!</v>
      </c>
      <c r="R219" s="96" t="e">
        <f>IF(ISBLANK(M219),0,Q219*ROUND(N219,2))</f>
        <v>#DIV/0!</v>
      </c>
      <c r="S219" s="26" t="e">
        <f>ROUND(P219,2)*Q219</f>
        <v>#DIV/0!</v>
      </c>
      <c r="T219" s="96" t="e">
        <f>Q219*dagenperjaar1</f>
        <v>#DIV/0!</v>
      </c>
      <c r="U219" s="27" t="e">
        <f>T219*ROUND(P219,2)</f>
        <v>#DIV/0!</v>
      </c>
    </row>
    <row r="220" spans="1:21" x14ac:dyDescent="0.2">
      <c r="A220" s="93" t="s">
        <v>244</v>
      </c>
      <c r="B220" s="94" t="s">
        <v>42</v>
      </c>
      <c r="C220" s="94" t="s">
        <v>452</v>
      </c>
      <c r="D220" s="94" t="s">
        <v>469</v>
      </c>
      <c r="E220" s="95" t="s">
        <v>470</v>
      </c>
      <c r="F220" s="94" t="s">
        <v>277</v>
      </c>
      <c r="G220" s="94" t="s">
        <v>227</v>
      </c>
      <c r="H220" s="94" t="s">
        <v>24</v>
      </c>
      <c r="I220" s="94" t="s">
        <v>191</v>
      </c>
      <c r="J220" s="94"/>
      <c r="K220" s="96">
        <v>83.75</v>
      </c>
      <c r="L220" s="96">
        <f>K220*VLOOKUP(H220,dagsoorttabel1,2,FALSE)</f>
        <v>0.41875000000000001</v>
      </c>
      <c r="M220" s="97">
        <f>prodnorm35</f>
        <v>0</v>
      </c>
      <c r="N220" s="41">
        <f>dagwerk35</f>
        <v>0</v>
      </c>
      <c r="O220" s="94" t="s">
        <v>108</v>
      </c>
      <c r="P220" s="26">
        <f>uurtarief35</f>
        <v>0</v>
      </c>
      <c r="Q220" s="96" t="e">
        <f>IF(ISBLANK(M220),0,L220/ROUND(M220,4))</f>
        <v>#DIV/0!</v>
      </c>
      <c r="R220" s="96" t="e">
        <f>IF(ISBLANK(M220),0,Q220*ROUND(N220,2))</f>
        <v>#DIV/0!</v>
      </c>
      <c r="S220" s="26" t="e">
        <f>ROUND(P220,2)*Q220</f>
        <v>#DIV/0!</v>
      </c>
      <c r="T220" s="96" t="e">
        <f>Q220*dagenperjaar1</f>
        <v>#DIV/0!</v>
      </c>
      <c r="U220" s="27" t="e">
        <f>T220*ROUND(P220,2)</f>
        <v>#DIV/0!</v>
      </c>
    </row>
    <row r="221" spans="1:21" x14ac:dyDescent="0.2">
      <c r="A221" s="93" t="s">
        <v>244</v>
      </c>
      <c r="B221" s="94" t="s">
        <v>42</v>
      </c>
      <c r="C221" s="94" t="s">
        <v>452</v>
      </c>
      <c r="D221" s="94" t="s">
        <v>471</v>
      </c>
      <c r="E221" s="95" t="s">
        <v>472</v>
      </c>
      <c r="F221" s="94" t="s">
        <v>277</v>
      </c>
      <c r="G221" s="94" t="s">
        <v>217</v>
      </c>
      <c r="H221" s="94" t="s">
        <v>10</v>
      </c>
      <c r="I221" s="94" t="s">
        <v>191</v>
      </c>
      <c r="J221" s="94"/>
      <c r="K221" s="96">
        <v>83.75</v>
      </c>
      <c r="L221" s="96">
        <f>K221*VLOOKUP(H221,dagsoorttabel1,2,FALSE)</f>
        <v>83.75</v>
      </c>
      <c r="M221" s="97">
        <f>prodnorm29</f>
        <v>0</v>
      </c>
      <c r="N221" s="41">
        <f>dagwerk29</f>
        <v>0</v>
      </c>
      <c r="O221" s="94" t="s">
        <v>108</v>
      </c>
      <c r="P221" s="26">
        <f>uurtarief29</f>
        <v>0</v>
      </c>
      <c r="Q221" s="96" t="e">
        <f>IF(ISBLANK(M221),0,L221/ROUND(M221,4))</f>
        <v>#DIV/0!</v>
      </c>
      <c r="R221" s="96" t="e">
        <f>IF(ISBLANK(M221),0,Q221*ROUND(N221,2))</f>
        <v>#DIV/0!</v>
      </c>
      <c r="S221" s="26" t="e">
        <f>ROUND(P221,2)*Q221</f>
        <v>#DIV/0!</v>
      </c>
      <c r="T221" s="96" t="e">
        <f>Q221*dagenperjaar1</f>
        <v>#DIV/0!</v>
      </c>
      <c r="U221" s="27" t="e">
        <f>T221*ROUND(P221,2)</f>
        <v>#DIV/0!</v>
      </c>
    </row>
    <row r="222" spans="1:21" x14ac:dyDescent="0.2">
      <c r="A222" s="93" t="s">
        <v>244</v>
      </c>
      <c r="B222" s="94" t="s">
        <v>42</v>
      </c>
      <c r="C222" s="94" t="s">
        <v>452</v>
      </c>
      <c r="D222" s="94" t="s">
        <v>471</v>
      </c>
      <c r="E222" s="95" t="s">
        <v>472</v>
      </c>
      <c r="F222" s="94" t="s">
        <v>277</v>
      </c>
      <c r="G222" s="94" t="s">
        <v>227</v>
      </c>
      <c r="H222" s="94" t="s">
        <v>24</v>
      </c>
      <c r="I222" s="94" t="s">
        <v>191</v>
      </c>
      <c r="J222" s="94"/>
      <c r="K222" s="96">
        <v>83.75</v>
      </c>
      <c r="L222" s="96">
        <f>K222*VLOOKUP(H222,dagsoorttabel1,2,FALSE)</f>
        <v>0.41875000000000001</v>
      </c>
      <c r="M222" s="97">
        <f>prodnorm35</f>
        <v>0</v>
      </c>
      <c r="N222" s="41">
        <f>dagwerk35</f>
        <v>0</v>
      </c>
      <c r="O222" s="94" t="s">
        <v>108</v>
      </c>
      <c r="P222" s="26">
        <f>uurtarief35</f>
        <v>0</v>
      </c>
      <c r="Q222" s="96" t="e">
        <f>IF(ISBLANK(M222),0,L222/ROUND(M222,4))</f>
        <v>#DIV/0!</v>
      </c>
      <c r="R222" s="96" t="e">
        <f>IF(ISBLANK(M222),0,Q222*ROUND(N222,2))</f>
        <v>#DIV/0!</v>
      </c>
      <c r="S222" s="26" t="e">
        <f>ROUND(P222,2)*Q222</f>
        <v>#DIV/0!</v>
      </c>
      <c r="T222" s="96" t="e">
        <f>Q222*dagenperjaar1</f>
        <v>#DIV/0!</v>
      </c>
      <c r="U222" s="27" t="e">
        <f>T222*ROUND(P222,2)</f>
        <v>#DIV/0!</v>
      </c>
    </row>
    <row r="223" spans="1:21" x14ac:dyDescent="0.2">
      <c r="A223" s="93" t="s">
        <v>244</v>
      </c>
      <c r="B223" s="94" t="s">
        <v>42</v>
      </c>
      <c r="C223" s="94" t="s">
        <v>452</v>
      </c>
      <c r="D223" s="94" t="s">
        <v>473</v>
      </c>
      <c r="E223" s="95" t="s">
        <v>284</v>
      </c>
      <c r="F223" s="94" t="s">
        <v>277</v>
      </c>
      <c r="G223" s="94" t="s">
        <v>225</v>
      </c>
      <c r="H223" s="94" t="s">
        <v>10</v>
      </c>
      <c r="I223" s="94" t="s">
        <v>191</v>
      </c>
      <c r="J223" s="94"/>
      <c r="K223" s="96">
        <v>74.05</v>
      </c>
      <c r="L223" s="96">
        <f>K223*VLOOKUP(H223,dagsoorttabel1,2,FALSE)</f>
        <v>74.05</v>
      </c>
      <c r="M223" s="97">
        <f>prodnorm34</f>
        <v>0</v>
      </c>
      <c r="N223" s="41">
        <f>dagwerk34</f>
        <v>0</v>
      </c>
      <c r="O223" s="94" t="s">
        <v>108</v>
      </c>
      <c r="P223" s="26">
        <f>uurtarief34</f>
        <v>0</v>
      </c>
      <c r="Q223" s="96" t="e">
        <f>IF(ISBLANK(M223),0,L223/ROUND(M223,4))</f>
        <v>#DIV/0!</v>
      </c>
      <c r="R223" s="96" t="e">
        <f>IF(ISBLANK(M223),0,Q223*ROUND(N223,2))</f>
        <v>#DIV/0!</v>
      </c>
      <c r="S223" s="26" t="e">
        <f>ROUND(P223,2)*Q223</f>
        <v>#DIV/0!</v>
      </c>
      <c r="T223" s="96" t="e">
        <f>Q223*dagenperjaar1</f>
        <v>#DIV/0!</v>
      </c>
      <c r="U223" s="27" t="e">
        <f>T223*ROUND(P223,2)</f>
        <v>#DIV/0!</v>
      </c>
    </row>
    <row r="224" spans="1:21" x14ac:dyDescent="0.2">
      <c r="A224" s="93" t="s">
        <v>244</v>
      </c>
      <c r="B224" s="94" t="s">
        <v>42</v>
      </c>
      <c r="C224" s="94" t="s">
        <v>452</v>
      </c>
      <c r="D224" s="94" t="s">
        <v>473</v>
      </c>
      <c r="E224" s="95" t="s">
        <v>284</v>
      </c>
      <c r="F224" s="94" t="s">
        <v>277</v>
      </c>
      <c r="G224" s="94" t="s">
        <v>227</v>
      </c>
      <c r="H224" s="94" t="s">
        <v>24</v>
      </c>
      <c r="I224" s="94" t="s">
        <v>191</v>
      </c>
      <c r="J224" s="94"/>
      <c r="K224" s="96">
        <v>74.05</v>
      </c>
      <c r="L224" s="96">
        <f>K224*VLOOKUP(H224,dagsoorttabel1,2,FALSE)</f>
        <v>0.37024999999999997</v>
      </c>
      <c r="M224" s="97">
        <f>prodnorm35</f>
        <v>0</v>
      </c>
      <c r="N224" s="41">
        <f>dagwerk35</f>
        <v>0</v>
      </c>
      <c r="O224" s="94" t="s">
        <v>108</v>
      </c>
      <c r="P224" s="26">
        <f>uurtarief35</f>
        <v>0</v>
      </c>
      <c r="Q224" s="96" t="e">
        <f>IF(ISBLANK(M224),0,L224/ROUND(M224,4))</f>
        <v>#DIV/0!</v>
      </c>
      <c r="R224" s="96" t="e">
        <f>IF(ISBLANK(M224),0,Q224*ROUND(N224,2))</f>
        <v>#DIV/0!</v>
      </c>
      <c r="S224" s="26" t="e">
        <f>ROUND(P224,2)*Q224</f>
        <v>#DIV/0!</v>
      </c>
      <c r="T224" s="96" t="e">
        <f>Q224*dagenperjaar1</f>
        <v>#DIV/0!</v>
      </c>
      <c r="U224" s="27" t="e">
        <f>T224*ROUND(P224,2)</f>
        <v>#DIV/0!</v>
      </c>
    </row>
    <row r="225" spans="1:21" x14ac:dyDescent="0.2">
      <c r="A225" s="93" t="s">
        <v>244</v>
      </c>
      <c r="B225" s="94" t="s">
        <v>42</v>
      </c>
      <c r="C225" s="94" t="s">
        <v>452</v>
      </c>
      <c r="D225" s="94" t="s">
        <v>474</v>
      </c>
      <c r="E225" s="95" t="s">
        <v>341</v>
      </c>
      <c r="F225" s="94" t="s">
        <v>330</v>
      </c>
      <c r="G225" s="94" t="s">
        <v>223</v>
      </c>
      <c r="H225" s="94" t="s">
        <v>10</v>
      </c>
      <c r="I225" s="94" t="s">
        <v>191</v>
      </c>
      <c r="J225" s="94"/>
      <c r="K225" s="96">
        <v>10</v>
      </c>
      <c r="L225" s="96">
        <f>K225*VLOOKUP(H225,dagsoorttabel1,2,FALSE)</f>
        <v>10</v>
      </c>
      <c r="M225" s="97">
        <f>prodnorm32</f>
        <v>0</v>
      </c>
      <c r="N225" s="41">
        <f>dagwerk32</f>
        <v>0</v>
      </c>
      <c r="O225" s="94" t="s">
        <v>108</v>
      </c>
      <c r="P225" s="26">
        <f>uurtarief32</f>
        <v>0</v>
      </c>
      <c r="Q225" s="96" t="e">
        <f>IF(ISBLANK(M225),0,L225/ROUND(M225,4))</f>
        <v>#DIV/0!</v>
      </c>
      <c r="R225" s="96" t="e">
        <f>IF(ISBLANK(M225),0,Q225*ROUND(N225,2))</f>
        <v>#DIV/0!</v>
      </c>
      <c r="S225" s="26" t="e">
        <f>ROUND(P225,2)*Q225</f>
        <v>#DIV/0!</v>
      </c>
      <c r="T225" s="96" t="e">
        <f>Q225*dagenperjaar1</f>
        <v>#DIV/0!</v>
      </c>
      <c r="U225" s="27" t="e">
        <f>T225*ROUND(P225,2)</f>
        <v>#DIV/0!</v>
      </c>
    </row>
    <row r="226" spans="1:21" x14ac:dyDescent="0.2">
      <c r="A226" s="93" t="s">
        <v>244</v>
      </c>
      <c r="B226" s="94" t="s">
        <v>42</v>
      </c>
      <c r="C226" s="94" t="s">
        <v>452</v>
      </c>
      <c r="D226" s="94" t="s">
        <v>475</v>
      </c>
      <c r="E226" s="95" t="s">
        <v>284</v>
      </c>
      <c r="F226" s="94" t="s">
        <v>277</v>
      </c>
      <c r="G226" s="94" t="s">
        <v>225</v>
      </c>
      <c r="H226" s="94" t="s">
        <v>10</v>
      </c>
      <c r="I226" s="94" t="s">
        <v>191</v>
      </c>
      <c r="J226" s="94"/>
      <c r="K226" s="96">
        <v>183.35000000000002</v>
      </c>
      <c r="L226" s="96">
        <f>K226*VLOOKUP(H226,dagsoorttabel1,2,FALSE)</f>
        <v>183.35000000000002</v>
      </c>
      <c r="M226" s="97">
        <f>prodnorm34</f>
        <v>0</v>
      </c>
      <c r="N226" s="41">
        <f>dagwerk34</f>
        <v>0</v>
      </c>
      <c r="O226" s="94" t="s">
        <v>108</v>
      </c>
      <c r="P226" s="26">
        <f>uurtarief34</f>
        <v>0</v>
      </c>
      <c r="Q226" s="96" t="e">
        <f>IF(ISBLANK(M226),0,L226/ROUND(M226,4))</f>
        <v>#DIV/0!</v>
      </c>
      <c r="R226" s="96" t="e">
        <f>IF(ISBLANK(M226),0,Q226*ROUND(N226,2))</f>
        <v>#DIV/0!</v>
      </c>
      <c r="S226" s="26" t="e">
        <f>ROUND(P226,2)*Q226</f>
        <v>#DIV/0!</v>
      </c>
      <c r="T226" s="96" t="e">
        <f>Q226*dagenperjaar1</f>
        <v>#DIV/0!</v>
      </c>
      <c r="U226" s="27" t="e">
        <f>T226*ROUND(P226,2)</f>
        <v>#DIV/0!</v>
      </c>
    </row>
    <row r="227" spans="1:21" x14ac:dyDescent="0.2">
      <c r="A227" s="93" t="s">
        <v>244</v>
      </c>
      <c r="B227" s="94" t="s">
        <v>42</v>
      </c>
      <c r="C227" s="94" t="s">
        <v>452</v>
      </c>
      <c r="D227" s="94" t="s">
        <v>475</v>
      </c>
      <c r="E227" s="95" t="s">
        <v>284</v>
      </c>
      <c r="F227" s="94" t="s">
        <v>277</v>
      </c>
      <c r="G227" s="94" t="s">
        <v>227</v>
      </c>
      <c r="H227" s="94" t="s">
        <v>24</v>
      </c>
      <c r="I227" s="94" t="s">
        <v>191</v>
      </c>
      <c r="J227" s="94"/>
      <c r="K227" s="96">
        <v>183.35000000000002</v>
      </c>
      <c r="L227" s="96">
        <f>K227*VLOOKUP(H227,dagsoorttabel1,2,FALSE)</f>
        <v>0.91675000000000018</v>
      </c>
      <c r="M227" s="97">
        <f>prodnorm35</f>
        <v>0</v>
      </c>
      <c r="N227" s="41">
        <f>dagwerk35</f>
        <v>0</v>
      </c>
      <c r="O227" s="94" t="s">
        <v>108</v>
      </c>
      <c r="P227" s="26">
        <f>uurtarief35</f>
        <v>0</v>
      </c>
      <c r="Q227" s="96" t="e">
        <f>IF(ISBLANK(M227),0,L227/ROUND(M227,4))</f>
        <v>#DIV/0!</v>
      </c>
      <c r="R227" s="96" t="e">
        <f>IF(ISBLANK(M227),0,Q227*ROUND(N227,2))</f>
        <v>#DIV/0!</v>
      </c>
      <c r="S227" s="26" t="e">
        <f>ROUND(P227,2)*Q227</f>
        <v>#DIV/0!</v>
      </c>
      <c r="T227" s="96" t="e">
        <f>Q227*dagenperjaar1</f>
        <v>#DIV/0!</v>
      </c>
      <c r="U227" s="27" t="e">
        <f>T227*ROUND(P227,2)</f>
        <v>#DIV/0!</v>
      </c>
    </row>
    <row r="228" spans="1:21" x14ac:dyDescent="0.2">
      <c r="A228" s="93" t="s">
        <v>244</v>
      </c>
      <c r="B228" s="94" t="s">
        <v>42</v>
      </c>
      <c r="C228" s="94" t="s">
        <v>452</v>
      </c>
      <c r="D228" s="94" t="s">
        <v>476</v>
      </c>
      <c r="E228" s="95" t="s">
        <v>341</v>
      </c>
      <c r="F228" s="94" t="s">
        <v>296</v>
      </c>
      <c r="G228" s="94" t="s">
        <v>223</v>
      </c>
      <c r="H228" s="94" t="s">
        <v>10</v>
      </c>
      <c r="I228" s="94" t="s">
        <v>191</v>
      </c>
      <c r="J228" s="94"/>
      <c r="K228" s="96">
        <v>25.8</v>
      </c>
      <c r="L228" s="96">
        <f>K228*VLOOKUP(H228,dagsoorttabel1,2,FALSE)</f>
        <v>25.8</v>
      </c>
      <c r="M228" s="97">
        <f>prodnorm32</f>
        <v>0</v>
      </c>
      <c r="N228" s="41">
        <f>dagwerk32</f>
        <v>0</v>
      </c>
      <c r="O228" s="94" t="s">
        <v>108</v>
      </c>
      <c r="P228" s="26">
        <f>uurtarief32</f>
        <v>0</v>
      </c>
      <c r="Q228" s="96" t="e">
        <f>IF(ISBLANK(M228),0,L228/ROUND(M228,4))</f>
        <v>#DIV/0!</v>
      </c>
      <c r="R228" s="96" t="e">
        <f>IF(ISBLANK(M228),0,Q228*ROUND(N228,2))</f>
        <v>#DIV/0!</v>
      </c>
      <c r="S228" s="26" t="e">
        <f>ROUND(P228,2)*Q228</f>
        <v>#DIV/0!</v>
      </c>
      <c r="T228" s="96" t="e">
        <f>Q228*dagenperjaar1</f>
        <v>#DIV/0!</v>
      </c>
      <c r="U228" s="27" t="e">
        <f>T228*ROUND(P228,2)</f>
        <v>#DIV/0!</v>
      </c>
    </row>
    <row r="229" spans="1:21" x14ac:dyDescent="0.2">
      <c r="A229" s="93" t="s">
        <v>244</v>
      </c>
      <c r="B229" s="94" t="s">
        <v>42</v>
      </c>
      <c r="C229" s="94" t="s">
        <v>452</v>
      </c>
      <c r="D229" s="94" t="s">
        <v>477</v>
      </c>
      <c r="E229" s="95" t="s">
        <v>478</v>
      </c>
      <c r="F229" s="94" t="s">
        <v>263</v>
      </c>
      <c r="G229" s="94" t="s">
        <v>193</v>
      </c>
      <c r="H229" s="94" t="s">
        <v>14</v>
      </c>
      <c r="I229" s="94" t="s">
        <v>191</v>
      </c>
      <c r="J229" s="94"/>
      <c r="K229" s="96">
        <v>41.13</v>
      </c>
      <c r="L229" s="96">
        <f>K229*VLOOKUP(H229,dagsoorttabel1,2,FALSE)</f>
        <v>16.452000000000002</v>
      </c>
      <c r="M229" s="97">
        <f>prodnorm15</f>
        <v>0</v>
      </c>
      <c r="N229" s="41">
        <f>dagwerk15</f>
        <v>0</v>
      </c>
      <c r="O229" s="94" t="s">
        <v>108</v>
      </c>
      <c r="P229" s="26">
        <f>uurtarief15</f>
        <v>0</v>
      </c>
      <c r="Q229" s="96" t="e">
        <f>IF(ISBLANK(M229),0,L229/ROUND(M229,4))</f>
        <v>#DIV/0!</v>
      </c>
      <c r="R229" s="96" t="e">
        <f>IF(ISBLANK(M229),0,Q229*ROUND(N229,2))</f>
        <v>#DIV/0!</v>
      </c>
      <c r="S229" s="26" t="e">
        <f>ROUND(P229,2)*Q229</f>
        <v>#DIV/0!</v>
      </c>
      <c r="T229" s="96" t="e">
        <f>Q229*dagenperjaar1</f>
        <v>#DIV/0!</v>
      </c>
      <c r="U229" s="27" t="e">
        <f>T229*ROUND(P229,2)</f>
        <v>#DIV/0!</v>
      </c>
    </row>
    <row r="230" spans="1:21" x14ac:dyDescent="0.2">
      <c r="A230" s="93" t="s">
        <v>244</v>
      </c>
      <c r="B230" s="94" t="s">
        <v>42</v>
      </c>
      <c r="C230" s="94" t="s">
        <v>452</v>
      </c>
      <c r="D230" s="94" t="s">
        <v>479</v>
      </c>
      <c r="E230" s="95" t="s">
        <v>480</v>
      </c>
      <c r="F230" s="94" t="s">
        <v>434</v>
      </c>
      <c r="G230" s="94" t="s">
        <v>193</v>
      </c>
      <c r="H230" s="94" t="s">
        <v>14</v>
      </c>
      <c r="I230" s="94" t="s">
        <v>191</v>
      </c>
      <c r="J230" s="94"/>
      <c r="K230" s="96">
        <v>50</v>
      </c>
      <c r="L230" s="96">
        <f>K230*VLOOKUP(H230,dagsoorttabel1,2,FALSE)</f>
        <v>20</v>
      </c>
      <c r="M230" s="97">
        <f>prodnorm15</f>
        <v>0</v>
      </c>
      <c r="N230" s="41">
        <f>dagwerk15</f>
        <v>0</v>
      </c>
      <c r="O230" s="94" t="s">
        <v>108</v>
      </c>
      <c r="P230" s="26">
        <f>uurtarief15</f>
        <v>0</v>
      </c>
      <c r="Q230" s="96" t="e">
        <f>IF(ISBLANK(M230),0,L230/ROUND(M230,4))</f>
        <v>#DIV/0!</v>
      </c>
      <c r="R230" s="96" t="e">
        <f>IF(ISBLANK(M230),0,Q230*ROUND(N230,2))</f>
        <v>#DIV/0!</v>
      </c>
      <c r="S230" s="26" t="e">
        <f>ROUND(P230,2)*Q230</f>
        <v>#DIV/0!</v>
      </c>
      <c r="T230" s="96" t="e">
        <f>Q230*dagenperjaar1</f>
        <v>#DIV/0!</v>
      </c>
      <c r="U230" s="27" t="e">
        <f>T230*ROUND(P230,2)</f>
        <v>#DIV/0!</v>
      </c>
    </row>
    <row r="231" spans="1:21" x14ac:dyDescent="0.2">
      <c r="A231" s="93" t="s">
        <v>244</v>
      </c>
      <c r="B231" s="94" t="s">
        <v>42</v>
      </c>
      <c r="C231" s="94" t="s">
        <v>452</v>
      </c>
      <c r="D231" s="94" t="s">
        <v>481</v>
      </c>
      <c r="E231" s="95" t="s">
        <v>482</v>
      </c>
      <c r="F231" s="94" t="s">
        <v>314</v>
      </c>
      <c r="G231" s="94" t="s">
        <v>193</v>
      </c>
      <c r="H231" s="94" t="s">
        <v>14</v>
      </c>
      <c r="I231" s="94" t="s">
        <v>191</v>
      </c>
      <c r="J231" s="94"/>
      <c r="K231" s="96">
        <v>32</v>
      </c>
      <c r="L231" s="96">
        <f>K231*VLOOKUP(H231,dagsoorttabel1,2,FALSE)</f>
        <v>12.8</v>
      </c>
      <c r="M231" s="97">
        <f>prodnorm15</f>
        <v>0</v>
      </c>
      <c r="N231" s="41">
        <f>dagwerk15</f>
        <v>0</v>
      </c>
      <c r="O231" s="94" t="s">
        <v>108</v>
      </c>
      <c r="P231" s="26">
        <f>uurtarief15</f>
        <v>0</v>
      </c>
      <c r="Q231" s="96" t="e">
        <f>IF(ISBLANK(M231),0,L231/ROUND(M231,4))</f>
        <v>#DIV/0!</v>
      </c>
      <c r="R231" s="96" t="e">
        <f>IF(ISBLANK(M231),0,Q231*ROUND(N231,2))</f>
        <v>#DIV/0!</v>
      </c>
      <c r="S231" s="26" t="e">
        <f>ROUND(P231,2)*Q231</f>
        <v>#DIV/0!</v>
      </c>
      <c r="T231" s="96" t="e">
        <f>Q231*dagenperjaar1</f>
        <v>#DIV/0!</v>
      </c>
      <c r="U231" s="27" t="e">
        <f>T231*ROUND(P231,2)</f>
        <v>#DIV/0!</v>
      </c>
    </row>
    <row r="232" spans="1:21" x14ac:dyDescent="0.2">
      <c r="A232" s="93" t="s">
        <v>244</v>
      </c>
      <c r="B232" s="94" t="s">
        <v>42</v>
      </c>
      <c r="C232" s="94" t="s">
        <v>452</v>
      </c>
      <c r="D232" s="94" t="s">
        <v>483</v>
      </c>
      <c r="E232" s="95" t="s">
        <v>482</v>
      </c>
      <c r="F232" s="94" t="s">
        <v>263</v>
      </c>
      <c r="G232" s="94" t="s">
        <v>195</v>
      </c>
      <c r="H232" s="94" t="s">
        <v>14</v>
      </c>
      <c r="I232" s="94" t="s">
        <v>191</v>
      </c>
      <c r="J232" s="94"/>
      <c r="K232" s="96">
        <v>50</v>
      </c>
      <c r="L232" s="96">
        <f>K232*VLOOKUP(H232,dagsoorttabel1,2,FALSE)</f>
        <v>20</v>
      </c>
      <c r="M232" s="97">
        <f>prodnorm16</f>
        <v>0</v>
      </c>
      <c r="N232" s="41">
        <f>dagwerk16</f>
        <v>0</v>
      </c>
      <c r="O232" s="94" t="s">
        <v>108</v>
      </c>
      <c r="P232" s="26">
        <f>uurtarief16</f>
        <v>0</v>
      </c>
      <c r="Q232" s="96" t="e">
        <f>IF(ISBLANK(M232),0,L232/ROUND(M232,4))</f>
        <v>#DIV/0!</v>
      </c>
      <c r="R232" s="96" t="e">
        <f>IF(ISBLANK(M232),0,Q232*ROUND(N232,2))</f>
        <v>#DIV/0!</v>
      </c>
      <c r="S232" s="26" t="e">
        <f>ROUND(P232,2)*Q232</f>
        <v>#DIV/0!</v>
      </c>
      <c r="T232" s="96" t="e">
        <f>Q232*dagenperjaar1</f>
        <v>#DIV/0!</v>
      </c>
      <c r="U232" s="27" t="e">
        <f>T232*ROUND(P232,2)</f>
        <v>#DIV/0!</v>
      </c>
    </row>
    <row r="233" spans="1:21" x14ac:dyDescent="0.2">
      <c r="A233" s="93" t="s">
        <v>244</v>
      </c>
      <c r="B233" s="94" t="s">
        <v>42</v>
      </c>
      <c r="C233" s="94" t="s">
        <v>452</v>
      </c>
      <c r="D233" s="94" t="s">
        <v>484</v>
      </c>
      <c r="E233" s="95" t="s">
        <v>485</v>
      </c>
      <c r="F233" s="94" t="s">
        <v>401</v>
      </c>
      <c r="G233" s="94" t="s">
        <v>219</v>
      </c>
      <c r="H233" s="94" t="s">
        <v>10</v>
      </c>
      <c r="I233" s="94" t="s">
        <v>191</v>
      </c>
      <c r="J233" s="94"/>
      <c r="K233" s="96">
        <v>19.5</v>
      </c>
      <c r="L233" s="96">
        <f>K233*VLOOKUP(H233,dagsoorttabel1,2,FALSE)</f>
        <v>19.5</v>
      </c>
      <c r="M233" s="97">
        <f>prodnorm30</f>
        <v>0</v>
      </c>
      <c r="N233" s="41">
        <f>dagwerk30</f>
        <v>0</v>
      </c>
      <c r="O233" s="94" t="s">
        <v>108</v>
      </c>
      <c r="P233" s="26">
        <f>uurtarief30</f>
        <v>0</v>
      </c>
      <c r="Q233" s="96" t="e">
        <f>IF(ISBLANK(M233),0,L233/ROUND(M233,4))</f>
        <v>#DIV/0!</v>
      </c>
      <c r="R233" s="96" t="e">
        <f>IF(ISBLANK(M233),0,Q233*ROUND(N233,2))</f>
        <v>#DIV/0!</v>
      </c>
      <c r="S233" s="26" t="e">
        <f>ROUND(P233,2)*Q233</f>
        <v>#DIV/0!</v>
      </c>
      <c r="T233" s="96" t="e">
        <f>Q233*dagenperjaar1</f>
        <v>#DIV/0!</v>
      </c>
      <c r="U233" s="27" t="e">
        <f>T233*ROUND(P233,2)</f>
        <v>#DIV/0!</v>
      </c>
    </row>
    <row r="234" spans="1:21" x14ac:dyDescent="0.2">
      <c r="A234" s="93" t="s">
        <v>244</v>
      </c>
      <c r="B234" s="94" t="s">
        <v>42</v>
      </c>
      <c r="C234" s="94" t="s">
        <v>452</v>
      </c>
      <c r="D234" s="94" t="s">
        <v>486</v>
      </c>
      <c r="E234" s="95" t="s">
        <v>485</v>
      </c>
      <c r="F234" s="94" t="s">
        <v>401</v>
      </c>
      <c r="G234" s="94" t="s">
        <v>219</v>
      </c>
      <c r="H234" s="94" t="s">
        <v>10</v>
      </c>
      <c r="I234" s="94" t="s">
        <v>191</v>
      </c>
      <c r="J234" s="94"/>
      <c r="K234" s="96">
        <v>19.5</v>
      </c>
      <c r="L234" s="96">
        <f>K234*VLOOKUP(H234,dagsoorttabel1,2,FALSE)</f>
        <v>19.5</v>
      </c>
      <c r="M234" s="97">
        <f>prodnorm30</f>
        <v>0</v>
      </c>
      <c r="N234" s="41">
        <f>dagwerk30</f>
        <v>0</v>
      </c>
      <c r="O234" s="94" t="s">
        <v>108</v>
      </c>
      <c r="P234" s="26">
        <f>uurtarief30</f>
        <v>0</v>
      </c>
      <c r="Q234" s="96" t="e">
        <f>IF(ISBLANK(M234),0,L234/ROUND(M234,4))</f>
        <v>#DIV/0!</v>
      </c>
      <c r="R234" s="96" t="e">
        <f>IF(ISBLANK(M234),0,Q234*ROUND(N234,2))</f>
        <v>#DIV/0!</v>
      </c>
      <c r="S234" s="26" t="e">
        <f>ROUND(P234,2)*Q234</f>
        <v>#DIV/0!</v>
      </c>
      <c r="T234" s="96" t="e">
        <f>Q234*dagenperjaar1</f>
        <v>#DIV/0!</v>
      </c>
      <c r="U234" s="27" t="e">
        <f>T234*ROUND(P234,2)</f>
        <v>#DIV/0!</v>
      </c>
    </row>
    <row r="235" spans="1:21" x14ac:dyDescent="0.2">
      <c r="A235" s="93" t="s">
        <v>244</v>
      </c>
      <c r="B235" s="94" t="s">
        <v>42</v>
      </c>
      <c r="C235" s="94" t="s">
        <v>452</v>
      </c>
      <c r="D235" s="94" t="s">
        <v>487</v>
      </c>
      <c r="E235" s="95" t="s">
        <v>284</v>
      </c>
      <c r="F235" s="94" t="s">
        <v>277</v>
      </c>
      <c r="G235" s="94" t="s">
        <v>225</v>
      </c>
      <c r="H235" s="94" t="s">
        <v>10</v>
      </c>
      <c r="I235" s="94" t="s">
        <v>191</v>
      </c>
      <c r="J235" s="94"/>
      <c r="K235" s="96">
        <v>287</v>
      </c>
      <c r="L235" s="96">
        <f>K235*VLOOKUP(H235,dagsoorttabel1,2,FALSE)</f>
        <v>287</v>
      </c>
      <c r="M235" s="97">
        <f>prodnorm34</f>
        <v>0</v>
      </c>
      <c r="N235" s="41">
        <f>dagwerk34</f>
        <v>0</v>
      </c>
      <c r="O235" s="94" t="s">
        <v>108</v>
      </c>
      <c r="P235" s="26">
        <f>uurtarief34</f>
        <v>0</v>
      </c>
      <c r="Q235" s="96" t="e">
        <f>IF(ISBLANK(M235),0,L235/ROUND(M235,4))</f>
        <v>#DIV/0!</v>
      </c>
      <c r="R235" s="96" t="e">
        <f>IF(ISBLANK(M235),0,Q235*ROUND(N235,2))</f>
        <v>#DIV/0!</v>
      </c>
      <c r="S235" s="26" t="e">
        <f>ROUND(P235,2)*Q235</f>
        <v>#DIV/0!</v>
      </c>
      <c r="T235" s="96" t="e">
        <f>Q235*dagenperjaar1</f>
        <v>#DIV/0!</v>
      </c>
      <c r="U235" s="27" t="e">
        <f>T235*ROUND(P235,2)</f>
        <v>#DIV/0!</v>
      </c>
    </row>
    <row r="236" spans="1:21" x14ac:dyDescent="0.2">
      <c r="A236" s="93" t="s">
        <v>244</v>
      </c>
      <c r="B236" s="94" t="s">
        <v>42</v>
      </c>
      <c r="C236" s="94" t="s">
        <v>452</v>
      </c>
      <c r="D236" s="94" t="s">
        <v>487</v>
      </c>
      <c r="E236" s="95" t="s">
        <v>284</v>
      </c>
      <c r="F236" s="94" t="s">
        <v>277</v>
      </c>
      <c r="G236" s="94" t="s">
        <v>227</v>
      </c>
      <c r="H236" s="94" t="s">
        <v>24</v>
      </c>
      <c r="I236" s="94" t="s">
        <v>191</v>
      </c>
      <c r="J236" s="94"/>
      <c r="K236" s="96">
        <v>287</v>
      </c>
      <c r="L236" s="96">
        <f>K236*VLOOKUP(H236,dagsoorttabel1,2,FALSE)</f>
        <v>1.4350000000000001</v>
      </c>
      <c r="M236" s="97">
        <f>prodnorm35</f>
        <v>0</v>
      </c>
      <c r="N236" s="41">
        <f>dagwerk35</f>
        <v>0</v>
      </c>
      <c r="O236" s="94" t="s">
        <v>108</v>
      </c>
      <c r="P236" s="26">
        <f>uurtarief35</f>
        <v>0</v>
      </c>
      <c r="Q236" s="96" t="e">
        <f>IF(ISBLANK(M236),0,L236/ROUND(M236,4))</f>
        <v>#DIV/0!</v>
      </c>
      <c r="R236" s="96" t="e">
        <f>IF(ISBLANK(M236),0,Q236*ROUND(N236,2))</f>
        <v>#DIV/0!</v>
      </c>
      <c r="S236" s="26" t="e">
        <f>ROUND(P236,2)*Q236</f>
        <v>#DIV/0!</v>
      </c>
      <c r="T236" s="96" t="e">
        <f>Q236*dagenperjaar1</f>
        <v>#DIV/0!</v>
      </c>
      <c r="U236" s="27" t="e">
        <f>T236*ROUND(P236,2)</f>
        <v>#DIV/0!</v>
      </c>
    </row>
    <row r="237" spans="1:21" x14ac:dyDescent="0.2">
      <c r="A237" s="93" t="s">
        <v>244</v>
      </c>
      <c r="B237" s="94" t="s">
        <v>42</v>
      </c>
      <c r="C237" s="94" t="s">
        <v>452</v>
      </c>
      <c r="D237" s="94" t="s">
        <v>488</v>
      </c>
      <c r="E237" s="95" t="s">
        <v>489</v>
      </c>
      <c r="F237" s="94" t="s">
        <v>287</v>
      </c>
      <c r="G237" s="94" t="s">
        <v>219</v>
      </c>
      <c r="H237" s="94" t="s">
        <v>10</v>
      </c>
      <c r="I237" s="94" t="s">
        <v>191</v>
      </c>
      <c r="J237" s="94"/>
      <c r="K237" s="96">
        <v>26.8</v>
      </c>
      <c r="L237" s="96">
        <f>K237*VLOOKUP(H237,dagsoorttabel1,2,FALSE)</f>
        <v>26.8</v>
      </c>
      <c r="M237" s="97">
        <f>prodnorm30</f>
        <v>0</v>
      </c>
      <c r="N237" s="41">
        <f>dagwerk30</f>
        <v>0</v>
      </c>
      <c r="O237" s="94" t="s">
        <v>108</v>
      </c>
      <c r="P237" s="26">
        <f>uurtarief30</f>
        <v>0</v>
      </c>
      <c r="Q237" s="96" t="e">
        <f>IF(ISBLANK(M237),0,L237/ROUND(M237,4))</f>
        <v>#DIV/0!</v>
      </c>
      <c r="R237" s="96" t="e">
        <f>IF(ISBLANK(M237),0,Q237*ROUND(N237,2))</f>
        <v>#DIV/0!</v>
      </c>
      <c r="S237" s="26" t="e">
        <f>ROUND(P237,2)*Q237</f>
        <v>#DIV/0!</v>
      </c>
      <c r="T237" s="96" t="e">
        <f>Q237*dagenperjaar1</f>
        <v>#DIV/0!</v>
      </c>
      <c r="U237" s="27" t="e">
        <f>T237*ROUND(P237,2)</f>
        <v>#DIV/0!</v>
      </c>
    </row>
    <row r="238" spans="1:21" x14ac:dyDescent="0.2">
      <c r="A238" s="93" t="s">
        <v>244</v>
      </c>
      <c r="B238" s="94" t="s">
        <v>42</v>
      </c>
      <c r="C238" s="94" t="s">
        <v>452</v>
      </c>
      <c r="D238" s="94" t="s">
        <v>490</v>
      </c>
      <c r="E238" s="95" t="s">
        <v>268</v>
      </c>
      <c r="F238" s="94" t="s">
        <v>269</v>
      </c>
      <c r="G238" s="94" t="s">
        <v>225</v>
      </c>
      <c r="H238" s="94" t="s">
        <v>10</v>
      </c>
      <c r="I238" s="94" t="s">
        <v>191</v>
      </c>
      <c r="J238" s="94"/>
      <c r="K238" s="96">
        <v>31.150000000000002</v>
      </c>
      <c r="L238" s="96">
        <f>K238*VLOOKUP(H238,dagsoorttabel1,2,FALSE)</f>
        <v>31.150000000000002</v>
      </c>
      <c r="M238" s="97">
        <f>prodnorm34</f>
        <v>0</v>
      </c>
      <c r="N238" s="41">
        <f>dagwerk34</f>
        <v>0</v>
      </c>
      <c r="O238" s="94" t="s">
        <v>108</v>
      </c>
      <c r="P238" s="26">
        <f>uurtarief34</f>
        <v>0</v>
      </c>
      <c r="Q238" s="96" t="e">
        <f>IF(ISBLANK(M238),0,L238/ROUND(M238,4))</f>
        <v>#DIV/0!</v>
      </c>
      <c r="R238" s="96" t="e">
        <f>IF(ISBLANK(M238),0,Q238*ROUND(N238,2))</f>
        <v>#DIV/0!</v>
      </c>
      <c r="S238" s="26" t="e">
        <f>ROUND(P238,2)*Q238</f>
        <v>#DIV/0!</v>
      </c>
      <c r="T238" s="96" t="e">
        <f>Q238*dagenperjaar1</f>
        <v>#DIV/0!</v>
      </c>
      <c r="U238" s="27" t="e">
        <f>T238*ROUND(P238,2)</f>
        <v>#DIV/0!</v>
      </c>
    </row>
    <row r="239" spans="1:21" x14ac:dyDescent="0.2">
      <c r="A239" s="93" t="s">
        <v>244</v>
      </c>
      <c r="B239" s="94" t="s">
        <v>42</v>
      </c>
      <c r="C239" s="94" t="s">
        <v>452</v>
      </c>
      <c r="D239" s="94" t="s">
        <v>491</v>
      </c>
      <c r="E239" s="95" t="s">
        <v>341</v>
      </c>
      <c r="F239" s="94" t="s">
        <v>330</v>
      </c>
      <c r="G239" s="94" t="s">
        <v>225</v>
      </c>
      <c r="H239" s="94" t="s">
        <v>10</v>
      </c>
      <c r="I239" s="94" t="s">
        <v>191</v>
      </c>
      <c r="J239" s="94"/>
      <c r="K239" s="96">
        <v>15.75</v>
      </c>
      <c r="L239" s="96">
        <f>K239*VLOOKUP(H239,dagsoorttabel1,2,FALSE)</f>
        <v>15.75</v>
      </c>
      <c r="M239" s="97">
        <f>prodnorm34</f>
        <v>0</v>
      </c>
      <c r="N239" s="41">
        <f>dagwerk34</f>
        <v>0</v>
      </c>
      <c r="O239" s="94" t="s">
        <v>108</v>
      </c>
      <c r="P239" s="26">
        <f>uurtarief34</f>
        <v>0</v>
      </c>
      <c r="Q239" s="96" t="e">
        <f>IF(ISBLANK(M239),0,L239/ROUND(M239,4))</f>
        <v>#DIV/0!</v>
      </c>
      <c r="R239" s="96" t="e">
        <f>IF(ISBLANK(M239),0,Q239*ROUND(N239,2))</f>
        <v>#DIV/0!</v>
      </c>
      <c r="S239" s="26" t="e">
        <f>ROUND(P239,2)*Q239</f>
        <v>#DIV/0!</v>
      </c>
      <c r="T239" s="96" t="e">
        <f>Q239*dagenperjaar1</f>
        <v>#DIV/0!</v>
      </c>
      <c r="U239" s="27" t="e">
        <f>T239*ROUND(P239,2)</f>
        <v>#DIV/0!</v>
      </c>
    </row>
    <row r="240" spans="1:21" x14ac:dyDescent="0.2">
      <c r="A240" s="93" t="s">
        <v>244</v>
      </c>
      <c r="B240" s="94" t="s">
        <v>42</v>
      </c>
      <c r="C240" s="94" t="s">
        <v>452</v>
      </c>
      <c r="D240" s="94" t="s">
        <v>492</v>
      </c>
      <c r="E240" s="95" t="s">
        <v>284</v>
      </c>
      <c r="F240" s="94" t="s">
        <v>277</v>
      </c>
      <c r="G240" s="94" t="s">
        <v>225</v>
      </c>
      <c r="H240" s="94" t="s">
        <v>10</v>
      </c>
      <c r="I240" s="94" t="s">
        <v>191</v>
      </c>
      <c r="J240" s="94"/>
      <c r="K240" s="96">
        <v>28.22</v>
      </c>
      <c r="L240" s="96">
        <f>K240*VLOOKUP(H240,dagsoorttabel1,2,FALSE)</f>
        <v>28.22</v>
      </c>
      <c r="M240" s="97">
        <f>prodnorm34</f>
        <v>0</v>
      </c>
      <c r="N240" s="41">
        <f>dagwerk34</f>
        <v>0</v>
      </c>
      <c r="O240" s="94" t="s">
        <v>108</v>
      </c>
      <c r="P240" s="26">
        <f>uurtarief34</f>
        <v>0</v>
      </c>
      <c r="Q240" s="96" t="e">
        <f>IF(ISBLANK(M240),0,L240/ROUND(M240,4))</f>
        <v>#DIV/0!</v>
      </c>
      <c r="R240" s="96" t="e">
        <f>IF(ISBLANK(M240),0,Q240*ROUND(N240,2))</f>
        <v>#DIV/0!</v>
      </c>
      <c r="S240" s="26" t="e">
        <f>ROUND(P240,2)*Q240</f>
        <v>#DIV/0!</v>
      </c>
      <c r="T240" s="96" t="e">
        <f>Q240*dagenperjaar1</f>
        <v>#DIV/0!</v>
      </c>
      <c r="U240" s="27" t="e">
        <f>T240*ROUND(P240,2)</f>
        <v>#DIV/0!</v>
      </c>
    </row>
    <row r="241" spans="1:21" x14ac:dyDescent="0.2">
      <c r="A241" s="93" t="s">
        <v>244</v>
      </c>
      <c r="B241" s="94" t="s">
        <v>42</v>
      </c>
      <c r="C241" s="94" t="s">
        <v>452</v>
      </c>
      <c r="D241" s="94" t="s">
        <v>492</v>
      </c>
      <c r="E241" s="95" t="s">
        <v>284</v>
      </c>
      <c r="F241" s="94" t="s">
        <v>277</v>
      </c>
      <c r="G241" s="94" t="s">
        <v>227</v>
      </c>
      <c r="H241" s="94" t="s">
        <v>24</v>
      </c>
      <c r="I241" s="94" t="s">
        <v>191</v>
      </c>
      <c r="J241" s="94"/>
      <c r="K241" s="96">
        <v>28.22</v>
      </c>
      <c r="L241" s="96">
        <f>K241*VLOOKUP(H241,dagsoorttabel1,2,FALSE)</f>
        <v>0.1411</v>
      </c>
      <c r="M241" s="97">
        <f>prodnorm35</f>
        <v>0</v>
      </c>
      <c r="N241" s="41">
        <f>dagwerk35</f>
        <v>0</v>
      </c>
      <c r="O241" s="94" t="s">
        <v>108</v>
      </c>
      <c r="P241" s="26">
        <f>uurtarief35</f>
        <v>0</v>
      </c>
      <c r="Q241" s="96" t="e">
        <f>IF(ISBLANK(M241),0,L241/ROUND(M241,4))</f>
        <v>#DIV/0!</v>
      </c>
      <c r="R241" s="96" t="e">
        <f>IF(ISBLANK(M241),0,Q241*ROUND(N241,2))</f>
        <v>#DIV/0!</v>
      </c>
      <c r="S241" s="26" t="e">
        <f>ROUND(P241,2)*Q241</f>
        <v>#DIV/0!</v>
      </c>
      <c r="T241" s="96" t="e">
        <f>Q241*dagenperjaar1</f>
        <v>#DIV/0!</v>
      </c>
      <c r="U241" s="27" t="e">
        <f>T241*ROUND(P241,2)</f>
        <v>#DIV/0!</v>
      </c>
    </row>
    <row r="242" spans="1:21" ht="25.5" x14ac:dyDescent="0.2">
      <c r="A242" s="93" t="s">
        <v>244</v>
      </c>
      <c r="B242" s="94" t="s">
        <v>42</v>
      </c>
      <c r="C242" s="94" t="s">
        <v>493</v>
      </c>
      <c r="D242" s="94" t="s">
        <v>494</v>
      </c>
      <c r="E242" s="95" t="s">
        <v>495</v>
      </c>
      <c r="F242" s="94" t="s">
        <v>401</v>
      </c>
      <c r="G242" s="94" t="s">
        <v>205</v>
      </c>
      <c r="H242" s="94" t="s">
        <v>10</v>
      </c>
      <c r="I242" s="94" t="s">
        <v>191</v>
      </c>
      <c r="J242" s="94"/>
      <c r="K242" s="96">
        <v>38</v>
      </c>
      <c r="L242" s="96">
        <f>K242*VLOOKUP(H242,dagsoorttabel1,2,FALSE)</f>
        <v>38</v>
      </c>
      <c r="M242" s="97">
        <f>prodnorm23</f>
        <v>0</v>
      </c>
      <c r="N242" s="41">
        <f>dagwerk23</f>
        <v>0</v>
      </c>
      <c r="O242" s="94" t="s">
        <v>108</v>
      </c>
      <c r="P242" s="26">
        <f>uurtarief23</f>
        <v>0</v>
      </c>
      <c r="Q242" s="96" t="e">
        <f>IF(ISBLANK(M242),0,L242/ROUND(M242,4))</f>
        <v>#DIV/0!</v>
      </c>
      <c r="R242" s="96" t="e">
        <f>IF(ISBLANK(M242),0,Q242*ROUND(N242,2))</f>
        <v>#DIV/0!</v>
      </c>
      <c r="S242" s="26" t="e">
        <f>ROUND(P242,2)*Q242</f>
        <v>#DIV/0!</v>
      </c>
      <c r="T242" s="96" t="e">
        <f>Q242*dagenperjaar1</f>
        <v>#DIV/0!</v>
      </c>
      <c r="U242" s="27" t="e">
        <f>T242*ROUND(P242,2)</f>
        <v>#DIV/0!</v>
      </c>
    </row>
    <row r="243" spans="1:21" x14ac:dyDescent="0.2">
      <c r="A243" s="93" t="s">
        <v>244</v>
      </c>
      <c r="B243" s="94" t="s">
        <v>42</v>
      </c>
      <c r="C243" s="94" t="s">
        <v>493</v>
      </c>
      <c r="D243" s="94" t="s">
        <v>496</v>
      </c>
      <c r="E243" s="95" t="s">
        <v>497</v>
      </c>
      <c r="F243" s="94" t="s">
        <v>401</v>
      </c>
      <c r="G243" s="94" t="s">
        <v>219</v>
      </c>
      <c r="H243" s="94" t="s">
        <v>10</v>
      </c>
      <c r="I243" s="94" t="s">
        <v>191</v>
      </c>
      <c r="J243" s="94"/>
      <c r="K243" s="96">
        <v>1.2</v>
      </c>
      <c r="L243" s="96">
        <f>K243*VLOOKUP(H243,dagsoorttabel1,2,FALSE)</f>
        <v>1.2</v>
      </c>
      <c r="M243" s="97">
        <f>prodnorm30</f>
        <v>0</v>
      </c>
      <c r="N243" s="41">
        <f>dagwerk30</f>
        <v>0</v>
      </c>
      <c r="O243" s="94" t="s">
        <v>108</v>
      </c>
      <c r="P243" s="26">
        <f>uurtarief30</f>
        <v>0</v>
      </c>
      <c r="Q243" s="96" t="e">
        <f>IF(ISBLANK(M243),0,L243/ROUND(M243,4))</f>
        <v>#DIV/0!</v>
      </c>
      <c r="R243" s="96" t="e">
        <f>IF(ISBLANK(M243),0,Q243*ROUND(N243,2))</f>
        <v>#DIV/0!</v>
      </c>
      <c r="S243" s="26" t="e">
        <f>ROUND(P243,2)*Q243</f>
        <v>#DIV/0!</v>
      </c>
      <c r="T243" s="96" t="e">
        <f>Q243*dagenperjaar1</f>
        <v>#DIV/0!</v>
      </c>
      <c r="U243" s="27" t="e">
        <f>T243*ROUND(P243,2)</f>
        <v>#DIV/0!</v>
      </c>
    </row>
    <row r="244" spans="1:21" x14ac:dyDescent="0.2">
      <c r="A244" s="93" t="s">
        <v>244</v>
      </c>
      <c r="B244" s="94" t="s">
        <v>42</v>
      </c>
      <c r="C244" s="94" t="s">
        <v>493</v>
      </c>
      <c r="D244" s="94" t="s">
        <v>498</v>
      </c>
      <c r="E244" s="95" t="s">
        <v>499</v>
      </c>
      <c r="F244" s="94" t="s">
        <v>401</v>
      </c>
      <c r="G244" s="94" t="s">
        <v>197</v>
      </c>
      <c r="H244" s="94" t="s">
        <v>10</v>
      </c>
      <c r="I244" s="94" t="s">
        <v>191</v>
      </c>
      <c r="J244" s="94"/>
      <c r="K244" s="96">
        <v>1.27</v>
      </c>
      <c r="L244" s="96">
        <f>K244*VLOOKUP(H244,dagsoorttabel1,2,FALSE)</f>
        <v>1.27</v>
      </c>
      <c r="M244" s="97">
        <f>prodnorm17</f>
        <v>0</v>
      </c>
      <c r="N244" s="41">
        <f>dagwerk17</f>
        <v>0</v>
      </c>
      <c r="O244" s="94" t="s">
        <v>108</v>
      </c>
      <c r="P244" s="26">
        <f>uurtarief17</f>
        <v>0</v>
      </c>
      <c r="Q244" s="96" t="e">
        <f>IF(ISBLANK(M244),0,L244/ROUND(M244,4))</f>
        <v>#DIV/0!</v>
      </c>
      <c r="R244" s="96" t="e">
        <f>IF(ISBLANK(M244),0,Q244*ROUND(N244,2))</f>
        <v>#DIV/0!</v>
      </c>
      <c r="S244" s="26" t="e">
        <f>ROUND(P244,2)*Q244</f>
        <v>#DIV/0!</v>
      </c>
      <c r="T244" s="96" t="e">
        <f>Q244*dagenperjaar1</f>
        <v>#DIV/0!</v>
      </c>
      <c r="U244" s="27" t="e">
        <f>T244*ROUND(P244,2)</f>
        <v>#DIV/0!</v>
      </c>
    </row>
    <row r="245" spans="1:21" x14ac:dyDescent="0.2">
      <c r="A245" s="93" t="s">
        <v>244</v>
      </c>
      <c r="B245" s="94" t="s">
        <v>42</v>
      </c>
      <c r="C245" s="94" t="s">
        <v>493</v>
      </c>
      <c r="D245" s="94" t="s">
        <v>500</v>
      </c>
      <c r="E245" s="95" t="s">
        <v>499</v>
      </c>
      <c r="F245" s="94" t="s">
        <v>401</v>
      </c>
      <c r="G245" s="94" t="s">
        <v>197</v>
      </c>
      <c r="H245" s="94" t="s">
        <v>10</v>
      </c>
      <c r="I245" s="94" t="s">
        <v>191</v>
      </c>
      <c r="J245" s="94"/>
      <c r="K245" s="96">
        <v>1.27</v>
      </c>
      <c r="L245" s="96">
        <f>K245*VLOOKUP(H245,dagsoorttabel1,2,FALSE)</f>
        <v>1.27</v>
      </c>
      <c r="M245" s="97">
        <f>prodnorm17</f>
        <v>0</v>
      </c>
      <c r="N245" s="41">
        <f>dagwerk17</f>
        <v>0</v>
      </c>
      <c r="O245" s="94" t="s">
        <v>108</v>
      </c>
      <c r="P245" s="26">
        <f>uurtarief17</f>
        <v>0</v>
      </c>
      <c r="Q245" s="96" t="e">
        <f>IF(ISBLANK(M245),0,L245/ROUND(M245,4))</f>
        <v>#DIV/0!</v>
      </c>
      <c r="R245" s="96" t="e">
        <f>IF(ISBLANK(M245),0,Q245*ROUND(N245,2))</f>
        <v>#DIV/0!</v>
      </c>
      <c r="S245" s="26" t="e">
        <f>ROUND(P245,2)*Q245</f>
        <v>#DIV/0!</v>
      </c>
      <c r="T245" s="96" t="e">
        <f>Q245*dagenperjaar1</f>
        <v>#DIV/0!</v>
      </c>
      <c r="U245" s="27" t="e">
        <f>T245*ROUND(P245,2)</f>
        <v>#DIV/0!</v>
      </c>
    </row>
    <row r="246" spans="1:21" x14ac:dyDescent="0.2">
      <c r="A246" s="93" t="s">
        <v>244</v>
      </c>
      <c r="B246" s="94" t="s">
        <v>42</v>
      </c>
      <c r="C246" s="94" t="s">
        <v>493</v>
      </c>
      <c r="D246" s="94" t="s">
        <v>501</v>
      </c>
      <c r="E246" s="95" t="s">
        <v>499</v>
      </c>
      <c r="F246" s="94" t="s">
        <v>401</v>
      </c>
      <c r="G246" s="94" t="s">
        <v>197</v>
      </c>
      <c r="H246" s="94" t="s">
        <v>10</v>
      </c>
      <c r="I246" s="94" t="s">
        <v>191</v>
      </c>
      <c r="J246" s="94"/>
      <c r="K246" s="96">
        <v>32</v>
      </c>
      <c r="L246" s="96">
        <f>K246*VLOOKUP(H246,dagsoorttabel1,2,FALSE)</f>
        <v>32</v>
      </c>
      <c r="M246" s="97">
        <f>prodnorm17</f>
        <v>0</v>
      </c>
      <c r="N246" s="41">
        <f>dagwerk17</f>
        <v>0</v>
      </c>
      <c r="O246" s="94" t="s">
        <v>108</v>
      </c>
      <c r="P246" s="26">
        <f>uurtarief17</f>
        <v>0</v>
      </c>
      <c r="Q246" s="96" t="e">
        <f>IF(ISBLANK(M246),0,L246/ROUND(M246,4))</f>
        <v>#DIV/0!</v>
      </c>
      <c r="R246" s="96" t="e">
        <f>IF(ISBLANK(M246),0,Q246*ROUND(N246,2))</f>
        <v>#DIV/0!</v>
      </c>
      <c r="S246" s="26" t="e">
        <f>ROUND(P246,2)*Q246</f>
        <v>#DIV/0!</v>
      </c>
      <c r="T246" s="96" t="e">
        <f>Q246*dagenperjaar1</f>
        <v>#DIV/0!</v>
      </c>
      <c r="U246" s="27" t="e">
        <f>T246*ROUND(P246,2)</f>
        <v>#DIV/0!</v>
      </c>
    </row>
    <row r="247" spans="1:21" x14ac:dyDescent="0.2">
      <c r="A247" s="93" t="s">
        <v>244</v>
      </c>
      <c r="B247" s="94" t="s">
        <v>42</v>
      </c>
      <c r="C247" s="94" t="s">
        <v>493</v>
      </c>
      <c r="D247" s="94" t="s">
        <v>502</v>
      </c>
      <c r="E247" s="95" t="s">
        <v>503</v>
      </c>
      <c r="F247" s="94" t="s">
        <v>434</v>
      </c>
      <c r="G247" s="94" t="s">
        <v>223</v>
      </c>
      <c r="H247" s="94" t="s">
        <v>10</v>
      </c>
      <c r="I247" s="94" t="s">
        <v>191</v>
      </c>
      <c r="J247" s="94"/>
      <c r="K247" s="96">
        <v>10.5</v>
      </c>
      <c r="L247" s="96">
        <f>K247*VLOOKUP(H247,dagsoorttabel1,2,FALSE)</f>
        <v>10.5</v>
      </c>
      <c r="M247" s="97">
        <f>prodnorm32</f>
        <v>0</v>
      </c>
      <c r="N247" s="41">
        <f>dagwerk32</f>
        <v>0</v>
      </c>
      <c r="O247" s="94" t="s">
        <v>108</v>
      </c>
      <c r="P247" s="26">
        <f>uurtarief32</f>
        <v>0</v>
      </c>
      <c r="Q247" s="96" t="e">
        <f>IF(ISBLANK(M247),0,L247/ROUND(M247,4))</f>
        <v>#DIV/0!</v>
      </c>
      <c r="R247" s="96" t="e">
        <f>IF(ISBLANK(M247),0,Q247*ROUND(N247,2))</f>
        <v>#DIV/0!</v>
      </c>
      <c r="S247" s="26" t="e">
        <f>ROUND(P247,2)*Q247</f>
        <v>#DIV/0!</v>
      </c>
      <c r="T247" s="96" t="e">
        <f>Q247*dagenperjaar1</f>
        <v>#DIV/0!</v>
      </c>
      <c r="U247" s="27" t="e">
        <f>T247*ROUND(P247,2)</f>
        <v>#DIV/0!</v>
      </c>
    </row>
    <row r="248" spans="1:21" x14ac:dyDescent="0.2">
      <c r="A248" s="93" t="s">
        <v>244</v>
      </c>
      <c r="B248" s="94" t="s">
        <v>42</v>
      </c>
      <c r="C248" s="94" t="s">
        <v>493</v>
      </c>
      <c r="D248" s="94" t="s">
        <v>504</v>
      </c>
      <c r="E248" s="95" t="s">
        <v>273</v>
      </c>
      <c r="F248" s="94" t="s">
        <v>505</v>
      </c>
      <c r="G248" s="94" t="s">
        <v>193</v>
      </c>
      <c r="H248" s="94" t="s">
        <v>14</v>
      </c>
      <c r="I248" s="94" t="s">
        <v>191</v>
      </c>
      <c r="J248" s="94"/>
      <c r="K248" s="96">
        <v>25.650000000000002</v>
      </c>
      <c r="L248" s="96">
        <f>K248*VLOOKUP(H248,dagsoorttabel1,2,FALSE)</f>
        <v>10.260000000000002</v>
      </c>
      <c r="M248" s="97">
        <f>prodnorm15</f>
        <v>0</v>
      </c>
      <c r="N248" s="41">
        <f>dagwerk15</f>
        <v>0</v>
      </c>
      <c r="O248" s="94" t="s">
        <v>108</v>
      </c>
      <c r="P248" s="26">
        <f>uurtarief15</f>
        <v>0</v>
      </c>
      <c r="Q248" s="96" t="e">
        <f>IF(ISBLANK(M248),0,L248/ROUND(M248,4))</f>
        <v>#DIV/0!</v>
      </c>
      <c r="R248" s="96" t="e">
        <f>IF(ISBLANK(M248),0,Q248*ROUND(N248,2))</f>
        <v>#DIV/0!</v>
      </c>
      <c r="S248" s="26" t="e">
        <f>ROUND(P248,2)*Q248</f>
        <v>#DIV/0!</v>
      </c>
      <c r="T248" s="96" t="e">
        <f>Q248*dagenperjaar1</f>
        <v>#DIV/0!</v>
      </c>
      <c r="U248" s="27" t="e">
        <f>T248*ROUND(P248,2)</f>
        <v>#DIV/0!</v>
      </c>
    </row>
    <row r="249" spans="1:21" x14ac:dyDescent="0.2">
      <c r="A249" s="93" t="s">
        <v>244</v>
      </c>
      <c r="B249" s="94" t="s">
        <v>42</v>
      </c>
      <c r="C249" s="94" t="s">
        <v>493</v>
      </c>
      <c r="D249" s="94" t="s">
        <v>506</v>
      </c>
      <c r="E249" s="95" t="s">
        <v>247</v>
      </c>
      <c r="F249" s="94" t="s">
        <v>334</v>
      </c>
      <c r="G249" s="94" t="s">
        <v>203</v>
      </c>
      <c r="H249" s="94" t="s">
        <v>10</v>
      </c>
      <c r="I249" s="94" t="s">
        <v>191</v>
      </c>
      <c r="J249" s="94"/>
      <c r="K249" s="96">
        <v>256.88</v>
      </c>
      <c r="L249" s="96">
        <f>K249*VLOOKUP(H249,dagsoorttabel1,2,FALSE)</f>
        <v>256.88</v>
      </c>
      <c r="M249" s="97">
        <f>prodnorm20</f>
        <v>0</v>
      </c>
      <c r="N249" s="41">
        <f>dagwerk20</f>
        <v>0</v>
      </c>
      <c r="O249" s="94" t="s">
        <v>108</v>
      </c>
      <c r="P249" s="26">
        <f>uurtarief20</f>
        <v>0</v>
      </c>
      <c r="Q249" s="96" t="e">
        <f>IF(ISBLANK(M249),0,L249/ROUND(M249,4))</f>
        <v>#DIV/0!</v>
      </c>
      <c r="R249" s="96" t="e">
        <f>IF(ISBLANK(M249),0,Q249*ROUND(N249,2))</f>
        <v>#DIV/0!</v>
      </c>
      <c r="S249" s="26" t="e">
        <f>ROUND(P249,2)*Q249</f>
        <v>#DIV/0!</v>
      </c>
      <c r="T249" s="96" t="e">
        <f>Q249*dagenperjaar1</f>
        <v>#DIV/0!</v>
      </c>
      <c r="U249" s="27" t="e">
        <f>T249*ROUND(P249,2)</f>
        <v>#DIV/0!</v>
      </c>
    </row>
    <row r="250" spans="1:21" x14ac:dyDescent="0.2">
      <c r="A250" s="93" t="s">
        <v>244</v>
      </c>
      <c r="B250" s="94" t="s">
        <v>42</v>
      </c>
      <c r="C250" s="94" t="s">
        <v>493</v>
      </c>
      <c r="D250" s="94" t="s">
        <v>507</v>
      </c>
      <c r="E250" s="95" t="s">
        <v>374</v>
      </c>
      <c r="F250" s="94" t="s">
        <v>277</v>
      </c>
      <c r="G250" s="94" t="s">
        <v>207</v>
      </c>
      <c r="H250" s="94" t="s">
        <v>10</v>
      </c>
      <c r="I250" s="94" t="s">
        <v>191</v>
      </c>
      <c r="J250" s="94"/>
      <c r="K250" s="96">
        <v>53.4</v>
      </c>
      <c r="L250" s="96">
        <f>K250*VLOOKUP(H250,dagsoorttabel1,2,FALSE)</f>
        <v>53.4</v>
      </c>
      <c r="M250" s="97">
        <f>prodnorm24</f>
        <v>0</v>
      </c>
      <c r="N250" s="41">
        <f>dagwerk24</f>
        <v>0</v>
      </c>
      <c r="O250" s="94" t="s">
        <v>108</v>
      </c>
      <c r="P250" s="26">
        <f>uurtarief24</f>
        <v>0</v>
      </c>
      <c r="Q250" s="96" t="e">
        <f>IF(ISBLANK(M250),0,L250/ROUND(M250,4))</f>
        <v>#DIV/0!</v>
      </c>
      <c r="R250" s="96" t="e">
        <f>IF(ISBLANK(M250),0,Q250*ROUND(N250,2))</f>
        <v>#DIV/0!</v>
      </c>
      <c r="S250" s="26" t="e">
        <f>ROUND(P250,2)*Q250</f>
        <v>#DIV/0!</v>
      </c>
      <c r="T250" s="96" t="e">
        <f>Q250*dagenperjaar1</f>
        <v>#DIV/0!</v>
      </c>
      <c r="U250" s="27" t="e">
        <f>T250*ROUND(P250,2)</f>
        <v>#DIV/0!</v>
      </c>
    </row>
    <row r="251" spans="1:21" x14ac:dyDescent="0.2">
      <c r="A251" s="93" t="s">
        <v>244</v>
      </c>
      <c r="B251" s="94" t="s">
        <v>42</v>
      </c>
      <c r="C251" s="94" t="s">
        <v>493</v>
      </c>
      <c r="D251" s="94" t="s">
        <v>507</v>
      </c>
      <c r="E251" s="95" t="s">
        <v>374</v>
      </c>
      <c r="F251" s="94" t="s">
        <v>277</v>
      </c>
      <c r="G251" s="94" t="s">
        <v>227</v>
      </c>
      <c r="H251" s="94" t="s">
        <v>24</v>
      </c>
      <c r="I251" s="94" t="s">
        <v>191</v>
      </c>
      <c r="J251" s="94"/>
      <c r="K251" s="96">
        <v>53.4</v>
      </c>
      <c r="L251" s="96">
        <f>K251*VLOOKUP(H251,dagsoorttabel1,2,FALSE)</f>
        <v>0.26700000000000002</v>
      </c>
      <c r="M251" s="97">
        <f>prodnorm35</f>
        <v>0</v>
      </c>
      <c r="N251" s="41">
        <f>dagwerk35</f>
        <v>0</v>
      </c>
      <c r="O251" s="94" t="s">
        <v>108</v>
      </c>
      <c r="P251" s="26">
        <f>uurtarief35</f>
        <v>0</v>
      </c>
      <c r="Q251" s="96" t="e">
        <f>IF(ISBLANK(M251),0,L251/ROUND(M251,4))</f>
        <v>#DIV/0!</v>
      </c>
      <c r="R251" s="96" t="e">
        <f>IF(ISBLANK(M251),0,Q251*ROUND(N251,2))</f>
        <v>#DIV/0!</v>
      </c>
      <c r="S251" s="26" t="e">
        <f>ROUND(P251,2)*Q251</f>
        <v>#DIV/0!</v>
      </c>
      <c r="T251" s="96" t="e">
        <f>Q251*dagenperjaar1</f>
        <v>#DIV/0!</v>
      </c>
      <c r="U251" s="27" t="e">
        <f>T251*ROUND(P251,2)</f>
        <v>#DIV/0!</v>
      </c>
    </row>
    <row r="252" spans="1:21" x14ac:dyDescent="0.2">
      <c r="A252" s="93" t="s">
        <v>244</v>
      </c>
      <c r="B252" s="94" t="s">
        <v>42</v>
      </c>
      <c r="C252" s="94" t="s">
        <v>493</v>
      </c>
      <c r="D252" s="94" t="s">
        <v>508</v>
      </c>
      <c r="E252" s="95" t="s">
        <v>374</v>
      </c>
      <c r="F252" s="94" t="s">
        <v>277</v>
      </c>
      <c r="G252" s="94" t="s">
        <v>207</v>
      </c>
      <c r="H252" s="94" t="s">
        <v>10</v>
      </c>
      <c r="I252" s="94" t="s">
        <v>191</v>
      </c>
      <c r="J252" s="94"/>
      <c r="K252" s="96">
        <v>53.7</v>
      </c>
      <c r="L252" s="96">
        <f>K252*VLOOKUP(H252,dagsoorttabel1,2,FALSE)</f>
        <v>53.7</v>
      </c>
      <c r="M252" s="97">
        <f>prodnorm24</f>
        <v>0</v>
      </c>
      <c r="N252" s="41">
        <f>dagwerk24</f>
        <v>0</v>
      </c>
      <c r="O252" s="94" t="s">
        <v>108</v>
      </c>
      <c r="P252" s="26">
        <f>uurtarief24</f>
        <v>0</v>
      </c>
      <c r="Q252" s="96" t="e">
        <f>IF(ISBLANK(M252),0,L252/ROUND(M252,4))</f>
        <v>#DIV/0!</v>
      </c>
      <c r="R252" s="96" t="e">
        <f>IF(ISBLANK(M252),0,Q252*ROUND(N252,2))</f>
        <v>#DIV/0!</v>
      </c>
      <c r="S252" s="26" t="e">
        <f>ROUND(P252,2)*Q252</f>
        <v>#DIV/0!</v>
      </c>
      <c r="T252" s="96" t="e">
        <f>Q252*dagenperjaar1</f>
        <v>#DIV/0!</v>
      </c>
      <c r="U252" s="27" t="e">
        <f>T252*ROUND(P252,2)</f>
        <v>#DIV/0!</v>
      </c>
    </row>
    <row r="253" spans="1:21" x14ac:dyDescent="0.2">
      <c r="A253" s="93" t="s">
        <v>244</v>
      </c>
      <c r="B253" s="94" t="s">
        <v>42</v>
      </c>
      <c r="C253" s="94" t="s">
        <v>493</v>
      </c>
      <c r="D253" s="94" t="s">
        <v>508</v>
      </c>
      <c r="E253" s="95" t="s">
        <v>374</v>
      </c>
      <c r="F253" s="94" t="s">
        <v>277</v>
      </c>
      <c r="G253" s="94" t="s">
        <v>227</v>
      </c>
      <c r="H253" s="94" t="s">
        <v>24</v>
      </c>
      <c r="I253" s="94" t="s">
        <v>191</v>
      </c>
      <c r="J253" s="94"/>
      <c r="K253" s="96">
        <v>53.7</v>
      </c>
      <c r="L253" s="96">
        <f>K253*VLOOKUP(H253,dagsoorttabel1,2,FALSE)</f>
        <v>0.26850000000000002</v>
      </c>
      <c r="M253" s="97">
        <f>prodnorm35</f>
        <v>0</v>
      </c>
      <c r="N253" s="41">
        <f>dagwerk35</f>
        <v>0</v>
      </c>
      <c r="O253" s="94" t="s">
        <v>108</v>
      </c>
      <c r="P253" s="26">
        <f>uurtarief35</f>
        <v>0</v>
      </c>
      <c r="Q253" s="96" t="e">
        <f>IF(ISBLANK(M253),0,L253/ROUND(M253,4))</f>
        <v>#DIV/0!</v>
      </c>
      <c r="R253" s="96" t="e">
        <f>IF(ISBLANK(M253),0,Q253*ROUND(N253,2))</f>
        <v>#DIV/0!</v>
      </c>
      <c r="S253" s="26" t="e">
        <f>ROUND(P253,2)*Q253</f>
        <v>#DIV/0!</v>
      </c>
      <c r="T253" s="96" t="e">
        <f>Q253*dagenperjaar1</f>
        <v>#DIV/0!</v>
      </c>
      <c r="U253" s="27" t="e">
        <f>T253*ROUND(P253,2)</f>
        <v>#DIV/0!</v>
      </c>
    </row>
    <row r="254" spans="1:21" x14ac:dyDescent="0.2">
      <c r="A254" s="93" t="s">
        <v>244</v>
      </c>
      <c r="B254" s="94" t="s">
        <v>42</v>
      </c>
      <c r="C254" s="94" t="s">
        <v>493</v>
      </c>
      <c r="D254" s="94" t="s">
        <v>509</v>
      </c>
      <c r="E254" s="95" t="s">
        <v>374</v>
      </c>
      <c r="F254" s="94" t="s">
        <v>277</v>
      </c>
      <c r="G254" s="94" t="s">
        <v>207</v>
      </c>
      <c r="H254" s="94" t="s">
        <v>10</v>
      </c>
      <c r="I254" s="94" t="s">
        <v>191</v>
      </c>
      <c r="J254" s="94"/>
      <c r="K254" s="96">
        <v>53.8</v>
      </c>
      <c r="L254" s="96">
        <f>K254*VLOOKUP(H254,dagsoorttabel1,2,FALSE)</f>
        <v>53.8</v>
      </c>
      <c r="M254" s="97">
        <f>prodnorm24</f>
        <v>0</v>
      </c>
      <c r="N254" s="41">
        <f>dagwerk24</f>
        <v>0</v>
      </c>
      <c r="O254" s="94" t="s">
        <v>108</v>
      </c>
      <c r="P254" s="26">
        <f>uurtarief24</f>
        <v>0</v>
      </c>
      <c r="Q254" s="96" t="e">
        <f>IF(ISBLANK(M254),0,L254/ROUND(M254,4))</f>
        <v>#DIV/0!</v>
      </c>
      <c r="R254" s="96" t="e">
        <f>IF(ISBLANK(M254),0,Q254*ROUND(N254,2))</f>
        <v>#DIV/0!</v>
      </c>
      <c r="S254" s="26" t="e">
        <f>ROUND(P254,2)*Q254</f>
        <v>#DIV/0!</v>
      </c>
      <c r="T254" s="96" t="e">
        <f>Q254*dagenperjaar1</f>
        <v>#DIV/0!</v>
      </c>
      <c r="U254" s="27" t="e">
        <f>T254*ROUND(P254,2)</f>
        <v>#DIV/0!</v>
      </c>
    </row>
    <row r="255" spans="1:21" x14ac:dyDescent="0.2">
      <c r="A255" s="93" t="s">
        <v>244</v>
      </c>
      <c r="B255" s="94" t="s">
        <v>42</v>
      </c>
      <c r="C255" s="94" t="s">
        <v>493</v>
      </c>
      <c r="D255" s="94" t="s">
        <v>509</v>
      </c>
      <c r="E255" s="95" t="s">
        <v>374</v>
      </c>
      <c r="F255" s="94" t="s">
        <v>277</v>
      </c>
      <c r="G255" s="94" t="s">
        <v>227</v>
      </c>
      <c r="H255" s="94" t="s">
        <v>24</v>
      </c>
      <c r="I255" s="94" t="s">
        <v>191</v>
      </c>
      <c r="J255" s="94"/>
      <c r="K255" s="96">
        <v>53.8</v>
      </c>
      <c r="L255" s="96">
        <f>K255*VLOOKUP(H255,dagsoorttabel1,2,FALSE)</f>
        <v>0.26900000000000002</v>
      </c>
      <c r="M255" s="97">
        <f>prodnorm35</f>
        <v>0</v>
      </c>
      <c r="N255" s="41">
        <f>dagwerk35</f>
        <v>0</v>
      </c>
      <c r="O255" s="94" t="s">
        <v>108</v>
      </c>
      <c r="P255" s="26">
        <f>uurtarief35</f>
        <v>0</v>
      </c>
      <c r="Q255" s="96" t="e">
        <f>IF(ISBLANK(M255),0,L255/ROUND(M255,4))</f>
        <v>#DIV/0!</v>
      </c>
      <c r="R255" s="96" t="e">
        <f>IF(ISBLANK(M255),0,Q255*ROUND(N255,2))</f>
        <v>#DIV/0!</v>
      </c>
      <c r="S255" s="26" t="e">
        <f>ROUND(P255,2)*Q255</f>
        <v>#DIV/0!</v>
      </c>
      <c r="T255" s="96" t="e">
        <f>Q255*dagenperjaar1</f>
        <v>#DIV/0!</v>
      </c>
      <c r="U255" s="27" t="e">
        <f>T255*ROUND(P255,2)</f>
        <v>#DIV/0!</v>
      </c>
    </row>
    <row r="256" spans="1:21" x14ac:dyDescent="0.2">
      <c r="A256" s="93" t="s">
        <v>244</v>
      </c>
      <c r="B256" s="94" t="s">
        <v>42</v>
      </c>
      <c r="C256" s="94" t="s">
        <v>493</v>
      </c>
      <c r="D256" s="94" t="s">
        <v>510</v>
      </c>
      <c r="E256" s="95" t="s">
        <v>374</v>
      </c>
      <c r="F256" s="94" t="s">
        <v>277</v>
      </c>
      <c r="G256" s="94" t="s">
        <v>207</v>
      </c>
      <c r="H256" s="94" t="s">
        <v>10</v>
      </c>
      <c r="I256" s="94" t="s">
        <v>191</v>
      </c>
      <c r="J256" s="94"/>
      <c r="K256" s="96">
        <v>53.7</v>
      </c>
      <c r="L256" s="96">
        <f>K256*VLOOKUP(H256,dagsoorttabel1,2,FALSE)</f>
        <v>53.7</v>
      </c>
      <c r="M256" s="97">
        <f>prodnorm24</f>
        <v>0</v>
      </c>
      <c r="N256" s="41">
        <f>dagwerk24</f>
        <v>0</v>
      </c>
      <c r="O256" s="94" t="s">
        <v>108</v>
      </c>
      <c r="P256" s="26">
        <f>uurtarief24</f>
        <v>0</v>
      </c>
      <c r="Q256" s="96" t="e">
        <f>IF(ISBLANK(M256),0,L256/ROUND(M256,4))</f>
        <v>#DIV/0!</v>
      </c>
      <c r="R256" s="96" t="e">
        <f>IF(ISBLANK(M256),0,Q256*ROUND(N256,2))</f>
        <v>#DIV/0!</v>
      </c>
      <c r="S256" s="26" t="e">
        <f>ROUND(P256,2)*Q256</f>
        <v>#DIV/0!</v>
      </c>
      <c r="T256" s="96" t="e">
        <f>Q256*dagenperjaar1</f>
        <v>#DIV/0!</v>
      </c>
      <c r="U256" s="27" t="e">
        <f>T256*ROUND(P256,2)</f>
        <v>#DIV/0!</v>
      </c>
    </row>
    <row r="257" spans="1:21" x14ac:dyDescent="0.2">
      <c r="A257" s="93" t="s">
        <v>244</v>
      </c>
      <c r="B257" s="94" t="s">
        <v>42</v>
      </c>
      <c r="C257" s="94" t="s">
        <v>493</v>
      </c>
      <c r="D257" s="94" t="s">
        <v>510</v>
      </c>
      <c r="E257" s="95" t="s">
        <v>374</v>
      </c>
      <c r="F257" s="94" t="s">
        <v>277</v>
      </c>
      <c r="G257" s="94" t="s">
        <v>227</v>
      </c>
      <c r="H257" s="94" t="s">
        <v>24</v>
      </c>
      <c r="I257" s="94" t="s">
        <v>191</v>
      </c>
      <c r="J257" s="94"/>
      <c r="K257" s="96">
        <v>53.7</v>
      </c>
      <c r="L257" s="96">
        <f>K257*VLOOKUP(H257,dagsoorttabel1,2,FALSE)</f>
        <v>0.26850000000000002</v>
      </c>
      <c r="M257" s="97">
        <f>prodnorm35</f>
        <v>0</v>
      </c>
      <c r="N257" s="41">
        <f>dagwerk35</f>
        <v>0</v>
      </c>
      <c r="O257" s="94" t="s">
        <v>108</v>
      </c>
      <c r="P257" s="26">
        <f>uurtarief35</f>
        <v>0</v>
      </c>
      <c r="Q257" s="96" t="e">
        <f>IF(ISBLANK(M257),0,L257/ROUND(M257,4))</f>
        <v>#DIV/0!</v>
      </c>
      <c r="R257" s="96" t="e">
        <f>IF(ISBLANK(M257),0,Q257*ROUND(N257,2))</f>
        <v>#DIV/0!</v>
      </c>
      <c r="S257" s="26" t="e">
        <f>ROUND(P257,2)*Q257</f>
        <v>#DIV/0!</v>
      </c>
      <c r="T257" s="96" t="e">
        <f>Q257*dagenperjaar1</f>
        <v>#DIV/0!</v>
      </c>
      <c r="U257" s="27" t="e">
        <f>T257*ROUND(P257,2)</f>
        <v>#DIV/0!</v>
      </c>
    </row>
    <row r="258" spans="1:21" x14ac:dyDescent="0.2">
      <c r="A258" s="93" t="s">
        <v>244</v>
      </c>
      <c r="B258" s="94" t="s">
        <v>42</v>
      </c>
      <c r="C258" s="94" t="s">
        <v>493</v>
      </c>
      <c r="D258" s="94" t="s">
        <v>511</v>
      </c>
      <c r="E258" s="95" t="s">
        <v>374</v>
      </c>
      <c r="F258" s="94" t="s">
        <v>277</v>
      </c>
      <c r="G258" s="94" t="s">
        <v>207</v>
      </c>
      <c r="H258" s="94" t="s">
        <v>10</v>
      </c>
      <c r="I258" s="94" t="s">
        <v>191</v>
      </c>
      <c r="J258" s="94"/>
      <c r="K258" s="96">
        <v>53.7</v>
      </c>
      <c r="L258" s="96">
        <f>K258*VLOOKUP(H258,dagsoorttabel1,2,FALSE)</f>
        <v>53.7</v>
      </c>
      <c r="M258" s="97">
        <f>prodnorm24</f>
        <v>0</v>
      </c>
      <c r="N258" s="41">
        <f>dagwerk24</f>
        <v>0</v>
      </c>
      <c r="O258" s="94" t="s">
        <v>108</v>
      </c>
      <c r="P258" s="26">
        <f>uurtarief24</f>
        <v>0</v>
      </c>
      <c r="Q258" s="96" t="e">
        <f>IF(ISBLANK(M258),0,L258/ROUND(M258,4))</f>
        <v>#DIV/0!</v>
      </c>
      <c r="R258" s="96" t="e">
        <f>IF(ISBLANK(M258),0,Q258*ROUND(N258,2))</f>
        <v>#DIV/0!</v>
      </c>
      <c r="S258" s="26" t="e">
        <f>ROUND(P258,2)*Q258</f>
        <v>#DIV/0!</v>
      </c>
      <c r="T258" s="96" t="e">
        <f>Q258*dagenperjaar1</f>
        <v>#DIV/0!</v>
      </c>
      <c r="U258" s="27" t="e">
        <f>T258*ROUND(P258,2)</f>
        <v>#DIV/0!</v>
      </c>
    </row>
    <row r="259" spans="1:21" x14ac:dyDescent="0.2">
      <c r="A259" s="93" t="s">
        <v>244</v>
      </c>
      <c r="B259" s="94" t="s">
        <v>42</v>
      </c>
      <c r="C259" s="94" t="s">
        <v>493</v>
      </c>
      <c r="D259" s="94" t="s">
        <v>511</v>
      </c>
      <c r="E259" s="95" t="s">
        <v>374</v>
      </c>
      <c r="F259" s="94" t="s">
        <v>277</v>
      </c>
      <c r="G259" s="94" t="s">
        <v>227</v>
      </c>
      <c r="H259" s="94" t="s">
        <v>24</v>
      </c>
      <c r="I259" s="94" t="s">
        <v>191</v>
      </c>
      <c r="J259" s="94"/>
      <c r="K259" s="96">
        <v>53.7</v>
      </c>
      <c r="L259" s="96">
        <f>K259*VLOOKUP(H259,dagsoorttabel1,2,FALSE)</f>
        <v>0.26850000000000002</v>
      </c>
      <c r="M259" s="97">
        <f>prodnorm35</f>
        <v>0</v>
      </c>
      <c r="N259" s="41">
        <f>dagwerk35</f>
        <v>0</v>
      </c>
      <c r="O259" s="94" t="s">
        <v>108</v>
      </c>
      <c r="P259" s="26">
        <f>uurtarief35</f>
        <v>0</v>
      </c>
      <c r="Q259" s="96" t="e">
        <f>IF(ISBLANK(M259),0,L259/ROUND(M259,4))</f>
        <v>#DIV/0!</v>
      </c>
      <c r="R259" s="96" t="e">
        <f>IF(ISBLANK(M259),0,Q259*ROUND(N259,2))</f>
        <v>#DIV/0!</v>
      </c>
      <c r="S259" s="26" t="e">
        <f>ROUND(P259,2)*Q259</f>
        <v>#DIV/0!</v>
      </c>
      <c r="T259" s="96" t="e">
        <f>Q259*dagenperjaar1</f>
        <v>#DIV/0!</v>
      </c>
      <c r="U259" s="27" t="e">
        <f>T259*ROUND(P259,2)</f>
        <v>#DIV/0!</v>
      </c>
    </row>
    <row r="260" spans="1:21" x14ac:dyDescent="0.2">
      <c r="A260" s="93" t="s">
        <v>244</v>
      </c>
      <c r="B260" s="94" t="s">
        <v>42</v>
      </c>
      <c r="C260" s="94" t="s">
        <v>493</v>
      </c>
      <c r="D260" s="94" t="s">
        <v>512</v>
      </c>
      <c r="E260" s="95" t="s">
        <v>374</v>
      </c>
      <c r="F260" s="94" t="s">
        <v>277</v>
      </c>
      <c r="G260" s="94" t="s">
        <v>207</v>
      </c>
      <c r="H260" s="94" t="s">
        <v>10</v>
      </c>
      <c r="I260" s="94" t="s">
        <v>191</v>
      </c>
      <c r="J260" s="94"/>
      <c r="K260" s="96">
        <v>53.7</v>
      </c>
      <c r="L260" s="96">
        <f>K260*VLOOKUP(H260,dagsoorttabel1,2,FALSE)</f>
        <v>53.7</v>
      </c>
      <c r="M260" s="97">
        <f>prodnorm24</f>
        <v>0</v>
      </c>
      <c r="N260" s="41">
        <f>dagwerk24</f>
        <v>0</v>
      </c>
      <c r="O260" s="94" t="s">
        <v>108</v>
      </c>
      <c r="P260" s="26">
        <f>uurtarief24</f>
        <v>0</v>
      </c>
      <c r="Q260" s="96" t="e">
        <f>IF(ISBLANK(M260),0,L260/ROUND(M260,4))</f>
        <v>#DIV/0!</v>
      </c>
      <c r="R260" s="96" t="e">
        <f>IF(ISBLANK(M260),0,Q260*ROUND(N260,2))</f>
        <v>#DIV/0!</v>
      </c>
      <c r="S260" s="26" t="e">
        <f>ROUND(P260,2)*Q260</f>
        <v>#DIV/0!</v>
      </c>
      <c r="T260" s="96" t="e">
        <f>Q260*dagenperjaar1</f>
        <v>#DIV/0!</v>
      </c>
      <c r="U260" s="27" t="e">
        <f>T260*ROUND(P260,2)</f>
        <v>#DIV/0!</v>
      </c>
    </row>
    <row r="261" spans="1:21" x14ac:dyDescent="0.2">
      <c r="A261" s="93" t="s">
        <v>244</v>
      </c>
      <c r="B261" s="94" t="s">
        <v>42</v>
      </c>
      <c r="C261" s="94" t="s">
        <v>493</v>
      </c>
      <c r="D261" s="94" t="s">
        <v>512</v>
      </c>
      <c r="E261" s="95" t="s">
        <v>374</v>
      </c>
      <c r="F261" s="94" t="s">
        <v>277</v>
      </c>
      <c r="G261" s="94" t="s">
        <v>227</v>
      </c>
      <c r="H261" s="94" t="s">
        <v>24</v>
      </c>
      <c r="I261" s="94" t="s">
        <v>191</v>
      </c>
      <c r="J261" s="94"/>
      <c r="K261" s="96">
        <v>53.7</v>
      </c>
      <c r="L261" s="96">
        <f>K261*VLOOKUP(H261,dagsoorttabel1,2,FALSE)</f>
        <v>0.26850000000000002</v>
      </c>
      <c r="M261" s="97">
        <f>prodnorm35</f>
        <v>0</v>
      </c>
      <c r="N261" s="41">
        <f>dagwerk35</f>
        <v>0</v>
      </c>
      <c r="O261" s="94" t="s">
        <v>108</v>
      </c>
      <c r="P261" s="26">
        <f>uurtarief35</f>
        <v>0</v>
      </c>
      <c r="Q261" s="96" t="e">
        <f>IF(ISBLANK(M261),0,L261/ROUND(M261,4))</f>
        <v>#DIV/0!</v>
      </c>
      <c r="R261" s="96" t="e">
        <f>IF(ISBLANK(M261),0,Q261*ROUND(N261,2))</f>
        <v>#DIV/0!</v>
      </c>
      <c r="S261" s="26" t="e">
        <f>ROUND(P261,2)*Q261</f>
        <v>#DIV/0!</v>
      </c>
      <c r="T261" s="96" t="e">
        <f>Q261*dagenperjaar1</f>
        <v>#DIV/0!</v>
      </c>
      <c r="U261" s="27" t="e">
        <f>T261*ROUND(P261,2)</f>
        <v>#DIV/0!</v>
      </c>
    </row>
    <row r="262" spans="1:21" x14ac:dyDescent="0.2">
      <c r="A262" s="93" t="s">
        <v>244</v>
      </c>
      <c r="B262" s="94" t="s">
        <v>42</v>
      </c>
      <c r="C262" s="94" t="s">
        <v>493</v>
      </c>
      <c r="D262" s="94" t="s">
        <v>513</v>
      </c>
      <c r="E262" s="95" t="s">
        <v>514</v>
      </c>
      <c r="F262" s="94" t="s">
        <v>277</v>
      </c>
      <c r="G262" s="94" t="s">
        <v>207</v>
      </c>
      <c r="H262" s="94" t="s">
        <v>10</v>
      </c>
      <c r="I262" s="94" t="s">
        <v>191</v>
      </c>
      <c r="J262" s="94"/>
      <c r="K262" s="96">
        <v>53.7</v>
      </c>
      <c r="L262" s="96">
        <f>K262*VLOOKUP(H262,dagsoorttabel1,2,FALSE)</f>
        <v>53.7</v>
      </c>
      <c r="M262" s="97">
        <f>prodnorm24</f>
        <v>0</v>
      </c>
      <c r="N262" s="41">
        <f>dagwerk24</f>
        <v>0</v>
      </c>
      <c r="O262" s="94" t="s">
        <v>108</v>
      </c>
      <c r="P262" s="26">
        <f>uurtarief24</f>
        <v>0</v>
      </c>
      <c r="Q262" s="96" t="e">
        <f>IF(ISBLANK(M262),0,L262/ROUND(M262,4))</f>
        <v>#DIV/0!</v>
      </c>
      <c r="R262" s="96" t="e">
        <f>IF(ISBLANK(M262),0,Q262*ROUND(N262,2))</f>
        <v>#DIV/0!</v>
      </c>
      <c r="S262" s="26" t="e">
        <f>ROUND(P262,2)*Q262</f>
        <v>#DIV/0!</v>
      </c>
      <c r="T262" s="96" t="e">
        <f>Q262*dagenperjaar1</f>
        <v>#DIV/0!</v>
      </c>
      <c r="U262" s="27" t="e">
        <f>T262*ROUND(P262,2)</f>
        <v>#DIV/0!</v>
      </c>
    </row>
    <row r="263" spans="1:21" x14ac:dyDescent="0.2">
      <c r="A263" s="93" t="s">
        <v>244</v>
      </c>
      <c r="B263" s="94" t="s">
        <v>42</v>
      </c>
      <c r="C263" s="94" t="s">
        <v>493</v>
      </c>
      <c r="D263" s="94" t="s">
        <v>513</v>
      </c>
      <c r="E263" s="95" t="s">
        <v>514</v>
      </c>
      <c r="F263" s="94" t="s">
        <v>277</v>
      </c>
      <c r="G263" s="94" t="s">
        <v>227</v>
      </c>
      <c r="H263" s="94" t="s">
        <v>24</v>
      </c>
      <c r="I263" s="94" t="s">
        <v>191</v>
      </c>
      <c r="J263" s="94"/>
      <c r="K263" s="96">
        <v>53.7</v>
      </c>
      <c r="L263" s="96">
        <f>K263*VLOOKUP(H263,dagsoorttabel1,2,FALSE)</f>
        <v>0.26850000000000002</v>
      </c>
      <c r="M263" s="97">
        <f>prodnorm35</f>
        <v>0</v>
      </c>
      <c r="N263" s="41">
        <f>dagwerk35</f>
        <v>0</v>
      </c>
      <c r="O263" s="94" t="s">
        <v>108</v>
      </c>
      <c r="P263" s="26">
        <f>uurtarief35</f>
        <v>0</v>
      </c>
      <c r="Q263" s="96" t="e">
        <f>IF(ISBLANK(M263),0,L263/ROUND(M263,4))</f>
        <v>#DIV/0!</v>
      </c>
      <c r="R263" s="96" t="e">
        <f>IF(ISBLANK(M263),0,Q263*ROUND(N263,2))</f>
        <v>#DIV/0!</v>
      </c>
      <c r="S263" s="26" t="e">
        <f>ROUND(P263,2)*Q263</f>
        <v>#DIV/0!</v>
      </c>
      <c r="T263" s="96" t="e">
        <f>Q263*dagenperjaar1</f>
        <v>#DIV/0!</v>
      </c>
      <c r="U263" s="27" t="e">
        <f>T263*ROUND(P263,2)</f>
        <v>#DIV/0!</v>
      </c>
    </row>
    <row r="264" spans="1:21" x14ac:dyDescent="0.2">
      <c r="A264" s="93" t="s">
        <v>244</v>
      </c>
      <c r="B264" s="94" t="s">
        <v>42</v>
      </c>
      <c r="C264" s="94" t="s">
        <v>493</v>
      </c>
      <c r="D264" s="94" t="s">
        <v>515</v>
      </c>
      <c r="E264" s="95" t="s">
        <v>514</v>
      </c>
      <c r="F264" s="94" t="s">
        <v>277</v>
      </c>
      <c r="G264" s="94" t="s">
        <v>207</v>
      </c>
      <c r="H264" s="94" t="s">
        <v>10</v>
      </c>
      <c r="I264" s="94" t="s">
        <v>191</v>
      </c>
      <c r="J264" s="94"/>
      <c r="K264" s="96">
        <v>53.7</v>
      </c>
      <c r="L264" s="96">
        <f>K264*VLOOKUP(H264,dagsoorttabel1,2,FALSE)</f>
        <v>53.7</v>
      </c>
      <c r="M264" s="97">
        <f>prodnorm24</f>
        <v>0</v>
      </c>
      <c r="N264" s="41">
        <f>dagwerk24</f>
        <v>0</v>
      </c>
      <c r="O264" s="94" t="s">
        <v>108</v>
      </c>
      <c r="P264" s="26">
        <f>uurtarief24</f>
        <v>0</v>
      </c>
      <c r="Q264" s="96" t="e">
        <f>IF(ISBLANK(M264),0,L264/ROUND(M264,4))</f>
        <v>#DIV/0!</v>
      </c>
      <c r="R264" s="96" t="e">
        <f>IF(ISBLANK(M264),0,Q264*ROUND(N264,2))</f>
        <v>#DIV/0!</v>
      </c>
      <c r="S264" s="26" t="e">
        <f>ROUND(P264,2)*Q264</f>
        <v>#DIV/0!</v>
      </c>
      <c r="T264" s="96" t="e">
        <f>Q264*dagenperjaar1</f>
        <v>#DIV/0!</v>
      </c>
      <c r="U264" s="27" t="e">
        <f>T264*ROUND(P264,2)</f>
        <v>#DIV/0!</v>
      </c>
    </row>
    <row r="265" spans="1:21" x14ac:dyDescent="0.2">
      <c r="A265" s="93" t="s">
        <v>244</v>
      </c>
      <c r="B265" s="94" t="s">
        <v>42</v>
      </c>
      <c r="C265" s="94" t="s">
        <v>493</v>
      </c>
      <c r="D265" s="94" t="s">
        <v>515</v>
      </c>
      <c r="E265" s="95" t="s">
        <v>514</v>
      </c>
      <c r="F265" s="94" t="s">
        <v>277</v>
      </c>
      <c r="G265" s="94" t="s">
        <v>227</v>
      </c>
      <c r="H265" s="94" t="s">
        <v>24</v>
      </c>
      <c r="I265" s="94" t="s">
        <v>191</v>
      </c>
      <c r="J265" s="94"/>
      <c r="K265" s="96">
        <v>53.7</v>
      </c>
      <c r="L265" s="96">
        <f>K265*VLOOKUP(H265,dagsoorttabel1,2,FALSE)</f>
        <v>0.26850000000000002</v>
      </c>
      <c r="M265" s="97">
        <f>prodnorm35</f>
        <v>0</v>
      </c>
      <c r="N265" s="41">
        <f>dagwerk35</f>
        <v>0</v>
      </c>
      <c r="O265" s="94" t="s">
        <v>108</v>
      </c>
      <c r="P265" s="26">
        <f>uurtarief35</f>
        <v>0</v>
      </c>
      <c r="Q265" s="96" t="e">
        <f>IF(ISBLANK(M265),0,L265/ROUND(M265,4))</f>
        <v>#DIV/0!</v>
      </c>
      <c r="R265" s="96" t="e">
        <f>IF(ISBLANK(M265),0,Q265*ROUND(N265,2))</f>
        <v>#DIV/0!</v>
      </c>
      <c r="S265" s="26" t="e">
        <f>ROUND(P265,2)*Q265</f>
        <v>#DIV/0!</v>
      </c>
      <c r="T265" s="96" t="e">
        <f>Q265*dagenperjaar1</f>
        <v>#DIV/0!</v>
      </c>
      <c r="U265" s="27" t="e">
        <f>T265*ROUND(P265,2)</f>
        <v>#DIV/0!</v>
      </c>
    </row>
    <row r="266" spans="1:21" x14ac:dyDescent="0.2">
      <c r="A266" s="93" t="s">
        <v>244</v>
      </c>
      <c r="B266" s="94" t="s">
        <v>42</v>
      </c>
      <c r="C266" s="94" t="s">
        <v>493</v>
      </c>
      <c r="D266" s="94" t="s">
        <v>516</v>
      </c>
      <c r="E266" s="95" t="s">
        <v>517</v>
      </c>
      <c r="F266" s="94" t="s">
        <v>277</v>
      </c>
      <c r="G266" s="94" t="s">
        <v>207</v>
      </c>
      <c r="H266" s="94" t="s">
        <v>10</v>
      </c>
      <c r="I266" s="94" t="s">
        <v>191</v>
      </c>
      <c r="J266" s="94"/>
      <c r="K266" s="96">
        <v>81.75</v>
      </c>
      <c r="L266" s="96">
        <f>K266*VLOOKUP(H266,dagsoorttabel1,2,FALSE)</f>
        <v>81.75</v>
      </c>
      <c r="M266" s="97">
        <f>prodnorm24</f>
        <v>0</v>
      </c>
      <c r="N266" s="41">
        <f>dagwerk24</f>
        <v>0</v>
      </c>
      <c r="O266" s="94" t="s">
        <v>108</v>
      </c>
      <c r="P266" s="26">
        <f>uurtarief24</f>
        <v>0</v>
      </c>
      <c r="Q266" s="96" t="e">
        <f>IF(ISBLANK(M266),0,L266/ROUND(M266,4))</f>
        <v>#DIV/0!</v>
      </c>
      <c r="R266" s="96" t="e">
        <f>IF(ISBLANK(M266),0,Q266*ROUND(N266,2))</f>
        <v>#DIV/0!</v>
      </c>
      <c r="S266" s="26" t="e">
        <f>ROUND(P266,2)*Q266</f>
        <v>#DIV/0!</v>
      </c>
      <c r="T266" s="96" t="e">
        <f>Q266*dagenperjaar1</f>
        <v>#DIV/0!</v>
      </c>
      <c r="U266" s="27" t="e">
        <f>T266*ROUND(P266,2)</f>
        <v>#DIV/0!</v>
      </c>
    </row>
    <row r="267" spans="1:21" x14ac:dyDescent="0.2">
      <c r="A267" s="93" t="s">
        <v>244</v>
      </c>
      <c r="B267" s="94" t="s">
        <v>42</v>
      </c>
      <c r="C267" s="94" t="s">
        <v>493</v>
      </c>
      <c r="D267" s="94" t="s">
        <v>516</v>
      </c>
      <c r="E267" s="95" t="s">
        <v>517</v>
      </c>
      <c r="F267" s="94" t="s">
        <v>277</v>
      </c>
      <c r="G267" s="94" t="s">
        <v>227</v>
      </c>
      <c r="H267" s="94" t="s">
        <v>24</v>
      </c>
      <c r="I267" s="94" t="s">
        <v>191</v>
      </c>
      <c r="J267" s="94"/>
      <c r="K267" s="96">
        <v>81.75</v>
      </c>
      <c r="L267" s="96">
        <f>K267*VLOOKUP(H267,dagsoorttabel1,2,FALSE)</f>
        <v>0.40875</v>
      </c>
      <c r="M267" s="97">
        <f>prodnorm35</f>
        <v>0</v>
      </c>
      <c r="N267" s="41">
        <f>dagwerk35</f>
        <v>0</v>
      </c>
      <c r="O267" s="94" t="s">
        <v>108</v>
      </c>
      <c r="P267" s="26">
        <f>uurtarief35</f>
        <v>0</v>
      </c>
      <c r="Q267" s="96" t="e">
        <f>IF(ISBLANK(M267),0,L267/ROUND(M267,4))</f>
        <v>#DIV/0!</v>
      </c>
      <c r="R267" s="96" t="e">
        <f>IF(ISBLANK(M267),0,Q267*ROUND(N267,2))</f>
        <v>#DIV/0!</v>
      </c>
      <c r="S267" s="26" t="e">
        <f>ROUND(P267,2)*Q267</f>
        <v>#DIV/0!</v>
      </c>
      <c r="T267" s="96" t="e">
        <f>Q267*dagenperjaar1</f>
        <v>#DIV/0!</v>
      </c>
      <c r="U267" s="27" t="e">
        <f>T267*ROUND(P267,2)</f>
        <v>#DIV/0!</v>
      </c>
    </row>
    <row r="268" spans="1:21" x14ac:dyDescent="0.2">
      <c r="A268" s="93" t="s">
        <v>244</v>
      </c>
      <c r="B268" s="94" t="s">
        <v>42</v>
      </c>
      <c r="C268" s="94" t="s">
        <v>493</v>
      </c>
      <c r="D268" s="94" t="s">
        <v>518</v>
      </c>
      <c r="E268" s="95" t="s">
        <v>519</v>
      </c>
      <c r="F268" s="94" t="s">
        <v>277</v>
      </c>
      <c r="G268" s="94" t="s">
        <v>193</v>
      </c>
      <c r="H268" s="94" t="s">
        <v>14</v>
      </c>
      <c r="I268" s="94" t="s">
        <v>191</v>
      </c>
      <c r="J268" s="94"/>
      <c r="K268" s="96">
        <v>26.7</v>
      </c>
      <c r="L268" s="96">
        <f>K268*VLOOKUP(H268,dagsoorttabel1,2,FALSE)</f>
        <v>10.68</v>
      </c>
      <c r="M268" s="97">
        <f>prodnorm15</f>
        <v>0</v>
      </c>
      <c r="N268" s="41">
        <f>dagwerk15</f>
        <v>0</v>
      </c>
      <c r="O268" s="94" t="s">
        <v>108</v>
      </c>
      <c r="P268" s="26">
        <f>uurtarief15</f>
        <v>0</v>
      </c>
      <c r="Q268" s="96" t="e">
        <f>IF(ISBLANK(M268),0,L268/ROUND(M268,4))</f>
        <v>#DIV/0!</v>
      </c>
      <c r="R268" s="96" t="e">
        <f>IF(ISBLANK(M268),0,Q268*ROUND(N268,2))</f>
        <v>#DIV/0!</v>
      </c>
      <c r="S268" s="26" t="e">
        <f>ROUND(P268,2)*Q268</f>
        <v>#DIV/0!</v>
      </c>
      <c r="T268" s="96" t="e">
        <f>Q268*dagenperjaar1</f>
        <v>#DIV/0!</v>
      </c>
      <c r="U268" s="27" t="e">
        <f>T268*ROUND(P268,2)</f>
        <v>#DIV/0!</v>
      </c>
    </row>
    <row r="269" spans="1:21" x14ac:dyDescent="0.2">
      <c r="A269" s="93" t="s">
        <v>244</v>
      </c>
      <c r="B269" s="94" t="s">
        <v>42</v>
      </c>
      <c r="C269" s="94" t="s">
        <v>493</v>
      </c>
      <c r="D269" s="94" t="s">
        <v>518</v>
      </c>
      <c r="E269" s="95" t="s">
        <v>519</v>
      </c>
      <c r="F269" s="94" t="s">
        <v>277</v>
      </c>
      <c r="G269" s="94" t="s">
        <v>227</v>
      </c>
      <c r="H269" s="94" t="s">
        <v>24</v>
      </c>
      <c r="I269" s="94" t="s">
        <v>191</v>
      </c>
      <c r="J269" s="94"/>
      <c r="K269" s="96">
        <v>26.7</v>
      </c>
      <c r="L269" s="96">
        <f>K269*VLOOKUP(H269,dagsoorttabel1,2,FALSE)</f>
        <v>0.13350000000000001</v>
      </c>
      <c r="M269" s="97">
        <f>prodnorm35</f>
        <v>0</v>
      </c>
      <c r="N269" s="41">
        <f>dagwerk35</f>
        <v>0</v>
      </c>
      <c r="O269" s="94" t="s">
        <v>108</v>
      </c>
      <c r="P269" s="26">
        <f>uurtarief35</f>
        <v>0</v>
      </c>
      <c r="Q269" s="96" t="e">
        <f>IF(ISBLANK(M269),0,L269/ROUND(M269,4))</f>
        <v>#DIV/0!</v>
      </c>
      <c r="R269" s="96" t="e">
        <f>IF(ISBLANK(M269),0,Q269*ROUND(N269,2))</f>
        <v>#DIV/0!</v>
      </c>
      <c r="S269" s="26" t="e">
        <f>ROUND(P269,2)*Q269</f>
        <v>#DIV/0!</v>
      </c>
      <c r="T269" s="96" t="e">
        <f>Q269*dagenperjaar1</f>
        <v>#DIV/0!</v>
      </c>
      <c r="U269" s="27" t="e">
        <f>T269*ROUND(P269,2)</f>
        <v>#DIV/0!</v>
      </c>
    </row>
    <row r="270" spans="1:21" x14ac:dyDescent="0.2">
      <c r="A270" s="93" t="s">
        <v>244</v>
      </c>
      <c r="B270" s="94" t="s">
        <v>42</v>
      </c>
      <c r="C270" s="94" t="s">
        <v>493</v>
      </c>
      <c r="D270" s="94" t="s">
        <v>520</v>
      </c>
      <c r="E270" s="95" t="s">
        <v>521</v>
      </c>
      <c r="F270" s="94" t="s">
        <v>434</v>
      </c>
      <c r="G270" s="94" t="s">
        <v>225</v>
      </c>
      <c r="H270" s="94" t="s">
        <v>10</v>
      </c>
      <c r="I270" s="94" t="s">
        <v>191</v>
      </c>
      <c r="J270" s="94"/>
      <c r="K270" s="96">
        <v>11.8</v>
      </c>
      <c r="L270" s="96">
        <f>K270*VLOOKUP(H270,dagsoorttabel1,2,FALSE)</f>
        <v>11.8</v>
      </c>
      <c r="M270" s="97">
        <f>prodnorm34</f>
        <v>0</v>
      </c>
      <c r="N270" s="41">
        <f>dagwerk34</f>
        <v>0</v>
      </c>
      <c r="O270" s="94" t="s">
        <v>108</v>
      </c>
      <c r="P270" s="26">
        <f>uurtarief34</f>
        <v>0</v>
      </c>
      <c r="Q270" s="96" t="e">
        <f>IF(ISBLANK(M270),0,L270/ROUND(M270,4))</f>
        <v>#DIV/0!</v>
      </c>
      <c r="R270" s="96" t="e">
        <f>IF(ISBLANK(M270),0,Q270*ROUND(N270,2))</f>
        <v>#DIV/0!</v>
      </c>
      <c r="S270" s="26" t="e">
        <f>ROUND(P270,2)*Q270</f>
        <v>#DIV/0!</v>
      </c>
      <c r="T270" s="96" t="e">
        <f>Q270*dagenperjaar1</f>
        <v>#DIV/0!</v>
      </c>
      <c r="U270" s="27" t="e">
        <f>T270*ROUND(P270,2)</f>
        <v>#DIV/0!</v>
      </c>
    </row>
    <row r="271" spans="1:21" x14ac:dyDescent="0.2">
      <c r="A271" s="93" t="s">
        <v>244</v>
      </c>
      <c r="B271" s="94" t="s">
        <v>42</v>
      </c>
      <c r="C271" s="94" t="s">
        <v>493</v>
      </c>
      <c r="D271" s="94" t="s">
        <v>522</v>
      </c>
      <c r="E271" s="95" t="s">
        <v>341</v>
      </c>
      <c r="F271" s="94" t="s">
        <v>277</v>
      </c>
      <c r="G271" s="94" t="s">
        <v>223</v>
      </c>
      <c r="H271" s="94" t="s">
        <v>10</v>
      </c>
      <c r="I271" s="94" t="s">
        <v>191</v>
      </c>
      <c r="J271" s="94"/>
      <c r="K271" s="96">
        <v>16.25</v>
      </c>
      <c r="L271" s="96">
        <f>K271*VLOOKUP(H271,dagsoorttabel1,2,FALSE)</f>
        <v>16.25</v>
      </c>
      <c r="M271" s="97">
        <f>prodnorm32</f>
        <v>0</v>
      </c>
      <c r="N271" s="41">
        <f>dagwerk32</f>
        <v>0</v>
      </c>
      <c r="O271" s="94" t="s">
        <v>108</v>
      </c>
      <c r="P271" s="26">
        <f>uurtarief32</f>
        <v>0</v>
      </c>
      <c r="Q271" s="96" t="e">
        <f>IF(ISBLANK(M271),0,L271/ROUND(M271,4))</f>
        <v>#DIV/0!</v>
      </c>
      <c r="R271" s="96" t="e">
        <f>IF(ISBLANK(M271),0,Q271*ROUND(N271,2))</f>
        <v>#DIV/0!</v>
      </c>
      <c r="S271" s="26" t="e">
        <f>ROUND(P271,2)*Q271</f>
        <v>#DIV/0!</v>
      </c>
      <c r="T271" s="96" t="e">
        <f>Q271*dagenperjaar1</f>
        <v>#DIV/0!</v>
      </c>
      <c r="U271" s="27" t="e">
        <f>T271*ROUND(P271,2)</f>
        <v>#DIV/0!</v>
      </c>
    </row>
    <row r="272" spans="1:21" x14ac:dyDescent="0.2">
      <c r="A272" s="93" t="s">
        <v>244</v>
      </c>
      <c r="B272" s="94" t="s">
        <v>42</v>
      </c>
      <c r="C272" s="94" t="s">
        <v>493</v>
      </c>
      <c r="D272" s="94" t="s">
        <v>522</v>
      </c>
      <c r="E272" s="95" t="s">
        <v>341</v>
      </c>
      <c r="F272" s="94" t="s">
        <v>277</v>
      </c>
      <c r="G272" s="94" t="s">
        <v>227</v>
      </c>
      <c r="H272" s="94" t="s">
        <v>24</v>
      </c>
      <c r="I272" s="94" t="s">
        <v>191</v>
      </c>
      <c r="J272" s="94"/>
      <c r="K272" s="96">
        <v>16.25</v>
      </c>
      <c r="L272" s="96">
        <f>K272*VLOOKUP(H272,dagsoorttabel1,2,FALSE)</f>
        <v>8.1250000000000003E-2</v>
      </c>
      <c r="M272" s="97">
        <f>prodnorm35</f>
        <v>0</v>
      </c>
      <c r="N272" s="41">
        <f>dagwerk35</f>
        <v>0</v>
      </c>
      <c r="O272" s="94" t="s">
        <v>108</v>
      </c>
      <c r="P272" s="26">
        <f>uurtarief35</f>
        <v>0</v>
      </c>
      <c r="Q272" s="96" t="e">
        <f>IF(ISBLANK(M272),0,L272/ROUND(M272,4))</f>
        <v>#DIV/0!</v>
      </c>
      <c r="R272" s="96" t="e">
        <f>IF(ISBLANK(M272),0,Q272*ROUND(N272,2))</f>
        <v>#DIV/0!</v>
      </c>
      <c r="S272" s="26" t="e">
        <f>ROUND(P272,2)*Q272</f>
        <v>#DIV/0!</v>
      </c>
      <c r="T272" s="96" t="e">
        <f>Q272*dagenperjaar1</f>
        <v>#DIV/0!</v>
      </c>
      <c r="U272" s="27" t="e">
        <f>T272*ROUND(P272,2)</f>
        <v>#DIV/0!</v>
      </c>
    </row>
    <row r="273" spans="1:21" x14ac:dyDescent="0.2">
      <c r="A273" s="93" t="s">
        <v>244</v>
      </c>
      <c r="B273" s="94" t="s">
        <v>42</v>
      </c>
      <c r="C273" s="94" t="s">
        <v>493</v>
      </c>
      <c r="D273" s="94" t="s">
        <v>523</v>
      </c>
      <c r="E273" s="95" t="s">
        <v>284</v>
      </c>
      <c r="F273" s="94" t="s">
        <v>277</v>
      </c>
      <c r="G273" s="94" t="s">
        <v>225</v>
      </c>
      <c r="H273" s="94" t="s">
        <v>10</v>
      </c>
      <c r="I273" s="94" t="s">
        <v>191</v>
      </c>
      <c r="J273" s="94"/>
      <c r="K273" s="96">
        <v>85.35</v>
      </c>
      <c r="L273" s="96">
        <f>K273*VLOOKUP(H273,dagsoorttabel1,2,FALSE)</f>
        <v>85.35</v>
      </c>
      <c r="M273" s="97">
        <f>prodnorm34</f>
        <v>0</v>
      </c>
      <c r="N273" s="41">
        <f>dagwerk34</f>
        <v>0</v>
      </c>
      <c r="O273" s="94" t="s">
        <v>108</v>
      </c>
      <c r="P273" s="26">
        <f>uurtarief34</f>
        <v>0</v>
      </c>
      <c r="Q273" s="96" t="e">
        <f>IF(ISBLANK(M273),0,L273/ROUND(M273,4))</f>
        <v>#DIV/0!</v>
      </c>
      <c r="R273" s="96" t="e">
        <f>IF(ISBLANK(M273),0,Q273*ROUND(N273,2))</f>
        <v>#DIV/0!</v>
      </c>
      <c r="S273" s="26" t="e">
        <f>ROUND(P273,2)*Q273</f>
        <v>#DIV/0!</v>
      </c>
      <c r="T273" s="96" t="e">
        <f>Q273*dagenperjaar1</f>
        <v>#DIV/0!</v>
      </c>
      <c r="U273" s="27" t="e">
        <f>T273*ROUND(P273,2)</f>
        <v>#DIV/0!</v>
      </c>
    </row>
    <row r="274" spans="1:21" x14ac:dyDescent="0.2">
      <c r="A274" s="93" t="s">
        <v>244</v>
      </c>
      <c r="B274" s="94" t="s">
        <v>42</v>
      </c>
      <c r="C274" s="94" t="s">
        <v>493</v>
      </c>
      <c r="D274" s="94" t="s">
        <v>523</v>
      </c>
      <c r="E274" s="95" t="s">
        <v>284</v>
      </c>
      <c r="F274" s="94" t="s">
        <v>277</v>
      </c>
      <c r="G274" s="94" t="s">
        <v>227</v>
      </c>
      <c r="H274" s="94" t="s">
        <v>24</v>
      </c>
      <c r="I274" s="94" t="s">
        <v>191</v>
      </c>
      <c r="J274" s="94"/>
      <c r="K274" s="96">
        <v>85.35</v>
      </c>
      <c r="L274" s="96">
        <f>K274*VLOOKUP(H274,dagsoorttabel1,2,FALSE)</f>
        <v>0.42674999999999996</v>
      </c>
      <c r="M274" s="97">
        <f>prodnorm35</f>
        <v>0</v>
      </c>
      <c r="N274" s="41">
        <f>dagwerk35</f>
        <v>0</v>
      </c>
      <c r="O274" s="94" t="s">
        <v>108</v>
      </c>
      <c r="P274" s="26">
        <f>uurtarief35</f>
        <v>0</v>
      </c>
      <c r="Q274" s="96" t="e">
        <f>IF(ISBLANK(M274),0,L274/ROUND(M274,4))</f>
        <v>#DIV/0!</v>
      </c>
      <c r="R274" s="96" t="e">
        <f>IF(ISBLANK(M274),0,Q274*ROUND(N274,2))</f>
        <v>#DIV/0!</v>
      </c>
      <c r="S274" s="26" t="e">
        <f>ROUND(P274,2)*Q274</f>
        <v>#DIV/0!</v>
      </c>
      <c r="T274" s="96" t="e">
        <f>Q274*dagenperjaar1</f>
        <v>#DIV/0!</v>
      </c>
      <c r="U274" s="27" t="e">
        <f>T274*ROUND(P274,2)</f>
        <v>#DIV/0!</v>
      </c>
    </row>
    <row r="275" spans="1:21" x14ac:dyDescent="0.2">
      <c r="A275" s="93" t="s">
        <v>244</v>
      </c>
      <c r="B275" s="94" t="s">
        <v>42</v>
      </c>
      <c r="C275" s="94" t="s">
        <v>493</v>
      </c>
      <c r="D275" s="94" t="s">
        <v>524</v>
      </c>
      <c r="E275" s="95" t="s">
        <v>341</v>
      </c>
      <c r="F275" s="94" t="s">
        <v>434</v>
      </c>
      <c r="G275" s="94" t="s">
        <v>223</v>
      </c>
      <c r="H275" s="94" t="s">
        <v>10</v>
      </c>
      <c r="I275" s="94" t="s">
        <v>191</v>
      </c>
      <c r="J275" s="94"/>
      <c r="K275" s="96">
        <v>10.5</v>
      </c>
      <c r="L275" s="96">
        <f>K275*VLOOKUP(H275,dagsoorttabel1,2,FALSE)</f>
        <v>10.5</v>
      </c>
      <c r="M275" s="97">
        <f>prodnorm32</f>
        <v>0</v>
      </c>
      <c r="N275" s="41">
        <f>dagwerk32</f>
        <v>0</v>
      </c>
      <c r="O275" s="94" t="s">
        <v>108</v>
      </c>
      <c r="P275" s="26">
        <f>uurtarief32</f>
        <v>0</v>
      </c>
      <c r="Q275" s="96" t="e">
        <f>IF(ISBLANK(M275),0,L275/ROUND(M275,4))</f>
        <v>#DIV/0!</v>
      </c>
      <c r="R275" s="96" t="e">
        <f>IF(ISBLANK(M275),0,Q275*ROUND(N275,2))</f>
        <v>#DIV/0!</v>
      </c>
      <c r="S275" s="26" t="e">
        <f>ROUND(P275,2)*Q275</f>
        <v>#DIV/0!</v>
      </c>
      <c r="T275" s="96" t="e">
        <f>Q275*dagenperjaar1</f>
        <v>#DIV/0!</v>
      </c>
      <c r="U275" s="27" t="e">
        <f>T275*ROUND(P275,2)</f>
        <v>#DIV/0!</v>
      </c>
    </row>
    <row r="276" spans="1:21" x14ac:dyDescent="0.2">
      <c r="A276" s="93" t="s">
        <v>244</v>
      </c>
      <c r="B276" s="94" t="s">
        <v>42</v>
      </c>
      <c r="C276" s="94" t="s">
        <v>493</v>
      </c>
      <c r="D276" s="94" t="s">
        <v>525</v>
      </c>
      <c r="E276" s="95" t="s">
        <v>284</v>
      </c>
      <c r="F276" s="94" t="s">
        <v>277</v>
      </c>
      <c r="G276" s="94" t="s">
        <v>225</v>
      </c>
      <c r="H276" s="94" t="s">
        <v>10</v>
      </c>
      <c r="I276" s="94" t="s">
        <v>191</v>
      </c>
      <c r="J276" s="94"/>
      <c r="K276" s="96">
        <v>44.4</v>
      </c>
      <c r="L276" s="96">
        <f>K276*VLOOKUP(H276,dagsoorttabel1,2,FALSE)</f>
        <v>44.4</v>
      </c>
      <c r="M276" s="97">
        <f>prodnorm34</f>
        <v>0</v>
      </c>
      <c r="N276" s="41">
        <f>dagwerk34</f>
        <v>0</v>
      </c>
      <c r="O276" s="94" t="s">
        <v>108</v>
      </c>
      <c r="P276" s="26">
        <f>uurtarief34</f>
        <v>0</v>
      </c>
      <c r="Q276" s="96" t="e">
        <f>IF(ISBLANK(M276),0,L276/ROUND(M276,4))</f>
        <v>#DIV/0!</v>
      </c>
      <c r="R276" s="96" t="e">
        <f>IF(ISBLANK(M276),0,Q276*ROUND(N276,2))</f>
        <v>#DIV/0!</v>
      </c>
      <c r="S276" s="26" t="e">
        <f>ROUND(P276,2)*Q276</f>
        <v>#DIV/0!</v>
      </c>
      <c r="T276" s="96" t="e">
        <f>Q276*dagenperjaar1</f>
        <v>#DIV/0!</v>
      </c>
      <c r="U276" s="27" t="e">
        <f>T276*ROUND(P276,2)</f>
        <v>#DIV/0!</v>
      </c>
    </row>
    <row r="277" spans="1:21" x14ac:dyDescent="0.2">
      <c r="A277" s="93" t="s">
        <v>244</v>
      </c>
      <c r="B277" s="94" t="s">
        <v>42</v>
      </c>
      <c r="C277" s="94" t="s">
        <v>493</v>
      </c>
      <c r="D277" s="94" t="s">
        <v>525</v>
      </c>
      <c r="E277" s="95" t="s">
        <v>284</v>
      </c>
      <c r="F277" s="94" t="s">
        <v>277</v>
      </c>
      <c r="G277" s="94" t="s">
        <v>227</v>
      </c>
      <c r="H277" s="94" t="s">
        <v>24</v>
      </c>
      <c r="I277" s="94" t="s">
        <v>191</v>
      </c>
      <c r="J277" s="94"/>
      <c r="K277" s="96">
        <v>44.4</v>
      </c>
      <c r="L277" s="96">
        <f>K277*VLOOKUP(H277,dagsoorttabel1,2,FALSE)</f>
        <v>0.222</v>
      </c>
      <c r="M277" s="97">
        <f>prodnorm35</f>
        <v>0</v>
      </c>
      <c r="N277" s="41">
        <f>dagwerk35</f>
        <v>0</v>
      </c>
      <c r="O277" s="94" t="s">
        <v>108</v>
      </c>
      <c r="P277" s="26">
        <f>uurtarief35</f>
        <v>0</v>
      </c>
      <c r="Q277" s="96" t="e">
        <f>IF(ISBLANK(M277),0,L277/ROUND(M277,4))</f>
        <v>#DIV/0!</v>
      </c>
      <c r="R277" s="96" t="e">
        <f>IF(ISBLANK(M277),0,Q277*ROUND(N277,2))</f>
        <v>#DIV/0!</v>
      </c>
      <c r="S277" s="26" t="e">
        <f>ROUND(P277,2)*Q277</f>
        <v>#DIV/0!</v>
      </c>
      <c r="T277" s="96" t="e">
        <f>Q277*dagenperjaar1</f>
        <v>#DIV/0!</v>
      </c>
      <c r="U277" s="27" t="e">
        <f>T277*ROUND(P277,2)</f>
        <v>#DIV/0!</v>
      </c>
    </row>
    <row r="278" spans="1:21" x14ac:dyDescent="0.2">
      <c r="A278" s="93" t="s">
        <v>244</v>
      </c>
      <c r="B278" s="94" t="s">
        <v>42</v>
      </c>
      <c r="C278" s="94" t="s">
        <v>493</v>
      </c>
      <c r="D278" s="94" t="s">
        <v>526</v>
      </c>
      <c r="E278" s="95" t="s">
        <v>527</v>
      </c>
      <c r="F278" s="94" t="s">
        <v>434</v>
      </c>
      <c r="G278" s="94" t="s">
        <v>225</v>
      </c>
      <c r="H278" s="94" t="s">
        <v>10</v>
      </c>
      <c r="I278" s="94" t="s">
        <v>191</v>
      </c>
      <c r="J278" s="94"/>
      <c r="K278" s="96">
        <v>9.98</v>
      </c>
      <c r="L278" s="96">
        <f>K278*VLOOKUP(H278,dagsoorttabel1,2,FALSE)</f>
        <v>9.98</v>
      </c>
      <c r="M278" s="97">
        <f>prodnorm34</f>
        <v>0</v>
      </c>
      <c r="N278" s="41">
        <f>dagwerk34</f>
        <v>0</v>
      </c>
      <c r="O278" s="94" t="s">
        <v>108</v>
      </c>
      <c r="P278" s="26">
        <f>uurtarief34</f>
        <v>0</v>
      </c>
      <c r="Q278" s="96" t="e">
        <f>IF(ISBLANK(M278),0,L278/ROUND(M278,4))</f>
        <v>#DIV/0!</v>
      </c>
      <c r="R278" s="96" t="e">
        <f>IF(ISBLANK(M278),0,Q278*ROUND(N278,2))</f>
        <v>#DIV/0!</v>
      </c>
      <c r="S278" s="26" t="e">
        <f>ROUND(P278,2)*Q278</f>
        <v>#DIV/0!</v>
      </c>
      <c r="T278" s="96" t="e">
        <f>Q278*dagenperjaar1</f>
        <v>#DIV/0!</v>
      </c>
      <c r="U278" s="27" t="e">
        <f>T278*ROUND(P278,2)</f>
        <v>#DIV/0!</v>
      </c>
    </row>
    <row r="279" spans="1:21" x14ac:dyDescent="0.2">
      <c r="A279" s="93" t="s">
        <v>244</v>
      </c>
      <c r="B279" s="94" t="s">
        <v>42</v>
      </c>
      <c r="C279" s="94" t="s">
        <v>493</v>
      </c>
      <c r="D279" s="94" t="s">
        <v>528</v>
      </c>
      <c r="E279" s="95" t="s">
        <v>324</v>
      </c>
      <c r="F279" s="94" t="s">
        <v>438</v>
      </c>
      <c r="G279" s="94" t="s">
        <v>223</v>
      </c>
      <c r="H279" s="94" t="s">
        <v>10</v>
      </c>
      <c r="I279" s="94" t="s">
        <v>191</v>
      </c>
      <c r="J279" s="94"/>
      <c r="K279" s="96">
        <v>24.75</v>
      </c>
      <c r="L279" s="96">
        <f>K279*VLOOKUP(H279,dagsoorttabel1,2,FALSE)</f>
        <v>24.75</v>
      </c>
      <c r="M279" s="97">
        <f>prodnorm32</f>
        <v>0</v>
      </c>
      <c r="N279" s="41">
        <f>dagwerk32</f>
        <v>0</v>
      </c>
      <c r="O279" s="94" t="s">
        <v>108</v>
      </c>
      <c r="P279" s="26">
        <f>uurtarief32</f>
        <v>0</v>
      </c>
      <c r="Q279" s="96" t="e">
        <f>IF(ISBLANK(M279),0,L279/ROUND(M279,4))</f>
        <v>#DIV/0!</v>
      </c>
      <c r="R279" s="96" t="e">
        <f>IF(ISBLANK(M279),0,Q279*ROUND(N279,2))</f>
        <v>#DIV/0!</v>
      </c>
      <c r="S279" s="26" t="e">
        <f>ROUND(P279,2)*Q279</f>
        <v>#DIV/0!</v>
      </c>
      <c r="T279" s="96" t="e">
        <f>Q279*dagenperjaar1</f>
        <v>#DIV/0!</v>
      </c>
      <c r="U279" s="27" t="e">
        <f>T279*ROUND(P279,2)</f>
        <v>#DIV/0!</v>
      </c>
    </row>
    <row r="280" spans="1:21" x14ac:dyDescent="0.2">
      <c r="A280" s="93" t="s">
        <v>244</v>
      </c>
      <c r="B280" s="94" t="s">
        <v>42</v>
      </c>
      <c r="C280" s="94" t="s">
        <v>493</v>
      </c>
      <c r="D280" s="94" t="s">
        <v>529</v>
      </c>
      <c r="E280" s="95" t="s">
        <v>489</v>
      </c>
      <c r="F280" s="94" t="s">
        <v>287</v>
      </c>
      <c r="G280" s="94" t="s">
        <v>219</v>
      </c>
      <c r="H280" s="94" t="s">
        <v>10</v>
      </c>
      <c r="I280" s="94" t="s">
        <v>191</v>
      </c>
      <c r="J280" s="94"/>
      <c r="K280" s="96">
        <v>20.3</v>
      </c>
      <c r="L280" s="96">
        <f>K280*VLOOKUP(H280,dagsoorttabel1,2,FALSE)</f>
        <v>20.3</v>
      </c>
      <c r="M280" s="97">
        <f>prodnorm30</f>
        <v>0</v>
      </c>
      <c r="N280" s="41">
        <f>dagwerk30</f>
        <v>0</v>
      </c>
      <c r="O280" s="94" t="s">
        <v>108</v>
      </c>
      <c r="P280" s="26">
        <f>uurtarief30</f>
        <v>0</v>
      </c>
      <c r="Q280" s="96" t="e">
        <f>IF(ISBLANK(M280),0,L280/ROUND(M280,4))</f>
        <v>#DIV/0!</v>
      </c>
      <c r="R280" s="96" t="e">
        <f>IF(ISBLANK(M280),0,Q280*ROUND(N280,2))</f>
        <v>#DIV/0!</v>
      </c>
      <c r="S280" s="26" t="e">
        <f>ROUND(P280,2)*Q280</f>
        <v>#DIV/0!</v>
      </c>
      <c r="T280" s="96" t="e">
        <f>Q280*dagenperjaar1</f>
        <v>#DIV/0!</v>
      </c>
      <c r="U280" s="27" t="e">
        <f>T280*ROUND(P280,2)</f>
        <v>#DIV/0!</v>
      </c>
    </row>
    <row r="281" spans="1:21" x14ac:dyDescent="0.2">
      <c r="A281" s="93" t="s">
        <v>244</v>
      </c>
      <c r="B281" s="94" t="s">
        <v>42</v>
      </c>
      <c r="C281" s="94" t="s">
        <v>493</v>
      </c>
      <c r="D281" s="94" t="s">
        <v>530</v>
      </c>
      <c r="E281" s="95" t="s">
        <v>489</v>
      </c>
      <c r="F281" s="94" t="s">
        <v>287</v>
      </c>
      <c r="G281" s="94" t="s">
        <v>219</v>
      </c>
      <c r="H281" s="94" t="s">
        <v>10</v>
      </c>
      <c r="I281" s="94" t="s">
        <v>191</v>
      </c>
      <c r="J281" s="94"/>
      <c r="K281" s="96">
        <v>20.3</v>
      </c>
      <c r="L281" s="96">
        <f>K281*VLOOKUP(H281,dagsoorttabel1,2,FALSE)</f>
        <v>20.3</v>
      </c>
      <c r="M281" s="97">
        <f>prodnorm30</f>
        <v>0</v>
      </c>
      <c r="N281" s="41">
        <f>dagwerk30</f>
        <v>0</v>
      </c>
      <c r="O281" s="94" t="s">
        <v>108</v>
      </c>
      <c r="P281" s="26">
        <f>uurtarief30</f>
        <v>0</v>
      </c>
      <c r="Q281" s="96" t="e">
        <f>IF(ISBLANK(M281),0,L281/ROUND(M281,4))</f>
        <v>#DIV/0!</v>
      </c>
      <c r="R281" s="96" t="e">
        <f>IF(ISBLANK(M281),0,Q281*ROUND(N281,2))</f>
        <v>#DIV/0!</v>
      </c>
      <c r="S281" s="26" t="e">
        <f>ROUND(P281,2)*Q281</f>
        <v>#DIV/0!</v>
      </c>
      <c r="T281" s="96" t="e">
        <f>Q281*dagenperjaar1</f>
        <v>#DIV/0!</v>
      </c>
      <c r="U281" s="27" t="e">
        <f>T281*ROUND(P281,2)</f>
        <v>#DIV/0!</v>
      </c>
    </row>
    <row r="282" spans="1:21" x14ac:dyDescent="0.2">
      <c r="A282" s="93" t="s">
        <v>244</v>
      </c>
      <c r="B282" s="94" t="s">
        <v>42</v>
      </c>
      <c r="C282" s="94" t="s">
        <v>493</v>
      </c>
      <c r="D282" s="94" t="s">
        <v>531</v>
      </c>
      <c r="E282" s="95" t="s">
        <v>284</v>
      </c>
      <c r="F282" s="94" t="s">
        <v>277</v>
      </c>
      <c r="G282" s="94" t="s">
        <v>225</v>
      </c>
      <c r="H282" s="94" t="s">
        <v>10</v>
      </c>
      <c r="I282" s="94" t="s">
        <v>191</v>
      </c>
      <c r="J282" s="94"/>
      <c r="K282" s="96">
        <v>86.8</v>
      </c>
      <c r="L282" s="96">
        <f>K282*VLOOKUP(H282,dagsoorttabel1,2,FALSE)</f>
        <v>86.8</v>
      </c>
      <c r="M282" s="97">
        <f>prodnorm34</f>
        <v>0</v>
      </c>
      <c r="N282" s="41">
        <f>dagwerk34</f>
        <v>0</v>
      </c>
      <c r="O282" s="94" t="s">
        <v>108</v>
      </c>
      <c r="P282" s="26">
        <f>uurtarief34</f>
        <v>0</v>
      </c>
      <c r="Q282" s="96" t="e">
        <f>IF(ISBLANK(M282),0,L282/ROUND(M282,4))</f>
        <v>#DIV/0!</v>
      </c>
      <c r="R282" s="96" t="e">
        <f>IF(ISBLANK(M282),0,Q282*ROUND(N282,2))</f>
        <v>#DIV/0!</v>
      </c>
      <c r="S282" s="26" t="e">
        <f>ROUND(P282,2)*Q282</f>
        <v>#DIV/0!</v>
      </c>
      <c r="T282" s="96" t="e">
        <f>Q282*dagenperjaar1</f>
        <v>#DIV/0!</v>
      </c>
      <c r="U282" s="27" t="e">
        <f>T282*ROUND(P282,2)</f>
        <v>#DIV/0!</v>
      </c>
    </row>
    <row r="283" spans="1:21" x14ac:dyDescent="0.2">
      <c r="A283" s="93" t="s">
        <v>244</v>
      </c>
      <c r="B283" s="94" t="s">
        <v>42</v>
      </c>
      <c r="C283" s="94" t="s">
        <v>493</v>
      </c>
      <c r="D283" s="94" t="s">
        <v>531</v>
      </c>
      <c r="E283" s="95" t="s">
        <v>284</v>
      </c>
      <c r="F283" s="94" t="s">
        <v>277</v>
      </c>
      <c r="G283" s="94" t="s">
        <v>227</v>
      </c>
      <c r="H283" s="94" t="s">
        <v>24</v>
      </c>
      <c r="I283" s="94" t="s">
        <v>191</v>
      </c>
      <c r="J283" s="94"/>
      <c r="K283" s="96">
        <v>86.8</v>
      </c>
      <c r="L283" s="96">
        <f>K283*VLOOKUP(H283,dagsoorttabel1,2,FALSE)</f>
        <v>0.434</v>
      </c>
      <c r="M283" s="97">
        <f>prodnorm35</f>
        <v>0</v>
      </c>
      <c r="N283" s="41">
        <f>dagwerk35</f>
        <v>0</v>
      </c>
      <c r="O283" s="94" t="s">
        <v>108</v>
      </c>
      <c r="P283" s="26">
        <f>uurtarief35</f>
        <v>0</v>
      </c>
      <c r="Q283" s="96" t="e">
        <f>IF(ISBLANK(M283),0,L283/ROUND(M283,4))</f>
        <v>#DIV/0!</v>
      </c>
      <c r="R283" s="96" t="e">
        <f>IF(ISBLANK(M283),0,Q283*ROUND(N283,2))</f>
        <v>#DIV/0!</v>
      </c>
      <c r="S283" s="26" t="e">
        <f>ROUND(P283,2)*Q283</f>
        <v>#DIV/0!</v>
      </c>
      <c r="T283" s="96" t="e">
        <f>Q283*dagenperjaar1</f>
        <v>#DIV/0!</v>
      </c>
      <c r="U283" s="27" t="e">
        <f>T283*ROUND(P283,2)</f>
        <v>#DIV/0!</v>
      </c>
    </row>
    <row r="284" spans="1:21" x14ac:dyDescent="0.2">
      <c r="A284" s="93" t="s">
        <v>244</v>
      </c>
      <c r="B284" s="94" t="s">
        <v>42</v>
      </c>
      <c r="C284" s="94" t="s">
        <v>493</v>
      </c>
      <c r="D284" s="94" t="s">
        <v>532</v>
      </c>
      <c r="E284" s="95" t="s">
        <v>533</v>
      </c>
      <c r="F284" s="94" t="s">
        <v>277</v>
      </c>
      <c r="G284" s="94" t="s">
        <v>225</v>
      </c>
      <c r="H284" s="94" t="s">
        <v>10</v>
      </c>
      <c r="I284" s="94" t="s">
        <v>191</v>
      </c>
      <c r="J284" s="94"/>
      <c r="K284" s="96">
        <v>11</v>
      </c>
      <c r="L284" s="96">
        <f>K284*VLOOKUP(H284,dagsoorttabel1,2,FALSE)</f>
        <v>11</v>
      </c>
      <c r="M284" s="97">
        <f>prodnorm34</f>
        <v>0</v>
      </c>
      <c r="N284" s="41">
        <f>dagwerk34</f>
        <v>0</v>
      </c>
      <c r="O284" s="94" t="s">
        <v>108</v>
      </c>
      <c r="P284" s="26">
        <f>uurtarief34</f>
        <v>0</v>
      </c>
      <c r="Q284" s="96" t="e">
        <f>IF(ISBLANK(M284),0,L284/ROUND(M284,4))</f>
        <v>#DIV/0!</v>
      </c>
      <c r="R284" s="96" t="e">
        <f>IF(ISBLANK(M284),0,Q284*ROUND(N284,2))</f>
        <v>#DIV/0!</v>
      </c>
      <c r="S284" s="26" t="e">
        <f>ROUND(P284,2)*Q284</f>
        <v>#DIV/0!</v>
      </c>
      <c r="T284" s="96" t="e">
        <f>Q284*dagenperjaar1</f>
        <v>#DIV/0!</v>
      </c>
      <c r="U284" s="27" t="e">
        <f>T284*ROUND(P284,2)</f>
        <v>#DIV/0!</v>
      </c>
    </row>
    <row r="285" spans="1:21" x14ac:dyDescent="0.2">
      <c r="A285" s="93" t="s">
        <v>244</v>
      </c>
      <c r="B285" s="94" t="s">
        <v>42</v>
      </c>
      <c r="C285" s="94" t="s">
        <v>493</v>
      </c>
      <c r="D285" s="94" t="s">
        <v>532</v>
      </c>
      <c r="E285" s="95" t="s">
        <v>533</v>
      </c>
      <c r="F285" s="94" t="s">
        <v>277</v>
      </c>
      <c r="G285" s="94" t="s">
        <v>227</v>
      </c>
      <c r="H285" s="94" t="s">
        <v>24</v>
      </c>
      <c r="I285" s="94" t="s">
        <v>191</v>
      </c>
      <c r="J285" s="94"/>
      <c r="K285" s="96">
        <v>11</v>
      </c>
      <c r="L285" s="96">
        <f>K285*VLOOKUP(H285,dagsoorttabel1,2,FALSE)</f>
        <v>5.5E-2</v>
      </c>
      <c r="M285" s="97">
        <f>prodnorm35</f>
        <v>0</v>
      </c>
      <c r="N285" s="41">
        <f>dagwerk35</f>
        <v>0</v>
      </c>
      <c r="O285" s="94" t="s">
        <v>108</v>
      </c>
      <c r="P285" s="26">
        <f>uurtarief35</f>
        <v>0</v>
      </c>
      <c r="Q285" s="96" t="e">
        <f>IF(ISBLANK(M285),0,L285/ROUND(M285,4))</f>
        <v>#DIV/0!</v>
      </c>
      <c r="R285" s="96" t="e">
        <f>IF(ISBLANK(M285),0,Q285*ROUND(N285,2))</f>
        <v>#DIV/0!</v>
      </c>
      <c r="S285" s="26" t="e">
        <f>ROUND(P285,2)*Q285</f>
        <v>#DIV/0!</v>
      </c>
      <c r="T285" s="96" t="e">
        <f>Q285*dagenperjaar1</f>
        <v>#DIV/0!</v>
      </c>
      <c r="U285" s="27" t="e">
        <f>T285*ROUND(P285,2)</f>
        <v>#DIV/0!</v>
      </c>
    </row>
    <row r="286" spans="1:21" x14ac:dyDescent="0.2">
      <c r="A286" s="93" t="s">
        <v>244</v>
      </c>
      <c r="B286" s="94" t="s">
        <v>42</v>
      </c>
      <c r="C286" s="94" t="s">
        <v>493</v>
      </c>
      <c r="D286" s="94" t="s">
        <v>534</v>
      </c>
      <c r="E286" s="95" t="s">
        <v>273</v>
      </c>
      <c r="F286" s="94" t="s">
        <v>277</v>
      </c>
      <c r="G286" s="94" t="s">
        <v>193</v>
      </c>
      <c r="H286" s="94" t="s">
        <v>14</v>
      </c>
      <c r="I286" s="94" t="s">
        <v>191</v>
      </c>
      <c r="J286" s="94"/>
      <c r="K286" s="96">
        <v>25</v>
      </c>
      <c r="L286" s="96">
        <f>K286*VLOOKUP(H286,dagsoorttabel1,2,FALSE)</f>
        <v>10</v>
      </c>
      <c r="M286" s="97">
        <f>prodnorm15</f>
        <v>0</v>
      </c>
      <c r="N286" s="41">
        <f>dagwerk15</f>
        <v>0</v>
      </c>
      <c r="O286" s="94" t="s">
        <v>108</v>
      </c>
      <c r="P286" s="26">
        <f>uurtarief15</f>
        <v>0</v>
      </c>
      <c r="Q286" s="96" t="e">
        <f>IF(ISBLANK(M286),0,L286/ROUND(M286,4))</f>
        <v>#DIV/0!</v>
      </c>
      <c r="R286" s="96" t="e">
        <f>IF(ISBLANK(M286),0,Q286*ROUND(N286,2))</f>
        <v>#DIV/0!</v>
      </c>
      <c r="S286" s="26" t="e">
        <f>ROUND(P286,2)*Q286</f>
        <v>#DIV/0!</v>
      </c>
      <c r="T286" s="96" t="e">
        <f>Q286*dagenperjaar1</f>
        <v>#DIV/0!</v>
      </c>
      <c r="U286" s="27" t="e">
        <f>T286*ROUND(P286,2)</f>
        <v>#DIV/0!</v>
      </c>
    </row>
    <row r="287" spans="1:21" x14ac:dyDescent="0.2">
      <c r="A287" s="93" t="s">
        <v>244</v>
      </c>
      <c r="B287" s="94" t="s">
        <v>42</v>
      </c>
      <c r="C287" s="94" t="s">
        <v>493</v>
      </c>
      <c r="D287" s="94" t="s">
        <v>534</v>
      </c>
      <c r="E287" s="95" t="s">
        <v>273</v>
      </c>
      <c r="F287" s="94" t="s">
        <v>277</v>
      </c>
      <c r="G287" s="94" t="s">
        <v>227</v>
      </c>
      <c r="H287" s="94" t="s">
        <v>24</v>
      </c>
      <c r="I287" s="94" t="s">
        <v>191</v>
      </c>
      <c r="J287" s="94"/>
      <c r="K287" s="96">
        <v>25</v>
      </c>
      <c r="L287" s="96">
        <f>K287*VLOOKUP(H287,dagsoorttabel1,2,FALSE)</f>
        <v>0.125</v>
      </c>
      <c r="M287" s="97">
        <f>prodnorm35</f>
        <v>0</v>
      </c>
      <c r="N287" s="41">
        <f>dagwerk35</f>
        <v>0</v>
      </c>
      <c r="O287" s="94" t="s">
        <v>108</v>
      </c>
      <c r="P287" s="26">
        <f>uurtarief35</f>
        <v>0</v>
      </c>
      <c r="Q287" s="96" t="e">
        <f>IF(ISBLANK(M287),0,L287/ROUND(M287,4))</f>
        <v>#DIV/0!</v>
      </c>
      <c r="R287" s="96" t="e">
        <f>IF(ISBLANK(M287),0,Q287*ROUND(N287,2))</f>
        <v>#DIV/0!</v>
      </c>
      <c r="S287" s="26" t="e">
        <f>ROUND(P287,2)*Q287</f>
        <v>#DIV/0!</v>
      </c>
      <c r="T287" s="96" t="e">
        <f>Q287*dagenperjaar1</f>
        <v>#DIV/0!</v>
      </c>
      <c r="U287" s="27" t="e">
        <f>T287*ROUND(P287,2)</f>
        <v>#DIV/0!</v>
      </c>
    </row>
    <row r="288" spans="1:21" x14ac:dyDescent="0.2">
      <c r="A288" s="93" t="s">
        <v>244</v>
      </c>
      <c r="B288" s="94" t="s">
        <v>42</v>
      </c>
      <c r="C288" s="94" t="s">
        <v>493</v>
      </c>
      <c r="D288" s="94" t="s">
        <v>535</v>
      </c>
      <c r="E288" s="95" t="s">
        <v>316</v>
      </c>
      <c r="F288" s="94" t="s">
        <v>401</v>
      </c>
      <c r="G288" s="94" t="s">
        <v>219</v>
      </c>
      <c r="H288" s="94" t="s">
        <v>10</v>
      </c>
      <c r="I288" s="94" t="s">
        <v>191</v>
      </c>
      <c r="J288" s="94"/>
      <c r="K288" s="96">
        <v>1.4</v>
      </c>
      <c r="L288" s="96">
        <f>K288*VLOOKUP(H288,dagsoorttabel1,2,FALSE)</f>
        <v>1.4</v>
      </c>
      <c r="M288" s="97">
        <f>prodnorm30</f>
        <v>0</v>
      </c>
      <c r="N288" s="41">
        <f>dagwerk30</f>
        <v>0</v>
      </c>
      <c r="O288" s="94" t="s">
        <v>108</v>
      </c>
      <c r="P288" s="26">
        <f>uurtarief30</f>
        <v>0</v>
      </c>
      <c r="Q288" s="96" t="e">
        <f>IF(ISBLANK(M288),0,L288/ROUND(M288,4))</f>
        <v>#DIV/0!</v>
      </c>
      <c r="R288" s="96" t="e">
        <f>IF(ISBLANK(M288),0,Q288*ROUND(N288,2))</f>
        <v>#DIV/0!</v>
      </c>
      <c r="S288" s="26" t="e">
        <f>ROUND(P288,2)*Q288</f>
        <v>#DIV/0!</v>
      </c>
      <c r="T288" s="96" t="e">
        <f>Q288*dagenperjaar1</f>
        <v>#DIV/0!</v>
      </c>
      <c r="U288" s="27" t="e">
        <f>T288*ROUND(P288,2)</f>
        <v>#DIV/0!</v>
      </c>
    </row>
    <row r="289" spans="1:21" x14ac:dyDescent="0.2">
      <c r="A289" s="93" t="s">
        <v>244</v>
      </c>
      <c r="B289" s="94" t="s">
        <v>42</v>
      </c>
      <c r="C289" s="94" t="s">
        <v>493</v>
      </c>
      <c r="D289" s="94" t="s">
        <v>536</v>
      </c>
      <c r="E289" s="95" t="s">
        <v>337</v>
      </c>
      <c r="F289" s="94" t="s">
        <v>334</v>
      </c>
      <c r="G289" s="94" t="s">
        <v>203</v>
      </c>
      <c r="H289" s="94" t="s">
        <v>16</v>
      </c>
      <c r="I289" s="94" t="s">
        <v>191</v>
      </c>
      <c r="J289" s="94"/>
      <c r="K289" s="96">
        <v>50</v>
      </c>
      <c r="L289" s="96">
        <f>K289*VLOOKUP(H289,dagsoorttabel1,2,FALSE)</f>
        <v>10</v>
      </c>
      <c r="M289" s="97">
        <f>prodnorm21</f>
        <v>0</v>
      </c>
      <c r="N289" s="41">
        <f>dagwerk21</f>
        <v>0</v>
      </c>
      <c r="O289" s="94" t="s">
        <v>108</v>
      </c>
      <c r="P289" s="26">
        <f>uurtarief21</f>
        <v>0</v>
      </c>
      <c r="Q289" s="96" t="e">
        <f>IF(ISBLANK(M289),0,L289/ROUND(M289,4))</f>
        <v>#DIV/0!</v>
      </c>
      <c r="R289" s="96" t="e">
        <f>IF(ISBLANK(M289),0,Q289*ROUND(N289,2))</f>
        <v>#DIV/0!</v>
      </c>
      <c r="S289" s="26" t="e">
        <f>ROUND(P289,2)*Q289</f>
        <v>#DIV/0!</v>
      </c>
      <c r="T289" s="96" t="e">
        <f>Q289*dagenperjaar1</f>
        <v>#DIV/0!</v>
      </c>
      <c r="U289" s="27" t="e">
        <f>T289*ROUND(P289,2)</f>
        <v>#DIV/0!</v>
      </c>
    </row>
    <row r="290" spans="1:21" x14ac:dyDescent="0.2">
      <c r="A290" s="93" t="s">
        <v>244</v>
      </c>
      <c r="B290" s="94" t="s">
        <v>42</v>
      </c>
      <c r="C290" s="94" t="s">
        <v>493</v>
      </c>
      <c r="D290" s="94" t="s">
        <v>537</v>
      </c>
      <c r="E290" s="95" t="s">
        <v>268</v>
      </c>
      <c r="F290" s="94" t="s">
        <v>277</v>
      </c>
      <c r="G290" s="94" t="s">
        <v>225</v>
      </c>
      <c r="H290" s="94" t="s">
        <v>10</v>
      </c>
      <c r="I290" s="94" t="s">
        <v>191</v>
      </c>
      <c r="J290" s="94"/>
      <c r="K290" s="96">
        <v>3</v>
      </c>
      <c r="L290" s="96">
        <f>K290*VLOOKUP(H290,dagsoorttabel1,2,FALSE)</f>
        <v>3</v>
      </c>
      <c r="M290" s="97">
        <f>prodnorm34</f>
        <v>0</v>
      </c>
      <c r="N290" s="41">
        <f>dagwerk34</f>
        <v>0</v>
      </c>
      <c r="O290" s="94" t="s">
        <v>108</v>
      </c>
      <c r="P290" s="26">
        <f>uurtarief34</f>
        <v>0</v>
      </c>
      <c r="Q290" s="96" t="e">
        <f>IF(ISBLANK(M290),0,L290/ROUND(M290,4))</f>
        <v>#DIV/0!</v>
      </c>
      <c r="R290" s="96" t="e">
        <f>IF(ISBLANK(M290),0,Q290*ROUND(N290,2))</f>
        <v>#DIV/0!</v>
      </c>
      <c r="S290" s="26" t="e">
        <f>ROUND(P290,2)*Q290</f>
        <v>#DIV/0!</v>
      </c>
      <c r="T290" s="96" t="e">
        <f>Q290*dagenperjaar1</f>
        <v>#DIV/0!</v>
      </c>
      <c r="U290" s="27" t="e">
        <f>T290*ROUND(P290,2)</f>
        <v>#DIV/0!</v>
      </c>
    </row>
    <row r="291" spans="1:21" x14ac:dyDescent="0.2">
      <c r="A291" s="93" t="s">
        <v>244</v>
      </c>
      <c r="B291" s="94" t="s">
        <v>42</v>
      </c>
      <c r="C291" s="94" t="s">
        <v>493</v>
      </c>
      <c r="D291" s="94" t="s">
        <v>537</v>
      </c>
      <c r="E291" s="95" t="s">
        <v>268</v>
      </c>
      <c r="F291" s="94" t="s">
        <v>277</v>
      </c>
      <c r="G291" s="94" t="s">
        <v>227</v>
      </c>
      <c r="H291" s="94" t="s">
        <v>24</v>
      </c>
      <c r="I291" s="94" t="s">
        <v>191</v>
      </c>
      <c r="J291" s="94"/>
      <c r="K291" s="96">
        <v>3</v>
      </c>
      <c r="L291" s="96">
        <f>K291*VLOOKUP(H291,dagsoorttabel1,2,FALSE)</f>
        <v>1.4999999999999999E-2</v>
      </c>
      <c r="M291" s="97">
        <f>prodnorm35</f>
        <v>0</v>
      </c>
      <c r="N291" s="41">
        <f>dagwerk35</f>
        <v>0</v>
      </c>
      <c r="O291" s="94" t="s">
        <v>108</v>
      </c>
      <c r="P291" s="26">
        <f>uurtarief35</f>
        <v>0</v>
      </c>
      <c r="Q291" s="96" t="e">
        <f>IF(ISBLANK(M291),0,L291/ROUND(M291,4))</f>
        <v>#DIV/0!</v>
      </c>
      <c r="R291" s="96" t="e">
        <f>IF(ISBLANK(M291),0,Q291*ROUND(N291,2))</f>
        <v>#DIV/0!</v>
      </c>
      <c r="S291" s="26" t="e">
        <f>ROUND(P291,2)*Q291</f>
        <v>#DIV/0!</v>
      </c>
      <c r="T291" s="96" t="e">
        <f>Q291*dagenperjaar1</f>
        <v>#DIV/0!</v>
      </c>
      <c r="U291" s="27" t="e">
        <f>T291*ROUND(P291,2)</f>
        <v>#DIV/0!</v>
      </c>
    </row>
    <row r="292" spans="1:21" x14ac:dyDescent="0.2">
      <c r="A292" s="93" t="s">
        <v>244</v>
      </c>
      <c r="B292" s="94" t="s">
        <v>42</v>
      </c>
      <c r="C292" s="94" t="s">
        <v>493</v>
      </c>
      <c r="D292" s="94" t="s">
        <v>538</v>
      </c>
      <c r="E292" s="95" t="s">
        <v>324</v>
      </c>
      <c r="F292" s="94" t="s">
        <v>330</v>
      </c>
      <c r="G292" s="94" t="s">
        <v>223</v>
      </c>
      <c r="H292" s="94" t="s">
        <v>10</v>
      </c>
      <c r="I292" s="94" t="s">
        <v>191</v>
      </c>
      <c r="J292" s="94"/>
      <c r="K292" s="96">
        <v>5</v>
      </c>
      <c r="L292" s="96">
        <f>K292*VLOOKUP(H292,dagsoorttabel1,2,FALSE)</f>
        <v>5</v>
      </c>
      <c r="M292" s="97">
        <f>prodnorm32</f>
        <v>0</v>
      </c>
      <c r="N292" s="41">
        <f>dagwerk32</f>
        <v>0</v>
      </c>
      <c r="O292" s="94" t="s">
        <v>108</v>
      </c>
      <c r="P292" s="26">
        <f>uurtarief32</f>
        <v>0</v>
      </c>
      <c r="Q292" s="96" t="e">
        <f>IF(ISBLANK(M292),0,L292/ROUND(M292,4))</f>
        <v>#DIV/0!</v>
      </c>
      <c r="R292" s="96" t="e">
        <f>IF(ISBLANK(M292),0,Q292*ROUND(N292,2))</f>
        <v>#DIV/0!</v>
      </c>
      <c r="S292" s="26" t="e">
        <f>ROUND(P292,2)*Q292</f>
        <v>#DIV/0!</v>
      </c>
      <c r="T292" s="96" t="e">
        <f>Q292*dagenperjaar1</f>
        <v>#DIV/0!</v>
      </c>
      <c r="U292" s="27" t="e">
        <f>T292*ROUND(P292,2)</f>
        <v>#DIV/0!</v>
      </c>
    </row>
    <row r="293" spans="1:21" x14ac:dyDescent="0.2">
      <c r="A293" s="93" t="s">
        <v>244</v>
      </c>
      <c r="B293" s="94" t="s">
        <v>42</v>
      </c>
      <c r="C293" s="94" t="s">
        <v>493</v>
      </c>
      <c r="D293" s="94" t="s">
        <v>539</v>
      </c>
      <c r="E293" s="95" t="s">
        <v>341</v>
      </c>
      <c r="F293" s="94" t="s">
        <v>330</v>
      </c>
      <c r="G293" s="94" t="s">
        <v>223</v>
      </c>
      <c r="H293" s="94" t="s">
        <v>10</v>
      </c>
      <c r="I293" s="94" t="s">
        <v>191</v>
      </c>
      <c r="J293" s="94"/>
      <c r="K293" s="96">
        <v>4.3</v>
      </c>
      <c r="L293" s="96">
        <f>K293*VLOOKUP(H293,dagsoorttabel1,2,FALSE)</f>
        <v>4.3</v>
      </c>
      <c r="M293" s="97">
        <f>prodnorm32</f>
        <v>0</v>
      </c>
      <c r="N293" s="41">
        <f>dagwerk32</f>
        <v>0</v>
      </c>
      <c r="O293" s="94" t="s">
        <v>108</v>
      </c>
      <c r="P293" s="26">
        <f>uurtarief32</f>
        <v>0</v>
      </c>
      <c r="Q293" s="96" t="e">
        <f>IF(ISBLANK(M293),0,L293/ROUND(M293,4))</f>
        <v>#DIV/0!</v>
      </c>
      <c r="R293" s="96" t="e">
        <f>IF(ISBLANK(M293),0,Q293*ROUND(N293,2))</f>
        <v>#DIV/0!</v>
      </c>
      <c r="S293" s="26" t="e">
        <f>ROUND(P293,2)*Q293</f>
        <v>#DIV/0!</v>
      </c>
      <c r="T293" s="96" t="e">
        <f>Q293*dagenperjaar1</f>
        <v>#DIV/0!</v>
      </c>
      <c r="U293" s="27" t="e">
        <f>T293*ROUND(P293,2)</f>
        <v>#DIV/0!</v>
      </c>
    </row>
    <row r="294" spans="1:21" x14ac:dyDescent="0.2">
      <c r="A294" s="93" t="s">
        <v>244</v>
      </c>
      <c r="B294" s="94" t="s">
        <v>42</v>
      </c>
      <c r="C294" s="94" t="s">
        <v>493</v>
      </c>
      <c r="D294" s="94" t="s">
        <v>540</v>
      </c>
      <c r="E294" s="95" t="s">
        <v>377</v>
      </c>
      <c r="F294" s="94" t="s">
        <v>277</v>
      </c>
      <c r="G294" s="94" t="s">
        <v>207</v>
      </c>
      <c r="H294" s="94" t="s">
        <v>10</v>
      </c>
      <c r="I294" s="94" t="s">
        <v>191</v>
      </c>
      <c r="J294" s="94"/>
      <c r="K294" s="96">
        <v>58.8</v>
      </c>
      <c r="L294" s="96">
        <f>K294*VLOOKUP(H294,dagsoorttabel1,2,FALSE)</f>
        <v>58.8</v>
      </c>
      <c r="M294" s="97">
        <f>prodnorm24</f>
        <v>0</v>
      </c>
      <c r="N294" s="41">
        <f>dagwerk24</f>
        <v>0</v>
      </c>
      <c r="O294" s="94" t="s">
        <v>108</v>
      </c>
      <c r="P294" s="26">
        <f>uurtarief24</f>
        <v>0</v>
      </c>
      <c r="Q294" s="96" t="e">
        <f>IF(ISBLANK(M294),0,L294/ROUND(M294,4))</f>
        <v>#DIV/0!</v>
      </c>
      <c r="R294" s="96" t="e">
        <f>IF(ISBLANK(M294),0,Q294*ROUND(N294,2))</f>
        <v>#DIV/0!</v>
      </c>
      <c r="S294" s="26" t="e">
        <f>ROUND(P294,2)*Q294</f>
        <v>#DIV/0!</v>
      </c>
      <c r="T294" s="96" t="e">
        <f>Q294*dagenperjaar1</f>
        <v>#DIV/0!</v>
      </c>
      <c r="U294" s="27" t="e">
        <f>T294*ROUND(P294,2)</f>
        <v>#DIV/0!</v>
      </c>
    </row>
    <row r="295" spans="1:21" x14ac:dyDescent="0.2">
      <c r="A295" s="93" t="s">
        <v>244</v>
      </c>
      <c r="B295" s="94" t="s">
        <v>42</v>
      </c>
      <c r="C295" s="94" t="s">
        <v>493</v>
      </c>
      <c r="D295" s="94" t="s">
        <v>540</v>
      </c>
      <c r="E295" s="95" t="s">
        <v>377</v>
      </c>
      <c r="F295" s="94" t="s">
        <v>277</v>
      </c>
      <c r="G295" s="94" t="s">
        <v>227</v>
      </c>
      <c r="H295" s="94" t="s">
        <v>24</v>
      </c>
      <c r="I295" s="94" t="s">
        <v>191</v>
      </c>
      <c r="J295" s="94"/>
      <c r="K295" s="96">
        <v>58.8</v>
      </c>
      <c r="L295" s="96">
        <f>K295*VLOOKUP(H295,dagsoorttabel1,2,FALSE)</f>
        <v>0.29399999999999998</v>
      </c>
      <c r="M295" s="97">
        <f>prodnorm35</f>
        <v>0</v>
      </c>
      <c r="N295" s="41">
        <f>dagwerk35</f>
        <v>0</v>
      </c>
      <c r="O295" s="94" t="s">
        <v>108</v>
      </c>
      <c r="P295" s="26">
        <f>uurtarief35</f>
        <v>0</v>
      </c>
      <c r="Q295" s="96" t="e">
        <f>IF(ISBLANK(M295),0,L295/ROUND(M295,4))</f>
        <v>#DIV/0!</v>
      </c>
      <c r="R295" s="96" t="e">
        <f>IF(ISBLANK(M295),0,Q295*ROUND(N295,2))</f>
        <v>#DIV/0!</v>
      </c>
      <c r="S295" s="26" t="e">
        <f>ROUND(P295,2)*Q295</f>
        <v>#DIV/0!</v>
      </c>
      <c r="T295" s="96" t="e">
        <f>Q295*dagenperjaar1</f>
        <v>#DIV/0!</v>
      </c>
      <c r="U295" s="27" t="e">
        <f>T295*ROUND(P295,2)</f>
        <v>#DIV/0!</v>
      </c>
    </row>
    <row r="296" spans="1:21" x14ac:dyDescent="0.2">
      <c r="A296" s="93" t="s">
        <v>244</v>
      </c>
      <c r="B296" s="94" t="s">
        <v>42</v>
      </c>
      <c r="C296" s="94" t="s">
        <v>493</v>
      </c>
      <c r="D296" s="94" t="s">
        <v>541</v>
      </c>
      <c r="E296" s="95" t="s">
        <v>377</v>
      </c>
      <c r="F296" s="94" t="s">
        <v>277</v>
      </c>
      <c r="G296" s="94" t="s">
        <v>207</v>
      </c>
      <c r="H296" s="94" t="s">
        <v>10</v>
      </c>
      <c r="I296" s="94" t="s">
        <v>191</v>
      </c>
      <c r="J296" s="94"/>
      <c r="K296" s="96">
        <v>47.7</v>
      </c>
      <c r="L296" s="96">
        <f>K296*VLOOKUP(H296,dagsoorttabel1,2,FALSE)</f>
        <v>47.7</v>
      </c>
      <c r="M296" s="97">
        <f>prodnorm24</f>
        <v>0</v>
      </c>
      <c r="N296" s="41">
        <f>dagwerk24</f>
        <v>0</v>
      </c>
      <c r="O296" s="94" t="s">
        <v>108</v>
      </c>
      <c r="P296" s="26">
        <f>uurtarief24</f>
        <v>0</v>
      </c>
      <c r="Q296" s="96" t="e">
        <f>IF(ISBLANK(M296),0,L296/ROUND(M296,4))</f>
        <v>#DIV/0!</v>
      </c>
      <c r="R296" s="96" t="e">
        <f>IF(ISBLANK(M296),0,Q296*ROUND(N296,2))</f>
        <v>#DIV/0!</v>
      </c>
      <c r="S296" s="26" t="e">
        <f>ROUND(P296,2)*Q296</f>
        <v>#DIV/0!</v>
      </c>
      <c r="T296" s="96" t="e">
        <f>Q296*dagenperjaar1</f>
        <v>#DIV/0!</v>
      </c>
      <c r="U296" s="27" t="e">
        <f>T296*ROUND(P296,2)</f>
        <v>#DIV/0!</v>
      </c>
    </row>
    <row r="297" spans="1:21" x14ac:dyDescent="0.2">
      <c r="A297" s="93" t="s">
        <v>244</v>
      </c>
      <c r="B297" s="94" t="s">
        <v>42</v>
      </c>
      <c r="C297" s="94" t="s">
        <v>493</v>
      </c>
      <c r="D297" s="94" t="s">
        <v>541</v>
      </c>
      <c r="E297" s="95" t="s">
        <v>377</v>
      </c>
      <c r="F297" s="94" t="s">
        <v>277</v>
      </c>
      <c r="G297" s="94" t="s">
        <v>227</v>
      </c>
      <c r="H297" s="94" t="s">
        <v>24</v>
      </c>
      <c r="I297" s="94" t="s">
        <v>191</v>
      </c>
      <c r="J297" s="94"/>
      <c r="K297" s="96">
        <v>47.7</v>
      </c>
      <c r="L297" s="96">
        <f>K297*VLOOKUP(H297,dagsoorttabel1,2,FALSE)</f>
        <v>0.23850000000000002</v>
      </c>
      <c r="M297" s="97">
        <f>prodnorm35</f>
        <v>0</v>
      </c>
      <c r="N297" s="41">
        <f>dagwerk35</f>
        <v>0</v>
      </c>
      <c r="O297" s="94" t="s">
        <v>108</v>
      </c>
      <c r="P297" s="26">
        <f>uurtarief35</f>
        <v>0</v>
      </c>
      <c r="Q297" s="96" t="e">
        <f>IF(ISBLANK(M297),0,L297/ROUND(M297,4))</f>
        <v>#DIV/0!</v>
      </c>
      <c r="R297" s="96" t="e">
        <f>IF(ISBLANK(M297),0,Q297*ROUND(N297,2))</f>
        <v>#DIV/0!</v>
      </c>
      <c r="S297" s="26" t="e">
        <f>ROUND(P297,2)*Q297</f>
        <v>#DIV/0!</v>
      </c>
      <c r="T297" s="96" t="e">
        <f>Q297*dagenperjaar1</f>
        <v>#DIV/0!</v>
      </c>
      <c r="U297" s="27" t="e">
        <f>T297*ROUND(P297,2)</f>
        <v>#DIV/0!</v>
      </c>
    </row>
    <row r="298" spans="1:21" x14ac:dyDescent="0.2">
      <c r="A298" s="93" t="s">
        <v>244</v>
      </c>
      <c r="B298" s="94" t="s">
        <v>42</v>
      </c>
      <c r="C298" s="94" t="s">
        <v>493</v>
      </c>
      <c r="D298" s="94" t="s">
        <v>542</v>
      </c>
      <c r="E298" s="95" t="s">
        <v>374</v>
      </c>
      <c r="F298" s="94" t="s">
        <v>277</v>
      </c>
      <c r="G298" s="94" t="s">
        <v>207</v>
      </c>
      <c r="H298" s="94" t="s">
        <v>10</v>
      </c>
      <c r="I298" s="94" t="s">
        <v>191</v>
      </c>
      <c r="J298" s="94"/>
      <c r="K298" s="96">
        <v>51.7</v>
      </c>
      <c r="L298" s="96">
        <f>K298*VLOOKUP(H298,dagsoorttabel1,2,FALSE)</f>
        <v>51.7</v>
      </c>
      <c r="M298" s="97">
        <f>prodnorm24</f>
        <v>0</v>
      </c>
      <c r="N298" s="41">
        <f>dagwerk24</f>
        <v>0</v>
      </c>
      <c r="O298" s="94" t="s">
        <v>108</v>
      </c>
      <c r="P298" s="26">
        <f>uurtarief24</f>
        <v>0</v>
      </c>
      <c r="Q298" s="96" t="e">
        <f>IF(ISBLANK(M298),0,L298/ROUND(M298,4))</f>
        <v>#DIV/0!</v>
      </c>
      <c r="R298" s="96" t="e">
        <f>IF(ISBLANK(M298),0,Q298*ROUND(N298,2))</f>
        <v>#DIV/0!</v>
      </c>
      <c r="S298" s="26" t="e">
        <f>ROUND(P298,2)*Q298</f>
        <v>#DIV/0!</v>
      </c>
      <c r="T298" s="96" t="e">
        <f>Q298*dagenperjaar1</f>
        <v>#DIV/0!</v>
      </c>
      <c r="U298" s="27" t="e">
        <f>T298*ROUND(P298,2)</f>
        <v>#DIV/0!</v>
      </c>
    </row>
    <row r="299" spans="1:21" x14ac:dyDescent="0.2">
      <c r="A299" s="93" t="s">
        <v>244</v>
      </c>
      <c r="B299" s="94" t="s">
        <v>42</v>
      </c>
      <c r="C299" s="94" t="s">
        <v>493</v>
      </c>
      <c r="D299" s="94" t="s">
        <v>542</v>
      </c>
      <c r="E299" s="95" t="s">
        <v>374</v>
      </c>
      <c r="F299" s="94" t="s">
        <v>277</v>
      </c>
      <c r="G299" s="94" t="s">
        <v>227</v>
      </c>
      <c r="H299" s="94" t="s">
        <v>24</v>
      </c>
      <c r="I299" s="94" t="s">
        <v>191</v>
      </c>
      <c r="J299" s="94"/>
      <c r="K299" s="96">
        <v>51.7</v>
      </c>
      <c r="L299" s="96">
        <f>K299*VLOOKUP(H299,dagsoorttabel1,2,FALSE)</f>
        <v>0.25850000000000001</v>
      </c>
      <c r="M299" s="97">
        <f>prodnorm35</f>
        <v>0</v>
      </c>
      <c r="N299" s="41">
        <f>dagwerk35</f>
        <v>0</v>
      </c>
      <c r="O299" s="94" t="s">
        <v>108</v>
      </c>
      <c r="P299" s="26">
        <f>uurtarief35</f>
        <v>0</v>
      </c>
      <c r="Q299" s="96" t="e">
        <f>IF(ISBLANK(M299),0,L299/ROUND(M299,4))</f>
        <v>#DIV/0!</v>
      </c>
      <c r="R299" s="96" t="e">
        <f>IF(ISBLANK(M299),0,Q299*ROUND(N299,2))</f>
        <v>#DIV/0!</v>
      </c>
      <c r="S299" s="26" t="e">
        <f>ROUND(P299,2)*Q299</f>
        <v>#DIV/0!</v>
      </c>
      <c r="T299" s="96" t="e">
        <f>Q299*dagenperjaar1</f>
        <v>#DIV/0!</v>
      </c>
      <c r="U299" s="27" t="e">
        <f>T299*ROUND(P299,2)</f>
        <v>#DIV/0!</v>
      </c>
    </row>
    <row r="300" spans="1:21" x14ac:dyDescent="0.2">
      <c r="A300" s="93" t="s">
        <v>244</v>
      </c>
      <c r="B300" s="94" t="s">
        <v>42</v>
      </c>
      <c r="C300" s="94" t="s">
        <v>493</v>
      </c>
      <c r="D300" s="94" t="s">
        <v>543</v>
      </c>
      <c r="E300" s="95" t="s">
        <v>424</v>
      </c>
      <c r="F300" s="94" t="s">
        <v>277</v>
      </c>
      <c r="G300" s="94" t="s">
        <v>193</v>
      </c>
      <c r="H300" s="94" t="s">
        <v>14</v>
      </c>
      <c r="I300" s="94" t="s">
        <v>191</v>
      </c>
      <c r="J300" s="94"/>
      <c r="K300" s="96">
        <v>10</v>
      </c>
      <c r="L300" s="96">
        <f>K300*VLOOKUP(H300,dagsoorttabel1,2,FALSE)</f>
        <v>4</v>
      </c>
      <c r="M300" s="97">
        <f>prodnorm15</f>
        <v>0</v>
      </c>
      <c r="N300" s="41">
        <f>dagwerk15</f>
        <v>0</v>
      </c>
      <c r="O300" s="94" t="s">
        <v>108</v>
      </c>
      <c r="P300" s="26">
        <f>uurtarief15</f>
        <v>0</v>
      </c>
      <c r="Q300" s="96" t="e">
        <f>IF(ISBLANK(M300),0,L300/ROUND(M300,4))</f>
        <v>#DIV/0!</v>
      </c>
      <c r="R300" s="96" t="e">
        <f>IF(ISBLANK(M300),0,Q300*ROUND(N300,2))</f>
        <v>#DIV/0!</v>
      </c>
      <c r="S300" s="26" t="e">
        <f>ROUND(P300,2)*Q300</f>
        <v>#DIV/0!</v>
      </c>
      <c r="T300" s="96" t="e">
        <f>Q300*dagenperjaar1</f>
        <v>#DIV/0!</v>
      </c>
      <c r="U300" s="27" t="e">
        <f>T300*ROUND(P300,2)</f>
        <v>#DIV/0!</v>
      </c>
    </row>
    <row r="301" spans="1:21" x14ac:dyDescent="0.2">
      <c r="A301" s="93" t="s">
        <v>244</v>
      </c>
      <c r="B301" s="94" t="s">
        <v>42</v>
      </c>
      <c r="C301" s="94" t="s">
        <v>493</v>
      </c>
      <c r="D301" s="94" t="s">
        <v>543</v>
      </c>
      <c r="E301" s="95" t="s">
        <v>424</v>
      </c>
      <c r="F301" s="94" t="s">
        <v>277</v>
      </c>
      <c r="G301" s="94" t="s">
        <v>227</v>
      </c>
      <c r="H301" s="94" t="s">
        <v>24</v>
      </c>
      <c r="I301" s="94" t="s">
        <v>191</v>
      </c>
      <c r="J301" s="94"/>
      <c r="K301" s="96">
        <v>10</v>
      </c>
      <c r="L301" s="96">
        <f>K301*VLOOKUP(H301,dagsoorttabel1,2,FALSE)</f>
        <v>0.05</v>
      </c>
      <c r="M301" s="97">
        <f>prodnorm35</f>
        <v>0</v>
      </c>
      <c r="N301" s="41">
        <f>dagwerk35</f>
        <v>0</v>
      </c>
      <c r="O301" s="94" t="s">
        <v>108</v>
      </c>
      <c r="P301" s="26">
        <f>uurtarief35</f>
        <v>0</v>
      </c>
      <c r="Q301" s="96" t="e">
        <f>IF(ISBLANK(M301),0,L301/ROUND(M301,4))</f>
        <v>#DIV/0!</v>
      </c>
      <c r="R301" s="96" t="e">
        <f>IF(ISBLANK(M301),0,Q301*ROUND(N301,2))</f>
        <v>#DIV/0!</v>
      </c>
      <c r="S301" s="26" t="e">
        <f>ROUND(P301,2)*Q301</f>
        <v>#DIV/0!</v>
      </c>
      <c r="T301" s="96" t="e">
        <f>Q301*dagenperjaar1</f>
        <v>#DIV/0!</v>
      </c>
      <c r="U301" s="27" t="e">
        <f>T301*ROUND(P301,2)</f>
        <v>#DIV/0!</v>
      </c>
    </row>
    <row r="302" spans="1:21" x14ac:dyDescent="0.2">
      <c r="A302" s="93" t="s">
        <v>244</v>
      </c>
      <c r="B302" s="94" t="s">
        <v>42</v>
      </c>
      <c r="C302" s="94" t="s">
        <v>544</v>
      </c>
      <c r="D302" s="94" t="s">
        <v>545</v>
      </c>
      <c r="E302" s="95" t="s">
        <v>424</v>
      </c>
      <c r="F302" s="94" t="s">
        <v>277</v>
      </c>
      <c r="G302" s="94" t="s">
        <v>193</v>
      </c>
      <c r="H302" s="94" t="s">
        <v>14</v>
      </c>
      <c r="I302" s="94" t="s">
        <v>191</v>
      </c>
      <c r="J302" s="94"/>
      <c r="K302" s="96">
        <v>15</v>
      </c>
      <c r="L302" s="96">
        <f>K302*VLOOKUP(H302,dagsoorttabel1,2,FALSE)</f>
        <v>6</v>
      </c>
      <c r="M302" s="97">
        <f>prodnorm15</f>
        <v>0</v>
      </c>
      <c r="N302" s="41">
        <f>dagwerk15</f>
        <v>0</v>
      </c>
      <c r="O302" s="94" t="s">
        <v>108</v>
      </c>
      <c r="P302" s="26">
        <f>uurtarief15</f>
        <v>0</v>
      </c>
      <c r="Q302" s="96" t="e">
        <f>IF(ISBLANK(M302),0,L302/ROUND(M302,4))</f>
        <v>#DIV/0!</v>
      </c>
      <c r="R302" s="96" t="e">
        <f>IF(ISBLANK(M302),0,Q302*ROUND(N302,2))</f>
        <v>#DIV/0!</v>
      </c>
      <c r="S302" s="26" t="e">
        <f>ROUND(P302,2)*Q302</f>
        <v>#DIV/0!</v>
      </c>
      <c r="T302" s="96" t="e">
        <f>Q302*dagenperjaar1</f>
        <v>#DIV/0!</v>
      </c>
      <c r="U302" s="27" t="e">
        <f>T302*ROUND(P302,2)</f>
        <v>#DIV/0!</v>
      </c>
    </row>
    <row r="303" spans="1:21" x14ac:dyDescent="0.2">
      <c r="A303" s="93" t="s">
        <v>244</v>
      </c>
      <c r="B303" s="94" t="s">
        <v>42</v>
      </c>
      <c r="C303" s="94" t="s">
        <v>544</v>
      </c>
      <c r="D303" s="94" t="s">
        <v>545</v>
      </c>
      <c r="E303" s="95" t="s">
        <v>424</v>
      </c>
      <c r="F303" s="94" t="s">
        <v>277</v>
      </c>
      <c r="G303" s="94" t="s">
        <v>227</v>
      </c>
      <c r="H303" s="94" t="s">
        <v>24</v>
      </c>
      <c r="I303" s="94" t="s">
        <v>191</v>
      </c>
      <c r="J303" s="94"/>
      <c r="K303" s="96">
        <v>15</v>
      </c>
      <c r="L303" s="96">
        <f>K303*VLOOKUP(H303,dagsoorttabel1,2,FALSE)</f>
        <v>7.4999999999999997E-2</v>
      </c>
      <c r="M303" s="97">
        <f>prodnorm35</f>
        <v>0</v>
      </c>
      <c r="N303" s="41">
        <f>dagwerk35</f>
        <v>0</v>
      </c>
      <c r="O303" s="94" t="s">
        <v>108</v>
      </c>
      <c r="P303" s="26">
        <f>uurtarief35</f>
        <v>0</v>
      </c>
      <c r="Q303" s="96" t="e">
        <f>IF(ISBLANK(M303),0,L303/ROUND(M303,4))</f>
        <v>#DIV/0!</v>
      </c>
      <c r="R303" s="96" t="e">
        <f>IF(ISBLANK(M303),0,Q303*ROUND(N303,2))</f>
        <v>#DIV/0!</v>
      </c>
      <c r="S303" s="26" t="e">
        <f>ROUND(P303,2)*Q303</f>
        <v>#DIV/0!</v>
      </c>
      <c r="T303" s="96" t="e">
        <f>Q303*dagenperjaar1</f>
        <v>#DIV/0!</v>
      </c>
      <c r="U303" s="27" t="e">
        <f>T303*ROUND(P303,2)</f>
        <v>#DIV/0!</v>
      </c>
    </row>
    <row r="304" spans="1:21" x14ac:dyDescent="0.2">
      <c r="A304" s="93" t="s">
        <v>244</v>
      </c>
      <c r="B304" s="94" t="s">
        <v>42</v>
      </c>
      <c r="C304" s="94" t="s">
        <v>544</v>
      </c>
      <c r="D304" s="94" t="s">
        <v>546</v>
      </c>
      <c r="E304" s="95" t="s">
        <v>424</v>
      </c>
      <c r="F304" s="94" t="s">
        <v>277</v>
      </c>
      <c r="G304" s="94" t="s">
        <v>193</v>
      </c>
      <c r="H304" s="94" t="s">
        <v>14</v>
      </c>
      <c r="I304" s="94" t="s">
        <v>191</v>
      </c>
      <c r="J304" s="94"/>
      <c r="K304" s="96">
        <v>23.01</v>
      </c>
      <c r="L304" s="96">
        <f>K304*VLOOKUP(H304,dagsoorttabel1,2,FALSE)</f>
        <v>9.2040000000000006</v>
      </c>
      <c r="M304" s="97">
        <f>prodnorm15</f>
        <v>0</v>
      </c>
      <c r="N304" s="41">
        <f>dagwerk15</f>
        <v>0</v>
      </c>
      <c r="O304" s="94" t="s">
        <v>108</v>
      </c>
      <c r="P304" s="26">
        <f>uurtarief15</f>
        <v>0</v>
      </c>
      <c r="Q304" s="96" t="e">
        <f>IF(ISBLANK(M304),0,L304/ROUND(M304,4))</f>
        <v>#DIV/0!</v>
      </c>
      <c r="R304" s="96" t="e">
        <f>IF(ISBLANK(M304),0,Q304*ROUND(N304,2))</f>
        <v>#DIV/0!</v>
      </c>
      <c r="S304" s="26" t="e">
        <f>ROUND(P304,2)*Q304</f>
        <v>#DIV/0!</v>
      </c>
      <c r="T304" s="96" t="e">
        <f>Q304*dagenperjaar1</f>
        <v>#DIV/0!</v>
      </c>
      <c r="U304" s="27" t="e">
        <f>T304*ROUND(P304,2)</f>
        <v>#DIV/0!</v>
      </c>
    </row>
    <row r="305" spans="1:21" x14ac:dyDescent="0.2">
      <c r="A305" s="93" t="s">
        <v>244</v>
      </c>
      <c r="B305" s="94" t="s">
        <v>42</v>
      </c>
      <c r="C305" s="94" t="s">
        <v>544</v>
      </c>
      <c r="D305" s="94" t="s">
        <v>546</v>
      </c>
      <c r="E305" s="95" t="s">
        <v>424</v>
      </c>
      <c r="F305" s="94" t="s">
        <v>277</v>
      </c>
      <c r="G305" s="94" t="s">
        <v>227</v>
      </c>
      <c r="H305" s="94" t="s">
        <v>24</v>
      </c>
      <c r="I305" s="94" t="s">
        <v>191</v>
      </c>
      <c r="J305" s="94"/>
      <c r="K305" s="96">
        <v>23.01</v>
      </c>
      <c r="L305" s="96">
        <f>K305*VLOOKUP(H305,dagsoorttabel1,2,FALSE)</f>
        <v>0.11505000000000001</v>
      </c>
      <c r="M305" s="97">
        <f>prodnorm35</f>
        <v>0</v>
      </c>
      <c r="N305" s="41">
        <f>dagwerk35</f>
        <v>0</v>
      </c>
      <c r="O305" s="94" t="s">
        <v>108</v>
      </c>
      <c r="P305" s="26">
        <f>uurtarief35</f>
        <v>0</v>
      </c>
      <c r="Q305" s="96" t="e">
        <f>IF(ISBLANK(M305),0,L305/ROUND(M305,4))</f>
        <v>#DIV/0!</v>
      </c>
      <c r="R305" s="96" t="e">
        <f>IF(ISBLANK(M305),0,Q305*ROUND(N305,2))</f>
        <v>#DIV/0!</v>
      </c>
      <c r="S305" s="26" t="e">
        <f>ROUND(P305,2)*Q305</f>
        <v>#DIV/0!</v>
      </c>
      <c r="T305" s="96" t="e">
        <f>Q305*dagenperjaar1</f>
        <v>#DIV/0!</v>
      </c>
      <c r="U305" s="27" t="e">
        <f>T305*ROUND(P305,2)</f>
        <v>#DIV/0!</v>
      </c>
    </row>
    <row r="306" spans="1:21" x14ac:dyDescent="0.2">
      <c r="A306" s="93" t="s">
        <v>244</v>
      </c>
      <c r="B306" s="94" t="s">
        <v>42</v>
      </c>
      <c r="C306" s="94" t="s">
        <v>544</v>
      </c>
      <c r="D306" s="94" t="s">
        <v>547</v>
      </c>
      <c r="E306" s="95" t="s">
        <v>424</v>
      </c>
      <c r="F306" s="94" t="s">
        <v>277</v>
      </c>
      <c r="G306" s="94" t="s">
        <v>193</v>
      </c>
      <c r="H306" s="94" t="s">
        <v>14</v>
      </c>
      <c r="I306" s="94" t="s">
        <v>191</v>
      </c>
      <c r="J306" s="94"/>
      <c r="K306" s="96">
        <v>18.899999999999999</v>
      </c>
      <c r="L306" s="96">
        <f>K306*VLOOKUP(H306,dagsoorttabel1,2,FALSE)</f>
        <v>7.56</v>
      </c>
      <c r="M306" s="97">
        <f>prodnorm15</f>
        <v>0</v>
      </c>
      <c r="N306" s="41">
        <f>dagwerk15</f>
        <v>0</v>
      </c>
      <c r="O306" s="94" t="s">
        <v>108</v>
      </c>
      <c r="P306" s="26">
        <f>uurtarief15</f>
        <v>0</v>
      </c>
      <c r="Q306" s="96" t="e">
        <f>IF(ISBLANK(M306),0,L306/ROUND(M306,4))</f>
        <v>#DIV/0!</v>
      </c>
      <c r="R306" s="96" t="e">
        <f>IF(ISBLANK(M306),0,Q306*ROUND(N306,2))</f>
        <v>#DIV/0!</v>
      </c>
      <c r="S306" s="26" t="e">
        <f>ROUND(P306,2)*Q306</f>
        <v>#DIV/0!</v>
      </c>
      <c r="T306" s="96" t="e">
        <f>Q306*dagenperjaar1</f>
        <v>#DIV/0!</v>
      </c>
      <c r="U306" s="27" t="e">
        <f>T306*ROUND(P306,2)</f>
        <v>#DIV/0!</v>
      </c>
    </row>
    <row r="307" spans="1:21" x14ac:dyDescent="0.2">
      <c r="A307" s="93" t="s">
        <v>244</v>
      </c>
      <c r="B307" s="94" t="s">
        <v>42</v>
      </c>
      <c r="C307" s="94" t="s">
        <v>544</v>
      </c>
      <c r="D307" s="94" t="s">
        <v>547</v>
      </c>
      <c r="E307" s="95" t="s">
        <v>424</v>
      </c>
      <c r="F307" s="94" t="s">
        <v>277</v>
      </c>
      <c r="G307" s="94" t="s">
        <v>227</v>
      </c>
      <c r="H307" s="94" t="s">
        <v>24</v>
      </c>
      <c r="I307" s="94" t="s">
        <v>191</v>
      </c>
      <c r="J307" s="94"/>
      <c r="K307" s="96">
        <v>18.899999999999999</v>
      </c>
      <c r="L307" s="96">
        <f>K307*VLOOKUP(H307,dagsoorttabel1,2,FALSE)</f>
        <v>9.4500000000000001E-2</v>
      </c>
      <c r="M307" s="97">
        <f>prodnorm35</f>
        <v>0</v>
      </c>
      <c r="N307" s="41">
        <f>dagwerk35</f>
        <v>0</v>
      </c>
      <c r="O307" s="94" t="s">
        <v>108</v>
      </c>
      <c r="P307" s="26">
        <f>uurtarief35</f>
        <v>0</v>
      </c>
      <c r="Q307" s="96" t="e">
        <f>IF(ISBLANK(M307),0,L307/ROUND(M307,4))</f>
        <v>#DIV/0!</v>
      </c>
      <c r="R307" s="96" t="e">
        <f>IF(ISBLANK(M307),0,Q307*ROUND(N307,2))</f>
        <v>#DIV/0!</v>
      </c>
      <c r="S307" s="26" t="e">
        <f>ROUND(P307,2)*Q307</f>
        <v>#DIV/0!</v>
      </c>
      <c r="T307" s="96" t="e">
        <f>Q307*dagenperjaar1</f>
        <v>#DIV/0!</v>
      </c>
      <c r="U307" s="27" t="e">
        <f>T307*ROUND(P307,2)</f>
        <v>#DIV/0!</v>
      </c>
    </row>
    <row r="308" spans="1:21" x14ac:dyDescent="0.2">
      <c r="A308" s="93" t="s">
        <v>244</v>
      </c>
      <c r="B308" s="94" t="s">
        <v>42</v>
      </c>
      <c r="C308" s="94" t="s">
        <v>544</v>
      </c>
      <c r="D308" s="94" t="s">
        <v>548</v>
      </c>
      <c r="E308" s="95" t="s">
        <v>424</v>
      </c>
      <c r="F308" s="94" t="s">
        <v>277</v>
      </c>
      <c r="G308" s="94" t="s">
        <v>193</v>
      </c>
      <c r="H308" s="94" t="s">
        <v>14</v>
      </c>
      <c r="I308" s="94" t="s">
        <v>191</v>
      </c>
      <c r="J308" s="94"/>
      <c r="K308" s="96">
        <v>11.4</v>
      </c>
      <c r="L308" s="96">
        <f>K308*VLOOKUP(H308,dagsoorttabel1,2,FALSE)</f>
        <v>4.5600000000000005</v>
      </c>
      <c r="M308" s="97">
        <f>prodnorm15</f>
        <v>0</v>
      </c>
      <c r="N308" s="41">
        <f>dagwerk15</f>
        <v>0</v>
      </c>
      <c r="O308" s="94" t="s">
        <v>108</v>
      </c>
      <c r="P308" s="26">
        <f>uurtarief15</f>
        <v>0</v>
      </c>
      <c r="Q308" s="96" t="e">
        <f>IF(ISBLANK(M308),0,L308/ROUND(M308,4))</f>
        <v>#DIV/0!</v>
      </c>
      <c r="R308" s="96" t="e">
        <f>IF(ISBLANK(M308),0,Q308*ROUND(N308,2))</f>
        <v>#DIV/0!</v>
      </c>
      <c r="S308" s="26" t="e">
        <f>ROUND(P308,2)*Q308</f>
        <v>#DIV/0!</v>
      </c>
      <c r="T308" s="96" t="e">
        <f>Q308*dagenperjaar1</f>
        <v>#DIV/0!</v>
      </c>
      <c r="U308" s="27" t="e">
        <f>T308*ROUND(P308,2)</f>
        <v>#DIV/0!</v>
      </c>
    </row>
    <row r="309" spans="1:21" x14ac:dyDescent="0.2">
      <c r="A309" s="93" t="s">
        <v>244</v>
      </c>
      <c r="B309" s="94" t="s">
        <v>42</v>
      </c>
      <c r="C309" s="94" t="s">
        <v>544</v>
      </c>
      <c r="D309" s="94" t="s">
        <v>548</v>
      </c>
      <c r="E309" s="95" t="s">
        <v>424</v>
      </c>
      <c r="F309" s="94" t="s">
        <v>277</v>
      </c>
      <c r="G309" s="94" t="s">
        <v>227</v>
      </c>
      <c r="H309" s="94" t="s">
        <v>24</v>
      </c>
      <c r="I309" s="94" t="s">
        <v>191</v>
      </c>
      <c r="J309" s="94"/>
      <c r="K309" s="96">
        <v>11.4</v>
      </c>
      <c r="L309" s="96">
        <f>K309*VLOOKUP(H309,dagsoorttabel1,2,FALSE)</f>
        <v>5.7000000000000002E-2</v>
      </c>
      <c r="M309" s="97">
        <f>prodnorm35</f>
        <v>0</v>
      </c>
      <c r="N309" s="41">
        <f>dagwerk35</f>
        <v>0</v>
      </c>
      <c r="O309" s="94" t="s">
        <v>108</v>
      </c>
      <c r="P309" s="26">
        <f>uurtarief35</f>
        <v>0</v>
      </c>
      <c r="Q309" s="96" t="e">
        <f>IF(ISBLANK(M309),0,L309/ROUND(M309,4))</f>
        <v>#DIV/0!</v>
      </c>
      <c r="R309" s="96" t="e">
        <f>IF(ISBLANK(M309),0,Q309*ROUND(N309,2))</f>
        <v>#DIV/0!</v>
      </c>
      <c r="S309" s="26" t="e">
        <f>ROUND(P309,2)*Q309</f>
        <v>#DIV/0!</v>
      </c>
      <c r="T309" s="96" t="e">
        <f>Q309*dagenperjaar1</f>
        <v>#DIV/0!</v>
      </c>
      <c r="U309" s="27" t="e">
        <f>T309*ROUND(P309,2)</f>
        <v>#DIV/0!</v>
      </c>
    </row>
    <row r="310" spans="1:21" x14ac:dyDescent="0.2">
      <c r="A310" s="93" t="s">
        <v>244</v>
      </c>
      <c r="B310" s="94" t="s">
        <v>42</v>
      </c>
      <c r="C310" s="94" t="s">
        <v>544</v>
      </c>
      <c r="D310" s="94" t="s">
        <v>549</v>
      </c>
      <c r="E310" s="95" t="s">
        <v>550</v>
      </c>
      <c r="F310" s="94" t="s">
        <v>277</v>
      </c>
      <c r="G310" s="94" t="s">
        <v>193</v>
      </c>
      <c r="H310" s="94" t="s">
        <v>14</v>
      </c>
      <c r="I310" s="94" t="s">
        <v>191</v>
      </c>
      <c r="J310" s="94"/>
      <c r="K310" s="96">
        <v>166.8</v>
      </c>
      <c r="L310" s="96">
        <f>K310*VLOOKUP(H310,dagsoorttabel1,2,FALSE)</f>
        <v>66.720000000000013</v>
      </c>
      <c r="M310" s="97">
        <f>prodnorm15</f>
        <v>0</v>
      </c>
      <c r="N310" s="41">
        <f>dagwerk15</f>
        <v>0</v>
      </c>
      <c r="O310" s="94" t="s">
        <v>108</v>
      </c>
      <c r="P310" s="26">
        <f>uurtarief15</f>
        <v>0</v>
      </c>
      <c r="Q310" s="96" t="e">
        <f>IF(ISBLANK(M310),0,L310/ROUND(M310,4))</f>
        <v>#DIV/0!</v>
      </c>
      <c r="R310" s="96" t="e">
        <f>IF(ISBLANK(M310),0,Q310*ROUND(N310,2))</f>
        <v>#DIV/0!</v>
      </c>
      <c r="S310" s="26" t="e">
        <f>ROUND(P310,2)*Q310</f>
        <v>#DIV/0!</v>
      </c>
      <c r="T310" s="96" t="e">
        <f>Q310*dagenperjaar1</f>
        <v>#DIV/0!</v>
      </c>
      <c r="U310" s="27" t="e">
        <f>T310*ROUND(P310,2)</f>
        <v>#DIV/0!</v>
      </c>
    </row>
    <row r="311" spans="1:21" x14ac:dyDescent="0.2">
      <c r="A311" s="93" t="s">
        <v>244</v>
      </c>
      <c r="B311" s="94" t="s">
        <v>42</v>
      </c>
      <c r="C311" s="94" t="s">
        <v>544</v>
      </c>
      <c r="D311" s="94" t="s">
        <v>549</v>
      </c>
      <c r="E311" s="95" t="s">
        <v>550</v>
      </c>
      <c r="F311" s="94" t="s">
        <v>277</v>
      </c>
      <c r="G311" s="94" t="s">
        <v>227</v>
      </c>
      <c r="H311" s="94" t="s">
        <v>24</v>
      </c>
      <c r="I311" s="94" t="s">
        <v>191</v>
      </c>
      <c r="J311" s="94"/>
      <c r="K311" s="96">
        <v>166.8</v>
      </c>
      <c r="L311" s="96">
        <f>K311*VLOOKUP(H311,dagsoorttabel1,2,FALSE)</f>
        <v>0.83400000000000007</v>
      </c>
      <c r="M311" s="97">
        <f>prodnorm35</f>
        <v>0</v>
      </c>
      <c r="N311" s="41">
        <f>dagwerk35</f>
        <v>0</v>
      </c>
      <c r="O311" s="94" t="s">
        <v>108</v>
      </c>
      <c r="P311" s="26">
        <f>uurtarief35</f>
        <v>0</v>
      </c>
      <c r="Q311" s="96" t="e">
        <f>IF(ISBLANK(M311),0,L311/ROUND(M311,4))</f>
        <v>#DIV/0!</v>
      </c>
      <c r="R311" s="96" t="e">
        <f>IF(ISBLANK(M311),0,Q311*ROUND(N311,2))</f>
        <v>#DIV/0!</v>
      </c>
      <c r="S311" s="26" t="e">
        <f>ROUND(P311,2)*Q311</f>
        <v>#DIV/0!</v>
      </c>
      <c r="T311" s="96" t="e">
        <f>Q311*dagenperjaar1</f>
        <v>#DIV/0!</v>
      </c>
      <c r="U311" s="27" t="e">
        <f>T311*ROUND(P311,2)</f>
        <v>#DIV/0!</v>
      </c>
    </row>
    <row r="312" spans="1:21" x14ac:dyDescent="0.2">
      <c r="A312" s="93" t="s">
        <v>244</v>
      </c>
      <c r="B312" s="94" t="s">
        <v>42</v>
      </c>
      <c r="C312" s="94" t="s">
        <v>544</v>
      </c>
      <c r="D312" s="94" t="s">
        <v>551</v>
      </c>
      <c r="E312" s="95" t="s">
        <v>552</v>
      </c>
      <c r="F312" s="94" t="s">
        <v>277</v>
      </c>
      <c r="G312" s="94" t="s">
        <v>193</v>
      </c>
      <c r="H312" s="94" t="s">
        <v>14</v>
      </c>
      <c r="I312" s="94" t="s">
        <v>191</v>
      </c>
      <c r="J312" s="94"/>
      <c r="K312" s="96">
        <v>6.8</v>
      </c>
      <c r="L312" s="96">
        <f>K312*VLOOKUP(H312,dagsoorttabel1,2,FALSE)</f>
        <v>2.72</v>
      </c>
      <c r="M312" s="97">
        <f>prodnorm15</f>
        <v>0</v>
      </c>
      <c r="N312" s="41">
        <f>dagwerk15</f>
        <v>0</v>
      </c>
      <c r="O312" s="94" t="s">
        <v>108</v>
      </c>
      <c r="P312" s="26">
        <f>uurtarief15</f>
        <v>0</v>
      </c>
      <c r="Q312" s="96" t="e">
        <f>IF(ISBLANK(M312),0,L312/ROUND(M312,4))</f>
        <v>#DIV/0!</v>
      </c>
      <c r="R312" s="96" t="e">
        <f>IF(ISBLANK(M312),0,Q312*ROUND(N312,2))</f>
        <v>#DIV/0!</v>
      </c>
      <c r="S312" s="26" t="e">
        <f>ROUND(P312,2)*Q312</f>
        <v>#DIV/0!</v>
      </c>
      <c r="T312" s="96" t="e">
        <f>Q312*dagenperjaar1</f>
        <v>#DIV/0!</v>
      </c>
      <c r="U312" s="27" t="e">
        <f>T312*ROUND(P312,2)</f>
        <v>#DIV/0!</v>
      </c>
    </row>
    <row r="313" spans="1:21" x14ac:dyDescent="0.2">
      <c r="A313" s="93" t="s">
        <v>244</v>
      </c>
      <c r="B313" s="94" t="s">
        <v>42</v>
      </c>
      <c r="C313" s="94" t="s">
        <v>544</v>
      </c>
      <c r="D313" s="94" t="s">
        <v>551</v>
      </c>
      <c r="E313" s="95" t="s">
        <v>552</v>
      </c>
      <c r="F313" s="94" t="s">
        <v>277</v>
      </c>
      <c r="G313" s="94" t="s">
        <v>227</v>
      </c>
      <c r="H313" s="94" t="s">
        <v>24</v>
      </c>
      <c r="I313" s="94" t="s">
        <v>191</v>
      </c>
      <c r="J313" s="94"/>
      <c r="K313" s="96">
        <v>6.8</v>
      </c>
      <c r="L313" s="96">
        <f>K313*VLOOKUP(H313,dagsoorttabel1,2,FALSE)</f>
        <v>3.4000000000000002E-2</v>
      </c>
      <c r="M313" s="97">
        <f>prodnorm35</f>
        <v>0</v>
      </c>
      <c r="N313" s="41">
        <f>dagwerk35</f>
        <v>0</v>
      </c>
      <c r="O313" s="94" t="s">
        <v>108</v>
      </c>
      <c r="P313" s="26">
        <f>uurtarief35</f>
        <v>0</v>
      </c>
      <c r="Q313" s="96" t="e">
        <f>IF(ISBLANK(M313),0,L313/ROUND(M313,4))</f>
        <v>#DIV/0!</v>
      </c>
      <c r="R313" s="96" t="e">
        <f>IF(ISBLANK(M313),0,Q313*ROUND(N313,2))</f>
        <v>#DIV/0!</v>
      </c>
      <c r="S313" s="26" t="e">
        <f>ROUND(P313,2)*Q313</f>
        <v>#DIV/0!</v>
      </c>
      <c r="T313" s="96" t="e">
        <f>Q313*dagenperjaar1</f>
        <v>#DIV/0!</v>
      </c>
      <c r="U313" s="27" t="e">
        <f>T313*ROUND(P313,2)</f>
        <v>#DIV/0!</v>
      </c>
    </row>
    <row r="314" spans="1:21" x14ac:dyDescent="0.2">
      <c r="A314" s="93" t="s">
        <v>244</v>
      </c>
      <c r="B314" s="94" t="s">
        <v>42</v>
      </c>
      <c r="C314" s="94" t="s">
        <v>544</v>
      </c>
      <c r="D314" s="94" t="s">
        <v>553</v>
      </c>
      <c r="E314" s="95" t="s">
        <v>424</v>
      </c>
      <c r="F314" s="94" t="s">
        <v>277</v>
      </c>
      <c r="G314" s="94" t="s">
        <v>193</v>
      </c>
      <c r="H314" s="94" t="s">
        <v>14</v>
      </c>
      <c r="I314" s="94" t="s">
        <v>191</v>
      </c>
      <c r="J314" s="94"/>
      <c r="K314" s="96">
        <v>17.8</v>
      </c>
      <c r="L314" s="96">
        <f>K314*VLOOKUP(H314,dagsoorttabel1,2,FALSE)</f>
        <v>7.120000000000001</v>
      </c>
      <c r="M314" s="97">
        <f>prodnorm15</f>
        <v>0</v>
      </c>
      <c r="N314" s="41">
        <f>dagwerk15</f>
        <v>0</v>
      </c>
      <c r="O314" s="94" t="s">
        <v>108</v>
      </c>
      <c r="P314" s="26">
        <f>uurtarief15</f>
        <v>0</v>
      </c>
      <c r="Q314" s="96" t="e">
        <f>IF(ISBLANK(M314),0,L314/ROUND(M314,4))</f>
        <v>#DIV/0!</v>
      </c>
      <c r="R314" s="96" t="e">
        <f>IF(ISBLANK(M314),0,Q314*ROUND(N314,2))</f>
        <v>#DIV/0!</v>
      </c>
      <c r="S314" s="26" t="e">
        <f>ROUND(P314,2)*Q314</f>
        <v>#DIV/0!</v>
      </c>
      <c r="T314" s="96" t="e">
        <f>Q314*dagenperjaar1</f>
        <v>#DIV/0!</v>
      </c>
      <c r="U314" s="27" t="e">
        <f>T314*ROUND(P314,2)</f>
        <v>#DIV/0!</v>
      </c>
    </row>
    <row r="315" spans="1:21" x14ac:dyDescent="0.2">
      <c r="A315" s="93" t="s">
        <v>244</v>
      </c>
      <c r="B315" s="94" t="s">
        <v>42</v>
      </c>
      <c r="C315" s="94" t="s">
        <v>544</v>
      </c>
      <c r="D315" s="94" t="s">
        <v>553</v>
      </c>
      <c r="E315" s="95" t="s">
        <v>424</v>
      </c>
      <c r="F315" s="94" t="s">
        <v>277</v>
      </c>
      <c r="G315" s="94" t="s">
        <v>227</v>
      </c>
      <c r="H315" s="94" t="s">
        <v>24</v>
      </c>
      <c r="I315" s="94" t="s">
        <v>191</v>
      </c>
      <c r="J315" s="94"/>
      <c r="K315" s="96">
        <v>17.8</v>
      </c>
      <c r="L315" s="96">
        <f>K315*VLOOKUP(H315,dagsoorttabel1,2,FALSE)</f>
        <v>8.900000000000001E-2</v>
      </c>
      <c r="M315" s="97">
        <f>prodnorm35</f>
        <v>0</v>
      </c>
      <c r="N315" s="41">
        <f>dagwerk35</f>
        <v>0</v>
      </c>
      <c r="O315" s="94" t="s">
        <v>108</v>
      </c>
      <c r="P315" s="26">
        <f>uurtarief35</f>
        <v>0</v>
      </c>
      <c r="Q315" s="96" t="e">
        <f>IF(ISBLANK(M315),0,L315/ROUND(M315,4))</f>
        <v>#DIV/0!</v>
      </c>
      <c r="R315" s="96" t="e">
        <f>IF(ISBLANK(M315),0,Q315*ROUND(N315,2))</f>
        <v>#DIV/0!</v>
      </c>
      <c r="S315" s="26" t="e">
        <f>ROUND(P315,2)*Q315</f>
        <v>#DIV/0!</v>
      </c>
      <c r="T315" s="96" t="e">
        <f>Q315*dagenperjaar1</f>
        <v>#DIV/0!</v>
      </c>
      <c r="U315" s="27" t="e">
        <f>T315*ROUND(P315,2)</f>
        <v>#DIV/0!</v>
      </c>
    </row>
    <row r="316" spans="1:21" x14ac:dyDescent="0.2">
      <c r="A316" s="93" t="s">
        <v>244</v>
      </c>
      <c r="B316" s="94" t="s">
        <v>42</v>
      </c>
      <c r="C316" s="94" t="s">
        <v>544</v>
      </c>
      <c r="D316" s="94" t="s">
        <v>554</v>
      </c>
      <c r="E316" s="95" t="s">
        <v>424</v>
      </c>
      <c r="F316" s="94" t="s">
        <v>277</v>
      </c>
      <c r="G316" s="94" t="s">
        <v>193</v>
      </c>
      <c r="H316" s="94" t="s">
        <v>14</v>
      </c>
      <c r="I316" s="94" t="s">
        <v>191</v>
      </c>
      <c r="J316" s="94"/>
      <c r="K316" s="96">
        <v>18.8</v>
      </c>
      <c r="L316" s="96">
        <f>K316*VLOOKUP(H316,dagsoorttabel1,2,FALSE)</f>
        <v>7.5200000000000005</v>
      </c>
      <c r="M316" s="97">
        <f>prodnorm15</f>
        <v>0</v>
      </c>
      <c r="N316" s="41">
        <f>dagwerk15</f>
        <v>0</v>
      </c>
      <c r="O316" s="94" t="s">
        <v>108</v>
      </c>
      <c r="P316" s="26">
        <f>uurtarief15</f>
        <v>0</v>
      </c>
      <c r="Q316" s="96" t="e">
        <f>IF(ISBLANK(M316),0,L316/ROUND(M316,4))</f>
        <v>#DIV/0!</v>
      </c>
      <c r="R316" s="96" t="e">
        <f>IF(ISBLANK(M316),0,Q316*ROUND(N316,2))</f>
        <v>#DIV/0!</v>
      </c>
      <c r="S316" s="26" t="e">
        <f>ROUND(P316,2)*Q316</f>
        <v>#DIV/0!</v>
      </c>
      <c r="T316" s="96" t="e">
        <f>Q316*dagenperjaar1</f>
        <v>#DIV/0!</v>
      </c>
      <c r="U316" s="27" t="e">
        <f>T316*ROUND(P316,2)</f>
        <v>#DIV/0!</v>
      </c>
    </row>
    <row r="317" spans="1:21" x14ac:dyDescent="0.2">
      <c r="A317" s="93" t="s">
        <v>244</v>
      </c>
      <c r="B317" s="94" t="s">
        <v>42</v>
      </c>
      <c r="C317" s="94" t="s">
        <v>544</v>
      </c>
      <c r="D317" s="94" t="s">
        <v>554</v>
      </c>
      <c r="E317" s="95" t="s">
        <v>424</v>
      </c>
      <c r="F317" s="94" t="s">
        <v>277</v>
      </c>
      <c r="G317" s="94" t="s">
        <v>227</v>
      </c>
      <c r="H317" s="94" t="s">
        <v>24</v>
      </c>
      <c r="I317" s="94" t="s">
        <v>191</v>
      </c>
      <c r="J317" s="94"/>
      <c r="K317" s="96">
        <v>18.8</v>
      </c>
      <c r="L317" s="96">
        <f>K317*VLOOKUP(H317,dagsoorttabel1,2,FALSE)</f>
        <v>9.4E-2</v>
      </c>
      <c r="M317" s="97">
        <f>prodnorm35</f>
        <v>0</v>
      </c>
      <c r="N317" s="41">
        <f>dagwerk35</f>
        <v>0</v>
      </c>
      <c r="O317" s="94" t="s">
        <v>108</v>
      </c>
      <c r="P317" s="26">
        <f>uurtarief35</f>
        <v>0</v>
      </c>
      <c r="Q317" s="96" t="e">
        <f>IF(ISBLANK(M317),0,L317/ROUND(M317,4))</f>
        <v>#DIV/0!</v>
      </c>
      <c r="R317" s="96" t="e">
        <f>IF(ISBLANK(M317),0,Q317*ROUND(N317,2))</f>
        <v>#DIV/0!</v>
      </c>
      <c r="S317" s="26" t="e">
        <f>ROUND(P317,2)*Q317</f>
        <v>#DIV/0!</v>
      </c>
      <c r="T317" s="96" t="e">
        <f>Q317*dagenperjaar1</f>
        <v>#DIV/0!</v>
      </c>
      <c r="U317" s="27" t="e">
        <f>T317*ROUND(P317,2)</f>
        <v>#DIV/0!</v>
      </c>
    </row>
    <row r="318" spans="1:21" x14ac:dyDescent="0.2">
      <c r="A318" s="93" t="s">
        <v>244</v>
      </c>
      <c r="B318" s="94" t="s">
        <v>42</v>
      </c>
      <c r="C318" s="94" t="s">
        <v>544</v>
      </c>
      <c r="D318" s="94" t="s">
        <v>555</v>
      </c>
      <c r="E318" s="95" t="s">
        <v>552</v>
      </c>
      <c r="F318" s="94" t="s">
        <v>277</v>
      </c>
      <c r="G318" s="94" t="s">
        <v>193</v>
      </c>
      <c r="H318" s="94" t="s">
        <v>14</v>
      </c>
      <c r="I318" s="94" t="s">
        <v>191</v>
      </c>
      <c r="J318" s="94"/>
      <c r="K318" s="96">
        <v>16</v>
      </c>
      <c r="L318" s="96">
        <f>K318*VLOOKUP(H318,dagsoorttabel1,2,FALSE)</f>
        <v>6.4</v>
      </c>
      <c r="M318" s="97">
        <f>prodnorm15</f>
        <v>0</v>
      </c>
      <c r="N318" s="41">
        <f>dagwerk15</f>
        <v>0</v>
      </c>
      <c r="O318" s="94" t="s">
        <v>108</v>
      </c>
      <c r="P318" s="26">
        <f>uurtarief15</f>
        <v>0</v>
      </c>
      <c r="Q318" s="96" t="e">
        <f>IF(ISBLANK(M318),0,L318/ROUND(M318,4))</f>
        <v>#DIV/0!</v>
      </c>
      <c r="R318" s="96" t="e">
        <f>IF(ISBLANK(M318),0,Q318*ROUND(N318,2))</f>
        <v>#DIV/0!</v>
      </c>
      <c r="S318" s="26" t="e">
        <f>ROUND(P318,2)*Q318</f>
        <v>#DIV/0!</v>
      </c>
      <c r="T318" s="96" t="e">
        <f>Q318*dagenperjaar1</f>
        <v>#DIV/0!</v>
      </c>
      <c r="U318" s="27" t="e">
        <f>T318*ROUND(P318,2)</f>
        <v>#DIV/0!</v>
      </c>
    </row>
    <row r="319" spans="1:21" x14ac:dyDescent="0.2">
      <c r="A319" s="93" t="s">
        <v>244</v>
      </c>
      <c r="B319" s="94" t="s">
        <v>42</v>
      </c>
      <c r="C319" s="94" t="s">
        <v>544</v>
      </c>
      <c r="D319" s="94" t="s">
        <v>555</v>
      </c>
      <c r="E319" s="95" t="s">
        <v>552</v>
      </c>
      <c r="F319" s="94" t="s">
        <v>277</v>
      </c>
      <c r="G319" s="94" t="s">
        <v>227</v>
      </c>
      <c r="H319" s="94" t="s">
        <v>24</v>
      </c>
      <c r="I319" s="94" t="s">
        <v>191</v>
      </c>
      <c r="J319" s="94"/>
      <c r="K319" s="96">
        <v>16</v>
      </c>
      <c r="L319" s="96">
        <f>K319*VLOOKUP(H319,dagsoorttabel1,2,FALSE)</f>
        <v>0.08</v>
      </c>
      <c r="M319" s="97">
        <f>prodnorm35</f>
        <v>0</v>
      </c>
      <c r="N319" s="41">
        <f>dagwerk35</f>
        <v>0</v>
      </c>
      <c r="O319" s="94" t="s">
        <v>108</v>
      </c>
      <c r="P319" s="26">
        <f>uurtarief35</f>
        <v>0</v>
      </c>
      <c r="Q319" s="96" t="e">
        <f>IF(ISBLANK(M319),0,L319/ROUND(M319,4))</f>
        <v>#DIV/0!</v>
      </c>
      <c r="R319" s="96" t="e">
        <f>IF(ISBLANK(M319),0,Q319*ROUND(N319,2))</f>
        <v>#DIV/0!</v>
      </c>
      <c r="S319" s="26" t="e">
        <f>ROUND(P319,2)*Q319</f>
        <v>#DIV/0!</v>
      </c>
      <c r="T319" s="96" t="e">
        <f>Q319*dagenperjaar1</f>
        <v>#DIV/0!</v>
      </c>
      <c r="U319" s="27" t="e">
        <f>T319*ROUND(P319,2)</f>
        <v>#DIV/0!</v>
      </c>
    </row>
    <row r="320" spans="1:21" x14ac:dyDescent="0.2">
      <c r="A320" s="93" t="s">
        <v>244</v>
      </c>
      <c r="B320" s="94" t="s">
        <v>42</v>
      </c>
      <c r="C320" s="94" t="s">
        <v>544</v>
      </c>
      <c r="D320" s="94" t="s">
        <v>556</v>
      </c>
      <c r="E320" s="95" t="s">
        <v>324</v>
      </c>
      <c r="F320" s="94" t="s">
        <v>277</v>
      </c>
      <c r="G320" s="94" t="s">
        <v>223</v>
      </c>
      <c r="H320" s="94" t="s">
        <v>10</v>
      </c>
      <c r="I320" s="94" t="s">
        <v>191</v>
      </c>
      <c r="J320" s="94"/>
      <c r="K320" s="96">
        <v>47.160000000000004</v>
      </c>
      <c r="L320" s="96">
        <f>K320*VLOOKUP(H320,dagsoorttabel1,2,FALSE)</f>
        <v>47.160000000000004</v>
      </c>
      <c r="M320" s="97">
        <f>prodnorm32</f>
        <v>0</v>
      </c>
      <c r="N320" s="41">
        <f>dagwerk32</f>
        <v>0</v>
      </c>
      <c r="O320" s="94" t="s">
        <v>108</v>
      </c>
      <c r="P320" s="26">
        <f>uurtarief32</f>
        <v>0</v>
      </c>
      <c r="Q320" s="96" t="e">
        <f>IF(ISBLANK(M320),0,L320/ROUND(M320,4))</f>
        <v>#DIV/0!</v>
      </c>
      <c r="R320" s="96" t="e">
        <f>IF(ISBLANK(M320),0,Q320*ROUND(N320,2))</f>
        <v>#DIV/0!</v>
      </c>
      <c r="S320" s="26" t="e">
        <f>ROUND(P320,2)*Q320</f>
        <v>#DIV/0!</v>
      </c>
      <c r="T320" s="96" t="e">
        <f>Q320*dagenperjaar1</f>
        <v>#DIV/0!</v>
      </c>
      <c r="U320" s="27" t="e">
        <f>T320*ROUND(P320,2)</f>
        <v>#DIV/0!</v>
      </c>
    </row>
    <row r="321" spans="1:21" x14ac:dyDescent="0.2">
      <c r="A321" s="93" t="s">
        <v>244</v>
      </c>
      <c r="B321" s="94" t="s">
        <v>42</v>
      </c>
      <c r="C321" s="94" t="s">
        <v>544</v>
      </c>
      <c r="D321" s="94" t="s">
        <v>556</v>
      </c>
      <c r="E321" s="95" t="s">
        <v>324</v>
      </c>
      <c r="F321" s="94" t="s">
        <v>277</v>
      </c>
      <c r="G321" s="94" t="s">
        <v>227</v>
      </c>
      <c r="H321" s="94" t="s">
        <v>24</v>
      </c>
      <c r="I321" s="94" t="s">
        <v>191</v>
      </c>
      <c r="J321" s="94"/>
      <c r="K321" s="96">
        <v>47.160000000000004</v>
      </c>
      <c r="L321" s="96">
        <f>K321*VLOOKUP(H321,dagsoorttabel1,2,FALSE)</f>
        <v>0.23580000000000001</v>
      </c>
      <c r="M321" s="97">
        <f>prodnorm35</f>
        <v>0</v>
      </c>
      <c r="N321" s="41">
        <f>dagwerk35</f>
        <v>0</v>
      </c>
      <c r="O321" s="94" t="s">
        <v>108</v>
      </c>
      <c r="P321" s="26">
        <f>uurtarief35</f>
        <v>0</v>
      </c>
      <c r="Q321" s="96" t="e">
        <f>IF(ISBLANK(M321),0,L321/ROUND(M321,4))</f>
        <v>#DIV/0!</v>
      </c>
      <c r="R321" s="96" t="e">
        <f>IF(ISBLANK(M321),0,Q321*ROUND(N321,2))</f>
        <v>#DIV/0!</v>
      </c>
      <c r="S321" s="26" t="e">
        <f>ROUND(P321,2)*Q321</f>
        <v>#DIV/0!</v>
      </c>
      <c r="T321" s="96" t="e">
        <f>Q321*dagenperjaar1</f>
        <v>#DIV/0!</v>
      </c>
      <c r="U321" s="27" t="e">
        <f>T321*ROUND(P321,2)</f>
        <v>#DIV/0!</v>
      </c>
    </row>
    <row r="322" spans="1:21" x14ac:dyDescent="0.2">
      <c r="A322" s="93" t="s">
        <v>244</v>
      </c>
      <c r="B322" s="94" t="s">
        <v>42</v>
      </c>
      <c r="C322" s="94" t="s">
        <v>544</v>
      </c>
      <c r="D322" s="94" t="s">
        <v>557</v>
      </c>
      <c r="E322" s="95" t="s">
        <v>558</v>
      </c>
      <c r="F322" s="94" t="s">
        <v>277</v>
      </c>
      <c r="G322" s="94" t="s">
        <v>211</v>
      </c>
      <c r="H322" s="94" t="s">
        <v>10</v>
      </c>
      <c r="I322" s="94" t="s">
        <v>191</v>
      </c>
      <c r="J322" s="94"/>
      <c r="K322" s="96">
        <v>91.460000000000008</v>
      </c>
      <c r="L322" s="96">
        <f>K322*VLOOKUP(H322,dagsoorttabel1,2,FALSE)</f>
        <v>91.460000000000008</v>
      </c>
      <c r="M322" s="97">
        <f>prodnorm26</f>
        <v>0</v>
      </c>
      <c r="N322" s="41">
        <f>dagwerk26</f>
        <v>0</v>
      </c>
      <c r="O322" s="94" t="s">
        <v>108</v>
      </c>
      <c r="P322" s="26">
        <f>uurtarief26</f>
        <v>0</v>
      </c>
      <c r="Q322" s="96" t="e">
        <f>IF(ISBLANK(M322),0,L322/ROUND(M322,4))</f>
        <v>#DIV/0!</v>
      </c>
      <c r="R322" s="96" t="e">
        <f>IF(ISBLANK(M322),0,Q322*ROUND(N322,2))</f>
        <v>#DIV/0!</v>
      </c>
      <c r="S322" s="26" t="e">
        <f>ROUND(P322,2)*Q322</f>
        <v>#DIV/0!</v>
      </c>
      <c r="T322" s="96" t="e">
        <f>Q322*dagenperjaar1</f>
        <v>#DIV/0!</v>
      </c>
      <c r="U322" s="27" t="e">
        <f>T322*ROUND(P322,2)</f>
        <v>#DIV/0!</v>
      </c>
    </row>
    <row r="323" spans="1:21" x14ac:dyDescent="0.2">
      <c r="A323" s="93" t="s">
        <v>244</v>
      </c>
      <c r="B323" s="94" t="s">
        <v>42</v>
      </c>
      <c r="C323" s="94" t="s">
        <v>544</v>
      </c>
      <c r="D323" s="94" t="s">
        <v>557</v>
      </c>
      <c r="E323" s="95" t="s">
        <v>558</v>
      </c>
      <c r="F323" s="94" t="s">
        <v>277</v>
      </c>
      <c r="G323" s="94" t="s">
        <v>227</v>
      </c>
      <c r="H323" s="94" t="s">
        <v>24</v>
      </c>
      <c r="I323" s="94" t="s">
        <v>191</v>
      </c>
      <c r="J323" s="94"/>
      <c r="K323" s="96">
        <v>91.460000000000008</v>
      </c>
      <c r="L323" s="96">
        <f>K323*VLOOKUP(H323,dagsoorttabel1,2,FALSE)</f>
        <v>0.45730000000000004</v>
      </c>
      <c r="M323" s="97">
        <f>prodnorm35</f>
        <v>0</v>
      </c>
      <c r="N323" s="41">
        <f>dagwerk35</f>
        <v>0</v>
      </c>
      <c r="O323" s="94" t="s">
        <v>108</v>
      </c>
      <c r="P323" s="26">
        <f>uurtarief35</f>
        <v>0</v>
      </c>
      <c r="Q323" s="96" t="e">
        <f>IF(ISBLANK(M323),0,L323/ROUND(M323,4))</f>
        <v>#DIV/0!</v>
      </c>
      <c r="R323" s="96" t="e">
        <f>IF(ISBLANK(M323),0,Q323*ROUND(N323,2))</f>
        <v>#DIV/0!</v>
      </c>
      <c r="S323" s="26" t="e">
        <f>ROUND(P323,2)*Q323</f>
        <v>#DIV/0!</v>
      </c>
      <c r="T323" s="96" t="e">
        <f>Q323*dagenperjaar1</f>
        <v>#DIV/0!</v>
      </c>
      <c r="U323" s="27" t="e">
        <f>T323*ROUND(P323,2)</f>
        <v>#DIV/0!</v>
      </c>
    </row>
    <row r="324" spans="1:21" x14ac:dyDescent="0.2">
      <c r="A324" s="93" t="s">
        <v>244</v>
      </c>
      <c r="B324" s="94" t="s">
        <v>42</v>
      </c>
      <c r="C324" s="94" t="s">
        <v>559</v>
      </c>
      <c r="D324" s="94" t="s">
        <v>560</v>
      </c>
      <c r="E324" s="95" t="s">
        <v>377</v>
      </c>
      <c r="F324" s="94" t="s">
        <v>263</v>
      </c>
      <c r="G324" s="94" t="s">
        <v>209</v>
      </c>
      <c r="H324" s="94" t="s">
        <v>10</v>
      </c>
      <c r="I324" s="94" t="s">
        <v>191</v>
      </c>
      <c r="J324" s="94"/>
      <c r="K324" s="96">
        <v>56</v>
      </c>
      <c r="L324" s="96">
        <f>K324*VLOOKUP(H324,dagsoorttabel1,2,FALSE)</f>
        <v>56</v>
      </c>
      <c r="M324" s="97">
        <f>prodnorm25</f>
        <v>0</v>
      </c>
      <c r="N324" s="41">
        <f>dagwerk25</f>
        <v>0</v>
      </c>
      <c r="O324" s="94" t="s">
        <v>108</v>
      </c>
      <c r="P324" s="26">
        <f>uurtarief25</f>
        <v>0</v>
      </c>
      <c r="Q324" s="96" t="e">
        <f>IF(ISBLANK(M324),0,L324/ROUND(M324,4))</f>
        <v>#DIV/0!</v>
      </c>
      <c r="R324" s="96" t="e">
        <f>IF(ISBLANK(M324),0,Q324*ROUND(N324,2))</f>
        <v>#DIV/0!</v>
      </c>
      <c r="S324" s="26" t="e">
        <f>ROUND(P324,2)*Q324</f>
        <v>#DIV/0!</v>
      </c>
      <c r="T324" s="96" t="e">
        <f>Q324*dagenperjaar1</f>
        <v>#DIV/0!</v>
      </c>
      <c r="U324" s="27" t="e">
        <f>T324*ROUND(P324,2)</f>
        <v>#DIV/0!</v>
      </c>
    </row>
    <row r="325" spans="1:21" x14ac:dyDescent="0.2">
      <c r="A325" s="93" t="s">
        <v>244</v>
      </c>
      <c r="B325" s="94" t="s">
        <v>42</v>
      </c>
      <c r="C325" s="94" t="s">
        <v>559</v>
      </c>
      <c r="D325" s="94" t="s">
        <v>561</v>
      </c>
      <c r="E325" s="95" t="s">
        <v>377</v>
      </c>
      <c r="F325" s="94" t="s">
        <v>263</v>
      </c>
      <c r="G325" s="94" t="s">
        <v>209</v>
      </c>
      <c r="H325" s="94" t="s">
        <v>10</v>
      </c>
      <c r="I325" s="94" t="s">
        <v>191</v>
      </c>
      <c r="J325" s="94"/>
      <c r="K325" s="96">
        <v>76.3</v>
      </c>
      <c r="L325" s="96">
        <f>K325*VLOOKUP(H325,dagsoorttabel1,2,FALSE)</f>
        <v>76.3</v>
      </c>
      <c r="M325" s="97">
        <f>prodnorm25</f>
        <v>0</v>
      </c>
      <c r="N325" s="41">
        <f>dagwerk25</f>
        <v>0</v>
      </c>
      <c r="O325" s="94" t="s">
        <v>108</v>
      </c>
      <c r="P325" s="26">
        <f>uurtarief25</f>
        <v>0</v>
      </c>
      <c r="Q325" s="96" t="e">
        <f>IF(ISBLANK(M325),0,L325/ROUND(M325,4))</f>
        <v>#DIV/0!</v>
      </c>
      <c r="R325" s="96" t="e">
        <f>IF(ISBLANK(M325),0,Q325*ROUND(N325,2))</f>
        <v>#DIV/0!</v>
      </c>
      <c r="S325" s="26" t="e">
        <f>ROUND(P325,2)*Q325</f>
        <v>#DIV/0!</v>
      </c>
      <c r="T325" s="96" t="e">
        <f>Q325*dagenperjaar1</f>
        <v>#DIV/0!</v>
      </c>
      <c r="U325" s="27" t="e">
        <f>T325*ROUND(P325,2)</f>
        <v>#DIV/0!</v>
      </c>
    </row>
    <row r="326" spans="1:21" x14ac:dyDescent="0.2">
      <c r="A326" s="93" t="s">
        <v>244</v>
      </c>
      <c r="B326" s="94" t="s">
        <v>42</v>
      </c>
      <c r="C326" s="94" t="s">
        <v>559</v>
      </c>
      <c r="D326" s="94" t="s">
        <v>562</v>
      </c>
      <c r="E326" s="95" t="s">
        <v>563</v>
      </c>
      <c r="F326" s="94" t="s">
        <v>277</v>
      </c>
      <c r="G326" s="94" t="s">
        <v>211</v>
      </c>
      <c r="H326" s="94" t="s">
        <v>10</v>
      </c>
      <c r="I326" s="94" t="s">
        <v>191</v>
      </c>
      <c r="J326" s="94"/>
      <c r="K326" s="96">
        <v>61</v>
      </c>
      <c r="L326" s="96">
        <f>K326*VLOOKUP(H326,dagsoorttabel1,2,FALSE)</f>
        <v>61</v>
      </c>
      <c r="M326" s="97">
        <f>prodnorm26</f>
        <v>0</v>
      </c>
      <c r="N326" s="41">
        <f>dagwerk26</f>
        <v>0</v>
      </c>
      <c r="O326" s="94" t="s">
        <v>108</v>
      </c>
      <c r="P326" s="26">
        <f>uurtarief26</f>
        <v>0</v>
      </c>
      <c r="Q326" s="96" t="e">
        <f>IF(ISBLANK(M326),0,L326/ROUND(M326,4))</f>
        <v>#DIV/0!</v>
      </c>
      <c r="R326" s="96" t="e">
        <f>IF(ISBLANK(M326),0,Q326*ROUND(N326,2))</f>
        <v>#DIV/0!</v>
      </c>
      <c r="S326" s="26" t="e">
        <f>ROUND(P326,2)*Q326</f>
        <v>#DIV/0!</v>
      </c>
      <c r="T326" s="96" t="e">
        <f>Q326*dagenperjaar1</f>
        <v>#DIV/0!</v>
      </c>
      <c r="U326" s="27" t="e">
        <f>T326*ROUND(P326,2)</f>
        <v>#DIV/0!</v>
      </c>
    </row>
    <row r="327" spans="1:21" x14ac:dyDescent="0.2">
      <c r="A327" s="93" t="s">
        <v>244</v>
      </c>
      <c r="B327" s="94" t="s">
        <v>42</v>
      </c>
      <c r="C327" s="94" t="s">
        <v>559</v>
      </c>
      <c r="D327" s="94" t="s">
        <v>562</v>
      </c>
      <c r="E327" s="95" t="s">
        <v>563</v>
      </c>
      <c r="F327" s="94" t="s">
        <v>277</v>
      </c>
      <c r="G327" s="94" t="s">
        <v>227</v>
      </c>
      <c r="H327" s="94" t="s">
        <v>24</v>
      </c>
      <c r="I327" s="94" t="s">
        <v>191</v>
      </c>
      <c r="J327" s="94"/>
      <c r="K327" s="96">
        <v>61</v>
      </c>
      <c r="L327" s="96">
        <f>K327*VLOOKUP(H327,dagsoorttabel1,2,FALSE)</f>
        <v>0.30499999999999999</v>
      </c>
      <c r="M327" s="97">
        <f>prodnorm35</f>
        <v>0</v>
      </c>
      <c r="N327" s="41">
        <f>dagwerk35</f>
        <v>0</v>
      </c>
      <c r="O327" s="94" t="s">
        <v>108</v>
      </c>
      <c r="P327" s="26">
        <f>uurtarief35</f>
        <v>0</v>
      </c>
      <c r="Q327" s="96" t="e">
        <f>IF(ISBLANK(M327),0,L327/ROUND(M327,4))</f>
        <v>#DIV/0!</v>
      </c>
      <c r="R327" s="96" t="e">
        <f>IF(ISBLANK(M327),0,Q327*ROUND(N327,2))</f>
        <v>#DIV/0!</v>
      </c>
      <c r="S327" s="26" t="e">
        <f>ROUND(P327,2)*Q327</f>
        <v>#DIV/0!</v>
      </c>
      <c r="T327" s="96" t="e">
        <f>Q327*dagenperjaar1</f>
        <v>#DIV/0!</v>
      </c>
      <c r="U327" s="27" t="e">
        <f>T327*ROUND(P327,2)</f>
        <v>#DIV/0!</v>
      </c>
    </row>
    <row r="328" spans="1:21" x14ac:dyDescent="0.2">
      <c r="A328" s="93" t="s">
        <v>244</v>
      </c>
      <c r="B328" s="94" t="s">
        <v>42</v>
      </c>
      <c r="C328" s="94" t="s">
        <v>559</v>
      </c>
      <c r="D328" s="94" t="s">
        <v>564</v>
      </c>
      <c r="E328" s="95" t="s">
        <v>565</v>
      </c>
      <c r="F328" s="94" t="s">
        <v>277</v>
      </c>
      <c r="G328" s="94" t="s">
        <v>193</v>
      </c>
      <c r="H328" s="94" t="s">
        <v>14</v>
      </c>
      <c r="I328" s="94" t="s">
        <v>191</v>
      </c>
      <c r="J328" s="94"/>
      <c r="K328" s="96">
        <v>7</v>
      </c>
      <c r="L328" s="96">
        <f>K328*VLOOKUP(H328,dagsoorttabel1,2,FALSE)</f>
        <v>2.8000000000000003</v>
      </c>
      <c r="M328" s="97">
        <f>prodnorm15</f>
        <v>0</v>
      </c>
      <c r="N328" s="41">
        <f>dagwerk15</f>
        <v>0</v>
      </c>
      <c r="O328" s="94" t="s">
        <v>108</v>
      </c>
      <c r="P328" s="26">
        <f>uurtarief15</f>
        <v>0</v>
      </c>
      <c r="Q328" s="96" t="e">
        <f>IF(ISBLANK(M328),0,L328/ROUND(M328,4))</f>
        <v>#DIV/0!</v>
      </c>
      <c r="R328" s="96" t="e">
        <f>IF(ISBLANK(M328),0,Q328*ROUND(N328,2))</f>
        <v>#DIV/0!</v>
      </c>
      <c r="S328" s="26" t="e">
        <f>ROUND(P328,2)*Q328</f>
        <v>#DIV/0!</v>
      </c>
      <c r="T328" s="96" t="e">
        <f>Q328*dagenperjaar1</f>
        <v>#DIV/0!</v>
      </c>
      <c r="U328" s="27" t="e">
        <f>T328*ROUND(P328,2)</f>
        <v>#DIV/0!</v>
      </c>
    </row>
    <row r="329" spans="1:21" x14ac:dyDescent="0.2">
      <c r="A329" s="93" t="s">
        <v>244</v>
      </c>
      <c r="B329" s="94" t="s">
        <v>42</v>
      </c>
      <c r="C329" s="94" t="s">
        <v>559</v>
      </c>
      <c r="D329" s="94" t="s">
        <v>564</v>
      </c>
      <c r="E329" s="95" t="s">
        <v>565</v>
      </c>
      <c r="F329" s="94" t="s">
        <v>277</v>
      </c>
      <c r="G329" s="94" t="s">
        <v>227</v>
      </c>
      <c r="H329" s="94" t="s">
        <v>24</v>
      </c>
      <c r="I329" s="94" t="s">
        <v>191</v>
      </c>
      <c r="J329" s="94"/>
      <c r="K329" s="96">
        <v>7</v>
      </c>
      <c r="L329" s="96">
        <f>K329*VLOOKUP(H329,dagsoorttabel1,2,FALSE)</f>
        <v>3.5000000000000003E-2</v>
      </c>
      <c r="M329" s="97">
        <f>prodnorm35</f>
        <v>0</v>
      </c>
      <c r="N329" s="41">
        <f>dagwerk35</f>
        <v>0</v>
      </c>
      <c r="O329" s="94" t="s">
        <v>108</v>
      </c>
      <c r="P329" s="26">
        <f>uurtarief35</f>
        <v>0</v>
      </c>
      <c r="Q329" s="96" t="e">
        <f>IF(ISBLANK(M329),0,L329/ROUND(M329,4))</f>
        <v>#DIV/0!</v>
      </c>
      <c r="R329" s="96" t="e">
        <f>IF(ISBLANK(M329),0,Q329*ROUND(N329,2))</f>
        <v>#DIV/0!</v>
      </c>
      <c r="S329" s="26" t="e">
        <f>ROUND(P329,2)*Q329</f>
        <v>#DIV/0!</v>
      </c>
      <c r="T329" s="96" t="e">
        <f>Q329*dagenperjaar1</f>
        <v>#DIV/0!</v>
      </c>
      <c r="U329" s="27" t="e">
        <f>T329*ROUND(P329,2)</f>
        <v>#DIV/0!</v>
      </c>
    </row>
    <row r="330" spans="1:21" x14ac:dyDescent="0.2">
      <c r="A330" s="93" t="s">
        <v>244</v>
      </c>
      <c r="B330" s="94" t="s">
        <v>42</v>
      </c>
      <c r="C330" s="94" t="s">
        <v>559</v>
      </c>
      <c r="D330" s="94" t="s">
        <v>566</v>
      </c>
      <c r="E330" s="95" t="s">
        <v>399</v>
      </c>
      <c r="F330" s="94" t="s">
        <v>277</v>
      </c>
      <c r="G330" s="94" t="s">
        <v>207</v>
      </c>
      <c r="H330" s="94" t="s">
        <v>10</v>
      </c>
      <c r="I330" s="94" t="s">
        <v>191</v>
      </c>
      <c r="J330" s="94"/>
      <c r="K330" s="96">
        <v>54</v>
      </c>
      <c r="L330" s="96">
        <f>K330*VLOOKUP(H330,dagsoorttabel1,2,FALSE)</f>
        <v>54</v>
      </c>
      <c r="M330" s="97">
        <f>prodnorm24</f>
        <v>0</v>
      </c>
      <c r="N330" s="41">
        <f>dagwerk24</f>
        <v>0</v>
      </c>
      <c r="O330" s="94" t="s">
        <v>108</v>
      </c>
      <c r="P330" s="26">
        <f>uurtarief24</f>
        <v>0</v>
      </c>
      <c r="Q330" s="96" t="e">
        <f>IF(ISBLANK(M330),0,L330/ROUND(M330,4))</f>
        <v>#DIV/0!</v>
      </c>
      <c r="R330" s="96" t="e">
        <f>IF(ISBLANK(M330),0,Q330*ROUND(N330,2))</f>
        <v>#DIV/0!</v>
      </c>
      <c r="S330" s="26" t="e">
        <f>ROUND(P330,2)*Q330</f>
        <v>#DIV/0!</v>
      </c>
      <c r="T330" s="96" t="e">
        <f>Q330*dagenperjaar1</f>
        <v>#DIV/0!</v>
      </c>
      <c r="U330" s="27" t="e">
        <f>T330*ROUND(P330,2)</f>
        <v>#DIV/0!</v>
      </c>
    </row>
    <row r="331" spans="1:21" x14ac:dyDescent="0.2">
      <c r="A331" s="93" t="s">
        <v>244</v>
      </c>
      <c r="B331" s="94" t="s">
        <v>42</v>
      </c>
      <c r="C331" s="94" t="s">
        <v>559</v>
      </c>
      <c r="D331" s="94" t="s">
        <v>566</v>
      </c>
      <c r="E331" s="95" t="s">
        <v>399</v>
      </c>
      <c r="F331" s="94" t="s">
        <v>277</v>
      </c>
      <c r="G331" s="94" t="s">
        <v>227</v>
      </c>
      <c r="H331" s="94" t="s">
        <v>24</v>
      </c>
      <c r="I331" s="94" t="s">
        <v>191</v>
      </c>
      <c r="J331" s="94"/>
      <c r="K331" s="96">
        <v>54</v>
      </c>
      <c r="L331" s="96">
        <f>K331*VLOOKUP(H331,dagsoorttabel1,2,FALSE)</f>
        <v>0.27</v>
      </c>
      <c r="M331" s="97">
        <f>prodnorm35</f>
        <v>0</v>
      </c>
      <c r="N331" s="41">
        <f>dagwerk35</f>
        <v>0</v>
      </c>
      <c r="O331" s="94" t="s">
        <v>108</v>
      </c>
      <c r="P331" s="26">
        <f>uurtarief35</f>
        <v>0</v>
      </c>
      <c r="Q331" s="96" t="e">
        <f>IF(ISBLANK(M331),0,L331/ROUND(M331,4))</f>
        <v>#DIV/0!</v>
      </c>
      <c r="R331" s="96" t="e">
        <f>IF(ISBLANK(M331),0,Q331*ROUND(N331,2))</f>
        <v>#DIV/0!</v>
      </c>
      <c r="S331" s="26" t="e">
        <f>ROUND(P331,2)*Q331</f>
        <v>#DIV/0!</v>
      </c>
      <c r="T331" s="96" t="e">
        <f>Q331*dagenperjaar1</f>
        <v>#DIV/0!</v>
      </c>
      <c r="U331" s="27" t="e">
        <f>T331*ROUND(P331,2)</f>
        <v>#DIV/0!</v>
      </c>
    </row>
    <row r="332" spans="1:21" x14ac:dyDescent="0.2">
      <c r="A332" s="93" t="s">
        <v>244</v>
      </c>
      <c r="B332" s="94" t="s">
        <v>42</v>
      </c>
      <c r="C332" s="94" t="s">
        <v>559</v>
      </c>
      <c r="D332" s="94" t="s">
        <v>567</v>
      </c>
      <c r="E332" s="95" t="s">
        <v>399</v>
      </c>
      <c r="F332" s="94" t="s">
        <v>277</v>
      </c>
      <c r="G332" s="94" t="s">
        <v>207</v>
      </c>
      <c r="H332" s="94" t="s">
        <v>10</v>
      </c>
      <c r="I332" s="94" t="s">
        <v>191</v>
      </c>
      <c r="J332" s="94"/>
      <c r="K332" s="96">
        <v>54</v>
      </c>
      <c r="L332" s="96">
        <f>K332*VLOOKUP(H332,dagsoorttabel1,2,FALSE)</f>
        <v>54</v>
      </c>
      <c r="M332" s="97">
        <f>prodnorm24</f>
        <v>0</v>
      </c>
      <c r="N332" s="41">
        <f>dagwerk24</f>
        <v>0</v>
      </c>
      <c r="O332" s="94" t="s">
        <v>108</v>
      </c>
      <c r="P332" s="26">
        <f>uurtarief24</f>
        <v>0</v>
      </c>
      <c r="Q332" s="96" t="e">
        <f>IF(ISBLANK(M332),0,L332/ROUND(M332,4))</f>
        <v>#DIV/0!</v>
      </c>
      <c r="R332" s="96" t="e">
        <f>IF(ISBLANK(M332),0,Q332*ROUND(N332,2))</f>
        <v>#DIV/0!</v>
      </c>
      <c r="S332" s="26" t="e">
        <f>ROUND(P332,2)*Q332</f>
        <v>#DIV/0!</v>
      </c>
      <c r="T332" s="96" t="e">
        <f>Q332*dagenperjaar1</f>
        <v>#DIV/0!</v>
      </c>
      <c r="U332" s="27" t="e">
        <f>T332*ROUND(P332,2)</f>
        <v>#DIV/0!</v>
      </c>
    </row>
    <row r="333" spans="1:21" x14ac:dyDescent="0.2">
      <c r="A333" s="93" t="s">
        <v>244</v>
      </c>
      <c r="B333" s="94" t="s">
        <v>42</v>
      </c>
      <c r="C333" s="94" t="s">
        <v>559</v>
      </c>
      <c r="D333" s="94" t="s">
        <v>567</v>
      </c>
      <c r="E333" s="95" t="s">
        <v>399</v>
      </c>
      <c r="F333" s="94" t="s">
        <v>277</v>
      </c>
      <c r="G333" s="94" t="s">
        <v>227</v>
      </c>
      <c r="H333" s="94" t="s">
        <v>24</v>
      </c>
      <c r="I333" s="94" t="s">
        <v>191</v>
      </c>
      <c r="J333" s="94"/>
      <c r="K333" s="96">
        <v>54</v>
      </c>
      <c r="L333" s="96">
        <f>K333*VLOOKUP(H333,dagsoorttabel1,2,FALSE)</f>
        <v>0.27</v>
      </c>
      <c r="M333" s="97">
        <f>prodnorm35</f>
        <v>0</v>
      </c>
      <c r="N333" s="41">
        <f>dagwerk35</f>
        <v>0</v>
      </c>
      <c r="O333" s="94" t="s">
        <v>108</v>
      </c>
      <c r="P333" s="26">
        <f>uurtarief35</f>
        <v>0</v>
      </c>
      <c r="Q333" s="96" t="e">
        <f>IF(ISBLANK(M333),0,L333/ROUND(M333,4))</f>
        <v>#DIV/0!</v>
      </c>
      <c r="R333" s="96" t="e">
        <f>IF(ISBLANK(M333),0,Q333*ROUND(N333,2))</f>
        <v>#DIV/0!</v>
      </c>
      <c r="S333" s="26" t="e">
        <f>ROUND(P333,2)*Q333</f>
        <v>#DIV/0!</v>
      </c>
      <c r="T333" s="96" t="e">
        <f>Q333*dagenperjaar1</f>
        <v>#DIV/0!</v>
      </c>
      <c r="U333" s="27" t="e">
        <f>T333*ROUND(P333,2)</f>
        <v>#DIV/0!</v>
      </c>
    </row>
    <row r="334" spans="1:21" x14ac:dyDescent="0.2">
      <c r="A334" s="93" t="s">
        <v>244</v>
      </c>
      <c r="B334" s="94" t="s">
        <v>42</v>
      </c>
      <c r="C334" s="94" t="s">
        <v>559</v>
      </c>
      <c r="D334" s="94" t="s">
        <v>568</v>
      </c>
      <c r="E334" s="95" t="s">
        <v>399</v>
      </c>
      <c r="F334" s="94" t="s">
        <v>277</v>
      </c>
      <c r="G334" s="94" t="s">
        <v>207</v>
      </c>
      <c r="H334" s="94" t="s">
        <v>10</v>
      </c>
      <c r="I334" s="94" t="s">
        <v>191</v>
      </c>
      <c r="J334" s="94"/>
      <c r="K334" s="96">
        <v>54</v>
      </c>
      <c r="L334" s="96">
        <f>K334*VLOOKUP(H334,dagsoorttabel1,2,FALSE)</f>
        <v>54</v>
      </c>
      <c r="M334" s="97">
        <f>prodnorm24</f>
        <v>0</v>
      </c>
      <c r="N334" s="41">
        <f>dagwerk24</f>
        <v>0</v>
      </c>
      <c r="O334" s="94" t="s">
        <v>108</v>
      </c>
      <c r="P334" s="26">
        <f>uurtarief24</f>
        <v>0</v>
      </c>
      <c r="Q334" s="96" t="e">
        <f>IF(ISBLANK(M334),0,L334/ROUND(M334,4))</f>
        <v>#DIV/0!</v>
      </c>
      <c r="R334" s="96" t="e">
        <f>IF(ISBLANK(M334),0,Q334*ROUND(N334,2))</f>
        <v>#DIV/0!</v>
      </c>
      <c r="S334" s="26" t="e">
        <f>ROUND(P334,2)*Q334</f>
        <v>#DIV/0!</v>
      </c>
      <c r="T334" s="96" t="e">
        <f>Q334*dagenperjaar1</f>
        <v>#DIV/0!</v>
      </c>
      <c r="U334" s="27" t="e">
        <f>T334*ROUND(P334,2)</f>
        <v>#DIV/0!</v>
      </c>
    </row>
    <row r="335" spans="1:21" x14ac:dyDescent="0.2">
      <c r="A335" s="93" t="s">
        <v>244</v>
      </c>
      <c r="B335" s="94" t="s">
        <v>42</v>
      </c>
      <c r="C335" s="94" t="s">
        <v>559</v>
      </c>
      <c r="D335" s="94" t="s">
        <v>568</v>
      </c>
      <c r="E335" s="95" t="s">
        <v>399</v>
      </c>
      <c r="F335" s="94" t="s">
        <v>277</v>
      </c>
      <c r="G335" s="94" t="s">
        <v>227</v>
      </c>
      <c r="H335" s="94" t="s">
        <v>24</v>
      </c>
      <c r="I335" s="94" t="s">
        <v>191</v>
      </c>
      <c r="J335" s="94"/>
      <c r="K335" s="96">
        <v>54</v>
      </c>
      <c r="L335" s="96">
        <f>K335*VLOOKUP(H335,dagsoorttabel1,2,FALSE)</f>
        <v>0.27</v>
      </c>
      <c r="M335" s="97">
        <f>prodnorm35</f>
        <v>0</v>
      </c>
      <c r="N335" s="41">
        <f>dagwerk35</f>
        <v>0</v>
      </c>
      <c r="O335" s="94" t="s">
        <v>108</v>
      </c>
      <c r="P335" s="26">
        <f>uurtarief35</f>
        <v>0</v>
      </c>
      <c r="Q335" s="96" t="e">
        <f>IF(ISBLANK(M335),0,L335/ROUND(M335,4))</f>
        <v>#DIV/0!</v>
      </c>
      <c r="R335" s="96" t="e">
        <f>IF(ISBLANK(M335),0,Q335*ROUND(N335,2))</f>
        <v>#DIV/0!</v>
      </c>
      <c r="S335" s="26" t="e">
        <f>ROUND(P335,2)*Q335</f>
        <v>#DIV/0!</v>
      </c>
      <c r="T335" s="96" t="e">
        <f>Q335*dagenperjaar1</f>
        <v>#DIV/0!</v>
      </c>
      <c r="U335" s="27" t="e">
        <f>T335*ROUND(P335,2)</f>
        <v>#DIV/0!</v>
      </c>
    </row>
    <row r="336" spans="1:21" x14ac:dyDescent="0.2">
      <c r="A336" s="93" t="s">
        <v>244</v>
      </c>
      <c r="B336" s="94" t="s">
        <v>42</v>
      </c>
      <c r="C336" s="94" t="s">
        <v>559</v>
      </c>
      <c r="D336" s="94" t="s">
        <v>569</v>
      </c>
      <c r="E336" s="95" t="s">
        <v>399</v>
      </c>
      <c r="F336" s="94" t="s">
        <v>277</v>
      </c>
      <c r="G336" s="94" t="s">
        <v>207</v>
      </c>
      <c r="H336" s="94" t="s">
        <v>10</v>
      </c>
      <c r="I336" s="94" t="s">
        <v>191</v>
      </c>
      <c r="J336" s="94"/>
      <c r="K336" s="96">
        <v>54</v>
      </c>
      <c r="L336" s="96">
        <f>K336*VLOOKUP(H336,dagsoorttabel1,2,FALSE)</f>
        <v>54</v>
      </c>
      <c r="M336" s="97">
        <f>prodnorm24</f>
        <v>0</v>
      </c>
      <c r="N336" s="41">
        <f>dagwerk24</f>
        <v>0</v>
      </c>
      <c r="O336" s="94" t="s">
        <v>108</v>
      </c>
      <c r="P336" s="26">
        <f>uurtarief24</f>
        <v>0</v>
      </c>
      <c r="Q336" s="96" t="e">
        <f>IF(ISBLANK(M336),0,L336/ROUND(M336,4))</f>
        <v>#DIV/0!</v>
      </c>
      <c r="R336" s="96" t="e">
        <f>IF(ISBLANK(M336),0,Q336*ROUND(N336,2))</f>
        <v>#DIV/0!</v>
      </c>
      <c r="S336" s="26" t="e">
        <f>ROUND(P336,2)*Q336</f>
        <v>#DIV/0!</v>
      </c>
      <c r="T336" s="96" t="e">
        <f>Q336*dagenperjaar1</f>
        <v>#DIV/0!</v>
      </c>
      <c r="U336" s="27" t="e">
        <f>T336*ROUND(P336,2)</f>
        <v>#DIV/0!</v>
      </c>
    </row>
    <row r="337" spans="1:21" x14ac:dyDescent="0.2">
      <c r="A337" s="93" t="s">
        <v>244</v>
      </c>
      <c r="B337" s="94" t="s">
        <v>42</v>
      </c>
      <c r="C337" s="94" t="s">
        <v>559</v>
      </c>
      <c r="D337" s="94" t="s">
        <v>569</v>
      </c>
      <c r="E337" s="95" t="s">
        <v>399</v>
      </c>
      <c r="F337" s="94" t="s">
        <v>277</v>
      </c>
      <c r="G337" s="94" t="s">
        <v>227</v>
      </c>
      <c r="H337" s="94" t="s">
        <v>24</v>
      </c>
      <c r="I337" s="94" t="s">
        <v>191</v>
      </c>
      <c r="J337" s="94"/>
      <c r="K337" s="96">
        <v>54</v>
      </c>
      <c r="L337" s="96">
        <f>K337*VLOOKUP(H337,dagsoorttabel1,2,FALSE)</f>
        <v>0.27</v>
      </c>
      <c r="M337" s="97">
        <f>prodnorm35</f>
        <v>0</v>
      </c>
      <c r="N337" s="41">
        <f>dagwerk35</f>
        <v>0</v>
      </c>
      <c r="O337" s="94" t="s">
        <v>108</v>
      </c>
      <c r="P337" s="26">
        <f>uurtarief35</f>
        <v>0</v>
      </c>
      <c r="Q337" s="96" t="e">
        <f>IF(ISBLANK(M337),0,L337/ROUND(M337,4))</f>
        <v>#DIV/0!</v>
      </c>
      <c r="R337" s="96" t="e">
        <f>IF(ISBLANK(M337),0,Q337*ROUND(N337,2))</f>
        <v>#DIV/0!</v>
      </c>
      <c r="S337" s="26" t="e">
        <f>ROUND(P337,2)*Q337</f>
        <v>#DIV/0!</v>
      </c>
      <c r="T337" s="96" t="e">
        <f>Q337*dagenperjaar1</f>
        <v>#DIV/0!</v>
      </c>
      <c r="U337" s="27" t="e">
        <f>T337*ROUND(P337,2)</f>
        <v>#DIV/0!</v>
      </c>
    </row>
    <row r="338" spans="1:21" x14ac:dyDescent="0.2">
      <c r="A338" s="93" t="s">
        <v>244</v>
      </c>
      <c r="B338" s="94" t="s">
        <v>42</v>
      </c>
      <c r="C338" s="94" t="s">
        <v>559</v>
      </c>
      <c r="D338" s="94" t="s">
        <v>570</v>
      </c>
      <c r="E338" s="95" t="s">
        <v>571</v>
      </c>
      <c r="F338" s="94" t="s">
        <v>277</v>
      </c>
      <c r="G338" s="94" t="s">
        <v>217</v>
      </c>
      <c r="H338" s="94" t="s">
        <v>10</v>
      </c>
      <c r="I338" s="94" t="s">
        <v>191</v>
      </c>
      <c r="J338" s="94"/>
      <c r="K338" s="96">
        <v>75.400000000000006</v>
      </c>
      <c r="L338" s="96">
        <f>K338*VLOOKUP(H338,dagsoorttabel1,2,FALSE)</f>
        <v>75.400000000000006</v>
      </c>
      <c r="M338" s="97">
        <f>prodnorm29</f>
        <v>0</v>
      </c>
      <c r="N338" s="41">
        <f>dagwerk29</f>
        <v>0</v>
      </c>
      <c r="O338" s="94" t="s">
        <v>108</v>
      </c>
      <c r="P338" s="26">
        <f>uurtarief29</f>
        <v>0</v>
      </c>
      <c r="Q338" s="96" t="e">
        <f>IF(ISBLANK(M338),0,L338/ROUND(M338,4))</f>
        <v>#DIV/0!</v>
      </c>
      <c r="R338" s="96" t="e">
        <f>IF(ISBLANK(M338),0,Q338*ROUND(N338,2))</f>
        <v>#DIV/0!</v>
      </c>
      <c r="S338" s="26" t="e">
        <f>ROUND(P338,2)*Q338</f>
        <v>#DIV/0!</v>
      </c>
      <c r="T338" s="96" t="e">
        <f>Q338*dagenperjaar1</f>
        <v>#DIV/0!</v>
      </c>
      <c r="U338" s="27" t="e">
        <f>T338*ROUND(P338,2)</f>
        <v>#DIV/0!</v>
      </c>
    </row>
    <row r="339" spans="1:21" x14ac:dyDescent="0.2">
      <c r="A339" s="93" t="s">
        <v>244</v>
      </c>
      <c r="B339" s="94" t="s">
        <v>42</v>
      </c>
      <c r="C339" s="94" t="s">
        <v>559</v>
      </c>
      <c r="D339" s="94" t="s">
        <v>570</v>
      </c>
      <c r="E339" s="95" t="s">
        <v>571</v>
      </c>
      <c r="F339" s="94" t="s">
        <v>277</v>
      </c>
      <c r="G339" s="94" t="s">
        <v>227</v>
      </c>
      <c r="H339" s="94" t="s">
        <v>24</v>
      </c>
      <c r="I339" s="94" t="s">
        <v>191</v>
      </c>
      <c r="J339" s="94"/>
      <c r="K339" s="96">
        <v>75.400000000000006</v>
      </c>
      <c r="L339" s="96">
        <f>K339*VLOOKUP(H339,dagsoorttabel1,2,FALSE)</f>
        <v>0.37700000000000006</v>
      </c>
      <c r="M339" s="97">
        <f>prodnorm35</f>
        <v>0</v>
      </c>
      <c r="N339" s="41">
        <f>dagwerk35</f>
        <v>0</v>
      </c>
      <c r="O339" s="94" t="s">
        <v>108</v>
      </c>
      <c r="P339" s="26">
        <f>uurtarief35</f>
        <v>0</v>
      </c>
      <c r="Q339" s="96" t="e">
        <f>IF(ISBLANK(M339),0,L339/ROUND(M339,4))</f>
        <v>#DIV/0!</v>
      </c>
      <c r="R339" s="96" t="e">
        <f>IF(ISBLANK(M339),0,Q339*ROUND(N339,2))</f>
        <v>#DIV/0!</v>
      </c>
      <c r="S339" s="26" t="e">
        <f>ROUND(P339,2)*Q339</f>
        <v>#DIV/0!</v>
      </c>
      <c r="T339" s="96" t="e">
        <f>Q339*dagenperjaar1</f>
        <v>#DIV/0!</v>
      </c>
      <c r="U339" s="27" t="e">
        <f>T339*ROUND(P339,2)</f>
        <v>#DIV/0!</v>
      </c>
    </row>
    <row r="340" spans="1:21" x14ac:dyDescent="0.2">
      <c r="A340" s="93" t="s">
        <v>244</v>
      </c>
      <c r="B340" s="94" t="s">
        <v>42</v>
      </c>
      <c r="C340" s="94" t="s">
        <v>559</v>
      </c>
      <c r="D340" s="94" t="s">
        <v>572</v>
      </c>
      <c r="E340" s="95" t="s">
        <v>391</v>
      </c>
      <c r="F340" s="94" t="s">
        <v>277</v>
      </c>
      <c r="G340" s="94" t="s">
        <v>193</v>
      </c>
      <c r="H340" s="94" t="s">
        <v>10</v>
      </c>
      <c r="I340" s="94" t="s">
        <v>191</v>
      </c>
      <c r="J340" s="94"/>
      <c r="K340" s="96">
        <v>52.5</v>
      </c>
      <c r="L340" s="96">
        <f>K340*VLOOKUP(H340,dagsoorttabel1,2,FALSE)</f>
        <v>52.5</v>
      </c>
      <c r="M340" s="97">
        <f>prodnorm14</f>
        <v>0</v>
      </c>
      <c r="N340" s="41">
        <f>dagwerk14</f>
        <v>0</v>
      </c>
      <c r="O340" s="94" t="s">
        <v>108</v>
      </c>
      <c r="P340" s="26">
        <f>uurtarief14</f>
        <v>0</v>
      </c>
      <c r="Q340" s="96" t="e">
        <f>IF(ISBLANK(M340),0,L340/ROUND(M340,4))</f>
        <v>#DIV/0!</v>
      </c>
      <c r="R340" s="96" t="e">
        <f>IF(ISBLANK(M340),0,Q340*ROUND(N340,2))</f>
        <v>#DIV/0!</v>
      </c>
      <c r="S340" s="26" t="e">
        <f>ROUND(P340,2)*Q340</f>
        <v>#DIV/0!</v>
      </c>
      <c r="T340" s="96" t="e">
        <f>Q340*dagenperjaar1</f>
        <v>#DIV/0!</v>
      </c>
      <c r="U340" s="27" t="e">
        <f>T340*ROUND(P340,2)</f>
        <v>#DIV/0!</v>
      </c>
    </row>
    <row r="341" spans="1:21" x14ac:dyDescent="0.2">
      <c r="A341" s="93" t="s">
        <v>244</v>
      </c>
      <c r="B341" s="94" t="s">
        <v>42</v>
      </c>
      <c r="C341" s="94" t="s">
        <v>559</v>
      </c>
      <c r="D341" s="94" t="s">
        <v>572</v>
      </c>
      <c r="E341" s="95" t="s">
        <v>391</v>
      </c>
      <c r="F341" s="94" t="s">
        <v>277</v>
      </c>
      <c r="G341" s="94" t="s">
        <v>227</v>
      </c>
      <c r="H341" s="94" t="s">
        <v>24</v>
      </c>
      <c r="I341" s="94" t="s">
        <v>191</v>
      </c>
      <c r="J341" s="94"/>
      <c r="K341" s="96">
        <v>52.5</v>
      </c>
      <c r="L341" s="96">
        <f>K341*VLOOKUP(H341,dagsoorttabel1,2,FALSE)</f>
        <v>0.26250000000000001</v>
      </c>
      <c r="M341" s="97">
        <f>prodnorm35</f>
        <v>0</v>
      </c>
      <c r="N341" s="41">
        <f>dagwerk35</f>
        <v>0</v>
      </c>
      <c r="O341" s="94" t="s">
        <v>108</v>
      </c>
      <c r="P341" s="26">
        <f>uurtarief35</f>
        <v>0</v>
      </c>
      <c r="Q341" s="96" t="e">
        <f>IF(ISBLANK(M341),0,L341/ROUND(M341,4))</f>
        <v>#DIV/0!</v>
      </c>
      <c r="R341" s="96" t="e">
        <f>IF(ISBLANK(M341),0,Q341*ROUND(N341,2))</f>
        <v>#DIV/0!</v>
      </c>
      <c r="S341" s="26" t="e">
        <f>ROUND(P341,2)*Q341</f>
        <v>#DIV/0!</v>
      </c>
      <c r="T341" s="96" t="e">
        <f>Q341*dagenperjaar1</f>
        <v>#DIV/0!</v>
      </c>
      <c r="U341" s="27" t="e">
        <f>T341*ROUND(P341,2)</f>
        <v>#DIV/0!</v>
      </c>
    </row>
    <row r="342" spans="1:21" x14ac:dyDescent="0.2">
      <c r="A342" s="93" t="s">
        <v>244</v>
      </c>
      <c r="B342" s="94" t="s">
        <v>42</v>
      </c>
      <c r="C342" s="94" t="s">
        <v>559</v>
      </c>
      <c r="D342" s="94" t="s">
        <v>573</v>
      </c>
      <c r="E342" s="95" t="s">
        <v>571</v>
      </c>
      <c r="F342" s="94" t="s">
        <v>277</v>
      </c>
      <c r="G342" s="94" t="s">
        <v>217</v>
      </c>
      <c r="H342" s="94" t="s">
        <v>10</v>
      </c>
      <c r="I342" s="94" t="s">
        <v>191</v>
      </c>
      <c r="J342" s="94"/>
      <c r="K342" s="96">
        <v>79.490000000000009</v>
      </c>
      <c r="L342" s="96">
        <f>K342*VLOOKUP(H342,dagsoorttabel1,2,FALSE)</f>
        <v>79.490000000000009</v>
      </c>
      <c r="M342" s="97">
        <f>prodnorm29</f>
        <v>0</v>
      </c>
      <c r="N342" s="41">
        <f>dagwerk29</f>
        <v>0</v>
      </c>
      <c r="O342" s="94" t="s">
        <v>108</v>
      </c>
      <c r="P342" s="26">
        <f>uurtarief29</f>
        <v>0</v>
      </c>
      <c r="Q342" s="96" t="e">
        <f>IF(ISBLANK(M342),0,L342/ROUND(M342,4))</f>
        <v>#DIV/0!</v>
      </c>
      <c r="R342" s="96" t="e">
        <f>IF(ISBLANK(M342),0,Q342*ROUND(N342,2))</f>
        <v>#DIV/0!</v>
      </c>
      <c r="S342" s="26" t="e">
        <f>ROUND(P342,2)*Q342</f>
        <v>#DIV/0!</v>
      </c>
      <c r="T342" s="96" t="e">
        <f>Q342*dagenperjaar1</f>
        <v>#DIV/0!</v>
      </c>
      <c r="U342" s="27" t="e">
        <f>T342*ROUND(P342,2)</f>
        <v>#DIV/0!</v>
      </c>
    </row>
    <row r="343" spans="1:21" x14ac:dyDescent="0.2">
      <c r="A343" s="93" t="s">
        <v>244</v>
      </c>
      <c r="B343" s="94" t="s">
        <v>42</v>
      </c>
      <c r="C343" s="94" t="s">
        <v>559</v>
      </c>
      <c r="D343" s="94" t="s">
        <v>573</v>
      </c>
      <c r="E343" s="95" t="s">
        <v>571</v>
      </c>
      <c r="F343" s="94" t="s">
        <v>277</v>
      </c>
      <c r="G343" s="94" t="s">
        <v>227</v>
      </c>
      <c r="H343" s="94" t="s">
        <v>24</v>
      </c>
      <c r="I343" s="94" t="s">
        <v>191</v>
      </c>
      <c r="J343" s="94"/>
      <c r="K343" s="96">
        <v>79.490000000000009</v>
      </c>
      <c r="L343" s="96">
        <f>K343*VLOOKUP(H343,dagsoorttabel1,2,FALSE)</f>
        <v>0.39745000000000008</v>
      </c>
      <c r="M343" s="97">
        <f>prodnorm35</f>
        <v>0</v>
      </c>
      <c r="N343" s="41">
        <f>dagwerk35</f>
        <v>0</v>
      </c>
      <c r="O343" s="94" t="s">
        <v>108</v>
      </c>
      <c r="P343" s="26">
        <f>uurtarief35</f>
        <v>0</v>
      </c>
      <c r="Q343" s="96" t="e">
        <f>IF(ISBLANK(M343),0,L343/ROUND(M343,4))</f>
        <v>#DIV/0!</v>
      </c>
      <c r="R343" s="96" t="e">
        <f>IF(ISBLANK(M343),0,Q343*ROUND(N343,2))</f>
        <v>#DIV/0!</v>
      </c>
      <c r="S343" s="26" t="e">
        <f>ROUND(P343,2)*Q343</f>
        <v>#DIV/0!</v>
      </c>
      <c r="T343" s="96" t="e">
        <f>Q343*dagenperjaar1</f>
        <v>#DIV/0!</v>
      </c>
      <c r="U343" s="27" t="e">
        <f>T343*ROUND(P343,2)</f>
        <v>#DIV/0!</v>
      </c>
    </row>
    <row r="344" spans="1:21" x14ac:dyDescent="0.2">
      <c r="A344" s="93" t="s">
        <v>244</v>
      </c>
      <c r="B344" s="94" t="s">
        <v>42</v>
      </c>
      <c r="C344" s="94" t="s">
        <v>559</v>
      </c>
      <c r="D344" s="94" t="s">
        <v>574</v>
      </c>
      <c r="E344" s="95" t="s">
        <v>571</v>
      </c>
      <c r="F344" s="94" t="s">
        <v>277</v>
      </c>
      <c r="G344" s="94" t="s">
        <v>217</v>
      </c>
      <c r="H344" s="94" t="s">
        <v>10</v>
      </c>
      <c r="I344" s="94" t="s">
        <v>191</v>
      </c>
      <c r="J344" s="94"/>
      <c r="K344" s="96">
        <v>79.349999999999994</v>
      </c>
      <c r="L344" s="96">
        <f>K344*VLOOKUP(H344,dagsoorttabel1,2,FALSE)</f>
        <v>79.349999999999994</v>
      </c>
      <c r="M344" s="97">
        <f>prodnorm29</f>
        <v>0</v>
      </c>
      <c r="N344" s="41">
        <f>dagwerk29</f>
        <v>0</v>
      </c>
      <c r="O344" s="94" t="s">
        <v>108</v>
      </c>
      <c r="P344" s="26">
        <f>uurtarief29</f>
        <v>0</v>
      </c>
      <c r="Q344" s="96" t="e">
        <f>IF(ISBLANK(M344),0,L344/ROUND(M344,4))</f>
        <v>#DIV/0!</v>
      </c>
      <c r="R344" s="96" t="e">
        <f>IF(ISBLANK(M344),0,Q344*ROUND(N344,2))</f>
        <v>#DIV/0!</v>
      </c>
      <c r="S344" s="26" t="e">
        <f>ROUND(P344,2)*Q344</f>
        <v>#DIV/0!</v>
      </c>
      <c r="T344" s="96" t="e">
        <f>Q344*dagenperjaar1</f>
        <v>#DIV/0!</v>
      </c>
      <c r="U344" s="27" t="e">
        <f>T344*ROUND(P344,2)</f>
        <v>#DIV/0!</v>
      </c>
    </row>
    <row r="345" spans="1:21" x14ac:dyDescent="0.2">
      <c r="A345" s="93" t="s">
        <v>244</v>
      </c>
      <c r="B345" s="94" t="s">
        <v>42</v>
      </c>
      <c r="C345" s="94" t="s">
        <v>559</v>
      </c>
      <c r="D345" s="94" t="s">
        <v>574</v>
      </c>
      <c r="E345" s="95" t="s">
        <v>571</v>
      </c>
      <c r="F345" s="94" t="s">
        <v>277</v>
      </c>
      <c r="G345" s="94" t="s">
        <v>227</v>
      </c>
      <c r="H345" s="94" t="s">
        <v>24</v>
      </c>
      <c r="I345" s="94" t="s">
        <v>191</v>
      </c>
      <c r="J345" s="94"/>
      <c r="K345" s="96">
        <v>79.349999999999994</v>
      </c>
      <c r="L345" s="96">
        <f>K345*VLOOKUP(H345,dagsoorttabel1,2,FALSE)</f>
        <v>0.39674999999999999</v>
      </c>
      <c r="M345" s="97">
        <f>prodnorm35</f>
        <v>0</v>
      </c>
      <c r="N345" s="41">
        <f>dagwerk35</f>
        <v>0</v>
      </c>
      <c r="O345" s="94" t="s">
        <v>108</v>
      </c>
      <c r="P345" s="26">
        <f>uurtarief35</f>
        <v>0</v>
      </c>
      <c r="Q345" s="96" t="e">
        <f>IF(ISBLANK(M345),0,L345/ROUND(M345,4))</f>
        <v>#DIV/0!</v>
      </c>
      <c r="R345" s="96" t="e">
        <f>IF(ISBLANK(M345),0,Q345*ROUND(N345,2))</f>
        <v>#DIV/0!</v>
      </c>
      <c r="S345" s="26" t="e">
        <f>ROUND(P345,2)*Q345</f>
        <v>#DIV/0!</v>
      </c>
      <c r="T345" s="96" t="e">
        <f>Q345*dagenperjaar1</f>
        <v>#DIV/0!</v>
      </c>
      <c r="U345" s="27" t="e">
        <f>T345*ROUND(P345,2)</f>
        <v>#DIV/0!</v>
      </c>
    </row>
    <row r="346" spans="1:21" x14ac:dyDescent="0.2">
      <c r="A346" s="93" t="s">
        <v>244</v>
      </c>
      <c r="B346" s="94" t="s">
        <v>42</v>
      </c>
      <c r="C346" s="94" t="s">
        <v>559</v>
      </c>
      <c r="D346" s="94" t="s">
        <v>575</v>
      </c>
      <c r="E346" s="95" t="s">
        <v>576</v>
      </c>
      <c r="F346" s="94" t="s">
        <v>277</v>
      </c>
      <c r="G346" s="94" t="s">
        <v>207</v>
      </c>
      <c r="H346" s="94" t="s">
        <v>10</v>
      </c>
      <c r="I346" s="94" t="s">
        <v>191</v>
      </c>
      <c r="J346" s="94"/>
      <c r="K346" s="96">
        <v>80</v>
      </c>
      <c r="L346" s="96">
        <f>K346*VLOOKUP(H346,dagsoorttabel1,2,FALSE)</f>
        <v>80</v>
      </c>
      <c r="M346" s="97">
        <f>prodnorm24</f>
        <v>0</v>
      </c>
      <c r="N346" s="41">
        <f>dagwerk24</f>
        <v>0</v>
      </c>
      <c r="O346" s="94" t="s">
        <v>108</v>
      </c>
      <c r="P346" s="26">
        <f>uurtarief24</f>
        <v>0</v>
      </c>
      <c r="Q346" s="96" t="e">
        <f>IF(ISBLANK(M346),0,L346/ROUND(M346,4))</f>
        <v>#DIV/0!</v>
      </c>
      <c r="R346" s="96" t="e">
        <f>IF(ISBLANK(M346),0,Q346*ROUND(N346,2))</f>
        <v>#DIV/0!</v>
      </c>
      <c r="S346" s="26" t="e">
        <f>ROUND(P346,2)*Q346</f>
        <v>#DIV/0!</v>
      </c>
      <c r="T346" s="96" t="e">
        <f>Q346*dagenperjaar1</f>
        <v>#DIV/0!</v>
      </c>
      <c r="U346" s="27" t="e">
        <f>T346*ROUND(P346,2)</f>
        <v>#DIV/0!</v>
      </c>
    </row>
    <row r="347" spans="1:21" x14ac:dyDescent="0.2">
      <c r="A347" s="93" t="s">
        <v>244</v>
      </c>
      <c r="B347" s="94" t="s">
        <v>42</v>
      </c>
      <c r="C347" s="94" t="s">
        <v>559</v>
      </c>
      <c r="D347" s="94" t="s">
        <v>575</v>
      </c>
      <c r="E347" s="95" t="s">
        <v>576</v>
      </c>
      <c r="F347" s="94" t="s">
        <v>277</v>
      </c>
      <c r="G347" s="94" t="s">
        <v>227</v>
      </c>
      <c r="H347" s="94" t="s">
        <v>24</v>
      </c>
      <c r="I347" s="94" t="s">
        <v>191</v>
      </c>
      <c r="J347" s="94"/>
      <c r="K347" s="96">
        <v>80</v>
      </c>
      <c r="L347" s="96">
        <f>K347*VLOOKUP(H347,dagsoorttabel1,2,FALSE)</f>
        <v>0.4</v>
      </c>
      <c r="M347" s="97">
        <f>prodnorm35</f>
        <v>0</v>
      </c>
      <c r="N347" s="41">
        <f>dagwerk35</f>
        <v>0</v>
      </c>
      <c r="O347" s="94" t="s">
        <v>108</v>
      </c>
      <c r="P347" s="26">
        <f>uurtarief35</f>
        <v>0</v>
      </c>
      <c r="Q347" s="96" t="e">
        <f>IF(ISBLANK(M347),0,L347/ROUND(M347,4))</f>
        <v>#DIV/0!</v>
      </c>
      <c r="R347" s="96" t="e">
        <f>IF(ISBLANK(M347),0,Q347*ROUND(N347,2))</f>
        <v>#DIV/0!</v>
      </c>
      <c r="S347" s="26" t="e">
        <f>ROUND(P347,2)*Q347</f>
        <v>#DIV/0!</v>
      </c>
      <c r="T347" s="96" t="e">
        <f>Q347*dagenperjaar1</f>
        <v>#DIV/0!</v>
      </c>
      <c r="U347" s="27" t="e">
        <f>T347*ROUND(P347,2)</f>
        <v>#DIV/0!</v>
      </c>
    </row>
    <row r="348" spans="1:21" x14ac:dyDescent="0.2">
      <c r="A348" s="93" t="s">
        <v>244</v>
      </c>
      <c r="B348" s="94" t="s">
        <v>42</v>
      </c>
      <c r="C348" s="94" t="s">
        <v>559</v>
      </c>
      <c r="D348" s="94" t="s">
        <v>577</v>
      </c>
      <c r="E348" s="95" t="s">
        <v>424</v>
      </c>
      <c r="F348" s="94" t="s">
        <v>277</v>
      </c>
      <c r="G348" s="94" t="s">
        <v>193</v>
      </c>
      <c r="H348" s="94" t="s">
        <v>14</v>
      </c>
      <c r="I348" s="94" t="s">
        <v>191</v>
      </c>
      <c r="J348" s="94"/>
      <c r="K348" s="96">
        <v>80</v>
      </c>
      <c r="L348" s="96">
        <f>K348*VLOOKUP(H348,dagsoorttabel1,2,FALSE)</f>
        <v>32</v>
      </c>
      <c r="M348" s="97">
        <f>prodnorm15</f>
        <v>0</v>
      </c>
      <c r="N348" s="41">
        <f>dagwerk15</f>
        <v>0</v>
      </c>
      <c r="O348" s="94" t="s">
        <v>108</v>
      </c>
      <c r="P348" s="26">
        <f>uurtarief15</f>
        <v>0</v>
      </c>
      <c r="Q348" s="96" t="e">
        <f>IF(ISBLANK(M348),0,L348/ROUND(M348,4))</f>
        <v>#DIV/0!</v>
      </c>
      <c r="R348" s="96" t="e">
        <f>IF(ISBLANK(M348),0,Q348*ROUND(N348,2))</f>
        <v>#DIV/0!</v>
      </c>
      <c r="S348" s="26" t="e">
        <f>ROUND(P348,2)*Q348</f>
        <v>#DIV/0!</v>
      </c>
      <c r="T348" s="96" t="e">
        <f>Q348*dagenperjaar1</f>
        <v>#DIV/0!</v>
      </c>
      <c r="U348" s="27" t="e">
        <f>T348*ROUND(P348,2)</f>
        <v>#DIV/0!</v>
      </c>
    </row>
    <row r="349" spans="1:21" x14ac:dyDescent="0.2">
      <c r="A349" s="93" t="s">
        <v>244</v>
      </c>
      <c r="B349" s="94" t="s">
        <v>42</v>
      </c>
      <c r="C349" s="94" t="s">
        <v>559</v>
      </c>
      <c r="D349" s="94" t="s">
        <v>577</v>
      </c>
      <c r="E349" s="95" t="s">
        <v>424</v>
      </c>
      <c r="F349" s="94" t="s">
        <v>277</v>
      </c>
      <c r="G349" s="94" t="s">
        <v>227</v>
      </c>
      <c r="H349" s="94" t="s">
        <v>24</v>
      </c>
      <c r="I349" s="94" t="s">
        <v>191</v>
      </c>
      <c r="J349" s="94"/>
      <c r="K349" s="96">
        <v>80</v>
      </c>
      <c r="L349" s="96">
        <f>K349*VLOOKUP(H349,dagsoorttabel1,2,FALSE)</f>
        <v>0.4</v>
      </c>
      <c r="M349" s="97">
        <f>prodnorm35</f>
        <v>0</v>
      </c>
      <c r="N349" s="41">
        <f>dagwerk35</f>
        <v>0</v>
      </c>
      <c r="O349" s="94" t="s">
        <v>108</v>
      </c>
      <c r="P349" s="26">
        <f>uurtarief35</f>
        <v>0</v>
      </c>
      <c r="Q349" s="96" t="e">
        <f>IF(ISBLANK(M349),0,L349/ROUND(M349,4))</f>
        <v>#DIV/0!</v>
      </c>
      <c r="R349" s="96" t="e">
        <f>IF(ISBLANK(M349),0,Q349*ROUND(N349,2))</f>
        <v>#DIV/0!</v>
      </c>
      <c r="S349" s="26" t="e">
        <f>ROUND(P349,2)*Q349</f>
        <v>#DIV/0!</v>
      </c>
      <c r="T349" s="96" t="e">
        <f>Q349*dagenperjaar1</f>
        <v>#DIV/0!</v>
      </c>
      <c r="U349" s="27" t="e">
        <f>T349*ROUND(P349,2)</f>
        <v>#DIV/0!</v>
      </c>
    </row>
    <row r="350" spans="1:21" x14ac:dyDescent="0.2">
      <c r="A350" s="93" t="s">
        <v>244</v>
      </c>
      <c r="B350" s="94" t="s">
        <v>42</v>
      </c>
      <c r="C350" s="94" t="s">
        <v>559</v>
      </c>
      <c r="D350" s="94" t="s">
        <v>578</v>
      </c>
      <c r="E350" s="95" t="s">
        <v>579</v>
      </c>
      <c r="F350" s="94" t="s">
        <v>277</v>
      </c>
      <c r="G350" s="94" t="s">
        <v>213</v>
      </c>
      <c r="H350" s="94" t="s">
        <v>10</v>
      </c>
      <c r="I350" s="94" t="s">
        <v>191</v>
      </c>
      <c r="J350" s="94"/>
      <c r="K350" s="96">
        <v>4</v>
      </c>
      <c r="L350" s="96">
        <f>K350*VLOOKUP(H350,dagsoorttabel1,2,FALSE)</f>
        <v>4</v>
      </c>
      <c r="M350" s="97">
        <f>prodnorm27</f>
        <v>0</v>
      </c>
      <c r="N350" s="41">
        <f>dagwerk27</f>
        <v>0</v>
      </c>
      <c r="O350" s="94" t="s">
        <v>108</v>
      </c>
      <c r="P350" s="26">
        <f>uurtarief27</f>
        <v>0</v>
      </c>
      <c r="Q350" s="96" t="e">
        <f>IF(ISBLANK(M350),0,L350/ROUND(M350,4))</f>
        <v>#DIV/0!</v>
      </c>
      <c r="R350" s="96" t="e">
        <f>IF(ISBLANK(M350),0,Q350*ROUND(N350,2))</f>
        <v>#DIV/0!</v>
      </c>
      <c r="S350" s="26" t="e">
        <f>ROUND(P350,2)*Q350</f>
        <v>#DIV/0!</v>
      </c>
      <c r="T350" s="96" t="e">
        <f>Q350*dagenperjaar1</f>
        <v>#DIV/0!</v>
      </c>
      <c r="U350" s="27" t="e">
        <f>T350*ROUND(P350,2)</f>
        <v>#DIV/0!</v>
      </c>
    </row>
    <row r="351" spans="1:21" x14ac:dyDescent="0.2">
      <c r="A351" s="93" t="s">
        <v>244</v>
      </c>
      <c r="B351" s="94" t="s">
        <v>42</v>
      </c>
      <c r="C351" s="94" t="s">
        <v>559</v>
      </c>
      <c r="D351" s="94" t="s">
        <v>578</v>
      </c>
      <c r="E351" s="95" t="s">
        <v>579</v>
      </c>
      <c r="F351" s="94" t="s">
        <v>277</v>
      </c>
      <c r="G351" s="94" t="s">
        <v>227</v>
      </c>
      <c r="H351" s="94" t="s">
        <v>24</v>
      </c>
      <c r="I351" s="94" t="s">
        <v>191</v>
      </c>
      <c r="J351" s="94"/>
      <c r="K351" s="96">
        <v>4</v>
      </c>
      <c r="L351" s="96">
        <f>K351*VLOOKUP(H351,dagsoorttabel1,2,FALSE)</f>
        <v>0.02</v>
      </c>
      <c r="M351" s="97">
        <f>prodnorm35</f>
        <v>0</v>
      </c>
      <c r="N351" s="41">
        <f>dagwerk35</f>
        <v>0</v>
      </c>
      <c r="O351" s="94" t="s">
        <v>108</v>
      </c>
      <c r="P351" s="26">
        <f>uurtarief35</f>
        <v>0</v>
      </c>
      <c r="Q351" s="96" t="e">
        <f>IF(ISBLANK(M351),0,L351/ROUND(M351,4))</f>
        <v>#DIV/0!</v>
      </c>
      <c r="R351" s="96" t="e">
        <f>IF(ISBLANK(M351),0,Q351*ROUND(N351,2))</f>
        <v>#DIV/0!</v>
      </c>
      <c r="S351" s="26" t="e">
        <f>ROUND(P351,2)*Q351</f>
        <v>#DIV/0!</v>
      </c>
      <c r="T351" s="96" t="e">
        <f>Q351*dagenperjaar1</f>
        <v>#DIV/0!</v>
      </c>
      <c r="U351" s="27" t="e">
        <f>T351*ROUND(P351,2)</f>
        <v>#DIV/0!</v>
      </c>
    </row>
    <row r="352" spans="1:21" x14ac:dyDescent="0.2">
      <c r="A352" s="93" t="s">
        <v>244</v>
      </c>
      <c r="B352" s="94" t="s">
        <v>42</v>
      </c>
      <c r="C352" s="94" t="s">
        <v>559</v>
      </c>
      <c r="D352" s="94" t="s">
        <v>580</v>
      </c>
      <c r="E352" s="95" t="s">
        <v>292</v>
      </c>
      <c r="F352" s="94" t="s">
        <v>401</v>
      </c>
      <c r="G352" s="94" t="s">
        <v>219</v>
      </c>
      <c r="H352" s="94" t="s">
        <v>10</v>
      </c>
      <c r="I352" s="94" t="s">
        <v>191</v>
      </c>
      <c r="J352" s="94"/>
      <c r="K352" s="96">
        <v>24.3</v>
      </c>
      <c r="L352" s="96">
        <f>K352*VLOOKUP(H352,dagsoorttabel1,2,FALSE)</f>
        <v>24.3</v>
      </c>
      <c r="M352" s="97">
        <f>prodnorm30</f>
        <v>0</v>
      </c>
      <c r="N352" s="41">
        <f>dagwerk30</f>
        <v>0</v>
      </c>
      <c r="O352" s="94" t="s">
        <v>108</v>
      </c>
      <c r="P352" s="26">
        <f>uurtarief30</f>
        <v>0</v>
      </c>
      <c r="Q352" s="96" t="e">
        <f>IF(ISBLANK(M352),0,L352/ROUND(M352,4))</f>
        <v>#DIV/0!</v>
      </c>
      <c r="R352" s="96" t="e">
        <f>IF(ISBLANK(M352),0,Q352*ROUND(N352,2))</f>
        <v>#DIV/0!</v>
      </c>
      <c r="S352" s="26" t="e">
        <f>ROUND(P352,2)*Q352</f>
        <v>#DIV/0!</v>
      </c>
      <c r="T352" s="96" t="e">
        <f>Q352*dagenperjaar1</f>
        <v>#DIV/0!</v>
      </c>
      <c r="U352" s="27" t="e">
        <f>T352*ROUND(P352,2)</f>
        <v>#DIV/0!</v>
      </c>
    </row>
    <row r="353" spans="1:21" x14ac:dyDescent="0.2">
      <c r="A353" s="93" t="s">
        <v>244</v>
      </c>
      <c r="B353" s="94" t="s">
        <v>42</v>
      </c>
      <c r="C353" s="94" t="s">
        <v>559</v>
      </c>
      <c r="D353" s="94" t="s">
        <v>581</v>
      </c>
      <c r="E353" s="95" t="s">
        <v>294</v>
      </c>
      <c r="F353" s="94" t="s">
        <v>401</v>
      </c>
      <c r="G353" s="94" t="s">
        <v>219</v>
      </c>
      <c r="H353" s="94" t="s">
        <v>10</v>
      </c>
      <c r="I353" s="94" t="s">
        <v>191</v>
      </c>
      <c r="J353" s="94"/>
      <c r="K353" s="96">
        <v>16.8</v>
      </c>
      <c r="L353" s="96">
        <f>K353*VLOOKUP(H353,dagsoorttabel1,2,FALSE)</f>
        <v>16.8</v>
      </c>
      <c r="M353" s="97">
        <f>prodnorm30</f>
        <v>0</v>
      </c>
      <c r="N353" s="41">
        <f>dagwerk30</f>
        <v>0</v>
      </c>
      <c r="O353" s="94" t="s">
        <v>108</v>
      </c>
      <c r="P353" s="26">
        <f>uurtarief30</f>
        <v>0</v>
      </c>
      <c r="Q353" s="96" t="e">
        <f>IF(ISBLANK(M353),0,L353/ROUND(M353,4))</f>
        <v>#DIV/0!</v>
      </c>
      <c r="R353" s="96" t="e">
        <f>IF(ISBLANK(M353),0,Q353*ROUND(N353,2))</f>
        <v>#DIV/0!</v>
      </c>
      <c r="S353" s="26" t="e">
        <f>ROUND(P353,2)*Q353</f>
        <v>#DIV/0!</v>
      </c>
      <c r="T353" s="96" t="e">
        <f>Q353*dagenperjaar1</f>
        <v>#DIV/0!</v>
      </c>
      <c r="U353" s="27" t="e">
        <f>T353*ROUND(P353,2)</f>
        <v>#DIV/0!</v>
      </c>
    </row>
    <row r="354" spans="1:21" x14ac:dyDescent="0.2">
      <c r="A354" s="93" t="s">
        <v>244</v>
      </c>
      <c r="B354" s="94" t="s">
        <v>42</v>
      </c>
      <c r="C354" s="94" t="s">
        <v>559</v>
      </c>
      <c r="D354" s="94" t="s">
        <v>582</v>
      </c>
      <c r="E354" s="95" t="s">
        <v>348</v>
      </c>
      <c r="F354" s="94" t="s">
        <v>434</v>
      </c>
      <c r="G354" s="94" t="s">
        <v>225</v>
      </c>
      <c r="H354" s="94" t="s">
        <v>10</v>
      </c>
      <c r="I354" s="94" t="s">
        <v>191</v>
      </c>
      <c r="J354" s="94"/>
      <c r="K354" s="96">
        <v>5</v>
      </c>
      <c r="L354" s="96">
        <f>K354*VLOOKUP(H354,dagsoorttabel1,2,FALSE)</f>
        <v>5</v>
      </c>
      <c r="M354" s="97">
        <f>prodnorm34</f>
        <v>0</v>
      </c>
      <c r="N354" s="41">
        <f>dagwerk34</f>
        <v>0</v>
      </c>
      <c r="O354" s="94" t="s">
        <v>108</v>
      </c>
      <c r="P354" s="26">
        <f>uurtarief34</f>
        <v>0</v>
      </c>
      <c r="Q354" s="96" t="e">
        <f>IF(ISBLANK(M354),0,L354/ROUND(M354,4))</f>
        <v>#DIV/0!</v>
      </c>
      <c r="R354" s="96" t="e">
        <f>IF(ISBLANK(M354),0,Q354*ROUND(N354,2))</f>
        <v>#DIV/0!</v>
      </c>
      <c r="S354" s="26" t="e">
        <f>ROUND(P354,2)*Q354</f>
        <v>#DIV/0!</v>
      </c>
      <c r="T354" s="96" t="e">
        <f>Q354*dagenperjaar1</f>
        <v>#DIV/0!</v>
      </c>
      <c r="U354" s="27" t="e">
        <f>T354*ROUND(P354,2)</f>
        <v>#DIV/0!</v>
      </c>
    </row>
    <row r="355" spans="1:21" x14ac:dyDescent="0.2">
      <c r="A355" s="93" t="s">
        <v>244</v>
      </c>
      <c r="B355" s="94" t="s">
        <v>42</v>
      </c>
      <c r="C355" s="94" t="s">
        <v>559</v>
      </c>
      <c r="D355" s="94" t="s">
        <v>583</v>
      </c>
      <c r="E355" s="95" t="s">
        <v>576</v>
      </c>
      <c r="F355" s="94" t="s">
        <v>434</v>
      </c>
      <c r="G355" s="94" t="s">
        <v>207</v>
      </c>
      <c r="H355" s="94" t="s">
        <v>10</v>
      </c>
      <c r="I355" s="94" t="s">
        <v>191</v>
      </c>
      <c r="J355" s="94"/>
      <c r="K355" s="96">
        <v>15.5</v>
      </c>
      <c r="L355" s="96">
        <f>K355*VLOOKUP(H355,dagsoorttabel1,2,FALSE)</f>
        <v>15.5</v>
      </c>
      <c r="M355" s="97">
        <f>prodnorm24</f>
        <v>0</v>
      </c>
      <c r="N355" s="41">
        <f>dagwerk24</f>
        <v>0</v>
      </c>
      <c r="O355" s="94" t="s">
        <v>108</v>
      </c>
      <c r="P355" s="26">
        <f>uurtarief24</f>
        <v>0</v>
      </c>
      <c r="Q355" s="96" t="e">
        <f>IF(ISBLANK(M355),0,L355/ROUND(M355,4))</f>
        <v>#DIV/0!</v>
      </c>
      <c r="R355" s="96" t="e">
        <f>IF(ISBLANK(M355),0,Q355*ROUND(N355,2))</f>
        <v>#DIV/0!</v>
      </c>
      <c r="S355" s="26" t="e">
        <f>ROUND(P355,2)*Q355</f>
        <v>#DIV/0!</v>
      </c>
      <c r="T355" s="96" t="e">
        <f>Q355*dagenperjaar1</f>
        <v>#DIV/0!</v>
      </c>
      <c r="U355" s="27" t="e">
        <f>T355*ROUND(P355,2)</f>
        <v>#DIV/0!</v>
      </c>
    </row>
    <row r="356" spans="1:21" x14ac:dyDescent="0.2">
      <c r="A356" s="93" t="s">
        <v>244</v>
      </c>
      <c r="B356" s="94" t="s">
        <v>42</v>
      </c>
      <c r="C356" s="94" t="s">
        <v>559</v>
      </c>
      <c r="D356" s="94" t="s">
        <v>584</v>
      </c>
      <c r="E356" s="95" t="s">
        <v>576</v>
      </c>
      <c r="F356" s="94" t="s">
        <v>434</v>
      </c>
      <c r="G356" s="94" t="s">
        <v>207</v>
      </c>
      <c r="H356" s="94" t="s">
        <v>10</v>
      </c>
      <c r="I356" s="94" t="s">
        <v>191</v>
      </c>
      <c r="J356" s="94"/>
      <c r="K356" s="96">
        <v>15.5</v>
      </c>
      <c r="L356" s="96">
        <f>K356*VLOOKUP(H356,dagsoorttabel1,2,FALSE)</f>
        <v>15.5</v>
      </c>
      <c r="M356" s="97">
        <f>prodnorm24</f>
        <v>0</v>
      </c>
      <c r="N356" s="41">
        <f>dagwerk24</f>
        <v>0</v>
      </c>
      <c r="O356" s="94" t="s">
        <v>108</v>
      </c>
      <c r="P356" s="26">
        <f>uurtarief24</f>
        <v>0</v>
      </c>
      <c r="Q356" s="96" t="e">
        <f>IF(ISBLANK(M356),0,L356/ROUND(M356,4))</f>
        <v>#DIV/0!</v>
      </c>
      <c r="R356" s="96" t="e">
        <f>IF(ISBLANK(M356),0,Q356*ROUND(N356,2))</f>
        <v>#DIV/0!</v>
      </c>
      <c r="S356" s="26" t="e">
        <f>ROUND(P356,2)*Q356</f>
        <v>#DIV/0!</v>
      </c>
      <c r="T356" s="96" t="e">
        <f>Q356*dagenperjaar1</f>
        <v>#DIV/0!</v>
      </c>
      <c r="U356" s="27" t="e">
        <f>T356*ROUND(P356,2)</f>
        <v>#DIV/0!</v>
      </c>
    </row>
    <row r="357" spans="1:21" x14ac:dyDescent="0.2">
      <c r="A357" s="93" t="s">
        <v>244</v>
      </c>
      <c r="B357" s="94" t="s">
        <v>42</v>
      </c>
      <c r="C357" s="94" t="s">
        <v>559</v>
      </c>
      <c r="D357" s="94" t="s">
        <v>585</v>
      </c>
      <c r="E357" s="95" t="s">
        <v>324</v>
      </c>
      <c r="F357" s="94" t="s">
        <v>296</v>
      </c>
      <c r="G357" s="94" t="s">
        <v>223</v>
      </c>
      <c r="H357" s="94" t="s">
        <v>10</v>
      </c>
      <c r="I357" s="94" t="s">
        <v>191</v>
      </c>
      <c r="J357" s="94"/>
      <c r="K357" s="96">
        <v>19.53</v>
      </c>
      <c r="L357" s="96">
        <f>K357*VLOOKUP(H357,dagsoorttabel1,2,FALSE)</f>
        <v>19.53</v>
      </c>
      <c r="M357" s="97">
        <f>prodnorm32</f>
        <v>0</v>
      </c>
      <c r="N357" s="41">
        <f>dagwerk32</f>
        <v>0</v>
      </c>
      <c r="O357" s="94" t="s">
        <v>108</v>
      </c>
      <c r="P357" s="26">
        <f>uurtarief32</f>
        <v>0</v>
      </c>
      <c r="Q357" s="96" t="e">
        <f>IF(ISBLANK(M357),0,L357/ROUND(M357,4))</f>
        <v>#DIV/0!</v>
      </c>
      <c r="R357" s="96" t="e">
        <f>IF(ISBLANK(M357),0,Q357*ROUND(N357,2))</f>
        <v>#DIV/0!</v>
      </c>
      <c r="S357" s="26" t="e">
        <f>ROUND(P357,2)*Q357</f>
        <v>#DIV/0!</v>
      </c>
      <c r="T357" s="96" t="e">
        <f>Q357*dagenperjaar1</f>
        <v>#DIV/0!</v>
      </c>
      <c r="U357" s="27" t="e">
        <f>T357*ROUND(P357,2)</f>
        <v>#DIV/0!</v>
      </c>
    </row>
    <row r="358" spans="1:21" x14ac:dyDescent="0.2">
      <c r="A358" s="93" t="s">
        <v>244</v>
      </c>
      <c r="B358" s="94" t="s">
        <v>42</v>
      </c>
      <c r="C358" s="94" t="s">
        <v>559</v>
      </c>
      <c r="D358" s="94" t="s">
        <v>586</v>
      </c>
      <c r="E358" s="95" t="s">
        <v>341</v>
      </c>
      <c r="F358" s="94" t="s">
        <v>434</v>
      </c>
      <c r="G358" s="94" t="s">
        <v>223</v>
      </c>
      <c r="H358" s="94" t="s">
        <v>10</v>
      </c>
      <c r="I358" s="94" t="s">
        <v>191</v>
      </c>
      <c r="J358" s="94"/>
      <c r="K358" s="96">
        <v>18.130000000000003</v>
      </c>
      <c r="L358" s="96">
        <f>K358*VLOOKUP(H358,dagsoorttabel1,2,FALSE)</f>
        <v>18.130000000000003</v>
      </c>
      <c r="M358" s="97">
        <f>prodnorm32</f>
        <v>0</v>
      </c>
      <c r="N358" s="41">
        <f>dagwerk32</f>
        <v>0</v>
      </c>
      <c r="O358" s="94" t="s">
        <v>108</v>
      </c>
      <c r="P358" s="26">
        <f>uurtarief32</f>
        <v>0</v>
      </c>
      <c r="Q358" s="96" t="e">
        <f>IF(ISBLANK(M358),0,L358/ROUND(M358,4))</f>
        <v>#DIV/0!</v>
      </c>
      <c r="R358" s="96" t="e">
        <f>IF(ISBLANK(M358),0,Q358*ROUND(N358,2))</f>
        <v>#DIV/0!</v>
      </c>
      <c r="S358" s="26" t="e">
        <f>ROUND(P358,2)*Q358</f>
        <v>#DIV/0!</v>
      </c>
      <c r="T358" s="96" t="e">
        <f>Q358*dagenperjaar1</f>
        <v>#DIV/0!</v>
      </c>
      <c r="U358" s="27" t="e">
        <f>T358*ROUND(P358,2)</f>
        <v>#DIV/0!</v>
      </c>
    </row>
    <row r="359" spans="1:21" x14ac:dyDescent="0.2">
      <c r="A359" s="93" t="s">
        <v>244</v>
      </c>
      <c r="B359" s="94" t="s">
        <v>42</v>
      </c>
      <c r="C359" s="94" t="s">
        <v>559</v>
      </c>
      <c r="D359" s="94" t="s">
        <v>587</v>
      </c>
      <c r="E359" s="95" t="s">
        <v>284</v>
      </c>
      <c r="F359" s="94" t="s">
        <v>277</v>
      </c>
      <c r="G359" s="94" t="s">
        <v>225</v>
      </c>
      <c r="H359" s="94" t="s">
        <v>10</v>
      </c>
      <c r="I359" s="94" t="s">
        <v>191</v>
      </c>
      <c r="J359" s="94"/>
      <c r="K359" s="96">
        <v>90</v>
      </c>
      <c r="L359" s="96">
        <f>K359*VLOOKUP(H359,dagsoorttabel1,2,FALSE)</f>
        <v>90</v>
      </c>
      <c r="M359" s="97">
        <f>prodnorm34</f>
        <v>0</v>
      </c>
      <c r="N359" s="41">
        <f>dagwerk34</f>
        <v>0</v>
      </c>
      <c r="O359" s="94" t="s">
        <v>108</v>
      </c>
      <c r="P359" s="26">
        <f>uurtarief34</f>
        <v>0</v>
      </c>
      <c r="Q359" s="96" t="e">
        <f>IF(ISBLANK(M359),0,L359/ROUND(M359,4))</f>
        <v>#DIV/0!</v>
      </c>
      <c r="R359" s="96" t="e">
        <f>IF(ISBLANK(M359),0,Q359*ROUND(N359,2))</f>
        <v>#DIV/0!</v>
      </c>
      <c r="S359" s="26" t="e">
        <f>ROUND(P359,2)*Q359</f>
        <v>#DIV/0!</v>
      </c>
      <c r="T359" s="96" t="e">
        <f>Q359*dagenperjaar1</f>
        <v>#DIV/0!</v>
      </c>
      <c r="U359" s="27" t="e">
        <f>T359*ROUND(P359,2)</f>
        <v>#DIV/0!</v>
      </c>
    </row>
    <row r="360" spans="1:21" x14ac:dyDescent="0.2">
      <c r="A360" s="93" t="s">
        <v>244</v>
      </c>
      <c r="B360" s="94" t="s">
        <v>42</v>
      </c>
      <c r="C360" s="94" t="s">
        <v>559</v>
      </c>
      <c r="D360" s="94" t="s">
        <v>587</v>
      </c>
      <c r="E360" s="95" t="s">
        <v>284</v>
      </c>
      <c r="F360" s="94" t="s">
        <v>277</v>
      </c>
      <c r="G360" s="94" t="s">
        <v>227</v>
      </c>
      <c r="H360" s="94" t="s">
        <v>24</v>
      </c>
      <c r="I360" s="94" t="s">
        <v>191</v>
      </c>
      <c r="J360" s="94"/>
      <c r="K360" s="96">
        <v>90</v>
      </c>
      <c r="L360" s="96">
        <f>K360*VLOOKUP(H360,dagsoorttabel1,2,FALSE)</f>
        <v>0.45</v>
      </c>
      <c r="M360" s="97">
        <f>prodnorm35</f>
        <v>0</v>
      </c>
      <c r="N360" s="41">
        <f>dagwerk35</f>
        <v>0</v>
      </c>
      <c r="O360" s="94" t="s">
        <v>108</v>
      </c>
      <c r="P360" s="26">
        <f>uurtarief35</f>
        <v>0</v>
      </c>
      <c r="Q360" s="96" t="e">
        <f>IF(ISBLANK(M360),0,L360/ROUND(M360,4))</f>
        <v>#DIV/0!</v>
      </c>
      <c r="R360" s="96" t="e">
        <f>IF(ISBLANK(M360),0,Q360*ROUND(N360,2))</f>
        <v>#DIV/0!</v>
      </c>
      <c r="S360" s="26" t="e">
        <f>ROUND(P360,2)*Q360</f>
        <v>#DIV/0!</v>
      </c>
      <c r="T360" s="96" t="e">
        <f>Q360*dagenperjaar1</f>
        <v>#DIV/0!</v>
      </c>
      <c r="U360" s="27" t="e">
        <f>T360*ROUND(P360,2)</f>
        <v>#DIV/0!</v>
      </c>
    </row>
    <row r="361" spans="1:21" x14ac:dyDescent="0.2">
      <c r="A361" s="93" t="s">
        <v>244</v>
      </c>
      <c r="B361" s="94" t="s">
        <v>42</v>
      </c>
      <c r="C361" s="94" t="s">
        <v>559</v>
      </c>
      <c r="D361" s="94" t="s">
        <v>588</v>
      </c>
      <c r="E361" s="95" t="s">
        <v>341</v>
      </c>
      <c r="F361" s="94" t="s">
        <v>434</v>
      </c>
      <c r="G361" s="94" t="s">
        <v>223</v>
      </c>
      <c r="H361" s="94" t="s">
        <v>10</v>
      </c>
      <c r="I361" s="94" t="s">
        <v>191</v>
      </c>
      <c r="J361" s="94"/>
      <c r="K361" s="96">
        <v>137.9</v>
      </c>
      <c r="L361" s="96">
        <f>K361*VLOOKUP(H361,dagsoorttabel1,2,FALSE)</f>
        <v>137.9</v>
      </c>
      <c r="M361" s="97">
        <f>prodnorm32</f>
        <v>0</v>
      </c>
      <c r="N361" s="41">
        <f>dagwerk32</f>
        <v>0</v>
      </c>
      <c r="O361" s="94" t="s">
        <v>108</v>
      </c>
      <c r="P361" s="26">
        <f>uurtarief32</f>
        <v>0</v>
      </c>
      <c r="Q361" s="96" t="e">
        <f>IF(ISBLANK(M361),0,L361/ROUND(M361,4))</f>
        <v>#DIV/0!</v>
      </c>
      <c r="R361" s="96" t="e">
        <f>IF(ISBLANK(M361),0,Q361*ROUND(N361,2))</f>
        <v>#DIV/0!</v>
      </c>
      <c r="S361" s="26" t="e">
        <f>ROUND(P361,2)*Q361</f>
        <v>#DIV/0!</v>
      </c>
      <c r="T361" s="96" t="e">
        <f>Q361*dagenperjaar1</f>
        <v>#DIV/0!</v>
      </c>
      <c r="U361" s="27" t="e">
        <f>T361*ROUND(P361,2)</f>
        <v>#DIV/0!</v>
      </c>
    </row>
    <row r="362" spans="1:21" x14ac:dyDescent="0.2">
      <c r="A362" s="93" t="s">
        <v>244</v>
      </c>
      <c r="B362" s="94" t="s">
        <v>42</v>
      </c>
      <c r="C362" s="94" t="s">
        <v>559</v>
      </c>
      <c r="D362" s="94" t="s">
        <v>589</v>
      </c>
      <c r="E362" s="95" t="s">
        <v>284</v>
      </c>
      <c r="F362" s="94" t="s">
        <v>277</v>
      </c>
      <c r="G362" s="94" t="s">
        <v>225</v>
      </c>
      <c r="H362" s="94" t="s">
        <v>10</v>
      </c>
      <c r="I362" s="94" t="s">
        <v>191</v>
      </c>
      <c r="J362" s="94"/>
      <c r="K362" s="96">
        <v>53</v>
      </c>
      <c r="L362" s="96">
        <f>K362*VLOOKUP(H362,dagsoorttabel1,2,FALSE)</f>
        <v>53</v>
      </c>
      <c r="M362" s="97">
        <f>prodnorm34</f>
        <v>0</v>
      </c>
      <c r="N362" s="41">
        <f>dagwerk34</f>
        <v>0</v>
      </c>
      <c r="O362" s="94" t="s">
        <v>108</v>
      </c>
      <c r="P362" s="26">
        <f>uurtarief34</f>
        <v>0</v>
      </c>
      <c r="Q362" s="96" t="e">
        <f>IF(ISBLANK(M362),0,L362/ROUND(M362,4))</f>
        <v>#DIV/0!</v>
      </c>
      <c r="R362" s="96" t="e">
        <f>IF(ISBLANK(M362),0,Q362*ROUND(N362,2))</f>
        <v>#DIV/0!</v>
      </c>
      <c r="S362" s="26" t="e">
        <f>ROUND(P362,2)*Q362</f>
        <v>#DIV/0!</v>
      </c>
      <c r="T362" s="96" t="e">
        <f>Q362*dagenperjaar1</f>
        <v>#DIV/0!</v>
      </c>
      <c r="U362" s="27" t="e">
        <f>T362*ROUND(P362,2)</f>
        <v>#DIV/0!</v>
      </c>
    </row>
    <row r="363" spans="1:21" x14ac:dyDescent="0.2">
      <c r="A363" s="93" t="s">
        <v>244</v>
      </c>
      <c r="B363" s="94" t="s">
        <v>42</v>
      </c>
      <c r="C363" s="94" t="s">
        <v>559</v>
      </c>
      <c r="D363" s="94" t="s">
        <v>589</v>
      </c>
      <c r="E363" s="95" t="s">
        <v>284</v>
      </c>
      <c r="F363" s="94" t="s">
        <v>277</v>
      </c>
      <c r="G363" s="94" t="s">
        <v>227</v>
      </c>
      <c r="H363" s="94" t="s">
        <v>24</v>
      </c>
      <c r="I363" s="94" t="s">
        <v>191</v>
      </c>
      <c r="J363" s="94"/>
      <c r="K363" s="96">
        <v>53</v>
      </c>
      <c r="L363" s="96">
        <f>K363*VLOOKUP(H363,dagsoorttabel1,2,FALSE)</f>
        <v>0.26500000000000001</v>
      </c>
      <c r="M363" s="97">
        <f>prodnorm35</f>
        <v>0</v>
      </c>
      <c r="N363" s="41">
        <f>dagwerk35</f>
        <v>0</v>
      </c>
      <c r="O363" s="94" t="s">
        <v>108</v>
      </c>
      <c r="P363" s="26">
        <f>uurtarief35</f>
        <v>0</v>
      </c>
      <c r="Q363" s="96" t="e">
        <f>IF(ISBLANK(M363),0,L363/ROUND(M363,4))</f>
        <v>#DIV/0!</v>
      </c>
      <c r="R363" s="96" t="e">
        <f>IF(ISBLANK(M363),0,Q363*ROUND(N363,2))</f>
        <v>#DIV/0!</v>
      </c>
      <c r="S363" s="26" t="e">
        <f>ROUND(P363,2)*Q363</f>
        <v>#DIV/0!</v>
      </c>
      <c r="T363" s="96" t="e">
        <f>Q363*dagenperjaar1</f>
        <v>#DIV/0!</v>
      </c>
      <c r="U363" s="27" t="e">
        <f>T363*ROUND(P363,2)</f>
        <v>#DIV/0!</v>
      </c>
    </row>
    <row r="364" spans="1:21" x14ac:dyDescent="0.2">
      <c r="A364" s="93" t="s">
        <v>244</v>
      </c>
      <c r="B364" s="94" t="s">
        <v>42</v>
      </c>
      <c r="C364" s="94" t="s">
        <v>559</v>
      </c>
      <c r="D364" s="94" t="s">
        <v>590</v>
      </c>
      <c r="E364" s="95" t="s">
        <v>591</v>
      </c>
      <c r="F364" s="94" t="s">
        <v>277</v>
      </c>
      <c r="G364" s="94" t="s">
        <v>225</v>
      </c>
      <c r="H364" s="94" t="s">
        <v>10</v>
      </c>
      <c r="I364" s="94" t="s">
        <v>191</v>
      </c>
      <c r="J364" s="94"/>
      <c r="K364" s="96">
        <v>20</v>
      </c>
      <c r="L364" s="96">
        <f>K364*VLOOKUP(H364,dagsoorttabel1,2,FALSE)</f>
        <v>20</v>
      </c>
      <c r="M364" s="97">
        <f>prodnorm34</f>
        <v>0</v>
      </c>
      <c r="N364" s="41">
        <f>dagwerk34</f>
        <v>0</v>
      </c>
      <c r="O364" s="94" t="s">
        <v>108</v>
      </c>
      <c r="P364" s="26">
        <f>uurtarief34</f>
        <v>0</v>
      </c>
      <c r="Q364" s="96" t="e">
        <f>IF(ISBLANK(M364),0,L364/ROUND(M364,4))</f>
        <v>#DIV/0!</v>
      </c>
      <c r="R364" s="96" t="e">
        <f>IF(ISBLANK(M364),0,Q364*ROUND(N364,2))</f>
        <v>#DIV/0!</v>
      </c>
      <c r="S364" s="26" t="e">
        <f>ROUND(P364,2)*Q364</f>
        <v>#DIV/0!</v>
      </c>
      <c r="T364" s="96" t="e">
        <f>Q364*dagenperjaar1</f>
        <v>#DIV/0!</v>
      </c>
      <c r="U364" s="27" t="e">
        <f>T364*ROUND(P364,2)</f>
        <v>#DIV/0!</v>
      </c>
    </row>
    <row r="365" spans="1:21" x14ac:dyDescent="0.2">
      <c r="A365" s="93" t="s">
        <v>244</v>
      </c>
      <c r="B365" s="94" t="s">
        <v>42</v>
      </c>
      <c r="C365" s="94" t="s">
        <v>559</v>
      </c>
      <c r="D365" s="94" t="s">
        <v>590</v>
      </c>
      <c r="E365" s="95" t="s">
        <v>591</v>
      </c>
      <c r="F365" s="94" t="s">
        <v>277</v>
      </c>
      <c r="G365" s="94" t="s">
        <v>227</v>
      </c>
      <c r="H365" s="94" t="s">
        <v>24</v>
      </c>
      <c r="I365" s="94" t="s">
        <v>191</v>
      </c>
      <c r="J365" s="94"/>
      <c r="K365" s="96">
        <v>20</v>
      </c>
      <c r="L365" s="96">
        <f>K365*VLOOKUP(H365,dagsoorttabel1,2,FALSE)</f>
        <v>0.1</v>
      </c>
      <c r="M365" s="97">
        <f>prodnorm35</f>
        <v>0</v>
      </c>
      <c r="N365" s="41">
        <f>dagwerk35</f>
        <v>0</v>
      </c>
      <c r="O365" s="94" t="s">
        <v>108</v>
      </c>
      <c r="P365" s="26">
        <f>uurtarief35</f>
        <v>0</v>
      </c>
      <c r="Q365" s="96" t="e">
        <f>IF(ISBLANK(M365),0,L365/ROUND(M365,4))</f>
        <v>#DIV/0!</v>
      </c>
      <c r="R365" s="96" t="e">
        <f>IF(ISBLANK(M365),0,Q365*ROUND(N365,2))</f>
        <v>#DIV/0!</v>
      </c>
      <c r="S365" s="26" t="e">
        <f>ROUND(P365,2)*Q365</f>
        <v>#DIV/0!</v>
      </c>
      <c r="T365" s="96" t="e">
        <f>Q365*dagenperjaar1</f>
        <v>#DIV/0!</v>
      </c>
      <c r="U365" s="27" t="e">
        <f>T365*ROUND(P365,2)</f>
        <v>#DIV/0!</v>
      </c>
    </row>
    <row r="366" spans="1:21" x14ac:dyDescent="0.2">
      <c r="A366" s="93" t="s">
        <v>244</v>
      </c>
      <c r="B366" s="94" t="s">
        <v>42</v>
      </c>
      <c r="C366" s="94" t="s">
        <v>559</v>
      </c>
      <c r="D366" s="94" t="s">
        <v>592</v>
      </c>
      <c r="E366" s="95" t="s">
        <v>364</v>
      </c>
      <c r="F366" s="94" t="s">
        <v>401</v>
      </c>
      <c r="G366" s="94" t="s">
        <v>205</v>
      </c>
      <c r="H366" s="94" t="s">
        <v>10</v>
      </c>
      <c r="I366" s="94" t="s">
        <v>191</v>
      </c>
      <c r="J366" s="94"/>
      <c r="K366" s="96">
        <v>38</v>
      </c>
      <c r="L366" s="96">
        <f>K366*VLOOKUP(H366,dagsoorttabel1,2,FALSE)</f>
        <v>38</v>
      </c>
      <c r="M366" s="97">
        <f>prodnorm23</f>
        <v>0</v>
      </c>
      <c r="N366" s="41">
        <f>dagwerk23</f>
        <v>0</v>
      </c>
      <c r="O366" s="94" t="s">
        <v>108</v>
      </c>
      <c r="P366" s="26">
        <f>uurtarief23</f>
        <v>0</v>
      </c>
      <c r="Q366" s="96" t="e">
        <f>IF(ISBLANK(M366),0,L366/ROUND(M366,4))</f>
        <v>#DIV/0!</v>
      </c>
      <c r="R366" s="96" t="e">
        <f>IF(ISBLANK(M366),0,Q366*ROUND(N366,2))</f>
        <v>#DIV/0!</v>
      </c>
      <c r="S366" s="26" t="e">
        <f>ROUND(P366,2)*Q366</f>
        <v>#DIV/0!</v>
      </c>
      <c r="T366" s="96" t="e">
        <f>Q366*dagenperjaar1</f>
        <v>#DIV/0!</v>
      </c>
      <c r="U366" s="27" t="e">
        <f>T366*ROUND(P366,2)</f>
        <v>#DIV/0!</v>
      </c>
    </row>
    <row r="367" spans="1:21" x14ac:dyDescent="0.2">
      <c r="A367" s="93" t="s">
        <v>244</v>
      </c>
      <c r="B367" s="94" t="s">
        <v>42</v>
      </c>
      <c r="C367" s="94" t="s">
        <v>559</v>
      </c>
      <c r="D367" s="94" t="s">
        <v>593</v>
      </c>
      <c r="E367" s="95" t="s">
        <v>316</v>
      </c>
      <c r="F367" s="94" t="s">
        <v>401</v>
      </c>
      <c r="G367" s="94" t="s">
        <v>219</v>
      </c>
      <c r="H367" s="94" t="s">
        <v>10</v>
      </c>
      <c r="I367" s="94" t="s">
        <v>191</v>
      </c>
      <c r="J367" s="94"/>
      <c r="K367" s="96">
        <v>1.2</v>
      </c>
      <c r="L367" s="96">
        <f>K367*VLOOKUP(H367,dagsoorttabel1,2,FALSE)</f>
        <v>1.2</v>
      </c>
      <c r="M367" s="97">
        <f>prodnorm30</f>
        <v>0</v>
      </c>
      <c r="N367" s="41">
        <f>dagwerk30</f>
        <v>0</v>
      </c>
      <c r="O367" s="94" t="s">
        <v>108</v>
      </c>
      <c r="P367" s="26">
        <f>uurtarief30</f>
        <v>0</v>
      </c>
      <c r="Q367" s="96" t="e">
        <f>IF(ISBLANK(M367),0,L367/ROUND(M367,4))</f>
        <v>#DIV/0!</v>
      </c>
      <c r="R367" s="96" t="e">
        <f>IF(ISBLANK(M367),0,Q367*ROUND(N367,2))</f>
        <v>#DIV/0!</v>
      </c>
      <c r="S367" s="26" t="e">
        <f>ROUND(P367,2)*Q367</f>
        <v>#DIV/0!</v>
      </c>
      <c r="T367" s="96" t="e">
        <f>Q367*dagenperjaar1</f>
        <v>#DIV/0!</v>
      </c>
      <c r="U367" s="27" t="e">
        <f>T367*ROUND(P367,2)</f>
        <v>#DIV/0!</v>
      </c>
    </row>
    <row r="368" spans="1:21" x14ac:dyDescent="0.2">
      <c r="A368" s="93" t="s">
        <v>244</v>
      </c>
      <c r="B368" s="94" t="s">
        <v>42</v>
      </c>
      <c r="C368" s="94" t="s">
        <v>559</v>
      </c>
      <c r="D368" s="94" t="s">
        <v>594</v>
      </c>
      <c r="E368" s="95" t="s">
        <v>595</v>
      </c>
      <c r="F368" s="94" t="s">
        <v>401</v>
      </c>
      <c r="G368" s="94" t="s">
        <v>197</v>
      </c>
      <c r="H368" s="94" t="s">
        <v>10</v>
      </c>
      <c r="I368" s="94" t="s">
        <v>191</v>
      </c>
      <c r="J368" s="94"/>
      <c r="K368" s="96">
        <v>1.27</v>
      </c>
      <c r="L368" s="96">
        <f>K368*VLOOKUP(H368,dagsoorttabel1,2,FALSE)</f>
        <v>1.27</v>
      </c>
      <c r="M368" s="97">
        <f>prodnorm17</f>
        <v>0</v>
      </c>
      <c r="N368" s="41">
        <f>dagwerk17</f>
        <v>0</v>
      </c>
      <c r="O368" s="94" t="s">
        <v>108</v>
      </c>
      <c r="P368" s="26">
        <f>uurtarief17</f>
        <v>0</v>
      </c>
      <c r="Q368" s="96" t="e">
        <f>IF(ISBLANK(M368),0,L368/ROUND(M368,4))</f>
        <v>#DIV/0!</v>
      </c>
      <c r="R368" s="96" t="e">
        <f>IF(ISBLANK(M368),0,Q368*ROUND(N368,2))</f>
        <v>#DIV/0!</v>
      </c>
      <c r="S368" s="26" t="e">
        <f>ROUND(P368,2)*Q368</f>
        <v>#DIV/0!</v>
      </c>
      <c r="T368" s="96" t="e">
        <f>Q368*dagenperjaar1</f>
        <v>#DIV/0!</v>
      </c>
      <c r="U368" s="27" t="e">
        <f>T368*ROUND(P368,2)</f>
        <v>#DIV/0!</v>
      </c>
    </row>
    <row r="369" spans="1:21" x14ac:dyDescent="0.2">
      <c r="A369" s="93" t="s">
        <v>244</v>
      </c>
      <c r="B369" s="94" t="s">
        <v>42</v>
      </c>
      <c r="C369" s="94" t="s">
        <v>559</v>
      </c>
      <c r="D369" s="94" t="s">
        <v>596</v>
      </c>
      <c r="E369" s="95" t="s">
        <v>595</v>
      </c>
      <c r="F369" s="94" t="s">
        <v>401</v>
      </c>
      <c r="G369" s="94" t="s">
        <v>197</v>
      </c>
      <c r="H369" s="94" t="s">
        <v>10</v>
      </c>
      <c r="I369" s="94" t="s">
        <v>191</v>
      </c>
      <c r="J369" s="94"/>
      <c r="K369" s="96">
        <v>1.27</v>
      </c>
      <c r="L369" s="96">
        <f>K369*VLOOKUP(H369,dagsoorttabel1,2,FALSE)</f>
        <v>1.27</v>
      </c>
      <c r="M369" s="97">
        <f>prodnorm17</f>
        <v>0</v>
      </c>
      <c r="N369" s="41">
        <f>dagwerk17</f>
        <v>0</v>
      </c>
      <c r="O369" s="94" t="s">
        <v>108</v>
      </c>
      <c r="P369" s="26">
        <f>uurtarief17</f>
        <v>0</v>
      </c>
      <c r="Q369" s="96" t="e">
        <f>IF(ISBLANK(M369),0,L369/ROUND(M369,4))</f>
        <v>#DIV/0!</v>
      </c>
      <c r="R369" s="96" t="e">
        <f>IF(ISBLANK(M369),0,Q369*ROUND(N369,2))</f>
        <v>#DIV/0!</v>
      </c>
      <c r="S369" s="26" t="e">
        <f>ROUND(P369,2)*Q369</f>
        <v>#DIV/0!</v>
      </c>
      <c r="T369" s="96" t="e">
        <f>Q369*dagenperjaar1</f>
        <v>#DIV/0!</v>
      </c>
      <c r="U369" s="27" t="e">
        <f>T369*ROUND(P369,2)</f>
        <v>#DIV/0!</v>
      </c>
    </row>
    <row r="370" spans="1:21" x14ac:dyDescent="0.2">
      <c r="A370" s="93" t="s">
        <v>244</v>
      </c>
      <c r="B370" s="94" t="s">
        <v>42</v>
      </c>
      <c r="C370" s="94" t="s">
        <v>559</v>
      </c>
      <c r="D370" s="94" t="s">
        <v>597</v>
      </c>
      <c r="E370" s="95" t="s">
        <v>595</v>
      </c>
      <c r="F370" s="94" t="s">
        <v>401</v>
      </c>
      <c r="G370" s="94" t="s">
        <v>197</v>
      </c>
      <c r="H370" s="94" t="s">
        <v>10</v>
      </c>
      <c r="I370" s="94" t="s">
        <v>191</v>
      </c>
      <c r="J370" s="94"/>
      <c r="K370" s="96">
        <v>32</v>
      </c>
      <c r="L370" s="96">
        <f>K370*VLOOKUP(H370,dagsoorttabel1,2,FALSE)</f>
        <v>32</v>
      </c>
      <c r="M370" s="97">
        <f>prodnorm17</f>
        <v>0</v>
      </c>
      <c r="N370" s="41">
        <f>dagwerk17</f>
        <v>0</v>
      </c>
      <c r="O370" s="94" t="s">
        <v>108</v>
      </c>
      <c r="P370" s="26">
        <f>uurtarief17</f>
        <v>0</v>
      </c>
      <c r="Q370" s="96" t="e">
        <f>IF(ISBLANK(M370),0,L370/ROUND(M370,4))</f>
        <v>#DIV/0!</v>
      </c>
      <c r="R370" s="96" t="e">
        <f>IF(ISBLANK(M370),0,Q370*ROUND(N370,2))</f>
        <v>#DIV/0!</v>
      </c>
      <c r="S370" s="26" t="e">
        <f>ROUND(P370,2)*Q370</f>
        <v>#DIV/0!</v>
      </c>
      <c r="T370" s="96" t="e">
        <f>Q370*dagenperjaar1</f>
        <v>#DIV/0!</v>
      </c>
      <c r="U370" s="27" t="e">
        <f>T370*ROUND(P370,2)</f>
        <v>#DIV/0!</v>
      </c>
    </row>
    <row r="371" spans="1:21" x14ac:dyDescent="0.2">
      <c r="A371" s="93" t="s">
        <v>244</v>
      </c>
      <c r="B371" s="94" t="s">
        <v>42</v>
      </c>
      <c r="C371" s="94" t="s">
        <v>559</v>
      </c>
      <c r="D371" s="94" t="s">
        <v>598</v>
      </c>
      <c r="E371" s="95" t="s">
        <v>284</v>
      </c>
      <c r="F371" s="94" t="s">
        <v>277</v>
      </c>
      <c r="G371" s="94" t="s">
        <v>225</v>
      </c>
      <c r="H371" s="94" t="s">
        <v>10</v>
      </c>
      <c r="I371" s="94" t="s">
        <v>191</v>
      </c>
      <c r="J371" s="94"/>
      <c r="K371" s="96">
        <v>11</v>
      </c>
      <c r="L371" s="96">
        <f>K371*VLOOKUP(H371,dagsoorttabel1,2,FALSE)</f>
        <v>11</v>
      </c>
      <c r="M371" s="97">
        <f>prodnorm34</f>
        <v>0</v>
      </c>
      <c r="N371" s="41">
        <f>dagwerk34</f>
        <v>0</v>
      </c>
      <c r="O371" s="94" t="s">
        <v>108</v>
      </c>
      <c r="P371" s="26">
        <f>uurtarief34</f>
        <v>0</v>
      </c>
      <c r="Q371" s="96" t="e">
        <f>IF(ISBLANK(M371),0,L371/ROUND(M371,4))</f>
        <v>#DIV/0!</v>
      </c>
      <c r="R371" s="96" t="e">
        <f>IF(ISBLANK(M371),0,Q371*ROUND(N371,2))</f>
        <v>#DIV/0!</v>
      </c>
      <c r="S371" s="26" t="e">
        <f>ROUND(P371,2)*Q371</f>
        <v>#DIV/0!</v>
      </c>
      <c r="T371" s="96" t="e">
        <f>Q371*dagenperjaar1</f>
        <v>#DIV/0!</v>
      </c>
      <c r="U371" s="27" t="e">
        <f>T371*ROUND(P371,2)</f>
        <v>#DIV/0!</v>
      </c>
    </row>
    <row r="372" spans="1:21" x14ac:dyDescent="0.2">
      <c r="A372" s="93" t="s">
        <v>244</v>
      </c>
      <c r="B372" s="94" t="s">
        <v>42</v>
      </c>
      <c r="C372" s="94" t="s">
        <v>559</v>
      </c>
      <c r="D372" s="94" t="s">
        <v>598</v>
      </c>
      <c r="E372" s="95" t="s">
        <v>284</v>
      </c>
      <c r="F372" s="94" t="s">
        <v>277</v>
      </c>
      <c r="G372" s="94" t="s">
        <v>227</v>
      </c>
      <c r="H372" s="94" t="s">
        <v>24</v>
      </c>
      <c r="I372" s="94" t="s">
        <v>191</v>
      </c>
      <c r="J372" s="94"/>
      <c r="K372" s="96">
        <v>11</v>
      </c>
      <c r="L372" s="96">
        <f>K372*VLOOKUP(H372,dagsoorttabel1,2,FALSE)</f>
        <v>5.5E-2</v>
      </c>
      <c r="M372" s="97">
        <f>prodnorm35</f>
        <v>0</v>
      </c>
      <c r="N372" s="41">
        <f>dagwerk35</f>
        <v>0</v>
      </c>
      <c r="O372" s="94" t="s">
        <v>108</v>
      </c>
      <c r="P372" s="26">
        <f>uurtarief35</f>
        <v>0</v>
      </c>
      <c r="Q372" s="96" t="e">
        <f>IF(ISBLANK(M372),0,L372/ROUND(M372,4))</f>
        <v>#DIV/0!</v>
      </c>
      <c r="R372" s="96" t="e">
        <f>IF(ISBLANK(M372),0,Q372*ROUND(N372,2))</f>
        <v>#DIV/0!</v>
      </c>
      <c r="S372" s="26" t="e">
        <f>ROUND(P372,2)*Q372</f>
        <v>#DIV/0!</v>
      </c>
      <c r="T372" s="96" t="e">
        <f>Q372*dagenperjaar1</f>
        <v>#DIV/0!</v>
      </c>
      <c r="U372" s="27" t="e">
        <f>T372*ROUND(P372,2)</f>
        <v>#DIV/0!</v>
      </c>
    </row>
    <row r="373" spans="1:21" x14ac:dyDescent="0.2">
      <c r="A373" s="93" t="s">
        <v>244</v>
      </c>
      <c r="B373" s="94" t="s">
        <v>42</v>
      </c>
      <c r="C373" s="94" t="s">
        <v>559</v>
      </c>
      <c r="D373" s="94" t="s">
        <v>599</v>
      </c>
      <c r="E373" s="95" t="s">
        <v>268</v>
      </c>
      <c r="F373" s="94" t="s">
        <v>277</v>
      </c>
      <c r="G373" s="94" t="s">
        <v>225</v>
      </c>
      <c r="H373" s="94" t="s">
        <v>10</v>
      </c>
      <c r="I373" s="94" t="s">
        <v>191</v>
      </c>
      <c r="J373" s="94"/>
      <c r="K373" s="96">
        <v>3</v>
      </c>
      <c r="L373" s="96">
        <f>K373*VLOOKUP(H373,dagsoorttabel1,2,FALSE)</f>
        <v>3</v>
      </c>
      <c r="M373" s="97">
        <f>prodnorm34</f>
        <v>0</v>
      </c>
      <c r="N373" s="41">
        <f>dagwerk34</f>
        <v>0</v>
      </c>
      <c r="O373" s="94" t="s">
        <v>108</v>
      </c>
      <c r="P373" s="26">
        <f>uurtarief34</f>
        <v>0</v>
      </c>
      <c r="Q373" s="96" t="e">
        <f>IF(ISBLANK(M373),0,L373/ROUND(M373,4))</f>
        <v>#DIV/0!</v>
      </c>
      <c r="R373" s="96" t="e">
        <f>IF(ISBLANK(M373),0,Q373*ROUND(N373,2))</f>
        <v>#DIV/0!</v>
      </c>
      <c r="S373" s="26" t="e">
        <f>ROUND(P373,2)*Q373</f>
        <v>#DIV/0!</v>
      </c>
      <c r="T373" s="96" t="e">
        <f>Q373*dagenperjaar1</f>
        <v>#DIV/0!</v>
      </c>
      <c r="U373" s="27" t="e">
        <f>T373*ROUND(P373,2)</f>
        <v>#DIV/0!</v>
      </c>
    </row>
    <row r="374" spans="1:21" x14ac:dyDescent="0.2">
      <c r="A374" s="93" t="s">
        <v>244</v>
      </c>
      <c r="B374" s="94" t="s">
        <v>42</v>
      </c>
      <c r="C374" s="94" t="s">
        <v>559</v>
      </c>
      <c r="D374" s="94" t="s">
        <v>599</v>
      </c>
      <c r="E374" s="95" t="s">
        <v>268</v>
      </c>
      <c r="F374" s="94" t="s">
        <v>277</v>
      </c>
      <c r="G374" s="94" t="s">
        <v>227</v>
      </c>
      <c r="H374" s="94" t="s">
        <v>24</v>
      </c>
      <c r="I374" s="94" t="s">
        <v>191</v>
      </c>
      <c r="J374" s="94"/>
      <c r="K374" s="96">
        <v>3</v>
      </c>
      <c r="L374" s="96">
        <f>K374*VLOOKUP(H374,dagsoorttabel1,2,FALSE)</f>
        <v>1.4999999999999999E-2</v>
      </c>
      <c r="M374" s="97">
        <f>prodnorm35</f>
        <v>0</v>
      </c>
      <c r="N374" s="41">
        <f>dagwerk35</f>
        <v>0</v>
      </c>
      <c r="O374" s="94" t="s">
        <v>108</v>
      </c>
      <c r="P374" s="26">
        <f>uurtarief35</f>
        <v>0</v>
      </c>
      <c r="Q374" s="96" t="e">
        <f>IF(ISBLANK(M374),0,L374/ROUND(M374,4))</f>
        <v>#DIV/0!</v>
      </c>
      <c r="R374" s="96" t="e">
        <f>IF(ISBLANK(M374),0,Q374*ROUND(N374,2))</f>
        <v>#DIV/0!</v>
      </c>
      <c r="S374" s="26" t="e">
        <f>ROUND(P374,2)*Q374</f>
        <v>#DIV/0!</v>
      </c>
      <c r="T374" s="96" t="e">
        <f>Q374*dagenperjaar1</f>
        <v>#DIV/0!</v>
      </c>
      <c r="U374" s="27" t="e">
        <f>T374*ROUND(P374,2)</f>
        <v>#DIV/0!</v>
      </c>
    </row>
    <row r="375" spans="1:21" x14ac:dyDescent="0.2">
      <c r="A375" s="93" t="s">
        <v>244</v>
      </c>
      <c r="B375" s="94" t="s">
        <v>42</v>
      </c>
      <c r="C375" s="94" t="s">
        <v>559</v>
      </c>
      <c r="D375" s="94" t="s">
        <v>600</v>
      </c>
      <c r="E375" s="95" t="s">
        <v>324</v>
      </c>
      <c r="F375" s="94" t="s">
        <v>330</v>
      </c>
      <c r="G375" s="94" t="s">
        <v>223</v>
      </c>
      <c r="H375" s="94" t="s">
        <v>10</v>
      </c>
      <c r="I375" s="94" t="s">
        <v>191</v>
      </c>
      <c r="J375" s="94"/>
      <c r="K375" s="96">
        <v>5</v>
      </c>
      <c r="L375" s="96">
        <f>K375*VLOOKUP(H375,dagsoorttabel1,2,FALSE)</f>
        <v>5</v>
      </c>
      <c r="M375" s="97">
        <f>prodnorm32</f>
        <v>0</v>
      </c>
      <c r="N375" s="41">
        <f>dagwerk32</f>
        <v>0</v>
      </c>
      <c r="O375" s="94" t="s">
        <v>108</v>
      </c>
      <c r="P375" s="26">
        <f>uurtarief32</f>
        <v>0</v>
      </c>
      <c r="Q375" s="96" t="e">
        <f>IF(ISBLANK(M375),0,L375/ROUND(M375,4))</f>
        <v>#DIV/0!</v>
      </c>
      <c r="R375" s="96" t="e">
        <f>IF(ISBLANK(M375),0,Q375*ROUND(N375,2))</f>
        <v>#DIV/0!</v>
      </c>
      <c r="S375" s="26" t="e">
        <f>ROUND(P375,2)*Q375</f>
        <v>#DIV/0!</v>
      </c>
      <c r="T375" s="96" t="e">
        <f>Q375*dagenperjaar1</f>
        <v>#DIV/0!</v>
      </c>
      <c r="U375" s="27" t="e">
        <f>T375*ROUND(P375,2)</f>
        <v>#DIV/0!</v>
      </c>
    </row>
    <row r="376" spans="1:21" x14ac:dyDescent="0.2">
      <c r="A376" s="93" t="s">
        <v>244</v>
      </c>
      <c r="B376" s="94" t="s">
        <v>42</v>
      </c>
      <c r="C376" s="94" t="s">
        <v>559</v>
      </c>
      <c r="D376" s="94" t="s">
        <v>601</v>
      </c>
      <c r="E376" s="95" t="s">
        <v>324</v>
      </c>
      <c r="F376" s="94" t="s">
        <v>330</v>
      </c>
      <c r="G376" s="94" t="s">
        <v>223</v>
      </c>
      <c r="H376" s="94" t="s">
        <v>10</v>
      </c>
      <c r="I376" s="94" t="s">
        <v>191</v>
      </c>
      <c r="J376" s="94"/>
      <c r="K376" s="96">
        <v>5</v>
      </c>
      <c r="L376" s="96">
        <f>K376*VLOOKUP(H376,dagsoorttabel1,2,FALSE)</f>
        <v>5</v>
      </c>
      <c r="M376" s="97">
        <f>prodnorm32</f>
        <v>0</v>
      </c>
      <c r="N376" s="41">
        <f>dagwerk32</f>
        <v>0</v>
      </c>
      <c r="O376" s="94" t="s">
        <v>108</v>
      </c>
      <c r="P376" s="26">
        <f>uurtarief32</f>
        <v>0</v>
      </c>
      <c r="Q376" s="96" t="e">
        <f>IF(ISBLANK(M376),0,L376/ROUND(M376,4))</f>
        <v>#DIV/0!</v>
      </c>
      <c r="R376" s="96" t="e">
        <f>IF(ISBLANK(M376),0,Q376*ROUND(N376,2))</f>
        <v>#DIV/0!</v>
      </c>
      <c r="S376" s="26" t="e">
        <f>ROUND(P376,2)*Q376</f>
        <v>#DIV/0!</v>
      </c>
      <c r="T376" s="96" t="e">
        <f>Q376*dagenperjaar1</f>
        <v>#DIV/0!</v>
      </c>
      <c r="U376" s="27" t="e">
        <f>T376*ROUND(P376,2)</f>
        <v>#DIV/0!</v>
      </c>
    </row>
    <row r="377" spans="1:21" x14ac:dyDescent="0.2">
      <c r="A377" s="93" t="s">
        <v>244</v>
      </c>
      <c r="B377" s="94" t="s">
        <v>42</v>
      </c>
      <c r="C377" s="94" t="s">
        <v>559</v>
      </c>
      <c r="D377" s="94" t="s">
        <v>602</v>
      </c>
      <c r="E377" s="95" t="s">
        <v>603</v>
      </c>
      <c r="F377" s="94" t="s">
        <v>277</v>
      </c>
      <c r="G377" s="94" t="s">
        <v>225</v>
      </c>
      <c r="H377" s="94" t="s">
        <v>10</v>
      </c>
      <c r="I377" s="94" t="s">
        <v>191</v>
      </c>
      <c r="J377" s="94"/>
      <c r="K377" s="96">
        <v>90</v>
      </c>
      <c r="L377" s="96">
        <f>K377*VLOOKUP(H377,dagsoorttabel1,2,FALSE)</f>
        <v>90</v>
      </c>
      <c r="M377" s="97">
        <f>prodnorm34</f>
        <v>0</v>
      </c>
      <c r="N377" s="41">
        <f>dagwerk34</f>
        <v>0</v>
      </c>
      <c r="O377" s="94" t="s">
        <v>108</v>
      </c>
      <c r="P377" s="26">
        <f>uurtarief34</f>
        <v>0</v>
      </c>
      <c r="Q377" s="96" t="e">
        <f>IF(ISBLANK(M377),0,L377/ROUND(M377,4))</f>
        <v>#DIV/0!</v>
      </c>
      <c r="R377" s="96" t="e">
        <f>IF(ISBLANK(M377),0,Q377*ROUND(N377,2))</f>
        <v>#DIV/0!</v>
      </c>
      <c r="S377" s="26" t="e">
        <f>ROUND(P377,2)*Q377</f>
        <v>#DIV/0!</v>
      </c>
      <c r="T377" s="96" t="e">
        <f>Q377*dagenperjaar1</f>
        <v>#DIV/0!</v>
      </c>
      <c r="U377" s="27" t="e">
        <f>T377*ROUND(P377,2)</f>
        <v>#DIV/0!</v>
      </c>
    </row>
    <row r="378" spans="1:21" x14ac:dyDescent="0.2">
      <c r="A378" s="93" t="s">
        <v>244</v>
      </c>
      <c r="B378" s="94" t="s">
        <v>42</v>
      </c>
      <c r="C378" s="94" t="s">
        <v>559</v>
      </c>
      <c r="D378" s="94" t="s">
        <v>602</v>
      </c>
      <c r="E378" s="95" t="s">
        <v>603</v>
      </c>
      <c r="F378" s="94" t="s">
        <v>277</v>
      </c>
      <c r="G378" s="94" t="s">
        <v>227</v>
      </c>
      <c r="H378" s="94" t="s">
        <v>24</v>
      </c>
      <c r="I378" s="94" t="s">
        <v>191</v>
      </c>
      <c r="J378" s="94"/>
      <c r="K378" s="96">
        <v>90</v>
      </c>
      <c r="L378" s="96">
        <f>K378*VLOOKUP(H378,dagsoorttabel1,2,FALSE)</f>
        <v>0.45</v>
      </c>
      <c r="M378" s="97">
        <f>prodnorm35</f>
        <v>0</v>
      </c>
      <c r="N378" s="41">
        <f>dagwerk35</f>
        <v>0</v>
      </c>
      <c r="O378" s="94" t="s">
        <v>108</v>
      </c>
      <c r="P378" s="26">
        <f>uurtarief35</f>
        <v>0</v>
      </c>
      <c r="Q378" s="96" t="e">
        <f>IF(ISBLANK(M378),0,L378/ROUND(M378,4))</f>
        <v>#DIV/0!</v>
      </c>
      <c r="R378" s="96" t="e">
        <f>IF(ISBLANK(M378),0,Q378*ROUND(N378,2))</f>
        <v>#DIV/0!</v>
      </c>
      <c r="S378" s="26" t="e">
        <f>ROUND(P378,2)*Q378</f>
        <v>#DIV/0!</v>
      </c>
      <c r="T378" s="96" t="e">
        <f>Q378*dagenperjaar1</f>
        <v>#DIV/0!</v>
      </c>
      <c r="U378" s="27" t="e">
        <f>T378*ROUND(P378,2)</f>
        <v>#DIV/0!</v>
      </c>
    </row>
    <row r="379" spans="1:21" x14ac:dyDescent="0.2">
      <c r="A379" s="93" t="s">
        <v>244</v>
      </c>
      <c r="B379" s="94" t="s">
        <v>42</v>
      </c>
      <c r="C379" s="94" t="s">
        <v>604</v>
      </c>
      <c r="D379" s="94" t="s">
        <v>605</v>
      </c>
      <c r="E379" s="95" t="s">
        <v>374</v>
      </c>
      <c r="F379" s="94" t="s">
        <v>606</v>
      </c>
      <c r="G379" s="94" t="s">
        <v>207</v>
      </c>
      <c r="H379" s="94" t="s">
        <v>10</v>
      </c>
      <c r="I379" s="94" t="s">
        <v>191</v>
      </c>
      <c r="J379" s="94"/>
      <c r="K379" s="96">
        <v>54.02</v>
      </c>
      <c r="L379" s="96">
        <f>K379*VLOOKUP(H379,dagsoorttabel1,2,FALSE)</f>
        <v>54.02</v>
      </c>
      <c r="M379" s="97">
        <f>prodnorm24</f>
        <v>0</v>
      </c>
      <c r="N379" s="41">
        <f>dagwerk24</f>
        <v>0</v>
      </c>
      <c r="O379" s="94" t="s">
        <v>108</v>
      </c>
      <c r="P379" s="26">
        <f>uurtarief24</f>
        <v>0</v>
      </c>
      <c r="Q379" s="96" t="e">
        <f>IF(ISBLANK(M379),0,L379/ROUND(M379,4))</f>
        <v>#DIV/0!</v>
      </c>
      <c r="R379" s="96" t="e">
        <f>IF(ISBLANK(M379),0,Q379*ROUND(N379,2))</f>
        <v>#DIV/0!</v>
      </c>
      <c r="S379" s="26" t="e">
        <f>ROUND(P379,2)*Q379</f>
        <v>#DIV/0!</v>
      </c>
      <c r="T379" s="96" t="e">
        <f>Q379*dagenperjaar1</f>
        <v>#DIV/0!</v>
      </c>
      <c r="U379" s="27" t="e">
        <f>T379*ROUND(P379,2)</f>
        <v>#DIV/0!</v>
      </c>
    </row>
    <row r="380" spans="1:21" x14ac:dyDescent="0.2">
      <c r="A380" s="93" t="s">
        <v>244</v>
      </c>
      <c r="B380" s="94" t="s">
        <v>42</v>
      </c>
      <c r="C380" s="94" t="s">
        <v>604</v>
      </c>
      <c r="D380" s="94" t="s">
        <v>607</v>
      </c>
      <c r="E380" s="95" t="s">
        <v>374</v>
      </c>
      <c r="F380" s="94" t="s">
        <v>606</v>
      </c>
      <c r="G380" s="94" t="s">
        <v>207</v>
      </c>
      <c r="H380" s="94" t="s">
        <v>10</v>
      </c>
      <c r="I380" s="94" t="s">
        <v>191</v>
      </c>
      <c r="J380" s="94"/>
      <c r="K380" s="96">
        <v>54.08</v>
      </c>
      <c r="L380" s="96">
        <f>K380*VLOOKUP(H380,dagsoorttabel1,2,FALSE)</f>
        <v>54.08</v>
      </c>
      <c r="M380" s="97">
        <f>prodnorm24</f>
        <v>0</v>
      </c>
      <c r="N380" s="41">
        <f>dagwerk24</f>
        <v>0</v>
      </c>
      <c r="O380" s="94" t="s">
        <v>108</v>
      </c>
      <c r="P380" s="26">
        <f>uurtarief24</f>
        <v>0</v>
      </c>
      <c r="Q380" s="96" t="e">
        <f>IF(ISBLANK(M380),0,L380/ROUND(M380,4))</f>
        <v>#DIV/0!</v>
      </c>
      <c r="R380" s="96" t="e">
        <f>IF(ISBLANK(M380),0,Q380*ROUND(N380,2))</f>
        <v>#DIV/0!</v>
      </c>
      <c r="S380" s="26" t="e">
        <f>ROUND(P380,2)*Q380</f>
        <v>#DIV/0!</v>
      </c>
      <c r="T380" s="96" t="e">
        <f>Q380*dagenperjaar1</f>
        <v>#DIV/0!</v>
      </c>
      <c r="U380" s="27" t="e">
        <f>T380*ROUND(P380,2)</f>
        <v>#DIV/0!</v>
      </c>
    </row>
    <row r="381" spans="1:21" x14ac:dyDescent="0.2">
      <c r="A381" s="93" t="s">
        <v>244</v>
      </c>
      <c r="B381" s="94" t="s">
        <v>42</v>
      </c>
      <c r="C381" s="94" t="s">
        <v>604</v>
      </c>
      <c r="D381" s="94" t="s">
        <v>608</v>
      </c>
      <c r="E381" s="95" t="s">
        <v>609</v>
      </c>
      <c r="F381" s="94" t="s">
        <v>606</v>
      </c>
      <c r="G381" s="94" t="s">
        <v>207</v>
      </c>
      <c r="H381" s="94" t="s">
        <v>10</v>
      </c>
      <c r="I381" s="94" t="s">
        <v>191</v>
      </c>
      <c r="J381" s="94"/>
      <c r="K381" s="96">
        <v>22.1</v>
      </c>
      <c r="L381" s="96">
        <f>K381*VLOOKUP(H381,dagsoorttabel1,2,FALSE)</f>
        <v>22.1</v>
      </c>
      <c r="M381" s="97">
        <f>prodnorm24</f>
        <v>0</v>
      </c>
      <c r="N381" s="41">
        <f>dagwerk24</f>
        <v>0</v>
      </c>
      <c r="O381" s="94" t="s">
        <v>108</v>
      </c>
      <c r="P381" s="26">
        <f>uurtarief24</f>
        <v>0</v>
      </c>
      <c r="Q381" s="96" t="e">
        <f>IF(ISBLANK(M381),0,L381/ROUND(M381,4))</f>
        <v>#DIV/0!</v>
      </c>
      <c r="R381" s="96" t="e">
        <f>IF(ISBLANK(M381),0,Q381*ROUND(N381,2))</f>
        <v>#DIV/0!</v>
      </c>
      <c r="S381" s="26" t="e">
        <f>ROUND(P381,2)*Q381</f>
        <v>#DIV/0!</v>
      </c>
      <c r="T381" s="96" t="e">
        <f>Q381*dagenperjaar1</f>
        <v>#DIV/0!</v>
      </c>
      <c r="U381" s="27" t="e">
        <f>T381*ROUND(P381,2)</f>
        <v>#DIV/0!</v>
      </c>
    </row>
    <row r="382" spans="1:21" x14ac:dyDescent="0.2">
      <c r="A382" s="93" t="s">
        <v>244</v>
      </c>
      <c r="B382" s="94" t="s">
        <v>42</v>
      </c>
      <c r="C382" s="94" t="s">
        <v>604</v>
      </c>
      <c r="D382" s="94" t="s">
        <v>610</v>
      </c>
      <c r="E382" s="95" t="s">
        <v>374</v>
      </c>
      <c r="F382" s="94" t="s">
        <v>277</v>
      </c>
      <c r="G382" s="94" t="s">
        <v>207</v>
      </c>
      <c r="H382" s="94" t="s">
        <v>10</v>
      </c>
      <c r="I382" s="94" t="s">
        <v>191</v>
      </c>
      <c r="J382" s="94"/>
      <c r="K382" s="96">
        <v>54.08</v>
      </c>
      <c r="L382" s="96">
        <f>K382*VLOOKUP(H382,dagsoorttabel1,2,FALSE)</f>
        <v>54.08</v>
      </c>
      <c r="M382" s="97">
        <f>prodnorm24</f>
        <v>0</v>
      </c>
      <c r="N382" s="41">
        <f>dagwerk24</f>
        <v>0</v>
      </c>
      <c r="O382" s="94" t="s">
        <v>108</v>
      </c>
      <c r="P382" s="26">
        <f>uurtarief24</f>
        <v>0</v>
      </c>
      <c r="Q382" s="96" t="e">
        <f>IF(ISBLANK(M382),0,L382/ROUND(M382,4))</f>
        <v>#DIV/0!</v>
      </c>
      <c r="R382" s="96" t="e">
        <f>IF(ISBLANK(M382),0,Q382*ROUND(N382,2))</f>
        <v>#DIV/0!</v>
      </c>
      <c r="S382" s="26" t="e">
        <f>ROUND(P382,2)*Q382</f>
        <v>#DIV/0!</v>
      </c>
      <c r="T382" s="96" t="e">
        <f>Q382*dagenperjaar1</f>
        <v>#DIV/0!</v>
      </c>
      <c r="U382" s="27" t="e">
        <f>T382*ROUND(P382,2)</f>
        <v>#DIV/0!</v>
      </c>
    </row>
    <row r="383" spans="1:21" x14ac:dyDescent="0.2">
      <c r="A383" s="93" t="s">
        <v>244</v>
      </c>
      <c r="B383" s="94" t="s">
        <v>42</v>
      </c>
      <c r="C383" s="94" t="s">
        <v>604</v>
      </c>
      <c r="D383" s="94" t="s">
        <v>610</v>
      </c>
      <c r="E383" s="95" t="s">
        <v>374</v>
      </c>
      <c r="F383" s="94" t="s">
        <v>277</v>
      </c>
      <c r="G383" s="94" t="s">
        <v>227</v>
      </c>
      <c r="H383" s="94" t="s">
        <v>24</v>
      </c>
      <c r="I383" s="94" t="s">
        <v>191</v>
      </c>
      <c r="J383" s="94"/>
      <c r="K383" s="96">
        <v>54.08</v>
      </c>
      <c r="L383" s="96">
        <f>K383*VLOOKUP(H383,dagsoorttabel1,2,FALSE)</f>
        <v>0.27039999999999997</v>
      </c>
      <c r="M383" s="97">
        <f>prodnorm35</f>
        <v>0</v>
      </c>
      <c r="N383" s="41">
        <f>dagwerk35</f>
        <v>0</v>
      </c>
      <c r="O383" s="94" t="s">
        <v>108</v>
      </c>
      <c r="P383" s="26">
        <f>uurtarief35</f>
        <v>0</v>
      </c>
      <c r="Q383" s="96" t="e">
        <f>IF(ISBLANK(M383),0,L383/ROUND(M383,4))</f>
        <v>#DIV/0!</v>
      </c>
      <c r="R383" s="96" t="e">
        <f>IF(ISBLANK(M383),0,Q383*ROUND(N383,2))</f>
        <v>#DIV/0!</v>
      </c>
      <c r="S383" s="26" t="e">
        <f>ROUND(P383,2)*Q383</f>
        <v>#DIV/0!</v>
      </c>
      <c r="T383" s="96" t="e">
        <f>Q383*dagenperjaar1</f>
        <v>#DIV/0!</v>
      </c>
      <c r="U383" s="27" t="e">
        <f>T383*ROUND(P383,2)</f>
        <v>#DIV/0!</v>
      </c>
    </row>
    <row r="384" spans="1:21" x14ac:dyDescent="0.2">
      <c r="A384" s="93" t="s">
        <v>244</v>
      </c>
      <c r="B384" s="94" t="s">
        <v>42</v>
      </c>
      <c r="C384" s="94" t="s">
        <v>604</v>
      </c>
      <c r="D384" s="94" t="s">
        <v>611</v>
      </c>
      <c r="E384" s="95" t="s">
        <v>374</v>
      </c>
      <c r="F384" s="94" t="s">
        <v>277</v>
      </c>
      <c r="G384" s="94" t="s">
        <v>207</v>
      </c>
      <c r="H384" s="94" t="s">
        <v>10</v>
      </c>
      <c r="I384" s="94" t="s">
        <v>191</v>
      </c>
      <c r="J384" s="94"/>
      <c r="K384" s="96">
        <v>54.08</v>
      </c>
      <c r="L384" s="96">
        <f>K384*VLOOKUP(H384,dagsoorttabel1,2,FALSE)</f>
        <v>54.08</v>
      </c>
      <c r="M384" s="97">
        <f>prodnorm24</f>
        <v>0</v>
      </c>
      <c r="N384" s="41">
        <f>dagwerk24</f>
        <v>0</v>
      </c>
      <c r="O384" s="94" t="s">
        <v>108</v>
      </c>
      <c r="P384" s="26">
        <f>uurtarief24</f>
        <v>0</v>
      </c>
      <c r="Q384" s="96" t="e">
        <f>IF(ISBLANK(M384),0,L384/ROUND(M384,4))</f>
        <v>#DIV/0!</v>
      </c>
      <c r="R384" s="96" t="e">
        <f>IF(ISBLANK(M384),0,Q384*ROUND(N384,2))</f>
        <v>#DIV/0!</v>
      </c>
      <c r="S384" s="26" t="e">
        <f>ROUND(P384,2)*Q384</f>
        <v>#DIV/0!</v>
      </c>
      <c r="T384" s="96" t="e">
        <f>Q384*dagenperjaar1</f>
        <v>#DIV/0!</v>
      </c>
      <c r="U384" s="27" t="e">
        <f>T384*ROUND(P384,2)</f>
        <v>#DIV/0!</v>
      </c>
    </row>
    <row r="385" spans="1:21" x14ac:dyDescent="0.2">
      <c r="A385" s="93" t="s">
        <v>244</v>
      </c>
      <c r="B385" s="94" t="s">
        <v>42</v>
      </c>
      <c r="C385" s="94" t="s">
        <v>604</v>
      </c>
      <c r="D385" s="94" t="s">
        <v>611</v>
      </c>
      <c r="E385" s="95" t="s">
        <v>374</v>
      </c>
      <c r="F385" s="94" t="s">
        <v>277</v>
      </c>
      <c r="G385" s="94" t="s">
        <v>227</v>
      </c>
      <c r="H385" s="94" t="s">
        <v>24</v>
      </c>
      <c r="I385" s="94" t="s">
        <v>191</v>
      </c>
      <c r="J385" s="94"/>
      <c r="K385" s="96">
        <v>54.08</v>
      </c>
      <c r="L385" s="96">
        <f>K385*VLOOKUP(H385,dagsoorttabel1,2,FALSE)</f>
        <v>0.27039999999999997</v>
      </c>
      <c r="M385" s="97">
        <f>prodnorm35</f>
        <v>0</v>
      </c>
      <c r="N385" s="41">
        <f>dagwerk35</f>
        <v>0</v>
      </c>
      <c r="O385" s="94" t="s">
        <v>108</v>
      </c>
      <c r="P385" s="26">
        <f>uurtarief35</f>
        <v>0</v>
      </c>
      <c r="Q385" s="96" t="e">
        <f>IF(ISBLANK(M385),0,L385/ROUND(M385,4))</f>
        <v>#DIV/0!</v>
      </c>
      <c r="R385" s="96" t="e">
        <f>IF(ISBLANK(M385),0,Q385*ROUND(N385,2))</f>
        <v>#DIV/0!</v>
      </c>
      <c r="S385" s="26" t="e">
        <f>ROUND(P385,2)*Q385</f>
        <v>#DIV/0!</v>
      </c>
      <c r="T385" s="96" t="e">
        <f>Q385*dagenperjaar1</f>
        <v>#DIV/0!</v>
      </c>
      <c r="U385" s="27" t="e">
        <f>T385*ROUND(P385,2)</f>
        <v>#DIV/0!</v>
      </c>
    </row>
    <row r="386" spans="1:21" x14ac:dyDescent="0.2">
      <c r="A386" s="93" t="s">
        <v>244</v>
      </c>
      <c r="B386" s="94" t="s">
        <v>42</v>
      </c>
      <c r="C386" s="94" t="s">
        <v>604</v>
      </c>
      <c r="D386" s="94" t="s">
        <v>612</v>
      </c>
      <c r="E386" s="95" t="s">
        <v>374</v>
      </c>
      <c r="F386" s="94" t="s">
        <v>277</v>
      </c>
      <c r="G386" s="94" t="s">
        <v>207</v>
      </c>
      <c r="H386" s="94" t="s">
        <v>10</v>
      </c>
      <c r="I386" s="94" t="s">
        <v>191</v>
      </c>
      <c r="J386" s="94"/>
      <c r="K386" s="96">
        <v>22.1</v>
      </c>
      <c r="L386" s="96">
        <f>K386*VLOOKUP(H386,dagsoorttabel1,2,FALSE)</f>
        <v>22.1</v>
      </c>
      <c r="M386" s="97">
        <f>prodnorm24</f>
        <v>0</v>
      </c>
      <c r="N386" s="41">
        <f>dagwerk24</f>
        <v>0</v>
      </c>
      <c r="O386" s="94" t="s">
        <v>108</v>
      </c>
      <c r="P386" s="26">
        <f>uurtarief24</f>
        <v>0</v>
      </c>
      <c r="Q386" s="96" t="e">
        <f>IF(ISBLANK(M386),0,L386/ROUND(M386,4))</f>
        <v>#DIV/0!</v>
      </c>
      <c r="R386" s="96" t="e">
        <f>IF(ISBLANK(M386),0,Q386*ROUND(N386,2))</f>
        <v>#DIV/0!</v>
      </c>
      <c r="S386" s="26" t="e">
        <f>ROUND(P386,2)*Q386</f>
        <v>#DIV/0!</v>
      </c>
      <c r="T386" s="96" t="e">
        <f>Q386*dagenperjaar1</f>
        <v>#DIV/0!</v>
      </c>
      <c r="U386" s="27" t="e">
        <f>T386*ROUND(P386,2)</f>
        <v>#DIV/0!</v>
      </c>
    </row>
    <row r="387" spans="1:21" x14ac:dyDescent="0.2">
      <c r="A387" s="93" t="s">
        <v>244</v>
      </c>
      <c r="B387" s="94" t="s">
        <v>42</v>
      </c>
      <c r="C387" s="94" t="s">
        <v>604</v>
      </c>
      <c r="D387" s="94" t="s">
        <v>612</v>
      </c>
      <c r="E387" s="95" t="s">
        <v>374</v>
      </c>
      <c r="F387" s="94" t="s">
        <v>277</v>
      </c>
      <c r="G387" s="94" t="s">
        <v>227</v>
      </c>
      <c r="H387" s="94" t="s">
        <v>24</v>
      </c>
      <c r="I387" s="94" t="s">
        <v>191</v>
      </c>
      <c r="J387" s="94"/>
      <c r="K387" s="96">
        <v>22.1</v>
      </c>
      <c r="L387" s="96">
        <f>K387*VLOOKUP(H387,dagsoorttabel1,2,FALSE)</f>
        <v>0.11050000000000001</v>
      </c>
      <c r="M387" s="97">
        <f>prodnorm35</f>
        <v>0</v>
      </c>
      <c r="N387" s="41">
        <f>dagwerk35</f>
        <v>0</v>
      </c>
      <c r="O387" s="94" t="s">
        <v>108</v>
      </c>
      <c r="P387" s="26">
        <f>uurtarief35</f>
        <v>0</v>
      </c>
      <c r="Q387" s="96" t="e">
        <f>IF(ISBLANK(M387),0,L387/ROUND(M387,4))</f>
        <v>#DIV/0!</v>
      </c>
      <c r="R387" s="96" t="e">
        <f>IF(ISBLANK(M387),0,Q387*ROUND(N387,2))</f>
        <v>#DIV/0!</v>
      </c>
      <c r="S387" s="26" t="e">
        <f>ROUND(P387,2)*Q387</f>
        <v>#DIV/0!</v>
      </c>
      <c r="T387" s="96" t="e">
        <f>Q387*dagenperjaar1</f>
        <v>#DIV/0!</v>
      </c>
      <c r="U387" s="27" t="e">
        <f>T387*ROUND(P387,2)</f>
        <v>#DIV/0!</v>
      </c>
    </row>
    <row r="388" spans="1:21" x14ac:dyDescent="0.2">
      <c r="A388" s="93" t="s">
        <v>244</v>
      </c>
      <c r="B388" s="94" t="s">
        <v>42</v>
      </c>
      <c r="C388" s="94" t="s">
        <v>604</v>
      </c>
      <c r="D388" s="94" t="s">
        <v>613</v>
      </c>
      <c r="E388" s="95" t="s">
        <v>374</v>
      </c>
      <c r="F388" s="94" t="s">
        <v>277</v>
      </c>
      <c r="G388" s="94" t="s">
        <v>207</v>
      </c>
      <c r="H388" s="94" t="s">
        <v>10</v>
      </c>
      <c r="I388" s="94" t="s">
        <v>191</v>
      </c>
      <c r="J388" s="94"/>
      <c r="K388" s="96">
        <v>54.08</v>
      </c>
      <c r="L388" s="96">
        <f>K388*VLOOKUP(H388,dagsoorttabel1,2,FALSE)</f>
        <v>54.08</v>
      </c>
      <c r="M388" s="97">
        <f>prodnorm24</f>
        <v>0</v>
      </c>
      <c r="N388" s="41">
        <f>dagwerk24</f>
        <v>0</v>
      </c>
      <c r="O388" s="94" t="s">
        <v>108</v>
      </c>
      <c r="P388" s="26">
        <f>uurtarief24</f>
        <v>0</v>
      </c>
      <c r="Q388" s="96" t="e">
        <f>IF(ISBLANK(M388),0,L388/ROUND(M388,4))</f>
        <v>#DIV/0!</v>
      </c>
      <c r="R388" s="96" t="e">
        <f>IF(ISBLANK(M388),0,Q388*ROUND(N388,2))</f>
        <v>#DIV/0!</v>
      </c>
      <c r="S388" s="26" t="e">
        <f>ROUND(P388,2)*Q388</f>
        <v>#DIV/0!</v>
      </c>
      <c r="T388" s="96" t="e">
        <f>Q388*dagenperjaar1</f>
        <v>#DIV/0!</v>
      </c>
      <c r="U388" s="27" t="e">
        <f>T388*ROUND(P388,2)</f>
        <v>#DIV/0!</v>
      </c>
    </row>
    <row r="389" spans="1:21" x14ac:dyDescent="0.2">
      <c r="A389" s="93" t="s">
        <v>244</v>
      </c>
      <c r="B389" s="94" t="s">
        <v>42</v>
      </c>
      <c r="C389" s="94" t="s">
        <v>604</v>
      </c>
      <c r="D389" s="94" t="s">
        <v>613</v>
      </c>
      <c r="E389" s="95" t="s">
        <v>374</v>
      </c>
      <c r="F389" s="94" t="s">
        <v>277</v>
      </c>
      <c r="G389" s="94" t="s">
        <v>227</v>
      </c>
      <c r="H389" s="94" t="s">
        <v>24</v>
      </c>
      <c r="I389" s="94" t="s">
        <v>191</v>
      </c>
      <c r="J389" s="94"/>
      <c r="K389" s="96">
        <v>54.08</v>
      </c>
      <c r="L389" s="96">
        <f>K389*VLOOKUP(H389,dagsoorttabel1,2,FALSE)</f>
        <v>0.27039999999999997</v>
      </c>
      <c r="M389" s="97">
        <f>prodnorm35</f>
        <v>0</v>
      </c>
      <c r="N389" s="41">
        <f>dagwerk35</f>
        <v>0</v>
      </c>
      <c r="O389" s="94" t="s">
        <v>108</v>
      </c>
      <c r="P389" s="26">
        <f>uurtarief35</f>
        <v>0</v>
      </c>
      <c r="Q389" s="96" t="e">
        <f>IF(ISBLANK(M389),0,L389/ROUND(M389,4))</f>
        <v>#DIV/0!</v>
      </c>
      <c r="R389" s="96" t="e">
        <f>IF(ISBLANK(M389),0,Q389*ROUND(N389,2))</f>
        <v>#DIV/0!</v>
      </c>
      <c r="S389" s="26" t="e">
        <f>ROUND(P389,2)*Q389</f>
        <v>#DIV/0!</v>
      </c>
      <c r="T389" s="96" t="e">
        <f>Q389*dagenperjaar1</f>
        <v>#DIV/0!</v>
      </c>
      <c r="U389" s="27" t="e">
        <f>T389*ROUND(P389,2)</f>
        <v>#DIV/0!</v>
      </c>
    </row>
    <row r="390" spans="1:21" x14ac:dyDescent="0.2">
      <c r="A390" s="93" t="s">
        <v>244</v>
      </c>
      <c r="B390" s="94" t="s">
        <v>42</v>
      </c>
      <c r="C390" s="94" t="s">
        <v>604</v>
      </c>
      <c r="D390" s="94" t="s">
        <v>614</v>
      </c>
      <c r="E390" s="95" t="s">
        <v>374</v>
      </c>
      <c r="F390" s="94" t="s">
        <v>277</v>
      </c>
      <c r="G390" s="94" t="s">
        <v>207</v>
      </c>
      <c r="H390" s="94" t="s">
        <v>10</v>
      </c>
      <c r="I390" s="94" t="s">
        <v>191</v>
      </c>
      <c r="J390" s="94"/>
      <c r="K390" s="96">
        <v>54.08</v>
      </c>
      <c r="L390" s="96">
        <f>K390*VLOOKUP(H390,dagsoorttabel1,2,FALSE)</f>
        <v>54.08</v>
      </c>
      <c r="M390" s="97">
        <f>prodnorm24</f>
        <v>0</v>
      </c>
      <c r="N390" s="41">
        <f>dagwerk24</f>
        <v>0</v>
      </c>
      <c r="O390" s="94" t="s">
        <v>108</v>
      </c>
      <c r="P390" s="26">
        <f>uurtarief24</f>
        <v>0</v>
      </c>
      <c r="Q390" s="96" t="e">
        <f>IF(ISBLANK(M390),0,L390/ROUND(M390,4))</f>
        <v>#DIV/0!</v>
      </c>
      <c r="R390" s="96" t="e">
        <f>IF(ISBLANK(M390),0,Q390*ROUND(N390,2))</f>
        <v>#DIV/0!</v>
      </c>
      <c r="S390" s="26" t="e">
        <f>ROUND(P390,2)*Q390</f>
        <v>#DIV/0!</v>
      </c>
      <c r="T390" s="96" t="e">
        <f>Q390*dagenperjaar1</f>
        <v>#DIV/0!</v>
      </c>
      <c r="U390" s="27" t="e">
        <f>T390*ROUND(P390,2)</f>
        <v>#DIV/0!</v>
      </c>
    </row>
    <row r="391" spans="1:21" x14ac:dyDescent="0.2">
      <c r="A391" s="93" t="s">
        <v>244</v>
      </c>
      <c r="B391" s="94" t="s">
        <v>42</v>
      </c>
      <c r="C391" s="94" t="s">
        <v>604</v>
      </c>
      <c r="D391" s="94" t="s">
        <v>614</v>
      </c>
      <c r="E391" s="95" t="s">
        <v>374</v>
      </c>
      <c r="F391" s="94" t="s">
        <v>277</v>
      </c>
      <c r="G391" s="94" t="s">
        <v>227</v>
      </c>
      <c r="H391" s="94" t="s">
        <v>24</v>
      </c>
      <c r="I391" s="94" t="s">
        <v>191</v>
      </c>
      <c r="J391" s="94"/>
      <c r="K391" s="96">
        <v>54.08</v>
      </c>
      <c r="L391" s="96">
        <f>K391*VLOOKUP(H391,dagsoorttabel1,2,FALSE)</f>
        <v>0.27039999999999997</v>
      </c>
      <c r="M391" s="97">
        <f>prodnorm35</f>
        <v>0</v>
      </c>
      <c r="N391" s="41">
        <f>dagwerk35</f>
        <v>0</v>
      </c>
      <c r="O391" s="94" t="s">
        <v>108</v>
      </c>
      <c r="P391" s="26">
        <f>uurtarief35</f>
        <v>0</v>
      </c>
      <c r="Q391" s="96" t="e">
        <f>IF(ISBLANK(M391),0,L391/ROUND(M391,4))</f>
        <v>#DIV/0!</v>
      </c>
      <c r="R391" s="96" t="e">
        <f>IF(ISBLANK(M391),0,Q391*ROUND(N391,2))</f>
        <v>#DIV/0!</v>
      </c>
      <c r="S391" s="26" t="e">
        <f>ROUND(P391,2)*Q391</f>
        <v>#DIV/0!</v>
      </c>
      <c r="T391" s="96" t="e">
        <f>Q391*dagenperjaar1</f>
        <v>#DIV/0!</v>
      </c>
      <c r="U391" s="27" t="e">
        <f>T391*ROUND(P391,2)</f>
        <v>#DIV/0!</v>
      </c>
    </row>
    <row r="392" spans="1:21" x14ac:dyDescent="0.2">
      <c r="A392" s="93" t="s">
        <v>244</v>
      </c>
      <c r="B392" s="94" t="s">
        <v>42</v>
      </c>
      <c r="C392" s="94" t="s">
        <v>604</v>
      </c>
      <c r="D392" s="94" t="s">
        <v>615</v>
      </c>
      <c r="E392" s="95" t="s">
        <v>292</v>
      </c>
      <c r="F392" s="94" t="s">
        <v>401</v>
      </c>
      <c r="G392" s="94" t="s">
        <v>219</v>
      </c>
      <c r="H392" s="94" t="s">
        <v>10</v>
      </c>
      <c r="I392" s="94" t="s">
        <v>191</v>
      </c>
      <c r="J392" s="94"/>
      <c r="K392" s="96">
        <v>24</v>
      </c>
      <c r="L392" s="96">
        <f>K392*VLOOKUP(H392,dagsoorttabel1,2,FALSE)</f>
        <v>24</v>
      </c>
      <c r="M392" s="97">
        <f>prodnorm30</f>
        <v>0</v>
      </c>
      <c r="N392" s="41">
        <f>dagwerk30</f>
        <v>0</v>
      </c>
      <c r="O392" s="94" t="s">
        <v>108</v>
      </c>
      <c r="P392" s="26">
        <f>uurtarief30</f>
        <v>0</v>
      </c>
      <c r="Q392" s="96" t="e">
        <f>IF(ISBLANK(M392),0,L392/ROUND(M392,4))</f>
        <v>#DIV/0!</v>
      </c>
      <c r="R392" s="96" t="e">
        <f>IF(ISBLANK(M392),0,Q392*ROUND(N392,2))</f>
        <v>#DIV/0!</v>
      </c>
      <c r="S392" s="26" t="e">
        <f>ROUND(P392,2)*Q392</f>
        <v>#DIV/0!</v>
      </c>
      <c r="T392" s="96" t="e">
        <f>Q392*dagenperjaar1</f>
        <v>#DIV/0!</v>
      </c>
      <c r="U392" s="27" t="e">
        <f>T392*ROUND(P392,2)</f>
        <v>#DIV/0!</v>
      </c>
    </row>
    <row r="393" spans="1:21" x14ac:dyDescent="0.2">
      <c r="A393" s="93" t="s">
        <v>244</v>
      </c>
      <c r="B393" s="94" t="s">
        <v>42</v>
      </c>
      <c r="C393" s="94" t="s">
        <v>604</v>
      </c>
      <c r="D393" s="94" t="s">
        <v>616</v>
      </c>
      <c r="E393" s="95" t="s">
        <v>348</v>
      </c>
      <c r="F393" s="94" t="s">
        <v>434</v>
      </c>
      <c r="G393" s="94" t="s">
        <v>225</v>
      </c>
      <c r="H393" s="94" t="s">
        <v>10</v>
      </c>
      <c r="I393" s="94" t="s">
        <v>191</v>
      </c>
      <c r="J393" s="94"/>
      <c r="K393" s="96">
        <v>4.37</v>
      </c>
      <c r="L393" s="96">
        <f>K393*VLOOKUP(H393,dagsoorttabel1,2,FALSE)</f>
        <v>4.37</v>
      </c>
      <c r="M393" s="97">
        <f>prodnorm34</f>
        <v>0</v>
      </c>
      <c r="N393" s="41">
        <f>dagwerk34</f>
        <v>0</v>
      </c>
      <c r="O393" s="94" t="s">
        <v>108</v>
      </c>
      <c r="P393" s="26">
        <f>uurtarief34</f>
        <v>0</v>
      </c>
      <c r="Q393" s="96" t="e">
        <f>IF(ISBLANK(M393),0,L393/ROUND(M393,4))</f>
        <v>#DIV/0!</v>
      </c>
      <c r="R393" s="96" t="e">
        <f>IF(ISBLANK(M393),0,Q393*ROUND(N393,2))</f>
        <v>#DIV/0!</v>
      </c>
      <c r="S393" s="26" t="e">
        <f>ROUND(P393,2)*Q393</f>
        <v>#DIV/0!</v>
      </c>
      <c r="T393" s="96" t="e">
        <f>Q393*dagenperjaar1</f>
        <v>#DIV/0!</v>
      </c>
      <c r="U393" s="27" t="e">
        <f>T393*ROUND(P393,2)</f>
        <v>#DIV/0!</v>
      </c>
    </row>
    <row r="394" spans="1:21" x14ac:dyDescent="0.2">
      <c r="A394" s="93" t="s">
        <v>244</v>
      </c>
      <c r="B394" s="94" t="s">
        <v>42</v>
      </c>
      <c r="C394" s="94" t="s">
        <v>604</v>
      </c>
      <c r="D394" s="94" t="s">
        <v>617</v>
      </c>
      <c r="E394" s="95" t="s">
        <v>348</v>
      </c>
      <c r="F394" s="94" t="s">
        <v>434</v>
      </c>
      <c r="G394" s="94" t="s">
        <v>225</v>
      </c>
      <c r="H394" s="94" t="s">
        <v>10</v>
      </c>
      <c r="I394" s="94" t="s">
        <v>191</v>
      </c>
      <c r="J394" s="94"/>
      <c r="K394" s="96">
        <v>4.37</v>
      </c>
      <c r="L394" s="96">
        <f>K394*VLOOKUP(H394,dagsoorttabel1,2,FALSE)</f>
        <v>4.37</v>
      </c>
      <c r="M394" s="97">
        <f>prodnorm34</f>
        <v>0</v>
      </c>
      <c r="N394" s="41">
        <f>dagwerk34</f>
        <v>0</v>
      </c>
      <c r="O394" s="94" t="s">
        <v>108</v>
      </c>
      <c r="P394" s="26">
        <f>uurtarief34</f>
        <v>0</v>
      </c>
      <c r="Q394" s="96" t="e">
        <f>IF(ISBLANK(M394),0,L394/ROUND(M394,4))</f>
        <v>#DIV/0!</v>
      </c>
      <c r="R394" s="96" t="e">
        <f>IF(ISBLANK(M394),0,Q394*ROUND(N394,2))</f>
        <v>#DIV/0!</v>
      </c>
      <c r="S394" s="26" t="e">
        <f>ROUND(P394,2)*Q394</f>
        <v>#DIV/0!</v>
      </c>
      <c r="T394" s="96" t="e">
        <f>Q394*dagenperjaar1</f>
        <v>#DIV/0!</v>
      </c>
      <c r="U394" s="27" t="e">
        <f>T394*ROUND(P394,2)</f>
        <v>#DIV/0!</v>
      </c>
    </row>
    <row r="395" spans="1:21" x14ac:dyDescent="0.2">
      <c r="A395" s="93" t="s">
        <v>244</v>
      </c>
      <c r="B395" s="94" t="s">
        <v>42</v>
      </c>
      <c r="C395" s="94" t="s">
        <v>604</v>
      </c>
      <c r="D395" s="94" t="s">
        <v>618</v>
      </c>
      <c r="E395" s="95" t="s">
        <v>416</v>
      </c>
      <c r="F395" s="94" t="s">
        <v>434</v>
      </c>
      <c r="G395" s="94" t="s">
        <v>223</v>
      </c>
      <c r="H395" s="94" t="s">
        <v>10</v>
      </c>
      <c r="I395" s="94" t="s">
        <v>191</v>
      </c>
      <c r="J395" s="94"/>
      <c r="K395" s="96">
        <v>17.399999999999999</v>
      </c>
      <c r="L395" s="96">
        <f>K395*VLOOKUP(H395,dagsoorttabel1,2,FALSE)</f>
        <v>17.399999999999999</v>
      </c>
      <c r="M395" s="97">
        <f>prodnorm32</f>
        <v>0</v>
      </c>
      <c r="N395" s="41">
        <f>dagwerk32</f>
        <v>0</v>
      </c>
      <c r="O395" s="94" t="s">
        <v>108</v>
      </c>
      <c r="P395" s="26">
        <f>uurtarief32</f>
        <v>0</v>
      </c>
      <c r="Q395" s="96" t="e">
        <f>IF(ISBLANK(M395),0,L395/ROUND(M395,4))</f>
        <v>#DIV/0!</v>
      </c>
      <c r="R395" s="96" t="e">
        <f>IF(ISBLANK(M395),0,Q395*ROUND(N395,2))</f>
        <v>#DIV/0!</v>
      </c>
      <c r="S395" s="26" t="e">
        <f>ROUND(P395,2)*Q395</f>
        <v>#DIV/0!</v>
      </c>
      <c r="T395" s="96" t="e">
        <f>Q395*dagenperjaar1</f>
        <v>#DIV/0!</v>
      </c>
      <c r="U395" s="27" t="e">
        <f>T395*ROUND(P395,2)</f>
        <v>#DIV/0!</v>
      </c>
    </row>
    <row r="396" spans="1:21" x14ac:dyDescent="0.2">
      <c r="A396" s="93" t="s">
        <v>244</v>
      </c>
      <c r="B396" s="94" t="s">
        <v>42</v>
      </c>
      <c r="C396" s="94" t="s">
        <v>604</v>
      </c>
      <c r="D396" s="94" t="s">
        <v>619</v>
      </c>
      <c r="E396" s="95" t="s">
        <v>284</v>
      </c>
      <c r="F396" s="94" t="s">
        <v>277</v>
      </c>
      <c r="G396" s="94" t="s">
        <v>225</v>
      </c>
      <c r="H396" s="94" t="s">
        <v>10</v>
      </c>
      <c r="I396" s="94" t="s">
        <v>191</v>
      </c>
      <c r="J396" s="94"/>
      <c r="K396" s="96">
        <v>71</v>
      </c>
      <c r="L396" s="96">
        <f>K396*VLOOKUP(H396,dagsoorttabel1,2,FALSE)</f>
        <v>71</v>
      </c>
      <c r="M396" s="97">
        <f>prodnorm34</f>
        <v>0</v>
      </c>
      <c r="N396" s="41">
        <f>dagwerk34</f>
        <v>0</v>
      </c>
      <c r="O396" s="94" t="s">
        <v>108</v>
      </c>
      <c r="P396" s="26">
        <f>uurtarief34</f>
        <v>0</v>
      </c>
      <c r="Q396" s="96" t="e">
        <f>IF(ISBLANK(M396),0,L396/ROUND(M396,4))</f>
        <v>#DIV/0!</v>
      </c>
      <c r="R396" s="96" t="e">
        <f>IF(ISBLANK(M396),0,Q396*ROUND(N396,2))</f>
        <v>#DIV/0!</v>
      </c>
      <c r="S396" s="26" t="e">
        <f>ROUND(P396,2)*Q396</f>
        <v>#DIV/0!</v>
      </c>
      <c r="T396" s="96" t="e">
        <f>Q396*dagenperjaar1</f>
        <v>#DIV/0!</v>
      </c>
      <c r="U396" s="27" t="e">
        <f>T396*ROUND(P396,2)</f>
        <v>#DIV/0!</v>
      </c>
    </row>
    <row r="397" spans="1:21" x14ac:dyDescent="0.2">
      <c r="A397" s="93" t="s">
        <v>244</v>
      </c>
      <c r="B397" s="94" t="s">
        <v>42</v>
      </c>
      <c r="C397" s="94" t="s">
        <v>604</v>
      </c>
      <c r="D397" s="94" t="s">
        <v>619</v>
      </c>
      <c r="E397" s="95" t="s">
        <v>284</v>
      </c>
      <c r="F397" s="94" t="s">
        <v>277</v>
      </c>
      <c r="G397" s="94" t="s">
        <v>227</v>
      </c>
      <c r="H397" s="94" t="s">
        <v>24</v>
      </c>
      <c r="I397" s="94" t="s">
        <v>191</v>
      </c>
      <c r="J397" s="94"/>
      <c r="K397" s="96">
        <v>71</v>
      </c>
      <c r="L397" s="96">
        <f>K397*VLOOKUP(H397,dagsoorttabel1,2,FALSE)</f>
        <v>0.35499999999999998</v>
      </c>
      <c r="M397" s="97">
        <f>prodnorm35</f>
        <v>0</v>
      </c>
      <c r="N397" s="41">
        <f>dagwerk35</f>
        <v>0</v>
      </c>
      <c r="O397" s="94" t="s">
        <v>108</v>
      </c>
      <c r="P397" s="26">
        <f>uurtarief35</f>
        <v>0</v>
      </c>
      <c r="Q397" s="96" t="e">
        <f>IF(ISBLANK(M397),0,L397/ROUND(M397,4))</f>
        <v>#DIV/0!</v>
      </c>
      <c r="R397" s="96" t="e">
        <f>IF(ISBLANK(M397),0,Q397*ROUND(N397,2))</f>
        <v>#DIV/0!</v>
      </c>
      <c r="S397" s="26" t="e">
        <f>ROUND(P397,2)*Q397</f>
        <v>#DIV/0!</v>
      </c>
      <c r="T397" s="96" t="e">
        <f>Q397*dagenperjaar1</f>
        <v>#DIV/0!</v>
      </c>
      <c r="U397" s="27" t="e">
        <f>T397*ROUND(P397,2)</f>
        <v>#DIV/0!</v>
      </c>
    </row>
    <row r="398" spans="1:21" x14ac:dyDescent="0.2">
      <c r="A398" s="93" t="s">
        <v>244</v>
      </c>
      <c r="B398" s="94" t="s">
        <v>42</v>
      </c>
      <c r="C398" s="94" t="s">
        <v>604</v>
      </c>
      <c r="D398" s="94" t="s">
        <v>620</v>
      </c>
      <c r="E398" s="95" t="s">
        <v>341</v>
      </c>
      <c r="F398" s="94" t="s">
        <v>277</v>
      </c>
      <c r="G398" s="94" t="s">
        <v>223</v>
      </c>
      <c r="H398" s="94" t="s">
        <v>10</v>
      </c>
      <c r="I398" s="94" t="s">
        <v>191</v>
      </c>
      <c r="J398" s="94"/>
      <c r="K398" s="96">
        <v>14.3</v>
      </c>
      <c r="L398" s="96">
        <f>K398*VLOOKUP(H398,dagsoorttabel1,2,FALSE)</f>
        <v>14.3</v>
      </c>
      <c r="M398" s="97">
        <f>prodnorm32</f>
        <v>0</v>
      </c>
      <c r="N398" s="41">
        <f>dagwerk32</f>
        <v>0</v>
      </c>
      <c r="O398" s="94" t="s">
        <v>108</v>
      </c>
      <c r="P398" s="26">
        <f>uurtarief32</f>
        <v>0</v>
      </c>
      <c r="Q398" s="96" t="e">
        <f>IF(ISBLANK(M398),0,L398/ROUND(M398,4))</f>
        <v>#DIV/0!</v>
      </c>
      <c r="R398" s="96" t="e">
        <f>IF(ISBLANK(M398),0,Q398*ROUND(N398,2))</f>
        <v>#DIV/0!</v>
      </c>
      <c r="S398" s="26" t="e">
        <f>ROUND(P398,2)*Q398</f>
        <v>#DIV/0!</v>
      </c>
      <c r="T398" s="96" t="e">
        <f>Q398*dagenperjaar1</f>
        <v>#DIV/0!</v>
      </c>
      <c r="U398" s="27" t="e">
        <f>T398*ROUND(P398,2)</f>
        <v>#DIV/0!</v>
      </c>
    </row>
    <row r="399" spans="1:21" x14ac:dyDescent="0.2">
      <c r="A399" s="93" t="s">
        <v>244</v>
      </c>
      <c r="B399" s="94" t="s">
        <v>42</v>
      </c>
      <c r="C399" s="94" t="s">
        <v>604</v>
      </c>
      <c r="D399" s="94" t="s">
        <v>620</v>
      </c>
      <c r="E399" s="95" t="s">
        <v>341</v>
      </c>
      <c r="F399" s="94" t="s">
        <v>277</v>
      </c>
      <c r="G399" s="94" t="s">
        <v>227</v>
      </c>
      <c r="H399" s="94" t="s">
        <v>24</v>
      </c>
      <c r="I399" s="94" t="s">
        <v>191</v>
      </c>
      <c r="J399" s="94"/>
      <c r="K399" s="96">
        <v>14.3</v>
      </c>
      <c r="L399" s="96">
        <f>K399*VLOOKUP(H399,dagsoorttabel1,2,FALSE)</f>
        <v>7.1500000000000008E-2</v>
      </c>
      <c r="M399" s="97">
        <f>prodnorm35</f>
        <v>0</v>
      </c>
      <c r="N399" s="41">
        <f>dagwerk35</f>
        <v>0</v>
      </c>
      <c r="O399" s="94" t="s">
        <v>108</v>
      </c>
      <c r="P399" s="26">
        <f>uurtarief35</f>
        <v>0</v>
      </c>
      <c r="Q399" s="96" t="e">
        <f>IF(ISBLANK(M399),0,L399/ROUND(M399,4))</f>
        <v>#DIV/0!</v>
      </c>
      <c r="R399" s="96" t="e">
        <f>IF(ISBLANK(M399),0,Q399*ROUND(N399,2))</f>
        <v>#DIV/0!</v>
      </c>
      <c r="S399" s="26" t="e">
        <f>ROUND(P399,2)*Q399</f>
        <v>#DIV/0!</v>
      </c>
      <c r="T399" s="96" t="e">
        <f>Q399*dagenperjaar1</f>
        <v>#DIV/0!</v>
      </c>
      <c r="U399" s="27" t="e">
        <f>T399*ROUND(P399,2)</f>
        <v>#DIV/0!</v>
      </c>
    </row>
    <row r="400" spans="1:21" x14ac:dyDescent="0.2">
      <c r="A400" s="93" t="s">
        <v>244</v>
      </c>
      <c r="B400" s="94" t="s">
        <v>42</v>
      </c>
      <c r="C400" s="94" t="s">
        <v>604</v>
      </c>
      <c r="D400" s="94" t="s">
        <v>621</v>
      </c>
      <c r="E400" s="95" t="s">
        <v>324</v>
      </c>
      <c r="F400" s="94" t="s">
        <v>277</v>
      </c>
      <c r="G400" s="94" t="s">
        <v>223</v>
      </c>
      <c r="H400" s="94" t="s">
        <v>10</v>
      </c>
      <c r="I400" s="94" t="s">
        <v>191</v>
      </c>
      <c r="J400" s="94"/>
      <c r="K400" s="96">
        <v>14.1</v>
      </c>
      <c r="L400" s="96">
        <f>K400*VLOOKUP(H400,dagsoorttabel1,2,FALSE)</f>
        <v>14.1</v>
      </c>
      <c r="M400" s="97">
        <f>prodnorm32</f>
        <v>0</v>
      </c>
      <c r="N400" s="41">
        <f>dagwerk32</f>
        <v>0</v>
      </c>
      <c r="O400" s="94" t="s">
        <v>108</v>
      </c>
      <c r="P400" s="26">
        <f>uurtarief32</f>
        <v>0</v>
      </c>
      <c r="Q400" s="96" t="e">
        <f>IF(ISBLANK(M400),0,L400/ROUND(M400,4))</f>
        <v>#DIV/0!</v>
      </c>
      <c r="R400" s="96" t="e">
        <f>IF(ISBLANK(M400),0,Q400*ROUND(N400,2))</f>
        <v>#DIV/0!</v>
      </c>
      <c r="S400" s="26" t="e">
        <f>ROUND(P400,2)*Q400</f>
        <v>#DIV/0!</v>
      </c>
      <c r="T400" s="96" t="e">
        <f>Q400*dagenperjaar1</f>
        <v>#DIV/0!</v>
      </c>
      <c r="U400" s="27" t="e">
        <f>T400*ROUND(P400,2)</f>
        <v>#DIV/0!</v>
      </c>
    </row>
    <row r="401" spans="1:21" x14ac:dyDescent="0.2">
      <c r="A401" s="93" t="s">
        <v>244</v>
      </c>
      <c r="B401" s="94" t="s">
        <v>42</v>
      </c>
      <c r="C401" s="94" t="s">
        <v>604</v>
      </c>
      <c r="D401" s="94" t="s">
        <v>622</v>
      </c>
      <c r="E401" s="95" t="s">
        <v>603</v>
      </c>
      <c r="F401" s="94" t="s">
        <v>277</v>
      </c>
      <c r="G401" s="94" t="s">
        <v>225</v>
      </c>
      <c r="H401" s="94" t="s">
        <v>10</v>
      </c>
      <c r="I401" s="94" t="s">
        <v>191</v>
      </c>
      <c r="J401" s="94"/>
      <c r="K401" s="96">
        <v>97.5</v>
      </c>
      <c r="L401" s="96">
        <f>K401*VLOOKUP(H401,dagsoorttabel1,2,FALSE)</f>
        <v>97.5</v>
      </c>
      <c r="M401" s="97">
        <f>prodnorm34</f>
        <v>0</v>
      </c>
      <c r="N401" s="41">
        <f>dagwerk34</f>
        <v>0</v>
      </c>
      <c r="O401" s="94" t="s">
        <v>108</v>
      </c>
      <c r="P401" s="26">
        <f>uurtarief34</f>
        <v>0</v>
      </c>
      <c r="Q401" s="96" t="e">
        <f>IF(ISBLANK(M401),0,L401/ROUND(M401,4))</f>
        <v>#DIV/0!</v>
      </c>
      <c r="R401" s="96" t="e">
        <f>IF(ISBLANK(M401),0,Q401*ROUND(N401,2))</f>
        <v>#DIV/0!</v>
      </c>
      <c r="S401" s="26" t="e">
        <f>ROUND(P401,2)*Q401</f>
        <v>#DIV/0!</v>
      </c>
      <c r="T401" s="96" t="e">
        <f>Q401*dagenperjaar1</f>
        <v>#DIV/0!</v>
      </c>
      <c r="U401" s="27" t="e">
        <f>T401*ROUND(P401,2)</f>
        <v>#DIV/0!</v>
      </c>
    </row>
    <row r="402" spans="1:21" x14ac:dyDescent="0.2">
      <c r="A402" s="93" t="s">
        <v>244</v>
      </c>
      <c r="B402" s="94" t="s">
        <v>42</v>
      </c>
      <c r="C402" s="94" t="s">
        <v>604</v>
      </c>
      <c r="D402" s="94" t="s">
        <v>622</v>
      </c>
      <c r="E402" s="95" t="s">
        <v>603</v>
      </c>
      <c r="F402" s="94" t="s">
        <v>277</v>
      </c>
      <c r="G402" s="94" t="s">
        <v>227</v>
      </c>
      <c r="H402" s="94" t="s">
        <v>24</v>
      </c>
      <c r="I402" s="94" t="s">
        <v>191</v>
      </c>
      <c r="J402" s="94"/>
      <c r="K402" s="96">
        <v>97.5</v>
      </c>
      <c r="L402" s="96">
        <f>K402*VLOOKUP(H402,dagsoorttabel1,2,FALSE)</f>
        <v>0.48749999999999999</v>
      </c>
      <c r="M402" s="97">
        <f>prodnorm35</f>
        <v>0</v>
      </c>
      <c r="N402" s="41">
        <f>dagwerk35</f>
        <v>0</v>
      </c>
      <c r="O402" s="94" t="s">
        <v>108</v>
      </c>
      <c r="P402" s="26">
        <f>uurtarief35</f>
        <v>0</v>
      </c>
      <c r="Q402" s="96" t="e">
        <f>IF(ISBLANK(M402),0,L402/ROUND(M402,4))</f>
        <v>#DIV/0!</v>
      </c>
      <c r="R402" s="96" t="e">
        <f>IF(ISBLANK(M402),0,Q402*ROUND(N402,2))</f>
        <v>#DIV/0!</v>
      </c>
      <c r="S402" s="26" t="e">
        <f>ROUND(P402,2)*Q402</f>
        <v>#DIV/0!</v>
      </c>
      <c r="T402" s="96" t="e">
        <f>Q402*dagenperjaar1</f>
        <v>#DIV/0!</v>
      </c>
      <c r="U402" s="27" t="e">
        <f>T402*ROUND(P402,2)</f>
        <v>#DIV/0!</v>
      </c>
    </row>
    <row r="403" spans="1:21" x14ac:dyDescent="0.2">
      <c r="A403" s="93" t="s">
        <v>244</v>
      </c>
      <c r="B403" s="94" t="s">
        <v>42</v>
      </c>
      <c r="C403" s="94" t="s">
        <v>604</v>
      </c>
      <c r="D403" s="94" t="s">
        <v>623</v>
      </c>
      <c r="E403" s="95" t="s">
        <v>624</v>
      </c>
      <c r="F403" s="94" t="s">
        <v>277</v>
      </c>
      <c r="G403" s="94" t="s">
        <v>207</v>
      </c>
      <c r="H403" s="94" t="s">
        <v>10</v>
      </c>
      <c r="I403" s="94" t="s">
        <v>191</v>
      </c>
      <c r="J403" s="94"/>
      <c r="K403" s="96">
        <v>31.4</v>
      </c>
      <c r="L403" s="96">
        <f>K403*VLOOKUP(H403,dagsoorttabel1,2,FALSE)</f>
        <v>31.4</v>
      </c>
      <c r="M403" s="97">
        <f>prodnorm24</f>
        <v>0</v>
      </c>
      <c r="N403" s="41">
        <f>dagwerk24</f>
        <v>0</v>
      </c>
      <c r="O403" s="94" t="s">
        <v>108</v>
      </c>
      <c r="P403" s="26">
        <f>uurtarief24</f>
        <v>0</v>
      </c>
      <c r="Q403" s="96" t="e">
        <f>IF(ISBLANK(M403),0,L403/ROUND(M403,4))</f>
        <v>#DIV/0!</v>
      </c>
      <c r="R403" s="96" t="e">
        <f>IF(ISBLANK(M403),0,Q403*ROUND(N403,2))</f>
        <v>#DIV/0!</v>
      </c>
      <c r="S403" s="26" t="e">
        <f>ROUND(P403,2)*Q403</f>
        <v>#DIV/0!</v>
      </c>
      <c r="T403" s="96" t="e">
        <f>Q403*dagenperjaar1</f>
        <v>#DIV/0!</v>
      </c>
      <c r="U403" s="27" t="e">
        <f>T403*ROUND(P403,2)</f>
        <v>#DIV/0!</v>
      </c>
    </row>
    <row r="404" spans="1:21" x14ac:dyDescent="0.2">
      <c r="A404" s="93" t="s">
        <v>244</v>
      </c>
      <c r="B404" s="94" t="s">
        <v>42</v>
      </c>
      <c r="C404" s="94" t="s">
        <v>604</v>
      </c>
      <c r="D404" s="94" t="s">
        <v>623</v>
      </c>
      <c r="E404" s="95" t="s">
        <v>624</v>
      </c>
      <c r="F404" s="94" t="s">
        <v>277</v>
      </c>
      <c r="G404" s="94" t="s">
        <v>227</v>
      </c>
      <c r="H404" s="94" t="s">
        <v>24</v>
      </c>
      <c r="I404" s="94" t="s">
        <v>191</v>
      </c>
      <c r="J404" s="94"/>
      <c r="K404" s="96">
        <v>31.4</v>
      </c>
      <c r="L404" s="96">
        <f>K404*VLOOKUP(H404,dagsoorttabel1,2,FALSE)</f>
        <v>0.157</v>
      </c>
      <c r="M404" s="97">
        <f>prodnorm35</f>
        <v>0</v>
      </c>
      <c r="N404" s="41">
        <f>dagwerk35</f>
        <v>0</v>
      </c>
      <c r="O404" s="94" t="s">
        <v>108</v>
      </c>
      <c r="P404" s="26">
        <f>uurtarief35</f>
        <v>0</v>
      </c>
      <c r="Q404" s="96" t="e">
        <f>IF(ISBLANK(M404),0,L404/ROUND(M404,4))</f>
        <v>#DIV/0!</v>
      </c>
      <c r="R404" s="96" t="e">
        <f>IF(ISBLANK(M404),0,Q404*ROUND(N404,2))</f>
        <v>#DIV/0!</v>
      </c>
      <c r="S404" s="26" t="e">
        <f>ROUND(P404,2)*Q404</f>
        <v>#DIV/0!</v>
      </c>
      <c r="T404" s="96" t="e">
        <f>Q404*dagenperjaar1</f>
        <v>#DIV/0!</v>
      </c>
      <c r="U404" s="27" t="e">
        <f>T404*ROUND(P404,2)</f>
        <v>#DIV/0!</v>
      </c>
    </row>
    <row r="405" spans="1:21" x14ac:dyDescent="0.2">
      <c r="A405" s="93" t="s">
        <v>244</v>
      </c>
      <c r="B405" s="94" t="s">
        <v>42</v>
      </c>
      <c r="C405" s="94" t="s">
        <v>604</v>
      </c>
      <c r="D405" s="94" t="s">
        <v>625</v>
      </c>
      <c r="E405" s="95" t="s">
        <v>624</v>
      </c>
      <c r="F405" s="94" t="s">
        <v>277</v>
      </c>
      <c r="G405" s="94" t="s">
        <v>207</v>
      </c>
      <c r="H405" s="94" t="s">
        <v>10</v>
      </c>
      <c r="I405" s="94" t="s">
        <v>191</v>
      </c>
      <c r="J405" s="94"/>
      <c r="K405" s="96">
        <v>31.4</v>
      </c>
      <c r="L405" s="96">
        <f>K405*VLOOKUP(H405,dagsoorttabel1,2,FALSE)</f>
        <v>31.4</v>
      </c>
      <c r="M405" s="97">
        <f>prodnorm24</f>
        <v>0</v>
      </c>
      <c r="N405" s="41">
        <f>dagwerk24</f>
        <v>0</v>
      </c>
      <c r="O405" s="94" t="s">
        <v>108</v>
      </c>
      <c r="P405" s="26">
        <f>uurtarief24</f>
        <v>0</v>
      </c>
      <c r="Q405" s="96" t="e">
        <f>IF(ISBLANK(M405),0,L405/ROUND(M405,4))</f>
        <v>#DIV/0!</v>
      </c>
      <c r="R405" s="96" t="e">
        <f>IF(ISBLANK(M405),0,Q405*ROUND(N405,2))</f>
        <v>#DIV/0!</v>
      </c>
      <c r="S405" s="26" t="e">
        <f>ROUND(P405,2)*Q405</f>
        <v>#DIV/0!</v>
      </c>
      <c r="T405" s="96" t="e">
        <f>Q405*dagenperjaar1</f>
        <v>#DIV/0!</v>
      </c>
      <c r="U405" s="27" t="e">
        <f>T405*ROUND(P405,2)</f>
        <v>#DIV/0!</v>
      </c>
    </row>
    <row r="406" spans="1:21" x14ac:dyDescent="0.2">
      <c r="A406" s="93" t="s">
        <v>244</v>
      </c>
      <c r="B406" s="94" t="s">
        <v>42</v>
      </c>
      <c r="C406" s="94" t="s">
        <v>604</v>
      </c>
      <c r="D406" s="94" t="s">
        <v>625</v>
      </c>
      <c r="E406" s="95" t="s">
        <v>624</v>
      </c>
      <c r="F406" s="94" t="s">
        <v>277</v>
      </c>
      <c r="G406" s="94" t="s">
        <v>227</v>
      </c>
      <c r="H406" s="94" t="s">
        <v>24</v>
      </c>
      <c r="I406" s="94" t="s">
        <v>191</v>
      </c>
      <c r="J406" s="94"/>
      <c r="K406" s="96">
        <v>31.4</v>
      </c>
      <c r="L406" s="96">
        <f>K406*VLOOKUP(H406,dagsoorttabel1,2,FALSE)</f>
        <v>0.157</v>
      </c>
      <c r="M406" s="97">
        <f>prodnorm35</f>
        <v>0</v>
      </c>
      <c r="N406" s="41">
        <f>dagwerk35</f>
        <v>0</v>
      </c>
      <c r="O406" s="94" t="s">
        <v>108</v>
      </c>
      <c r="P406" s="26">
        <f>uurtarief35</f>
        <v>0</v>
      </c>
      <c r="Q406" s="96" t="e">
        <f>IF(ISBLANK(M406),0,L406/ROUND(M406,4))</f>
        <v>#DIV/0!</v>
      </c>
      <c r="R406" s="96" t="e">
        <f>IF(ISBLANK(M406),0,Q406*ROUND(N406,2))</f>
        <v>#DIV/0!</v>
      </c>
      <c r="S406" s="26" t="e">
        <f>ROUND(P406,2)*Q406</f>
        <v>#DIV/0!</v>
      </c>
      <c r="T406" s="96" t="e">
        <f>Q406*dagenperjaar1</f>
        <v>#DIV/0!</v>
      </c>
      <c r="U406" s="27" t="e">
        <f>T406*ROUND(P406,2)</f>
        <v>#DIV/0!</v>
      </c>
    </row>
    <row r="407" spans="1:21" x14ac:dyDescent="0.2">
      <c r="A407" s="93" t="s">
        <v>244</v>
      </c>
      <c r="B407" s="94" t="s">
        <v>42</v>
      </c>
      <c r="C407" s="94" t="s">
        <v>604</v>
      </c>
      <c r="D407" s="94" t="s">
        <v>626</v>
      </c>
      <c r="E407" s="95" t="s">
        <v>603</v>
      </c>
      <c r="F407" s="94" t="s">
        <v>277</v>
      </c>
      <c r="G407" s="94" t="s">
        <v>225</v>
      </c>
      <c r="H407" s="94" t="s">
        <v>10</v>
      </c>
      <c r="I407" s="94" t="s">
        <v>191</v>
      </c>
      <c r="J407" s="94"/>
      <c r="K407" s="96">
        <v>57.4</v>
      </c>
      <c r="L407" s="96">
        <f>K407*VLOOKUP(H407,dagsoorttabel1,2,FALSE)</f>
        <v>57.4</v>
      </c>
      <c r="M407" s="97">
        <f>prodnorm34</f>
        <v>0</v>
      </c>
      <c r="N407" s="41">
        <f>dagwerk34</f>
        <v>0</v>
      </c>
      <c r="O407" s="94" t="s">
        <v>108</v>
      </c>
      <c r="P407" s="26">
        <f>uurtarief34</f>
        <v>0</v>
      </c>
      <c r="Q407" s="96" t="e">
        <f>IF(ISBLANK(M407),0,L407/ROUND(M407,4))</f>
        <v>#DIV/0!</v>
      </c>
      <c r="R407" s="96" t="e">
        <f>IF(ISBLANK(M407),0,Q407*ROUND(N407,2))</f>
        <v>#DIV/0!</v>
      </c>
      <c r="S407" s="26" t="e">
        <f>ROUND(P407,2)*Q407</f>
        <v>#DIV/0!</v>
      </c>
      <c r="T407" s="96" t="e">
        <f>Q407*dagenperjaar1</f>
        <v>#DIV/0!</v>
      </c>
      <c r="U407" s="27" t="e">
        <f>T407*ROUND(P407,2)</f>
        <v>#DIV/0!</v>
      </c>
    </row>
    <row r="408" spans="1:21" x14ac:dyDescent="0.2">
      <c r="A408" s="100" t="s">
        <v>244</v>
      </c>
      <c r="B408" s="101" t="s">
        <v>42</v>
      </c>
      <c r="C408" s="101" t="s">
        <v>604</v>
      </c>
      <c r="D408" s="101" t="s">
        <v>626</v>
      </c>
      <c r="E408" s="102" t="s">
        <v>603</v>
      </c>
      <c r="F408" s="101" t="s">
        <v>277</v>
      </c>
      <c r="G408" s="101" t="s">
        <v>227</v>
      </c>
      <c r="H408" s="101" t="s">
        <v>24</v>
      </c>
      <c r="I408" s="101" t="s">
        <v>191</v>
      </c>
      <c r="J408" s="101"/>
      <c r="K408" s="103">
        <v>57.4</v>
      </c>
      <c r="L408" s="103">
        <f>K408*VLOOKUP(H408,dagsoorttabel1,2,FALSE)</f>
        <v>0.28699999999999998</v>
      </c>
      <c r="M408" s="104">
        <f>prodnorm35</f>
        <v>0</v>
      </c>
      <c r="N408" s="105">
        <f>dagwerk35</f>
        <v>0</v>
      </c>
      <c r="O408" s="101" t="s">
        <v>108</v>
      </c>
      <c r="P408" s="36">
        <f>uurtarief35</f>
        <v>0</v>
      </c>
      <c r="Q408" s="103" t="e">
        <f>IF(ISBLANK(M408),0,L408/ROUND(M408,4))</f>
        <v>#DIV/0!</v>
      </c>
      <c r="R408" s="103" t="e">
        <f>IF(ISBLANK(M408),0,Q408*ROUND(N408,2))</f>
        <v>#DIV/0!</v>
      </c>
      <c r="S408" s="36" t="e">
        <f>ROUND(P408,2)*Q408</f>
        <v>#DIV/0!</v>
      </c>
      <c r="T408" s="103" t="e">
        <f>Q408*dagenperjaar1</f>
        <v>#DIV/0!</v>
      </c>
      <c r="U408" s="37" t="e">
        <f>T408*ROUND(P408,2)</f>
        <v>#DIV/0!</v>
      </c>
    </row>
    <row r="409" spans="1:21" x14ac:dyDescent="0.2">
      <c r="A409" s="106" t="s">
        <v>627</v>
      </c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8" t="e">
        <f>IF(_xlfn.SINGLE(object1_urenjaar1)&gt;0,_xlfn.SINGLE(object1_prijsjaar1)/_xlfn.SINGLE(object1_urenjaar1),0)</f>
        <v>#DIV/0!</v>
      </c>
      <c r="Q409" s="77" t="e">
        <f>SUM(Q5:Q408)</f>
        <v>#DIV/0!</v>
      </c>
      <c r="R409" s="77" t="e">
        <f>SUM(R5:R408)</f>
        <v>#DIV/0!</v>
      </c>
      <c r="S409" s="78" t="e">
        <f>SUM(S5:S408)</f>
        <v>#DIV/0!</v>
      </c>
      <c r="T409" s="77" t="e">
        <f>SUM(T5:T408)</f>
        <v>#DIV/0!</v>
      </c>
      <c r="U409" s="79" t="e">
        <f>SUM(U5:U408)</f>
        <v>#DIV/0!</v>
      </c>
    </row>
    <row r="410" spans="1:21" x14ac:dyDescent="0.2">
      <c r="A410" s="84" t="s">
        <v>628</v>
      </c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74"/>
    </row>
    <row r="411" spans="1:21" x14ac:dyDescent="0.2">
      <c r="A411" s="85" t="s">
        <v>629</v>
      </c>
      <c r="B411" s="86" t="s">
        <v>42</v>
      </c>
      <c r="C411" s="86" t="s">
        <v>42</v>
      </c>
      <c r="D411" s="86" t="s">
        <v>630</v>
      </c>
      <c r="E411" s="87" t="s">
        <v>631</v>
      </c>
      <c r="F411" s="86" t="s">
        <v>277</v>
      </c>
      <c r="G411" s="86" t="s">
        <v>193</v>
      </c>
      <c r="H411" s="86" t="s">
        <v>14</v>
      </c>
      <c r="I411" s="86" t="s">
        <v>191</v>
      </c>
      <c r="J411" s="86"/>
      <c r="K411" s="88">
        <v>8.6</v>
      </c>
      <c r="L411" s="88">
        <f>K411*VLOOKUP(H411,dagsoorttabel1,2,FALSE)</f>
        <v>3.44</v>
      </c>
      <c r="M411" s="89">
        <f>prodnorm15</f>
        <v>0</v>
      </c>
      <c r="N411" s="90">
        <f>dagwerk15</f>
        <v>0</v>
      </c>
      <c r="O411" s="86" t="s">
        <v>108</v>
      </c>
      <c r="P411" s="91">
        <f>uurtarief15</f>
        <v>0</v>
      </c>
      <c r="Q411" s="88" t="e">
        <f>IF(ISBLANK(M411),0,L411/ROUND(M411,4))</f>
        <v>#DIV/0!</v>
      </c>
      <c r="R411" s="88" t="e">
        <f>IF(ISBLANK(M411),0,Q411*ROUND(N411,2))</f>
        <v>#DIV/0!</v>
      </c>
      <c r="S411" s="91" t="e">
        <f>ROUND(P411,2)*Q411</f>
        <v>#DIV/0!</v>
      </c>
      <c r="T411" s="88" t="e">
        <f>Q411*dagenperjaar1</f>
        <v>#DIV/0!</v>
      </c>
      <c r="U411" s="92" t="e">
        <f>T411*ROUND(P411,2)</f>
        <v>#DIV/0!</v>
      </c>
    </row>
    <row r="412" spans="1:21" x14ac:dyDescent="0.2">
      <c r="A412" s="93" t="s">
        <v>629</v>
      </c>
      <c r="B412" s="94" t="s">
        <v>42</v>
      </c>
      <c r="C412" s="94" t="s">
        <v>42</v>
      </c>
      <c r="D412" s="94" t="s">
        <v>630</v>
      </c>
      <c r="E412" s="95" t="s">
        <v>631</v>
      </c>
      <c r="F412" s="94" t="s">
        <v>277</v>
      </c>
      <c r="G412" s="94" t="s">
        <v>227</v>
      </c>
      <c r="H412" s="94" t="s">
        <v>24</v>
      </c>
      <c r="I412" s="94" t="s">
        <v>191</v>
      </c>
      <c r="J412" s="94"/>
      <c r="K412" s="96">
        <v>8.6</v>
      </c>
      <c r="L412" s="96">
        <f>K412*VLOOKUP(H412,dagsoorttabel1,2,FALSE)</f>
        <v>4.2999999999999997E-2</v>
      </c>
      <c r="M412" s="97">
        <f>prodnorm35</f>
        <v>0</v>
      </c>
      <c r="N412" s="41">
        <f>dagwerk35</f>
        <v>0</v>
      </c>
      <c r="O412" s="94" t="s">
        <v>108</v>
      </c>
      <c r="P412" s="26">
        <f>uurtarief35</f>
        <v>0</v>
      </c>
      <c r="Q412" s="96" t="e">
        <f>IF(ISBLANK(M412),0,L412/ROUND(M412,4))</f>
        <v>#DIV/0!</v>
      </c>
      <c r="R412" s="96" t="e">
        <f>IF(ISBLANK(M412),0,Q412*ROUND(N412,2))</f>
        <v>#DIV/0!</v>
      </c>
      <c r="S412" s="26" t="e">
        <f>ROUND(P412,2)*Q412</f>
        <v>#DIV/0!</v>
      </c>
      <c r="T412" s="96" t="e">
        <f>Q412*dagenperjaar1</f>
        <v>#DIV/0!</v>
      </c>
      <c r="U412" s="27" t="e">
        <f>T412*ROUND(P412,2)</f>
        <v>#DIV/0!</v>
      </c>
    </row>
    <row r="413" spans="1:21" x14ac:dyDescent="0.2">
      <c r="A413" s="93" t="s">
        <v>629</v>
      </c>
      <c r="B413" s="94" t="s">
        <v>42</v>
      </c>
      <c r="C413" s="94" t="s">
        <v>245</v>
      </c>
      <c r="D413" s="94" t="s">
        <v>632</v>
      </c>
      <c r="E413" s="95" t="s">
        <v>633</v>
      </c>
      <c r="F413" s="94" t="s">
        <v>606</v>
      </c>
      <c r="G413" s="94" t="s">
        <v>225</v>
      </c>
      <c r="H413" s="94" t="s">
        <v>10</v>
      </c>
      <c r="I413" s="94" t="s">
        <v>191</v>
      </c>
      <c r="J413" s="94"/>
      <c r="K413" s="96">
        <v>287.26</v>
      </c>
      <c r="L413" s="96">
        <f>K413*VLOOKUP(H413,dagsoorttabel1,2,FALSE)</f>
        <v>287.26</v>
      </c>
      <c r="M413" s="97">
        <f>prodnorm34</f>
        <v>0</v>
      </c>
      <c r="N413" s="41">
        <f>dagwerk34</f>
        <v>0</v>
      </c>
      <c r="O413" s="94" t="s">
        <v>108</v>
      </c>
      <c r="P413" s="26">
        <f>uurtarief34</f>
        <v>0</v>
      </c>
      <c r="Q413" s="96" t="e">
        <f>IF(ISBLANK(M413),0,L413/ROUND(M413,4))</f>
        <v>#DIV/0!</v>
      </c>
      <c r="R413" s="96" t="e">
        <f>IF(ISBLANK(M413),0,Q413*ROUND(N413,2))</f>
        <v>#DIV/0!</v>
      </c>
      <c r="S413" s="26" t="e">
        <f>ROUND(P413,2)*Q413</f>
        <v>#DIV/0!</v>
      </c>
      <c r="T413" s="96" t="e">
        <f>Q413*dagenperjaar1</f>
        <v>#DIV/0!</v>
      </c>
      <c r="U413" s="27" t="e">
        <f>T413*ROUND(P413,2)</f>
        <v>#DIV/0!</v>
      </c>
    </row>
    <row r="414" spans="1:21" x14ac:dyDescent="0.2">
      <c r="A414" s="93" t="s">
        <v>629</v>
      </c>
      <c r="B414" s="94" t="s">
        <v>42</v>
      </c>
      <c r="C414" s="94" t="s">
        <v>245</v>
      </c>
      <c r="D414" s="94" t="s">
        <v>634</v>
      </c>
      <c r="E414" s="95" t="s">
        <v>603</v>
      </c>
      <c r="F414" s="94" t="s">
        <v>606</v>
      </c>
      <c r="G414" s="94" t="s">
        <v>225</v>
      </c>
      <c r="H414" s="94" t="s">
        <v>10</v>
      </c>
      <c r="I414" s="94" t="s">
        <v>191</v>
      </c>
      <c r="J414" s="94"/>
      <c r="K414" s="96">
        <v>39.32</v>
      </c>
      <c r="L414" s="96">
        <f>K414*VLOOKUP(H414,dagsoorttabel1,2,FALSE)</f>
        <v>39.32</v>
      </c>
      <c r="M414" s="97">
        <f>prodnorm34</f>
        <v>0</v>
      </c>
      <c r="N414" s="41">
        <f>dagwerk34</f>
        <v>0</v>
      </c>
      <c r="O414" s="94" t="s">
        <v>108</v>
      </c>
      <c r="P414" s="26">
        <f>uurtarief34</f>
        <v>0</v>
      </c>
      <c r="Q414" s="96" t="e">
        <f>IF(ISBLANK(M414),0,L414/ROUND(M414,4))</f>
        <v>#DIV/0!</v>
      </c>
      <c r="R414" s="96" t="e">
        <f>IF(ISBLANK(M414),0,Q414*ROUND(N414,2))</f>
        <v>#DIV/0!</v>
      </c>
      <c r="S414" s="26" t="e">
        <f>ROUND(P414,2)*Q414</f>
        <v>#DIV/0!</v>
      </c>
      <c r="T414" s="96" t="e">
        <f>Q414*dagenperjaar1</f>
        <v>#DIV/0!</v>
      </c>
      <c r="U414" s="27" t="e">
        <f>T414*ROUND(P414,2)</f>
        <v>#DIV/0!</v>
      </c>
    </row>
    <row r="415" spans="1:21" x14ac:dyDescent="0.2">
      <c r="A415" s="93" t="s">
        <v>629</v>
      </c>
      <c r="B415" s="94" t="s">
        <v>42</v>
      </c>
      <c r="C415" s="94" t="s">
        <v>245</v>
      </c>
      <c r="D415" s="94" t="s">
        <v>635</v>
      </c>
      <c r="E415" s="95" t="s">
        <v>636</v>
      </c>
      <c r="F415" s="94" t="s">
        <v>438</v>
      </c>
      <c r="G415" s="94" t="s">
        <v>225</v>
      </c>
      <c r="H415" s="94" t="s">
        <v>10</v>
      </c>
      <c r="I415" s="94" t="s">
        <v>191</v>
      </c>
      <c r="J415" s="94"/>
      <c r="K415" s="96">
        <v>43.5</v>
      </c>
      <c r="L415" s="96">
        <f>K415*VLOOKUP(H415,dagsoorttabel1,2,FALSE)</f>
        <v>43.5</v>
      </c>
      <c r="M415" s="97">
        <f>prodnorm34</f>
        <v>0</v>
      </c>
      <c r="N415" s="41">
        <f>dagwerk34</f>
        <v>0</v>
      </c>
      <c r="O415" s="94" t="s">
        <v>108</v>
      </c>
      <c r="P415" s="26">
        <f>uurtarief34</f>
        <v>0</v>
      </c>
      <c r="Q415" s="96" t="e">
        <f>IF(ISBLANK(M415),0,L415/ROUND(M415,4))</f>
        <v>#DIV/0!</v>
      </c>
      <c r="R415" s="96" t="e">
        <f>IF(ISBLANK(M415),0,Q415*ROUND(N415,2))</f>
        <v>#DIV/0!</v>
      </c>
      <c r="S415" s="26" t="e">
        <f>ROUND(P415,2)*Q415</f>
        <v>#DIV/0!</v>
      </c>
      <c r="T415" s="96" t="e">
        <f>Q415*dagenperjaar1</f>
        <v>#DIV/0!</v>
      </c>
      <c r="U415" s="27" t="e">
        <f>T415*ROUND(P415,2)</f>
        <v>#DIV/0!</v>
      </c>
    </row>
    <row r="416" spans="1:21" ht="25.5" x14ac:dyDescent="0.2">
      <c r="A416" s="93" t="s">
        <v>629</v>
      </c>
      <c r="B416" s="94" t="s">
        <v>42</v>
      </c>
      <c r="C416" s="94" t="s">
        <v>350</v>
      </c>
      <c r="D416" s="94" t="s">
        <v>637</v>
      </c>
      <c r="E416" s="95" t="s">
        <v>638</v>
      </c>
      <c r="F416" s="94" t="s">
        <v>277</v>
      </c>
      <c r="G416" s="94" t="s">
        <v>207</v>
      </c>
      <c r="H416" s="94" t="s">
        <v>10</v>
      </c>
      <c r="I416" s="94" t="s">
        <v>191</v>
      </c>
      <c r="J416" s="94"/>
      <c r="K416" s="96">
        <v>44.2</v>
      </c>
      <c r="L416" s="96">
        <f>K416*VLOOKUP(H416,dagsoorttabel1,2,FALSE)</f>
        <v>44.2</v>
      </c>
      <c r="M416" s="97">
        <f>prodnorm24</f>
        <v>0</v>
      </c>
      <c r="N416" s="41">
        <f>dagwerk24</f>
        <v>0</v>
      </c>
      <c r="O416" s="94" t="s">
        <v>108</v>
      </c>
      <c r="P416" s="26">
        <f>uurtarief24</f>
        <v>0</v>
      </c>
      <c r="Q416" s="96" t="e">
        <f>IF(ISBLANK(M416),0,L416/ROUND(M416,4))</f>
        <v>#DIV/0!</v>
      </c>
      <c r="R416" s="96" t="e">
        <f>IF(ISBLANK(M416),0,Q416*ROUND(N416,2))</f>
        <v>#DIV/0!</v>
      </c>
      <c r="S416" s="26" t="e">
        <f>ROUND(P416,2)*Q416</f>
        <v>#DIV/0!</v>
      </c>
      <c r="T416" s="96" t="e">
        <f>Q416*dagenperjaar1</f>
        <v>#DIV/0!</v>
      </c>
      <c r="U416" s="27" t="e">
        <f>T416*ROUND(P416,2)</f>
        <v>#DIV/0!</v>
      </c>
    </row>
    <row r="417" spans="1:21" ht="25.5" x14ac:dyDescent="0.2">
      <c r="A417" s="93" t="s">
        <v>629</v>
      </c>
      <c r="B417" s="94" t="s">
        <v>42</v>
      </c>
      <c r="C417" s="94" t="s">
        <v>350</v>
      </c>
      <c r="D417" s="94" t="s">
        <v>637</v>
      </c>
      <c r="E417" s="95" t="s">
        <v>638</v>
      </c>
      <c r="F417" s="94" t="s">
        <v>277</v>
      </c>
      <c r="G417" s="94" t="s">
        <v>227</v>
      </c>
      <c r="H417" s="94" t="s">
        <v>24</v>
      </c>
      <c r="I417" s="94" t="s">
        <v>191</v>
      </c>
      <c r="J417" s="94"/>
      <c r="K417" s="96">
        <v>44.2</v>
      </c>
      <c r="L417" s="96">
        <f>K417*VLOOKUP(H417,dagsoorttabel1,2,FALSE)</f>
        <v>0.22100000000000003</v>
      </c>
      <c r="M417" s="97">
        <f>prodnorm35</f>
        <v>0</v>
      </c>
      <c r="N417" s="41">
        <f>dagwerk35</f>
        <v>0</v>
      </c>
      <c r="O417" s="94" t="s">
        <v>108</v>
      </c>
      <c r="P417" s="26">
        <f>uurtarief35</f>
        <v>0</v>
      </c>
      <c r="Q417" s="96" t="e">
        <f>IF(ISBLANK(M417),0,L417/ROUND(M417,4))</f>
        <v>#DIV/0!</v>
      </c>
      <c r="R417" s="96" t="e">
        <f>IF(ISBLANK(M417),0,Q417*ROUND(N417,2))</f>
        <v>#DIV/0!</v>
      </c>
      <c r="S417" s="26" t="e">
        <f>ROUND(P417,2)*Q417</f>
        <v>#DIV/0!</v>
      </c>
      <c r="T417" s="96" t="e">
        <f>Q417*dagenperjaar1</f>
        <v>#DIV/0!</v>
      </c>
      <c r="U417" s="27" t="e">
        <f>T417*ROUND(P417,2)</f>
        <v>#DIV/0!</v>
      </c>
    </row>
    <row r="418" spans="1:21" ht="25.5" x14ac:dyDescent="0.2">
      <c r="A418" s="93" t="s">
        <v>629</v>
      </c>
      <c r="B418" s="94" t="s">
        <v>42</v>
      </c>
      <c r="C418" s="94" t="s">
        <v>350</v>
      </c>
      <c r="D418" s="94" t="s">
        <v>639</v>
      </c>
      <c r="E418" s="95" t="s">
        <v>640</v>
      </c>
      <c r="F418" s="94" t="s">
        <v>277</v>
      </c>
      <c r="G418" s="94" t="s">
        <v>211</v>
      </c>
      <c r="H418" s="94" t="s">
        <v>10</v>
      </c>
      <c r="I418" s="94" t="s">
        <v>191</v>
      </c>
      <c r="J418" s="94"/>
      <c r="K418" s="96">
        <v>88.4</v>
      </c>
      <c r="L418" s="96">
        <f>K418*VLOOKUP(H418,dagsoorttabel1,2,FALSE)</f>
        <v>88.4</v>
      </c>
      <c r="M418" s="97">
        <f>prodnorm26</f>
        <v>0</v>
      </c>
      <c r="N418" s="41">
        <f>dagwerk26</f>
        <v>0</v>
      </c>
      <c r="O418" s="94" t="s">
        <v>108</v>
      </c>
      <c r="P418" s="26">
        <f>uurtarief26</f>
        <v>0</v>
      </c>
      <c r="Q418" s="96" t="e">
        <f>IF(ISBLANK(M418),0,L418/ROUND(M418,4))</f>
        <v>#DIV/0!</v>
      </c>
      <c r="R418" s="96" t="e">
        <f>IF(ISBLANK(M418),0,Q418*ROUND(N418,2))</f>
        <v>#DIV/0!</v>
      </c>
      <c r="S418" s="26" t="e">
        <f>ROUND(P418,2)*Q418</f>
        <v>#DIV/0!</v>
      </c>
      <c r="T418" s="96" t="e">
        <f>Q418*dagenperjaar1</f>
        <v>#DIV/0!</v>
      </c>
      <c r="U418" s="27" t="e">
        <f>T418*ROUND(P418,2)</f>
        <v>#DIV/0!</v>
      </c>
    </row>
    <row r="419" spans="1:21" ht="25.5" x14ac:dyDescent="0.2">
      <c r="A419" s="93" t="s">
        <v>629</v>
      </c>
      <c r="B419" s="94" t="s">
        <v>42</v>
      </c>
      <c r="C419" s="94" t="s">
        <v>350</v>
      </c>
      <c r="D419" s="94" t="s">
        <v>639</v>
      </c>
      <c r="E419" s="95" t="s">
        <v>640</v>
      </c>
      <c r="F419" s="94" t="s">
        <v>277</v>
      </c>
      <c r="G419" s="94" t="s">
        <v>227</v>
      </c>
      <c r="H419" s="94" t="s">
        <v>24</v>
      </c>
      <c r="I419" s="94" t="s">
        <v>191</v>
      </c>
      <c r="J419" s="94"/>
      <c r="K419" s="96">
        <v>88.4</v>
      </c>
      <c r="L419" s="96">
        <f>K419*VLOOKUP(H419,dagsoorttabel1,2,FALSE)</f>
        <v>0.44200000000000006</v>
      </c>
      <c r="M419" s="97">
        <f>prodnorm35</f>
        <v>0</v>
      </c>
      <c r="N419" s="41">
        <f>dagwerk35</f>
        <v>0</v>
      </c>
      <c r="O419" s="94" t="s">
        <v>108</v>
      </c>
      <c r="P419" s="26">
        <f>uurtarief35</f>
        <v>0</v>
      </c>
      <c r="Q419" s="96" t="e">
        <f>IF(ISBLANK(M419),0,L419/ROUND(M419,4))</f>
        <v>#DIV/0!</v>
      </c>
      <c r="R419" s="96" t="e">
        <f>IF(ISBLANK(M419),0,Q419*ROUND(N419,2))</f>
        <v>#DIV/0!</v>
      </c>
      <c r="S419" s="26" t="e">
        <f>ROUND(P419,2)*Q419</f>
        <v>#DIV/0!</v>
      </c>
      <c r="T419" s="96" t="e">
        <f>Q419*dagenperjaar1</f>
        <v>#DIV/0!</v>
      </c>
      <c r="U419" s="27" t="e">
        <f>T419*ROUND(P419,2)</f>
        <v>#DIV/0!</v>
      </c>
    </row>
    <row r="420" spans="1:21" ht="25.5" x14ac:dyDescent="0.2">
      <c r="A420" s="93" t="s">
        <v>629</v>
      </c>
      <c r="B420" s="94" t="s">
        <v>42</v>
      </c>
      <c r="C420" s="94" t="s">
        <v>350</v>
      </c>
      <c r="D420" s="94" t="s">
        <v>641</v>
      </c>
      <c r="E420" s="95" t="s">
        <v>638</v>
      </c>
      <c r="F420" s="94" t="s">
        <v>277</v>
      </c>
      <c r="G420" s="94" t="s">
        <v>207</v>
      </c>
      <c r="H420" s="94" t="s">
        <v>10</v>
      </c>
      <c r="I420" s="94" t="s">
        <v>191</v>
      </c>
      <c r="J420" s="94"/>
      <c r="K420" s="96">
        <v>44.2</v>
      </c>
      <c r="L420" s="96">
        <f>K420*VLOOKUP(H420,dagsoorttabel1,2,FALSE)</f>
        <v>44.2</v>
      </c>
      <c r="M420" s="97">
        <f>prodnorm24</f>
        <v>0</v>
      </c>
      <c r="N420" s="41">
        <f>dagwerk24</f>
        <v>0</v>
      </c>
      <c r="O420" s="94" t="s">
        <v>108</v>
      </c>
      <c r="P420" s="26">
        <f>uurtarief24</f>
        <v>0</v>
      </c>
      <c r="Q420" s="96" t="e">
        <f>IF(ISBLANK(M420),0,L420/ROUND(M420,4))</f>
        <v>#DIV/0!</v>
      </c>
      <c r="R420" s="96" t="e">
        <f>IF(ISBLANK(M420),0,Q420*ROUND(N420,2))</f>
        <v>#DIV/0!</v>
      </c>
      <c r="S420" s="26" t="e">
        <f>ROUND(P420,2)*Q420</f>
        <v>#DIV/0!</v>
      </c>
      <c r="T420" s="96" t="e">
        <f>Q420*dagenperjaar1</f>
        <v>#DIV/0!</v>
      </c>
      <c r="U420" s="27" t="e">
        <f>T420*ROUND(P420,2)</f>
        <v>#DIV/0!</v>
      </c>
    </row>
    <row r="421" spans="1:21" ht="25.5" x14ac:dyDescent="0.2">
      <c r="A421" s="93" t="s">
        <v>629</v>
      </c>
      <c r="B421" s="94" t="s">
        <v>42</v>
      </c>
      <c r="C421" s="94" t="s">
        <v>350</v>
      </c>
      <c r="D421" s="94" t="s">
        <v>641</v>
      </c>
      <c r="E421" s="95" t="s">
        <v>638</v>
      </c>
      <c r="F421" s="94" t="s">
        <v>277</v>
      </c>
      <c r="G421" s="94" t="s">
        <v>227</v>
      </c>
      <c r="H421" s="94" t="s">
        <v>24</v>
      </c>
      <c r="I421" s="94" t="s">
        <v>191</v>
      </c>
      <c r="J421" s="94"/>
      <c r="K421" s="96">
        <v>44.2</v>
      </c>
      <c r="L421" s="96">
        <f>K421*VLOOKUP(H421,dagsoorttabel1,2,FALSE)</f>
        <v>0.22100000000000003</v>
      </c>
      <c r="M421" s="97">
        <f>prodnorm35</f>
        <v>0</v>
      </c>
      <c r="N421" s="41">
        <f>dagwerk35</f>
        <v>0</v>
      </c>
      <c r="O421" s="94" t="s">
        <v>108</v>
      </c>
      <c r="P421" s="26">
        <f>uurtarief35</f>
        <v>0</v>
      </c>
      <c r="Q421" s="96" t="e">
        <f>IF(ISBLANK(M421),0,L421/ROUND(M421,4))</f>
        <v>#DIV/0!</v>
      </c>
      <c r="R421" s="96" t="e">
        <f>IF(ISBLANK(M421),0,Q421*ROUND(N421,2))</f>
        <v>#DIV/0!</v>
      </c>
      <c r="S421" s="26" t="e">
        <f>ROUND(P421,2)*Q421</f>
        <v>#DIV/0!</v>
      </c>
      <c r="T421" s="96" t="e">
        <f>Q421*dagenperjaar1</f>
        <v>#DIV/0!</v>
      </c>
      <c r="U421" s="27" t="e">
        <f>T421*ROUND(P421,2)</f>
        <v>#DIV/0!</v>
      </c>
    </row>
    <row r="422" spans="1:21" ht="25.5" x14ac:dyDescent="0.2">
      <c r="A422" s="93" t="s">
        <v>629</v>
      </c>
      <c r="B422" s="94" t="s">
        <v>42</v>
      </c>
      <c r="C422" s="94" t="s">
        <v>350</v>
      </c>
      <c r="D422" s="94" t="s">
        <v>373</v>
      </c>
      <c r="E422" s="95" t="s">
        <v>638</v>
      </c>
      <c r="F422" s="94" t="s">
        <v>277</v>
      </c>
      <c r="G422" s="94" t="s">
        <v>207</v>
      </c>
      <c r="H422" s="94" t="s">
        <v>10</v>
      </c>
      <c r="I422" s="94" t="s">
        <v>191</v>
      </c>
      <c r="J422" s="94"/>
      <c r="K422" s="96">
        <v>44.2</v>
      </c>
      <c r="L422" s="96">
        <f>K422*VLOOKUP(H422,dagsoorttabel1,2,FALSE)</f>
        <v>44.2</v>
      </c>
      <c r="M422" s="97">
        <f>prodnorm24</f>
        <v>0</v>
      </c>
      <c r="N422" s="41">
        <f>dagwerk24</f>
        <v>0</v>
      </c>
      <c r="O422" s="94" t="s">
        <v>108</v>
      </c>
      <c r="P422" s="26">
        <f>uurtarief24</f>
        <v>0</v>
      </c>
      <c r="Q422" s="96" t="e">
        <f>IF(ISBLANK(M422),0,L422/ROUND(M422,4))</f>
        <v>#DIV/0!</v>
      </c>
      <c r="R422" s="96" t="e">
        <f>IF(ISBLANK(M422),0,Q422*ROUND(N422,2))</f>
        <v>#DIV/0!</v>
      </c>
      <c r="S422" s="26" t="e">
        <f>ROUND(P422,2)*Q422</f>
        <v>#DIV/0!</v>
      </c>
      <c r="T422" s="96" t="e">
        <f>Q422*dagenperjaar1</f>
        <v>#DIV/0!</v>
      </c>
      <c r="U422" s="27" t="e">
        <f>T422*ROUND(P422,2)</f>
        <v>#DIV/0!</v>
      </c>
    </row>
    <row r="423" spans="1:21" ht="25.5" x14ac:dyDescent="0.2">
      <c r="A423" s="93" t="s">
        <v>629</v>
      </c>
      <c r="B423" s="94" t="s">
        <v>42</v>
      </c>
      <c r="C423" s="94" t="s">
        <v>350</v>
      </c>
      <c r="D423" s="94" t="s">
        <v>373</v>
      </c>
      <c r="E423" s="95" t="s">
        <v>638</v>
      </c>
      <c r="F423" s="94" t="s">
        <v>277</v>
      </c>
      <c r="G423" s="94" t="s">
        <v>227</v>
      </c>
      <c r="H423" s="94" t="s">
        <v>24</v>
      </c>
      <c r="I423" s="94" t="s">
        <v>191</v>
      </c>
      <c r="J423" s="94"/>
      <c r="K423" s="96">
        <v>44.2</v>
      </c>
      <c r="L423" s="96">
        <f>K423*VLOOKUP(H423,dagsoorttabel1,2,FALSE)</f>
        <v>0.22100000000000003</v>
      </c>
      <c r="M423" s="97">
        <f>prodnorm35</f>
        <v>0</v>
      </c>
      <c r="N423" s="41">
        <f>dagwerk35</f>
        <v>0</v>
      </c>
      <c r="O423" s="94" t="s">
        <v>108</v>
      </c>
      <c r="P423" s="26">
        <f>uurtarief35</f>
        <v>0</v>
      </c>
      <c r="Q423" s="96" t="e">
        <f>IF(ISBLANK(M423),0,L423/ROUND(M423,4))</f>
        <v>#DIV/0!</v>
      </c>
      <c r="R423" s="96" t="e">
        <f>IF(ISBLANK(M423),0,Q423*ROUND(N423,2))</f>
        <v>#DIV/0!</v>
      </c>
      <c r="S423" s="26" t="e">
        <f>ROUND(P423,2)*Q423</f>
        <v>#DIV/0!</v>
      </c>
      <c r="T423" s="96" t="e">
        <f>Q423*dagenperjaar1</f>
        <v>#DIV/0!</v>
      </c>
      <c r="U423" s="27" t="e">
        <f>T423*ROUND(P423,2)</f>
        <v>#DIV/0!</v>
      </c>
    </row>
    <row r="424" spans="1:21" x14ac:dyDescent="0.2">
      <c r="A424" s="93" t="s">
        <v>629</v>
      </c>
      <c r="B424" s="94" t="s">
        <v>42</v>
      </c>
      <c r="C424" s="94" t="s">
        <v>350</v>
      </c>
      <c r="D424" s="94" t="s">
        <v>375</v>
      </c>
      <c r="E424" s="95" t="s">
        <v>642</v>
      </c>
      <c r="F424" s="94" t="s">
        <v>277</v>
      </c>
      <c r="G424" s="94" t="s">
        <v>225</v>
      </c>
      <c r="H424" s="94" t="s">
        <v>10</v>
      </c>
      <c r="I424" s="94" t="s">
        <v>191</v>
      </c>
      <c r="J424" s="94"/>
      <c r="K424" s="96">
        <v>64.2</v>
      </c>
      <c r="L424" s="96">
        <f>K424*VLOOKUP(H424,dagsoorttabel1,2,FALSE)</f>
        <v>64.2</v>
      </c>
      <c r="M424" s="97">
        <f>prodnorm34</f>
        <v>0</v>
      </c>
      <c r="N424" s="41">
        <f>dagwerk34</f>
        <v>0</v>
      </c>
      <c r="O424" s="94" t="s">
        <v>108</v>
      </c>
      <c r="P424" s="26">
        <f>uurtarief34</f>
        <v>0</v>
      </c>
      <c r="Q424" s="96" t="e">
        <f>IF(ISBLANK(M424),0,L424/ROUND(M424,4))</f>
        <v>#DIV/0!</v>
      </c>
      <c r="R424" s="96" t="e">
        <f>IF(ISBLANK(M424),0,Q424*ROUND(N424,2))</f>
        <v>#DIV/0!</v>
      </c>
      <c r="S424" s="26" t="e">
        <f>ROUND(P424,2)*Q424</f>
        <v>#DIV/0!</v>
      </c>
      <c r="T424" s="96" t="e">
        <f>Q424*dagenperjaar1</f>
        <v>#DIV/0!</v>
      </c>
      <c r="U424" s="27" t="e">
        <f>T424*ROUND(P424,2)</f>
        <v>#DIV/0!</v>
      </c>
    </row>
    <row r="425" spans="1:21" x14ac:dyDescent="0.2">
      <c r="A425" s="93" t="s">
        <v>629</v>
      </c>
      <c r="B425" s="94" t="s">
        <v>42</v>
      </c>
      <c r="C425" s="94" t="s">
        <v>350</v>
      </c>
      <c r="D425" s="94" t="s">
        <v>375</v>
      </c>
      <c r="E425" s="95" t="s">
        <v>642</v>
      </c>
      <c r="F425" s="94" t="s">
        <v>277</v>
      </c>
      <c r="G425" s="94" t="s">
        <v>227</v>
      </c>
      <c r="H425" s="94" t="s">
        <v>24</v>
      </c>
      <c r="I425" s="94" t="s">
        <v>191</v>
      </c>
      <c r="J425" s="94"/>
      <c r="K425" s="96">
        <v>64.2</v>
      </c>
      <c r="L425" s="96">
        <f>K425*VLOOKUP(H425,dagsoorttabel1,2,FALSE)</f>
        <v>0.32100000000000001</v>
      </c>
      <c r="M425" s="97">
        <f>prodnorm35</f>
        <v>0</v>
      </c>
      <c r="N425" s="41">
        <f>dagwerk35</f>
        <v>0</v>
      </c>
      <c r="O425" s="94" t="s">
        <v>108</v>
      </c>
      <c r="P425" s="26">
        <f>uurtarief35</f>
        <v>0</v>
      </c>
      <c r="Q425" s="96" t="e">
        <f>IF(ISBLANK(M425),0,L425/ROUND(M425,4))</f>
        <v>#DIV/0!</v>
      </c>
      <c r="R425" s="96" t="e">
        <f>IF(ISBLANK(M425),0,Q425*ROUND(N425,2))</f>
        <v>#DIV/0!</v>
      </c>
      <c r="S425" s="26" t="e">
        <f>ROUND(P425,2)*Q425</f>
        <v>#DIV/0!</v>
      </c>
      <c r="T425" s="96" t="e">
        <f>Q425*dagenperjaar1</f>
        <v>#DIV/0!</v>
      </c>
      <c r="U425" s="27" t="e">
        <f>T425*ROUND(P425,2)</f>
        <v>#DIV/0!</v>
      </c>
    </row>
    <row r="426" spans="1:21" x14ac:dyDescent="0.2">
      <c r="A426" s="93" t="s">
        <v>629</v>
      </c>
      <c r="B426" s="94" t="s">
        <v>42</v>
      </c>
      <c r="C426" s="94" t="s">
        <v>350</v>
      </c>
      <c r="D426" s="94" t="s">
        <v>643</v>
      </c>
      <c r="E426" s="95" t="s">
        <v>642</v>
      </c>
      <c r="F426" s="94" t="s">
        <v>277</v>
      </c>
      <c r="G426" s="94" t="s">
        <v>225</v>
      </c>
      <c r="H426" s="94" t="s">
        <v>10</v>
      </c>
      <c r="I426" s="94" t="s">
        <v>191</v>
      </c>
      <c r="J426" s="94"/>
      <c r="K426" s="96">
        <v>35</v>
      </c>
      <c r="L426" s="96">
        <f>K426*VLOOKUP(H426,dagsoorttabel1,2,FALSE)</f>
        <v>35</v>
      </c>
      <c r="M426" s="97">
        <f>prodnorm34</f>
        <v>0</v>
      </c>
      <c r="N426" s="41">
        <f>dagwerk34</f>
        <v>0</v>
      </c>
      <c r="O426" s="94" t="s">
        <v>108</v>
      </c>
      <c r="P426" s="26">
        <f>uurtarief34</f>
        <v>0</v>
      </c>
      <c r="Q426" s="96" t="e">
        <f>IF(ISBLANK(M426),0,L426/ROUND(M426,4))</f>
        <v>#DIV/0!</v>
      </c>
      <c r="R426" s="96" t="e">
        <f>IF(ISBLANK(M426),0,Q426*ROUND(N426,2))</f>
        <v>#DIV/0!</v>
      </c>
      <c r="S426" s="26" t="e">
        <f>ROUND(P426,2)*Q426</f>
        <v>#DIV/0!</v>
      </c>
      <c r="T426" s="96" t="e">
        <f>Q426*dagenperjaar1</f>
        <v>#DIV/0!</v>
      </c>
      <c r="U426" s="27" t="e">
        <f>T426*ROUND(P426,2)</f>
        <v>#DIV/0!</v>
      </c>
    </row>
    <row r="427" spans="1:21" x14ac:dyDescent="0.2">
      <c r="A427" s="93" t="s">
        <v>629</v>
      </c>
      <c r="B427" s="94" t="s">
        <v>42</v>
      </c>
      <c r="C427" s="94" t="s">
        <v>350</v>
      </c>
      <c r="D427" s="94" t="s">
        <v>643</v>
      </c>
      <c r="E427" s="95" t="s">
        <v>642</v>
      </c>
      <c r="F427" s="94" t="s">
        <v>277</v>
      </c>
      <c r="G427" s="94" t="s">
        <v>227</v>
      </c>
      <c r="H427" s="94" t="s">
        <v>24</v>
      </c>
      <c r="I427" s="94" t="s">
        <v>191</v>
      </c>
      <c r="J427" s="94"/>
      <c r="K427" s="96">
        <v>35</v>
      </c>
      <c r="L427" s="96">
        <f>K427*VLOOKUP(H427,dagsoorttabel1,2,FALSE)</f>
        <v>0.17500000000000002</v>
      </c>
      <c r="M427" s="97">
        <f>prodnorm35</f>
        <v>0</v>
      </c>
      <c r="N427" s="41">
        <f>dagwerk35</f>
        <v>0</v>
      </c>
      <c r="O427" s="94" t="s">
        <v>108</v>
      </c>
      <c r="P427" s="26">
        <f>uurtarief35</f>
        <v>0</v>
      </c>
      <c r="Q427" s="96" t="e">
        <f>IF(ISBLANK(M427),0,L427/ROUND(M427,4))</f>
        <v>#DIV/0!</v>
      </c>
      <c r="R427" s="96" t="e">
        <f>IF(ISBLANK(M427),0,Q427*ROUND(N427,2))</f>
        <v>#DIV/0!</v>
      </c>
      <c r="S427" s="26" t="e">
        <f>ROUND(P427,2)*Q427</f>
        <v>#DIV/0!</v>
      </c>
      <c r="T427" s="96" t="e">
        <f>Q427*dagenperjaar1</f>
        <v>#DIV/0!</v>
      </c>
      <c r="U427" s="27" t="e">
        <f>T427*ROUND(P427,2)</f>
        <v>#DIV/0!</v>
      </c>
    </row>
    <row r="428" spans="1:21" ht="25.5" x14ac:dyDescent="0.2">
      <c r="A428" s="93" t="s">
        <v>629</v>
      </c>
      <c r="B428" s="94" t="s">
        <v>42</v>
      </c>
      <c r="C428" s="94" t="s">
        <v>350</v>
      </c>
      <c r="D428" s="94" t="s">
        <v>378</v>
      </c>
      <c r="E428" s="95" t="s">
        <v>644</v>
      </c>
      <c r="F428" s="94" t="s">
        <v>287</v>
      </c>
      <c r="G428" s="94" t="s">
        <v>223</v>
      </c>
      <c r="H428" s="94" t="s">
        <v>10</v>
      </c>
      <c r="I428" s="94" t="s">
        <v>191</v>
      </c>
      <c r="J428" s="94"/>
      <c r="K428" s="96">
        <v>23.22</v>
      </c>
      <c r="L428" s="96">
        <f>K428*VLOOKUP(H428,dagsoorttabel1,2,FALSE)</f>
        <v>23.22</v>
      </c>
      <c r="M428" s="97">
        <f>prodnorm32</f>
        <v>0</v>
      </c>
      <c r="N428" s="41">
        <f>dagwerk32</f>
        <v>0</v>
      </c>
      <c r="O428" s="94" t="s">
        <v>108</v>
      </c>
      <c r="P428" s="26">
        <f>uurtarief32</f>
        <v>0</v>
      </c>
      <c r="Q428" s="96" t="e">
        <f>IF(ISBLANK(M428),0,L428/ROUND(M428,4))</f>
        <v>#DIV/0!</v>
      </c>
      <c r="R428" s="96" t="e">
        <f>IF(ISBLANK(M428),0,Q428*ROUND(N428,2))</f>
        <v>#DIV/0!</v>
      </c>
      <c r="S428" s="26" t="e">
        <f>ROUND(P428,2)*Q428</f>
        <v>#DIV/0!</v>
      </c>
      <c r="T428" s="96" t="e">
        <f>Q428*dagenperjaar1</f>
        <v>#DIV/0!</v>
      </c>
      <c r="U428" s="27" t="e">
        <f>T428*ROUND(P428,2)</f>
        <v>#DIV/0!</v>
      </c>
    </row>
    <row r="429" spans="1:21" ht="25.5" x14ac:dyDescent="0.2">
      <c r="A429" s="93" t="s">
        <v>629</v>
      </c>
      <c r="B429" s="94" t="s">
        <v>42</v>
      </c>
      <c r="C429" s="94" t="s">
        <v>350</v>
      </c>
      <c r="D429" s="94" t="s">
        <v>378</v>
      </c>
      <c r="E429" s="95" t="s">
        <v>644</v>
      </c>
      <c r="F429" s="94" t="s">
        <v>287</v>
      </c>
      <c r="G429" s="94" t="s">
        <v>227</v>
      </c>
      <c r="H429" s="94" t="s">
        <v>24</v>
      </c>
      <c r="I429" s="94" t="s">
        <v>191</v>
      </c>
      <c r="J429" s="94"/>
      <c r="K429" s="96">
        <v>23.22</v>
      </c>
      <c r="L429" s="96">
        <f>K429*VLOOKUP(H429,dagsoorttabel1,2,FALSE)</f>
        <v>0.11609999999999999</v>
      </c>
      <c r="M429" s="97">
        <f>prodnorm35</f>
        <v>0</v>
      </c>
      <c r="N429" s="41">
        <f>dagwerk35</f>
        <v>0</v>
      </c>
      <c r="O429" s="94" t="s">
        <v>108</v>
      </c>
      <c r="P429" s="26">
        <f>uurtarief35</f>
        <v>0</v>
      </c>
      <c r="Q429" s="96" t="e">
        <f>IF(ISBLANK(M429),0,L429/ROUND(M429,4))</f>
        <v>#DIV/0!</v>
      </c>
      <c r="R429" s="96" t="e">
        <f>IF(ISBLANK(M429),0,Q429*ROUND(N429,2))</f>
        <v>#DIV/0!</v>
      </c>
      <c r="S429" s="26" t="e">
        <f>ROUND(P429,2)*Q429</f>
        <v>#DIV/0!</v>
      </c>
      <c r="T429" s="96" t="e">
        <f>Q429*dagenperjaar1</f>
        <v>#DIV/0!</v>
      </c>
      <c r="U429" s="27" t="e">
        <f>T429*ROUND(P429,2)</f>
        <v>#DIV/0!</v>
      </c>
    </row>
    <row r="430" spans="1:21" x14ac:dyDescent="0.2">
      <c r="A430" s="93" t="s">
        <v>629</v>
      </c>
      <c r="B430" s="94" t="s">
        <v>42</v>
      </c>
      <c r="C430" s="94" t="s">
        <v>350</v>
      </c>
      <c r="D430" s="94" t="s">
        <v>645</v>
      </c>
      <c r="E430" s="95" t="s">
        <v>646</v>
      </c>
      <c r="F430" s="94" t="s">
        <v>287</v>
      </c>
      <c r="G430" s="94" t="s">
        <v>219</v>
      </c>
      <c r="H430" s="94" t="s">
        <v>10</v>
      </c>
      <c r="I430" s="94" t="s">
        <v>191</v>
      </c>
      <c r="J430" s="94"/>
      <c r="K430" s="96">
        <v>20.8</v>
      </c>
      <c r="L430" s="96">
        <f>K430*VLOOKUP(H430,dagsoorttabel1,2,FALSE)</f>
        <v>20.8</v>
      </c>
      <c r="M430" s="97">
        <f>prodnorm30</f>
        <v>0</v>
      </c>
      <c r="N430" s="41">
        <f>dagwerk30</f>
        <v>0</v>
      </c>
      <c r="O430" s="94" t="s">
        <v>108</v>
      </c>
      <c r="P430" s="26">
        <f>uurtarief30</f>
        <v>0</v>
      </c>
      <c r="Q430" s="96" t="e">
        <f>IF(ISBLANK(M430),0,L430/ROUND(M430,4))</f>
        <v>#DIV/0!</v>
      </c>
      <c r="R430" s="96" t="e">
        <f>IF(ISBLANK(M430),0,Q430*ROUND(N430,2))</f>
        <v>#DIV/0!</v>
      </c>
      <c r="S430" s="26" t="e">
        <f>ROUND(P430,2)*Q430</f>
        <v>#DIV/0!</v>
      </c>
      <c r="T430" s="96" t="e">
        <f>Q430*dagenperjaar1</f>
        <v>#DIV/0!</v>
      </c>
      <c r="U430" s="27" t="e">
        <f>T430*ROUND(P430,2)</f>
        <v>#DIV/0!</v>
      </c>
    </row>
    <row r="431" spans="1:21" x14ac:dyDescent="0.2">
      <c r="A431" s="93" t="s">
        <v>629</v>
      </c>
      <c r="B431" s="94" t="s">
        <v>42</v>
      </c>
      <c r="C431" s="94" t="s">
        <v>350</v>
      </c>
      <c r="D431" s="94" t="s">
        <v>381</v>
      </c>
      <c r="E431" s="95" t="s">
        <v>647</v>
      </c>
      <c r="F431" s="94" t="s">
        <v>269</v>
      </c>
      <c r="G431" s="94" t="s">
        <v>225</v>
      </c>
      <c r="H431" s="94" t="s">
        <v>10</v>
      </c>
      <c r="I431" s="94" t="s">
        <v>191</v>
      </c>
      <c r="J431" s="94"/>
      <c r="K431" s="96">
        <v>6</v>
      </c>
      <c r="L431" s="96">
        <f>K431*VLOOKUP(H431,dagsoorttabel1,2,FALSE)</f>
        <v>6</v>
      </c>
      <c r="M431" s="97">
        <f>prodnorm34</f>
        <v>0</v>
      </c>
      <c r="N431" s="41">
        <f>dagwerk34</f>
        <v>0</v>
      </c>
      <c r="O431" s="94" t="s">
        <v>108</v>
      </c>
      <c r="P431" s="26">
        <f>uurtarief34</f>
        <v>0</v>
      </c>
      <c r="Q431" s="96" t="e">
        <f>IF(ISBLANK(M431),0,L431/ROUND(M431,4))</f>
        <v>#DIV/0!</v>
      </c>
      <c r="R431" s="96" t="e">
        <f>IF(ISBLANK(M431),0,Q431*ROUND(N431,2))</f>
        <v>#DIV/0!</v>
      </c>
      <c r="S431" s="26" t="e">
        <f>ROUND(P431,2)*Q431</f>
        <v>#DIV/0!</v>
      </c>
      <c r="T431" s="96" t="e">
        <f>Q431*dagenperjaar1</f>
        <v>#DIV/0!</v>
      </c>
      <c r="U431" s="27" t="e">
        <f>T431*ROUND(P431,2)</f>
        <v>#DIV/0!</v>
      </c>
    </row>
    <row r="432" spans="1:21" x14ac:dyDescent="0.2">
      <c r="A432" s="93" t="s">
        <v>629</v>
      </c>
      <c r="B432" s="94" t="s">
        <v>42</v>
      </c>
      <c r="C432" s="94" t="s">
        <v>350</v>
      </c>
      <c r="D432" s="94" t="s">
        <v>382</v>
      </c>
      <c r="E432" s="95" t="s">
        <v>648</v>
      </c>
      <c r="F432" s="94" t="s">
        <v>649</v>
      </c>
      <c r="G432" s="94" t="s">
        <v>223</v>
      </c>
      <c r="H432" s="94" t="s">
        <v>10</v>
      </c>
      <c r="I432" s="94" t="s">
        <v>191</v>
      </c>
      <c r="J432" s="94"/>
      <c r="K432" s="96">
        <v>3</v>
      </c>
      <c r="L432" s="96">
        <f>K432*VLOOKUP(H432,dagsoorttabel1,2,FALSE)</f>
        <v>3</v>
      </c>
      <c r="M432" s="97">
        <f>prodnorm32</f>
        <v>0</v>
      </c>
      <c r="N432" s="41">
        <f>dagwerk32</f>
        <v>0</v>
      </c>
      <c r="O432" s="94" t="s">
        <v>108</v>
      </c>
      <c r="P432" s="26">
        <f>uurtarief32</f>
        <v>0</v>
      </c>
      <c r="Q432" s="96" t="e">
        <f>IF(ISBLANK(M432),0,L432/ROUND(M432,4))</f>
        <v>#DIV/0!</v>
      </c>
      <c r="R432" s="96" t="e">
        <f>IF(ISBLANK(M432),0,Q432*ROUND(N432,2))</f>
        <v>#DIV/0!</v>
      </c>
      <c r="S432" s="26" t="e">
        <f>ROUND(P432,2)*Q432</f>
        <v>#DIV/0!</v>
      </c>
      <c r="T432" s="96" t="e">
        <f>Q432*dagenperjaar1</f>
        <v>#DIV/0!</v>
      </c>
      <c r="U432" s="27" t="e">
        <f>T432*ROUND(P432,2)</f>
        <v>#DIV/0!</v>
      </c>
    </row>
    <row r="433" spans="1:21" ht="25.5" x14ac:dyDescent="0.2">
      <c r="A433" s="93" t="s">
        <v>629</v>
      </c>
      <c r="B433" s="94" t="s">
        <v>42</v>
      </c>
      <c r="C433" s="94" t="s">
        <v>350</v>
      </c>
      <c r="D433" s="94" t="s">
        <v>650</v>
      </c>
      <c r="E433" s="95" t="s">
        <v>651</v>
      </c>
      <c r="F433" s="94" t="s">
        <v>277</v>
      </c>
      <c r="G433" s="94" t="s">
        <v>193</v>
      </c>
      <c r="H433" s="94" t="s">
        <v>14</v>
      </c>
      <c r="I433" s="94" t="s">
        <v>191</v>
      </c>
      <c r="J433" s="94"/>
      <c r="K433" s="96">
        <v>62.7</v>
      </c>
      <c r="L433" s="96">
        <f>K433*VLOOKUP(H433,dagsoorttabel1,2,FALSE)</f>
        <v>25.080000000000002</v>
      </c>
      <c r="M433" s="97">
        <f>prodnorm15</f>
        <v>0</v>
      </c>
      <c r="N433" s="41">
        <f>dagwerk15</f>
        <v>0</v>
      </c>
      <c r="O433" s="94" t="s">
        <v>108</v>
      </c>
      <c r="P433" s="26">
        <f>uurtarief15</f>
        <v>0</v>
      </c>
      <c r="Q433" s="96" t="e">
        <f>IF(ISBLANK(M433),0,L433/ROUND(M433,4))</f>
        <v>#DIV/0!</v>
      </c>
      <c r="R433" s="96" t="e">
        <f>IF(ISBLANK(M433),0,Q433*ROUND(N433,2))</f>
        <v>#DIV/0!</v>
      </c>
      <c r="S433" s="26" t="e">
        <f>ROUND(P433,2)*Q433</f>
        <v>#DIV/0!</v>
      </c>
      <c r="T433" s="96" t="e">
        <f>Q433*dagenperjaar1</f>
        <v>#DIV/0!</v>
      </c>
      <c r="U433" s="27" t="e">
        <f>T433*ROUND(P433,2)</f>
        <v>#DIV/0!</v>
      </c>
    </row>
    <row r="434" spans="1:21" ht="25.5" x14ac:dyDescent="0.2">
      <c r="A434" s="93" t="s">
        <v>629</v>
      </c>
      <c r="B434" s="94" t="s">
        <v>42</v>
      </c>
      <c r="C434" s="94" t="s">
        <v>350</v>
      </c>
      <c r="D434" s="94" t="s">
        <v>650</v>
      </c>
      <c r="E434" s="95" t="s">
        <v>651</v>
      </c>
      <c r="F434" s="94" t="s">
        <v>277</v>
      </c>
      <c r="G434" s="94" t="s">
        <v>227</v>
      </c>
      <c r="H434" s="94" t="s">
        <v>24</v>
      </c>
      <c r="I434" s="94" t="s">
        <v>191</v>
      </c>
      <c r="J434" s="94"/>
      <c r="K434" s="96">
        <v>62.7</v>
      </c>
      <c r="L434" s="96">
        <f>K434*VLOOKUP(H434,dagsoorttabel1,2,FALSE)</f>
        <v>0.3135</v>
      </c>
      <c r="M434" s="97">
        <f>prodnorm35</f>
        <v>0</v>
      </c>
      <c r="N434" s="41">
        <f>dagwerk35</f>
        <v>0</v>
      </c>
      <c r="O434" s="94" t="s">
        <v>108</v>
      </c>
      <c r="P434" s="26">
        <f>uurtarief35</f>
        <v>0</v>
      </c>
      <c r="Q434" s="96" t="e">
        <f>IF(ISBLANK(M434),0,L434/ROUND(M434,4))</f>
        <v>#DIV/0!</v>
      </c>
      <c r="R434" s="96" t="e">
        <f>IF(ISBLANK(M434),0,Q434*ROUND(N434,2))</f>
        <v>#DIV/0!</v>
      </c>
      <c r="S434" s="26" t="e">
        <f>ROUND(P434,2)*Q434</f>
        <v>#DIV/0!</v>
      </c>
      <c r="T434" s="96" t="e">
        <f>Q434*dagenperjaar1</f>
        <v>#DIV/0!</v>
      </c>
      <c r="U434" s="27" t="e">
        <f>T434*ROUND(P434,2)</f>
        <v>#DIV/0!</v>
      </c>
    </row>
    <row r="435" spans="1:21" x14ac:dyDescent="0.2">
      <c r="A435" s="93" t="s">
        <v>629</v>
      </c>
      <c r="B435" s="94" t="s">
        <v>42</v>
      </c>
      <c r="C435" s="94" t="s">
        <v>350</v>
      </c>
      <c r="D435" s="94" t="s">
        <v>652</v>
      </c>
      <c r="E435" s="95" t="s">
        <v>653</v>
      </c>
      <c r="F435" s="94" t="s">
        <v>654</v>
      </c>
      <c r="G435" s="94" t="s">
        <v>199</v>
      </c>
      <c r="H435" s="94" t="s">
        <v>10</v>
      </c>
      <c r="I435" s="94" t="s">
        <v>191</v>
      </c>
      <c r="J435" s="94"/>
      <c r="K435" s="96">
        <v>26</v>
      </c>
      <c r="L435" s="96">
        <f>K435*VLOOKUP(H435,dagsoorttabel1,2,FALSE)</f>
        <v>26</v>
      </c>
      <c r="M435" s="97">
        <f>prodnorm18</f>
        <v>0</v>
      </c>
      <c r="N435" s="41">
        <f>dagwerk18</f>
        <v>0</v>
      </c>
      <c r="O435" s="94" t="s">
        <v>108</v>
      </c>
      <c r="P435" s="26">
        <f>uurtarief18</f>
        <v>0</v>
      </c>
      <c r="Q435" s="96" t="e">
        <f>IF(ISBLANK(M435),0,L435/ROUND(M435,4))</f>
        <v>#DIV/0!</v>
      </c>
      <c r="R435" s="96" t="e">
        <f>IF(ISBLANK(M435),0,Q435*ROUND(N435,2))</f>
        <v>#DIV/0!</v>
      </c>
      <c r="S435" s="26" t="e">
        <f>ROUND(P435,2)*Q435</f>
        <v>#DIV/0!</v>
      </c>
      <c r="T435" s="96" t="e">
        <f>Q435*dagenperjaar1</f>
        <v>#DIV/0!</v>
      </c>
      <c r="U435" s="27" t="e">
        <f>T435*ROUND(P435,2)</f>
        <v>#DIV/0!</v>
      </c>
    </row>
    <row r="436" spans="1:21" x14ac:dyDescent="0.2">
      <c r="A436" s="93" t="s">
        <v>629</v>
      </c>
      <c r="B436" s="94" t="s">
        <v>42</v>
      </c>
      <c r="C436" s="94" t="s">
        <v>350</v>
      </c>
      <c r="D436" s="94" t="s">
        <v>655</v>
      </c>
      <c r="E436" s="95" t="s">
        <v>656</v>
      </c>
      <c r="F436" s="94" t="s">
        <v>657</v>
      </c>
      <c r="G436" s="94" t="s">
        <v>223</v>
      </c>
      <c r="H436" s="94" t="s">
        <v>10</v>
      </c>
      <c r="I436" s="94" t="s">
        <v>191</v>
      </c>
      <c r="J436" s="94"/>
      <c r="K436" s="96">
        <v>151.6</v>
      </c>
      <c r="L436" s="96">
        <f>K436*VLOOKUP(H436,dagsoorttabel1,2,FALSE)</f>
        <v>151.6</v>
      </c>
      <c r="M436" s="97">
        <f>prodnorm32</f>
        <v>0</v>
      </c>
      <c r="N436" s="41">
        <f>dagwerk32</f>
        <v>0</v>
      </c>
      <c r="O436" s="94" t="s">
        <v>108</v>
      </c>
      <c r="P436" s="26">
        <f>uurtarief32</f>
        <v>0</v>
      </c>
      <c r="Q436" s="96" t="e">
        <f>IF(ISBLANK(M436),0,L436/ROUND(M436,4))</f>
        <v>#DIV/0!</v>
      </c>
      <c r="R436" s="96" t="e">
        <f>IF(ISBLANK(M436),0,Q436*ROUND(N436,2))</f>
        <v>#DIV/0!</v>
      </c>
      <c r="S436" s="26" t="e">
        <f>ROUND(P436,2)*Q436</f>
        <v>#DIV/0!</v>
      </c>
      <c r="T436" s="96" t="e">
        <f>Q436*dagenperjaar1</f>
        <v>#DIV/0!</v>
      </c>
      <c r="U436" s="27" t="e">
        <f>T436*ROUND(P436,2)</f>
        <v>#DIV/0!</v>
      </c>
    </row>
    <row r="437" spans="1:21" x14ac:dyDescent="0.2">
      <c r="A437" s="93" t="s">
        <v>629</v>
      </c>
      <c r="B437" s="94" t="s">
        <v>42</v>
      </c>
      <c r="C437" s="94" t="s">
        <v>350</v>
      </c>
      <c r="D437" s="94" t="s">
        <v>658</v>
      </c>
      <c r="E437" s="95" t="s">
        <v>310</v>
      </c>
      <c r="F437" s="94" t="s">
        <v>277</v>
      </c>
      <c r="G437" s="94" t="s">
        <v>201</v>
      </c>
      <c r="H437" s="94" t="s">
        <v>10</v>
      </c>
      <c r="I437" s="94" t="s">
        <v>191</v>
      </c>
      <c r="J437" s="94"/>
      <c r="K437" s="96">
        <v>1.3</v>
      </c>
      <c r="L437" s="96">
        <f>K437*VLOOKUP(H437,dagsoorttabel1,2,FALSE)</f>
        <v>1.3</v>
      </c>
      <c r="M437" s="97">
        <f>prodnorm19</f>
        <v>0</v>
      </c>
      <c r="N437" s="41">
        <f>dagwerk19</f>
        <v>0</v>
      </c>
      <c r="O437" s="94" t="s">
        <v>108</v>
      </c>
      <c r="P437" s="26">
        <f>uurtarief19</f>
        <v>0</v>
      </c>
      <c r="Q437" s="96" t="e">
        <f>IF(ISBLANK(M437),0,L437/ROUND(M437,4))</f>
        <v>#DIV/0!</v>
      </c>
      <c r="R437" s="96" t="e">
        <f>IF(ISBLANK(M437),0,Q437*ROUND(N437,2))</f>
        <v>#DIV/0!</v>
      </c>
      <c r="S437" s="26" t="e">
        <f>ROUND(P437,2)*Q437</f>
        <v>#DIV/0!</v>
      </c>
      <c r="T437" s="96" t="e">
        <f>Q437*dagenperjaar1</f>
        <v>#DIV/0!</v>
      </c>
      <c r="U437" s="27" t="e">
        <f>T437*ROUND(P437,2)</f>
        <v>#DIV/0!</v>
      </c>
    </row>
    <row r="438" spans="1:21" x14ac:dyDescent="0.2">
      <c r="A438" s="93" t="s">
        <v>629</v>
      </c>
      <c r="B438" s="94" t="s">
        <v>42</v>
      </c>
      <c r="C438" s="94" t="s">
        <v>350</v>
      </c>
      <c r="D438" s="94" t="s">
        <v>658</v>
      </c>
      <c r="E438" s="95" t="s">
        <v>310</v>
      </c>
      <c r="F438" s="94" t="s">
        <v>277</v>
      </c>
      <c r="G438" s="94" t="s">
        <v>227</v>
      </c>
      <c r="H438" s="94" t="s">
        <v>24</v>
      </c>
      <c r="I438" s="94" t="s">
        <v>191</v>
      </c>
      <c r="J438" s="94"/>
      <c r="K438" s="96">
        <v>1.3</v>
      </c>
      <c r="L438" s="96">
        <f>K438*VLOOKUP(H438,dagsoorttabel1,2,FALSE)</f>
        <v>6.5000000000000006E-3</v>
      </c>
      <c r="M438" s="97">
        <f>prodnorm35</f>
        <v>0</v>
      </c>
      <c r="N438" s="41">
        <f>dagwerk35</f>
        <v>0</v>
      </c>
      <c r="O438" s="94" t="s">
        <v>108</v>
      </c>
      <c r="P438" s="26">
        <f>uurtarief35</f>
        <v>0</v>
      </c>
      <c r="Q438" s="96" t="e">
        <f>IF(ISBLANK(M438),0,L438/ROUND(M438,4))</f>
        <v>#DIV/0!</v>
      </c>
      <c r="R438" s="96" t="e">
        <f>IF(ISBLANK(M438),0,Q438*ROUND(N438,2))</f>
        <v>#DIV/0!</v>
      </c>
      <c r="S438" s="26" t="e">
        <f>ROUND(P438,2)*Q438</f>
        <v>#DIV/0!</v>
      </c>
      <c r="T438" s="96" t="e">
        <f>Q438*dagenperjaar1</f>
        <v>#DIV/0!</v>
      </c>
      <c r="U438" s="27" t="e">
        <f>T438*ROUND(P438,2)</f>
        <v>#DIV/0!</v>
      </c>
    </row>
    <row r="439" spans="1:21" x14ac:dyDescent="0.2">
      <c r="A439" s="93" t="s">
        <v>629</v>
      </c>
      <c r="B439" s="94" t="s">
        <v>42</v>
      </c>
      <c r="C439" s="94" t="s">
        <v>350</v>
      </c>
      <c r="D439" s="94" t="s">
        <v>659</v>
      </c>
      <c r="E439" s="95" t="s">
        <v>660</v>
      </c>
      <c r="F439" s="94" t="s">
        <v>277</v>
      </c>
      <c r="G439" s="94" t="s">
        <v>193</v>
      </c>
      <c r="H439" s="94" t="s">
        <v>14</v>
      </c>
      <c r="I439" s="94" t="s">
        <v>191</v>
      </c>
      <c r="J439" s="94"/>
      <c r="K439" s="96">
        <v>31.19</v>
      </c>
      <c r="L439" s="96">
        <f>K439*VLOOKUP(H439,dagsoorttabel1,2,FALSE)</f>
        <v>12.476000000000001</v>
      </c>
      <c r="M439" s="97">
        <f>prodnorm15</f>
        <v>0</v>
      </c>
      <c r="N439" s="41">
        <f>dagwerk15</f>
        <v>0</v>
      </c>
      <c r="O439" s="94" t="s">
        <v>108</v>
      </c>
      <c r="P439" s="26">
        <f>uurtarief15</f>
        <v>0</v>
      </c>
      <c r="Q439" s="96" t="e">
        <f>IF(ISBLANK(M439),0,L439/ROUND(M439,4))</f>
        <v>#DIV/0!</v>
      </c>
      <c r="R439" s="96" t="e">
        <f>IF(ISBLANK(M439),0,Q439*ROUND(N439,2))</f>
        <v>#DIV/0!</v>
      </c>
      <c r="S439" s="26" t="e">
        <f>ROUND(P439,2)*Q439</f>
        <v>#DIV/0!</v>
      </c>
      <c r="T439" s="96" t="e">
        <f>Q439*dagenperjaar1</f>
        <v>#DIV/0!</v>
      </c>
      <c r="U439" s="27" t="e">
        <f>T439*ROUND(P439,2)</f>
        <v>#DIV/0!</v>
      </c>
    </row>
    <row r="440" spans="1:21" x14ac:dyDescent="0.2">
      <c r="A440" s="93" t="s">
        <v>629</v>
      </c>
      <c r="B440" s="94" t="s">
        <v>42</v>
      </c>
      <c r="C440" s="94" t="s">
        <v>350</v>
      </c>
      <c r="D440" s="94" t="s">
        <v>659</v>
      </c>
      <c r="E440" s="95" t="s">
        <v>660</v>
      </c>
      <c r="F440" s="94" t="s">
        <v>277</v>
      </c>
      <c r="G440" s="94" t="s">
        <v>227</v>
      </c>
      <c r="H440" s="94" t="s">
        <v>24</v>
      </c>
      <c r="I440" s="94" t="s">
        <v>191</v>
      </c>
      <c r="J440" s="94"/>
      <c r="K440" s="96">
        <v>31.19</v>
      </c>
      <c r="L440" s="96">
        <f>K440*VLOOKUP(H440,dagsoorttabel1,2,FALSE)</f>
        <v>0.15595000000000001</v>
      </c>
      <c r="M440" s="97">
        <f>prodnorm35</f>
        <v>0</v>
      </c>
      <c r="N440" s="41">
        <f>dagwerk35</f>
        <v>0</v>
      </c>
      <c r="O440" s="94" t="s">
        <v>108</v>
      </c>
      <c r="P440" s="26">
        <f>uurtarief35</f>
        <v>0</v>
      </c>
      <c r="Q440" s="96" t="e">
        <f>IF(ISBLANK(M440),0,L440/ROUND(M440,4))</f>
        <v>#DIV/0!</v>
      </c>
      <c r="R440" s="96" t="e">
        <f>IF(ISBLANK(M440),0,Q440*ROUND(N440,2))</f>
        <v>#DIV/0!</v>
      </c>
      <c r="S440" s="26" t="e">
        <f>ROUND(P440,2)*Q440</f>
        <v>#DIV/0!</v>
      </c>
      <c r="T440" s="96" t="e">
        <f>Q440*dagenperjaar1</f>
        <v>#DIV/0!</v>
      </c>
      <c r="U440" s="27" t="e">
        <f>T440*ROUND(P440,2)</f>
        <v>#DIV/0!</v>
      </c>
    </row>
    <row r="441" spans="1:21" x14ac:dyDescent="0.2">
      <c r="A441" s="93" t="s">
        <v>629</v>
      </c>
      <c r="B441" s="94" t="s">
        <v>42</v>
      </c>
      <c r="C441" s="94" t="s">
        <v>350</v>
      </c>
      <c r="D441" s="94" t="s">
        <v>388</v>
      </c>
      <c r="E441" s="95" t="s">
        <v>660</v>
      </c>
      <c r="F441" s="94" t="s">
        <v>277</v>
      </c>
      <c r="G441" s="94" t="s">
        <v>193</v>
      </c>
      <c r="H441" s="94" t="s">
        <v>14</v>
      </c>
      <c r="I441" s="94" t="s">
        <v>191</v>
      </c>
      <c r="J441" s="94"/>
      <c r="K441" s="96">
        <v>30.779999999999998</v>
      </c>
      <c r="L441" s="96">
        <f>K441*VLOOKUP(H441,dagsoorttabel1,2,FALSE)</f>
        <v>12.311999999999999</v>
      </c>
      <c r="M441" s="97">
        <f>prodnorm15</f>
        <v>0</v>
      </c>
      <c r="N441" s="41">
        <f>dagwerk15</f>
        <v>0</v>
      </c>
      <c r="O441" s="94" t="s">
        <v>108</v>
      </c>
      <c r="P441" s="26">
        <f>uurtarief15</f>
        <v>0</v>
      </c>
      <c r="Q441" s="96" t="e">
        <f>IF(ISBLANK(M441),0,L441/ROUND(M441,4))</f>
        <v>#DIV/0!</v>
      </c>
      <c r="R441" s="96" t="e">
        <f>IF(ISBLANK(M441),0,Q441*ROUND(N441,2))</f>
        <v>#DIV/0!</v>
      </c>
      <c r="S441" s="26" t="e">
        <f>ROUND(P441,2)*Q441</f>
        <v>#DIV/0!</v>
      </c>
      <c r="T441" s="96" t="e">
        <f>Q441*dagenperjaar1</f>
        <v>#DIV/0!</v>
      </c>
      <c r="U441" s="27" t="e">
        <f>T441*ROUND(P441,2)</f>
        <v>#DIV/0!</v>
      </c>
    </row>
    <row r="442" spans="1:21" x14ac:dyDescent="0.2">
      <c r="A442" s="93" t="s">
        <v>629</v>
      </c>
      <c r="B442" s="94" t="s">
        <v>42</v>
      </c>
      <c r="C442" s="94" t="s">
        <v>350</v>
      </c>
      <c r="D442" s="94" t="s">
        <v>388</v>
      </c>
      <c r="E442" s="95" t="s">
        <v>660</v>
      </c>
      <c r="F442" s="94" t="s">
        <v>277</v>
      </c>
      <c r="G442" s="94" t="s">
        <v>227</v>
      </c>
      <c r="H442" s="94" t="s">
        <v>24</v>
      </c>
      <c r="I442" s="94" t="s">
        <v>191</v>
      </c>
      <c r="J442" s="94"/>
      <c r="K442" s="96">
        <v>30.779999999999998</v>
      </c>
      <c r="L442" s="96">
        <f>K442*VLOOKUP(H442,dagsoorttabel1,2,FALSE)</f>
        <v>0.15389999999999998</v>
      </c>
      <c r="M442" s="97">
        <f>prodnorm35</f>
        <v>0</v>
      </c>
      <c r="N442" s="41">
        <f>dagwerk35</f>
        <v>0</v>
      </c>
      <c r="O442" s="94" t="s">
        <v>108</v>
      </c>
      <c r="P442" s="26">
        <f>uurtarief35</f>
        <v>0</v>
      </c>
      <c r="Q442" s="96" t="e">
        <f>IF(ISBLANK(M442),0,L442/ROUND(M442,4))</f>
        <v>#DIV/0!</v>
      </c>
      <c r="R442" s="96" t="e">
        <f>IF(ISBLANK(M442),0,Q442*ROUND(N442,2))</f>
        <v>#DIV/0!</v>
      </c>
      <c r="S442" s="26" t="e">
        <f>ROUND(P442,2)*Q442</f>
        <v>#DIV/0!</v>
      </c>
      <c r="T442" s="96" t="e">
        <f>Q442*dagenperjaar1</f>
        <v>#DIV/0!</v>
      </c>
      <c r="U442" s="27" t="e">
        <f>T442*ROUND(P442,2)</f>
        <v>#DIV/0!</v>
      </c>
    </row>
    <row r="443" spans="1:21" x14ac:dyDescent="0.2">
      <c r="A443" s="93" t="s">
        <v>629</v>
      </c>
      <c r="B443" s="94" t="s">
        <v>42</v>
      </c>
      <c r="C443" s="94" t="s">
        <v>350</v>
      </c>
      <c r="D443" s="94" t="s">
        <v>661</v>
      </c>
      <c r="E443" s="95" t="s">
        <v>660</v>
      </c>
      <c r="F443" s="94" t="s">
        <v>277</v>
      </c>
      <c r="G443" s="94" t="s">
        <v>193</v>
      </c>
      <c r="H443" s="94" t="s">
        <v>14</v>
      </c>
      <c r="I443" s="94" t="s">
        <v>191</v>
      </c>
      <c r="J443" s="94"/>
      <c r="K443" s="96">
        <v>24.459999999999997</v>
      </c>
      <c r="L443" s="96">
        <f>K443*VLOOKUP(H443,dagsoorttabel1,2,FALSE)</f>
        <v>9.7839999999999989</v>
      </c>
      <c r="M443" s="97">
        <f>prodnorm15</f>
        <v>0</v>
      </c>
      <c r="N443" s="41">
        <f>dagwerk15</f>
        <v>0</v>
      </c>
      <c r="O443" s="94" t="s">
        <v>108</v>
      </c>
      <c r="P443" s="26">
        <f>uurtarief15</f>
        <v>0</v>
      </c>
      <c r="Q443" s="96" t="e">
        <f>IF(ISBLANK(M443),0,L443/ROUND(M443,4))</f>
        <v>#DIV/0!</v>
      </c>
      <c r="R443" s="96" t="e">
        <f>IF(ISBLANK(M443),0,Q443*ROUND(N443,2))</f>
        <v>#DIV/0!</v>
      </c>
      <c r="S443" s="26" t="e">
        <f>ROUND(P443,2)*Q443</f>
        <v>#DIV/0!</v>
      </c>
      <c r="T443" s="96" t="e">
        <f>Q443*dagenperjaar1</f>
        <v>#DIV/0!</v>
      </c>
      <c r="U443" s="27" t="e">
        <f>T443*ROUND(P443,2)</f>
        <v>#DIV/0!</v>
      </c>
    </row>
    <row r="444" spans="1:21" x14ac:dyDescent="0.2">
      <c r="A444" s="93" t="s">
        <v>629</v>
      </c>
      <c r="B444" s="94" t="s">
        <v>42</v>
      </c>
      <c r="C444" s="94" t="s">
        <v>350</v>
      </c>
      <c r="D444" s="94" t="s">
        <v>661</v>
      </c>
      <c r="E444" s="95" t="s">
        <v>660</v>
      </c>
      <c r="F444" s="94" t="s">
        <v>277</v>
      </c>
      <c r="G444" s="94" t="s">
        <v>227</v>
      </c>
      <c r="H444" s="94" t="s">
        <v>24</v>
      </c>
      <c r="I444" s="94" t="s">
        <v>191</v>
      </c>
      <c r="J444" s="94"/>
      <c r="K444" s="96">
        <v>24.459999999999997</v>
      </c>
      <c r="L444" s="96">
        <f>K444*VLOOKUP(H444,dagsoorttabel1,2,FALSE)</f>
        <v>0.12229999999999999</v>
      </c>
      <c r="M444" s="97">
        <f>prodnorm35</f>
        <v>0</v>
      </c>
      <c r="N444" s="41">
        <f>dagwerk35</f>
        <v>0</v>
      </c>
      <c r="O444" s="94" t="s">
        <v>108</v>
      </c>
      <c r="P444" s="26">
        <f>uurtarief35</f>
        <v>0</v>
      </c>
      <c r="Q444" s="96" t="e">
        <f>IF(ISBLANK(M444),0,L444/ROUND(M444,4))</f>
        <v>#DIV/0!</v>
      </c>
      <c r="R444" s="96" t="e">
        <f>IF(ISBLANK(M444),0,Q444*ROUND(N444,2))</f>
        <v>#DIV/0!</v>
      </c>
      <c r="S444" s="26" t="e">
        <f>ROUND(P444,2)*Q444</f>
        <v>#DIV/0!</v>
      </c>
      <c r="T444" s="96" t="e">
        <f>Q444*dagenperjaar1</f>
        <v>#DIV/0!</v>
      </c>
      <c r="U444" s="27" t="e">
        <f>T444*ROUND(P444,2)</f>
        <v>#DIV/0!</v>
      </c>
    </row>
    <row r="445" spans="1:21" x14ac:dyDescent="0.2">
      <c r="A445" s="93" t="s">
        <v>629</v>
      </c>
      <c r="B445" s="94" t="s">
        <v>42</v>
      </c>
      <c r="C445" s="94" t="s">
        <v>350</v>
      </c>
      <c r="D445" s="94" t="s">
        <v>392</v>
      </c>
      <c r="E445" s="95" t="s">
        <v>660</v>
      </c>
      <c r="F445" s="94" t="s">
        <v>277</v>
      </c>
      <c r="G445" s="94" t="s">
        <v>193</v>
      </c>
      <c r="H445" s="94" t="s">
        <v>14</v>
      </c>
      <c r="I445" s="94" t="s">
        <v>191</v>
      </c>
      <c r="J445" s="94"/>
      <c r="K445" s="96">
        <v>24.459999999999997</v>
      </c>
      <c r="L445" s="96">
        <f>K445*VLOOKUP(H445,dagsoorttabel1,2,FALSE)</f>
        <v>9.7839999999999989</v>
      </c>
      <c r="M445" s="97">
        <f>prodnorm15</f>
        <v>0</v>
      </c>
      <c r="N445" s="41">
        <f>dagwerk15</f>
        <v>0</v>
      </c>
      <c r="O445" s="94" t="s">
        <v>108</v>
      </c>
      <c r="P445" s="26">
        <f>uurtarief15</f>
        <v>0</v>
      </c>
      <c r="Q445" s="96" t="e">
        <f>IF(ISBLANK(M445),0,L445/ROUND(M445,4))</f>
        <v>#DIV/0!</v>
      </c>
      <c r="R445" s="96" t="e">
        <f>IF(ISBLANK(M445),0,Q445*ROUND(N445,2))</f>
        <v>#DIV/0!</v>
      </c>
      <c r="S445" s="26" t="e">
        <f>ROUND(P445,2)*Q445</f>
        <v>#DIV/0!</v>
      </c>
      <c r="T445" s="96" t="e">
        <f>Q445*dagenperjaar1</f>
        <v>#DIV/0!</v>
      </c>
      <c r="U445" s="27" t="e">
        <f>T445*ROUND(P445,2)</f>
        <v>#DIV/0!</v>
      </c>
    </row>
    <row r="446" spans="1:21" x14ac:dyDescent="0.2">
      <c r="A446" s="93" t="s">
        <v>629</v>
      </c>
      <c r="B446" s="94" t="s">
        <v>42</v>
      </c>
      <c r="C446" s="94" t="s">
        <v>350</v>
      </c>
      <c r="D446" s="94" t="s">
        <v>392</v>
      </c>
      <c r="E446" s="95" t="s">
        <v>660</v>
      </c>
      <c r="F446" s="94" t="s">
        <v>277</v>
      </c>
      <c r="G446" s="94" t="s">
        <v>227</v>
      </c>
      <c r="H446" s="94" t="s">
        <v>24</v>
      </c>
      <c r="I446" s="94" t="s">
        <v>191</v>
      </c>
      <c r="J446" s="94"/>
      <c r="K446" s="96">
        <v>24.459999999999997</v>
      </c>
      <c r="L446" s="96">
        <f>K446*VLOOKUP(H446,dagsoorttabel1,2,FALSE)</f>
        <v>0.12229999999999999</v>
      </c>
      <c r="M446" s="97">
        <f>prodnorm35</f>
        <v>0</v>
      </c>
      <c r="N446" s="41">
        <f>dagwerk35</f>
        <v>0</v>
      </c>
      <c r="O446" s="94" t="s">
        <v>108</v>
      </c>
      <c r="P446" s="26">
        <f>uurtarief35</f>
        <v>0</v>
      </c>
      <c r="Q446" s="96" t="e">
        <f>IF(ISBLANK(M446),0,L446/ROUND(M446,4))</f>
        <v>#DIV/0!</v>
      </c>
      <c r="R446" s="96" t="e">
        <f>IF(ISBLANK(M446),0,Q446*ROUND(N446,2))</f>
        <v>#DIV/0!</v>
      </c>
      <c r="S446" s="26" t="e">
        <f>ROUND(P446,2)*Q446</f>
        <v>#DIV/0!</v>
      </c>
      <c r="T446" s="96" t="e">
        <f>Q446*dagenperjaar1</f>
        <v>#DIV/0!</v>
      </c>
      <c r="U446" s="27" t="e">
        <f>T446*ROUND(P446,2)</f>
        <v>#DIV/0!</v>
      </c>
    </row>
    <row r="447" spans="1:21" x14ac:dyDescent="0.2">
      <c r="A447" s="93" t="s">
        <v>629</v>
      </c>
      <c r="B447" s="94" t="s">
        <v>42</v>
      </c>
      <c r="C447" s="94" t="s">
        <v>350</v>
      </c>
      <c r="D447" s="94" t="s">
        <v>394</v>
      </c>
      <c r="E447" s="95" t="s">
        <v>660</v>
      </c>
      <c r="F447" s="94" t="s">
        <v>277</v>
      </c>
      <c r="G447" s="94" t="s">
        <v>193</v>
      </c>
      <c r="H447" s="94" t="s">
        <v>14</v>
      </c>
      <c r="I447" s="94" t="s">
        <v>191</v>
      </c>
      <c r="J447" s="94"/>
      <c r="K447" s="96">
        <v>31.19</v>
      </c>
      <c r="L447" s="96">
        <f>K447*VLOOKUP(H447,dagsoorttabel1,2,FALSE)</f>
        <v>12.476000000000001</v>
      </c>
      <c r="M447" s="97">
        <f>prodnorm15</f>
        <v>0</v>
      </c>
      <c r="N447" s="41">
        <f>dagwerk15</f>
        <v>0</v>
      </c>
      <c r="O447" s="94" t="s">
        <v>108</v>
      </c>
      <c r="P447" s="26">
        <f>uurtarief15</f>
        <v>0</v>
      </c>
      <c r="Q447" s="96" t="e">
        <f>IF(ISBLANK(M447),0,L447/ROUND(M447,4))</f>
        <v>#DIV/0!</v>
      </c>
      <c r="R447" s="96" t="e">
        <f>IF(ISBLANK(M447),0,Q447*ROUND(N447,2))</f>
        <v>#DIV/0!</v>
      </c>
      <c r="S447" s="26" t="e">
        <f>ROUND(P447,2)*Q447</f>
        <v>#DIV/0!</v>
      </c>
      <c r="T447" s="96" t="e">
        <f>Q447*dagenperjaar1</f>
        <v>#DIV/0!</v>
      </c>
      <c r="U447" s="27" t="e">
        <f>T447*ROUND(P447,2)</f>
        <v>#DIV/0!</v>
      </c>
    </row>
    <row r="448" spans="1:21" x14ac:dyDescent="0.2">
      <c r="A448" s="93" t="s">
        <v>629</v>
      </c>
      <c r="B448" s="94" t="s">
        <v>42</v>
      </c>
      <c r="C448" s="94" t="s">
        <v>350</v>
      </c>
      <c r="D448" s="94" t="s">
        <v>394</v>
      </c>
      <c r="E448" s="95" t="s">
        <v>660</v>
      </c>
      <c r="F448" s="94" t="s">
        <v>277</v>
      </c>
      <c r="G448" s="94" t="s">
        <v>227</v>
      </c>
      <c r="H448" s="94" t="s">
        <v>24</v>
      </c>
      <c r="I448" s="94" t="s">
        <v>191</v>
      </c>
      <c r="J448" s="94"/>
      <c r="K448" s="96">
        <v>31.19</v>
      </c>
      <c r="L448" s="96">
        <f>K448*VLOOKUP(H448,dagsoorttabel1,2,FALSE)</f>
        <v>0.15595000000000001</v>
      </c>
      <c r="M448" s="97">
        <f>prodnorm35</f>
        <v>0</v>
      </c>
      <c r="N448" s="41">
        <f>dagwerk35</f>
        <v>0</v>
      </c>
      <c r="O448" s="94" t="s">
        <v>108</v>
      </c>
      <c r="P448" s="26">
        <f>uurtarief35</f>
        <v>0</v>
      </c>
      <c r="Q448" s="96" t="e">
        <f>IF(ISBLANK(M448),0,L448/ROUND(M448,4))</f>
        <v>#DIV/0!</v>
      </c>
      <c r="R448" s="96" t="e">
        <f>IF(ISBLANK(M448),0,Q448*ROUND(N448,2))</f>
        <v>#DIV/0!</v>
      </c>
      <c r="S448" s="26" t="e">
        <f>ROUND(P448,2)*Q448</f>
        <v>#DIV/0!</v>
      </c>
      <c r="T448" s="96" t="e">
        <f>Q448*dagenperjaar1</f>
        <v>#DIV/0!</v>
      </c>
      <c r="U448" s="27" t="e">
        <f>T448*ROUND(P448,2)</f>
        <v>#DIV/0!</v>
      </c>
    </row>
    <row r="449" spans="1:21" x14ac:dyDescent="0.2">
      <c r="A449" s="93" t="s">
        <v>629</v>
      </c>
      <c r="B449" s="94" t="s">
        <v>42</v>
      </c>
      <c r="C449" s="94" t="s">
        <v>350</v>
      </c>
      <c r="D449" s="94" t="s">
        <v>662</v>
      </c>
      <c r="E449" s="95" t="s">
        <v>660</v>
      </c>
      <c r="F449" s="94" t="s">
        <v>277</v>
      </c>
      <c r="G449" s="94" t="s">
        <v>193</v>
      </c>
      <c r="H449" s="94" t="s">
        <v>14</v>
      </c>
      <c r="I449" s="94" t="s">
        <v>191</v>
      </c>
      <c r="J449" s="94"/>
      <c r="K449" s="96">
        <v>18.14</v>
      </c>
      <c r="L449" s="96">
        <f>K449*VLOOKUP(H449,dagsoorttabel1,2,FALSE)</f>
        <v>7.2560000000000002</v>
      </c>
      <c r="M449" s="97">
        <f>prodnorm15</f>
        <v>0</v>
      </c>
      <c r="N449" s="41">
        <f>dagwerk15</f>
        <v>0</v>
      </c>
      <c r="O449" s="94" t="s">
        <v>108</v>
      </c>
      <c r="P449" s="26">
        <f>uurtarief15</f>
        <v>0</v>
      </c>
      <c r="Q449" s="96" t="e">
        <f>IF(ISBLANK(M449),0,L449/ROUND(M449,4))</f>
        <v>#DIV/0!</v>
      </c>
      <c r="R449" s="96" t="e">
        <f>IF(ISBLANK(M449),0,Q449*ROUND(N449,2))</f>
        <v>#DIV/0!</v>
      </c>
      <c r="S449" s="26" t="e">
        <f>ROUND(P449,2)*Q449</f>
        <v>#DIV/0!</v>
      </c>
      <c r="T449" s="96" t="e">
        <f>Q449*dagenperjaar1</f>
        <v>#DIV/0!</v>
      </c>
      <c r="U449" s="27" t="e">
        <f>T449*ROUND(P449,2)</f>
        <v>#DIV/0!</v>
      </c>
    </row>
    <row r="450" spans="1:21" x14ac:dyDescent="0.2">
      <c r="A450" s="93" t="s">
        <v>629</v>
      </c>
      <c r="B450" s="94" t="s">
        <v>42</v>
      </c>
      <c r="C450" s="94" t="s">
        <v>350</v>
      </c>
      <c r="D450" s="94" t="s">
        <v>662</v>
      </c>
      <c r="E450" s="95" t="s">
        <v>660</v>
      </c>
      <c r="F450" s="94" t="s">
        <v>277</v>
      </c>
      <c r="G450" s="94" t="s">
        <v>227</v>
      </c>
      <c r="H450" s="94" t="s">
        <v>24</v>
      </c>
      <c r="I450" s="94" t="s">
        <v>191</v>
      </c>
      <c r="J450" s="94"/>
      <c r="K450" s="96">
        <v>18.14</v>
      </c>
      <c r="L450" s="96">
        <f>K450*VLOOKUP(H450,dagsoorttabel1,2,FALSE)</f>
        <v>9.0700000000000003E-2</v>
      </c>
      <c r="M450" s="97">
        <f>prodnorm35</f>
        <v>0</v>
      </c>
      <c r="N450" s="41">
        <f>dagwerk35</f>
        <v>0</v>
      </c>
      <c r="O450" s="94" t="s">
        <v>108</v>
      </c>
      <c r="P450" s="26">
        <f>uurtarief35</f>
        <v>0</v>
      </c>
      <c r="Q450" s="96" t="e">
        <f>IF(ISBLANK(M450),0,L450/ROUND(M450,4))</f>
        <v>#DIV/0!</v>
      </c>
      <c r="R450" s="96" t="e">
        <f>IF(ISBLANK(M450),0,Q450*ROUND(N450,2))</f>
        <v>#DIV/0!</v>
      </c>
      <c r="S450" s="26" t="e">
        <f>ROUND(P450,2)*Q450</f>
        <v>#DIV/0!</v>
      </c>
      <c r="T450" s="96" t="e">
        <f>Q450*dagenperjaar1</f>
        <v>#DIV/0!</v>
      </c>
      <c r="U450" s="27" t="e">
        <f>T450*ROUND(P450,2)</f>
        <v>#DIV/0!</v>
      </c>
    </row>
    <row r="451" spans="1:21" x14ac:dyDescent="0.2">
      <c r="A451" s="93" t="s">
        <v>629</v>
      </c>
      <c r="B451" s="94" t="s">
        <v>42</v>
      </c>
      <c r="C451" s="94" t="s">
        <v>350</v>
      </c>
      <c r="D451" s="94" t="s">
        <v>663</v>
      </c>
      <c r="E451" s="95" t="s">
        <v>664</v>
      </c>
      <c r="F451" s="94" t="s">
        <v>287</v>
      </c>
      <c r="G451" s="94" t="s">
        <v>219</v>
      </c>
      <c r="H451" s="94" t="s">
        <v>10</v>
      </c>
      <c r="I451" s="94" t="s">
        <v>191</v>
      </c>
      <c r="J451" s="94"/>
      <c r="K451" s="96">
        <v>5.72</v>
      </c>
      <c r="L451" s="96">
        <f>K451*VLOOKUP(H451,dagsoorttabel1,2,FALSE)</f>
        <v>5.72</v>
      </c>
      <c r="M451" s="97">
        <f>prodnorm30</f>
        <v>0</v>
      </c>
      <c r="N451" s="41">
        <f>dagwerk30</f>
        <v>0</v>
      </c>
      <c r="O451" s="94" t="s">
        <v>108</v>
      </c>
      <c r="P451" s="26">
        <f>uurtarief30</f>
        <v>0</v>
      </c>
      <c r="Q451" s="96" t="e">
        <f>IF(ISBLANK(M451),0,L451/ROUND(M451,4))</f>
        <v>#DIV/0!</v>
      </c>
      <c r="R451" s="96" t="e">
        <f>IF(ISBLANK(M451),0,Q451*ROUND(N451,2))</f>
        <v>#DIV/0!</v>
      </c>
      <c r="S451" s="26" t="e">
        <f>ROUND(P451,2)*Q451</f>
        <v>#DIV/0!</v>
      </c>
      <c r="T451" s="96" t="e">
        <f>Q451*dagenperjaar1</f>
        <v>#DIV/0!</v>
      </c>
      <c r="U451" s="27" t="e">
        <f>T451*ROUND(P451,2)</f>
        <v>#DIV/0!</v>
      </c>
    </row>
    <row r="452" spans="1:21" x14ac:dyDescent="0.2">
      <c r="A452" s="93" t="s">
        <v>629</v>
      </c>
      <c r="B452" s="94" t="s">
        <v>42</v>
      </c>
      <c r="C452" s="94" t="s">
        <v>350</v>
      </c>
      <c r="D452" s="94" t="s">
        <v>494</v>
      </c>
      <c r="E452" s="95" t="s">
        <v>665</v>
      </c>
      <c r="F452" s="94" t="s">
        <v>287</v>
      </c>
      <c r="G452" s="94" t="s">
        <v>219</v>
      </c>
      <c r="H452" s="94" t="s">
        <v>10</v>
      </c>
      <c r="I452" s="94" t="s">
        <v>191</v>
      </c>
      <c r="J452" s="94"/>
      <c r="K452" s="96">
        <v>6.1199999999999992</v>
      </c>
      <c r="L452" s="96">
        <f>K452*VLOOKUP(H452,dagsoorttabel1,2,FALSE)</f>
        <v>6.1199999999999992</v>
      </c>
      <c r="M452" s="97">
        <f>prodnorm30</f>
        <v>0</v>
      </c>
      <c r="N452" s="41">
        <f>dagwerk30</f>
        <v>0</v>
      </c>
      <c r="O452" s="94" t="s">
        <v>108</v>
      </c>
      <c r="P452" s="26">
        <f>uurtarief30</f>
        <v>0</v>
      </c>
      <c r="Q452" s="96" t="e">
        <f>IF(ISBLANK(M452),0,L452/ROUND(M452,4))</f>
        <v>#DIV/0!</v>
      </c>
      <c r="R452" s="96" t="e">
        <f>IF(ISBLANK(M452),0,Q452*ROUND(N452,2))</f>
        <v>#DIV/0!</v>
      </c>
      <c r="S452" s="26" t="e">
        <f>ROUND(P452,2)*Q452</f>
        <v>#DIV/0!</v>
      </c>
      <c r="T452" s="96" t="e">
        <f>Q452*dagenperjaar1</f>
        <v>#DIV/0!</v>
      </c>
      <c r="U452" s="27" t="e">
        <f>T452*ROUND(P452,2)</f>
        <v>#DIV/0!</v>
      </c>
    </row>
    <row r="453" spans="1:21" x14ac:dyDescent="0.2">
      <c r="A453" s="93" t="s">
        <v>629</v>
      </c>
      <c r="B453" s="94" t="s">
        <v>42</v>
      </c>
      <c r="C453" s="94" t="s">
        <v>350</v>
      </c>
      <c r="D453" s="94" t="s">
        <v>666</v>
      </c>
      <c r="E453" s="95" t="s">
        <v>667</v>
      </c>
      <c r="F453" s="94" t="s">
        <v>269</v>
      </c>
      <c r="G453" s="94" t="s">
        <v>211</v>
      </c>
      <c r="H453" s="94" t="s">
        <v>10</v>
      </c>
      <c r="I453" s="94" t="s">
        <v>191</v>
      </c>
      <c r="J453" s="94"/>
      <c r="K453" s="96">
        <v>256.5</v>
      </c>
      <c r="L453" s="96">
        <f>K453*VLOOKUP(H453,dagsoorttabel1,2,FALSE)</f>
        <v>256.5</v>
      </c>
      <c r="M453" s="97">
        <f>prodnorm26</f>
        <v>0</v>
      </c>
      <c r="N453" s="41">
        <f>dagwerk26</f>
        <v>0</v>
      </c>
      <c r="O453" s="94" t="s">
        <v>108</v>
      </c>
      <c r="P453" s="26">
        <f>uurtarief26</f>
        <v>0</v>
      </c>
      <c r="Q453" s="96" t="e">
        <f>IF(ISBLANK(M453),0,L453/ROUND(M453,4))</f>
        <v>#DIV/0!</v>
      </c>
      <c r="R453" s="96" t="e">
        <f>IF(ISBLANK(M453),0,Q453*ROUND(N453,2))</f>
        <v>#DIV/0!</v>
      </c>
      <c r="S453" s="26" t="e">
        <f>ROUND(P453,2)*Q453</f>
        <v>#DIV/0!</v>
      </c>
      <c r="T453" s="96" t="e">
        <f>Q453*dagenperjaar1</f>
        <v>#DIV/0!</v>
      </c>
      <c r="U453" s="27" t="e">
        <f>T453*ROUND(P453,2)</f>
        <v>#DIV/0!</v>
      </c>
    </row>
    <row r="454" spans="1:21" x14ac:dyDescent="0.2">
      <c r="A454" s="93" t="s">
        <v>629</v>
      </c>
      <c r="B454" s="94" t="s">
        <v>42</v>
      </c>
      <c r="C454" s="94" t="s">
        <v>350</v>
      </c>
      <c r="D454" s="94" t="s">
        <v>668</v>
      </c>
      <c r="E454" s="95" t="s">
        <v>669</v>
      </c>
      <c r="F454" s="94" t="s">
        <v>277</v>
      </c>
      <c r="G454" s="94" t="s">
        <v>225</v>
      </c>
      <c r="H454" s="94" t="s">
        <v>10</v>
      </c>
      <c r="I454" s="94" t="s">
        <v>191</v>
      </c>
      <c r="J454" s="94"/>
      <c r="K454" s="96">
        <v>4.68</v>
      </c>
      <c r="L454" s="96">
        <f>K454*VLOOKUP(H454,dagsoorttabel1,2,FALSE)</f>
        <v>4.68</v>
      </c>
      <c r="M454" s="97">
        <f>prodnorm34</f>
        <v>0</v>
      </c>
      <c r="N454" s="41">
        <f>dagwerk34</f>
        <v>0</v>
      </c>
      <c r="O454" s="94" t="s">
        <v>108</v>
      </c>
      <c r="P454" s="26">
        <f>uurtarief34</f>
        <v>0</v>
      </c>
      <c r="Q454" s="96" t="e">
        <f>IF(ISBLANK(M454),0,L454/ROUND(M454,4))</f>
        <v>#DIV/0!</v>
      </c>
      <c r="R454" s="96" t="e">
        <f>IF(ISBLANK(M454),0,Q454*ROUND(N454,2))</f>
        <v>#DIV/0!</v>
      </c>
      <c r="S454" s="26" t="e">
        <f>ROUND(P454,2)*Q454</f>
        <v>#DIV/0!</v>
      </c>
      <c r="T454" s="96" t="e">
        <f>Q454*dagenperjaar1</f>
        <v>#DIV/0!</v>
      </c>
      <c r="U454" s="27" t="e">
        <f>T454*ROUND(P454,2)</f>
        <v>#DIV/0!</v>
      </c>
    </row>
    <row r="455" spans="1:21" x14ac:dyDescent="0.2">
      <c r="A455" s="93" t="s">
        <v>629</v>
      </c>
      <c r="B455" s="94" t="s">
        <v>42</v>
      </c>
      <c r="C455" s="94" t="s">
        <v>350</v>
      </c>
      <c r="D455" s="94" t="s">
        <v>668</v>
      </c>
      <c r="E455" s="95" t="s">
        <v>669</v>
      </c>
      <c r="F455" s="94" t="s">
        <v>277</v>
      </c>
      <c r="G455" s="94" t="s">
        <v>227</v>
      </c>
      <c r="H455" s="94" t="s">
        <v>24</v>
      </c>
      <c r="I455" s="94" t="s">
        <v>191</v>
      </c>
      <c r="J455" s="94"/>
      <c r="K455" s="96">
        <v>4.68</v>
      </c>
      <c r="L455" s="96">
        <f>K455*VLOOKUP(H455,dagsoorttabel1,2,FALSE)</f>
        <v>2.3400000000000001E-2</v>
      </c>
      <c r="M455" s="97">
        <f>prodnorm35</f>
        <v>0</v>
      </c>
      <c r="N455" s="41">
        <f>dagwerk35</f>
        <v>0</v>
      </c>
      <c r="O455" s="94" t="s">
        <v>108</v>
      </c>
      <c r="P455" s="26">
        <f>uurtarief35</f>
        <v>0</v>
      </c>
      <c r="Q455" s="96" t="e">
        <f>IF(ISBLANK(M455),0,L455/ROUND(M455,4))</f>
        <v>#DIV/0!</v>
      </c>
      <c r="R455" s="96" t="e">
        <f>IF(ISBLANK(M455),0,Q455*ROUND(N455,2))</f>
        <v>#DIV/0!</v>
      </c>
      <c r="S455" s="26" t="e">
        <f>ROUND(P455,2)*Q455</f>
        <v>#DIV/0!</v>
      </c>
      <c r="T455" s="96" t="e">
        <f>Q455*dagenperjaar1</f>
        <v>#DIV/0!</v>
      </c>
      <c r="U455" s="27" t="e">
        <f>T455*ROUND(P455,2)</f>
        <v>#DIV/0!</v>
      </c>
    </row>
    <row r="456" spans="1:21" x14ac:dyDescent="0.2">
      <c r="A456" s="93" t="s">
        <v>629</v>
      </c>
      <c r="B456" s="94" t="s">
        <v>42</v>
      </c>
      <c r="C456" s="94" t="s">
        <v>350</v>
      </c>
      <c r="D456" s="94" t="s">
        <v>670</v>
      </c>
      <c r="E456" s="95" t="s">
        <v>671</v>
      </c>
      <c r="F456" s="94" t="s">
        <v>277</v>
      </c>
      <c r="G456" s="94" t="s">
        <v>215</v>
      </c>
      <c r="H456" s="94" t="s">
        <v>10</v>
      </c>
      <c r="I456" s="94" t="s">
        <v>191</v>
      </c>
      <c r="J456" s="94"/>
      <c r="K456" s="96">
        <v>58.5</v>
      </c>
      <c r="L456" s="96">
        <f>K456*VLOOKUP(H456,dagsoorttabel1,2,FALSE)</f>
        <v>58.5</v>
      </c>
      <c r="M456" s="97">
        <f>prodnorm28</f>
        <v>0</v>
      </c>
      <c r="N456" s="41">
        <f>dagwerk28</f>
        <v>0</v>
      </c>
      <c r="O456" s="94" t="s">
        <v>108</v>
      </c>
      <c r="P456" s="26">
        <f>uurtarief28</f>
        <v>0</v>
      </c>
      <c r="Q456" s="96" t="e">
        <f>IF(ISBLANK(M456),0,L456/ROUND(M456,4))</f>
        <v>#DIV/0!</v>
      </c>
      <c r="R456" s="96" t="e">
        <f>IF(ISBLANK(M456),0,Q456*ROUND(N456,2))</f>
        <v>#DIV/0!</v>
      </c>
      <c r="S456" s="26" t="e">
        <f>ROUND(P456,2)*Q456</f>
        <v>#DIV/0!</v>
      </c>
      <c r="T456" s="96" t="e">
        <f>Q456*dagenperjaar1</f>
        <v>#DIV/0!</v>
      </c>
      <c r="U456" s="27" t="e">
        <f>T456*ROUND(P456,2)</f>
        <v>#DIV/0!</v>
      </c>
    </row>
    <row r="457" spans="1:21" x14ac:dyDescent="0.2">
      <c r="A457" s="93" t="s">
        <v>629</v>
      </c>
      <c r="B457" s="94" t="s">
        <v>42</v>
      </c>
      <c r="C457" s="94" t="s">
        <v>350</v>
      </c>
      <c r="D457" s="94" t="s">
        <v>670</v>
      </c>
      <c r="E457" s="95" t="s">
        <v>671</v>
      </c>
      <c r="F457" s="94" t="s">
        <v>277</v>
      </c>
      <c r="G457" s="94" t="s">
        <v>227</v>
      </c>
      <c r="H457" s="94" t="s">
        <v>24</v>
      </c>
      <c r="I457" s="94" t="s">
        <v>191</v>
      </c>
      <c r="J457" s="94"/>
      <c r="K457" s="96">
        <v>58.5</v>
      </c>
      <c r="L457" s="96">
        <f>K457*VLOOKUP(H457,dagsoorttabel1,2,FALSE)</f>
        <v>0.29249999999999998</v>
      </c>
      <c r="M457" s="97">
        <f>prodnorm35</f>
        <v>0</v>
      </c>
      <c r="N457" s="41">
        <f>dagwerk35</f>
        <v>0</v>
      </c>
      <c r="O457" s="94" t="s">
        <v>108</v>
      </c>
      <c r="P457" s="26">
        <f>uurtarief35</f>
        <v>0</v>
      </c>
      <c r="Q457" s="96" t="e">
        <f>IF(ISBLANK(M457),0,L457/ROUND(M457,4))</f>
        <v>#DIV/0!</v>
      </c>
      <c r="R457" s="96" t="e">
        <f>IF(ISBLANK(M457),0,Q457*ROUND(N457,2))</f>
        <v>#DIV/0!</v>
      </c>
      <c r="S457" s="26" t="e">
        <f>ROUND(P457,2)*Q457</f>
        <v>#DIV/0!</v>
      </c>
      <c r="T457" s="96" t="e">
        <f>Q457*dagenperjaar1</f>
        <v>#DIV/0!</v>
      </c>
      <c r="U457" s="27" t="e">
        <f>T457*ROUND(P457,2)</f>
        <v>#DIV/0!</v>
      </c>
    </row>
    <row r="458" spans="1:21" x14ac:dyDescent="0.2">
      <c r="A458" s="93" t="s">
        <v>629</v>
      </c>
      <c r="B458" s="94" t="s">
        <v>42</v>
      </c>
      <c r="C458" s="94" t="s">
        <v>350</v>
      </c>
      <c r="D458" s="94" t="s">
        <v>672</v>
      </c>
      <c r="E458" s="95" t="s">
        <v>673</v>
      </c>
      <c r="F458" s="94" t="s">
        <v>277</v>
      </c>
      <c r="G458" s="94" t="s">
        <v>193</v>
      </c>
      <c r="H458" s="94" t="s">
        <v>10</v>
      </c>
      <c r="I458" s="94" t="s">
        <v>191</v>
      </c>
      <c r="J458" s="94"/>
      <c r="K458" s="96">
        <v>64.010000000000005</v>
      </c>
      <c r="L458" s="96">
        <f>K458*VLOOKUP(H458,dagsoorttabel1,2,FALSE)</f>
        <v>64.010000000000005</v>
      </c>
      <c r="M458" s="97">
        <f>prodnorm14</f>
        <v>0</v>
      </c>
      <c r="N458" s="41">
        <f>dagwerk14</f>
        <v>0</v>
      </c>
      <c r="O458" s="94" t="s">
        <v>108</v>
      </c>
      <c r="P458" s="26">
        <f>uurtarief14</f>
        <v>0</v>
      </c>
      <c r="Q458" s="96" t="e">
        <f>IF(ISBLANK(M458),0,L458/ROUND(M458,4))</f>
        <v>#DIV/0!</v>
      </c>
      <c r="R458" s="96" t="e">
        <f>IF(ISBLANK(M458),0,Q458*ROUND(N458,2))</f>
        <v>#DIV/0!</v>
      </c>
      <c r="S458" s="26" t="e">
        <f>ROUND(P458,2)*Q458</f>
        <v>#DIV/0!</v>
      </c>
      <c r="T458" s="96" t="e">
        <f>Q458*dagenperjaar1</f>
        <v>#DIV/0!</v>
      </c>
      <c r="U458" s="27" t="e">
        <f>T458*ROUND(P458,2)</f>
        <v>#DIV/0!</v>
      </c>
    </row>
    <row r="459" spans="1:21" x14ac:dyDescent="0.2">
      <c r="A459" s="93" t="s">
        <v>629</v>
      </c>
      <c r="B459" s="94" t="s">
        <v>42</v>
      </c>
      <c r="C459" s="94" t="s">
        <v>350</v>
      </c>
      <c r="D459" s="94" t="s">
        <v>672</v>
      </c>
      <c r="E459" s="95" t="s">
        <v>673</v>
      </c>
      <c r="F459" s="94" t="s">
        <v>277</v>
      </c>
      <c r="G459" s="94" t="s">
        <v>227</v>
      </c>
      <c r="H459" s="94" t="s">
        <v>24</v>
      </c>
      <c r="I459" s="94" t="s">
        <v>191</v>
      </c>
      <c r="J459" s="94"/>
      <c r="K459" s="96">
        <v>64.010000000000005</v>
      </c>
      <c r="L459" s="96">
        <f>K459*VLOOKUP(H459,dagsoorttabel1,2,FALSE)</f>
        <v>0.32005000000000006</v>
      </c>
      <c r="M459" s="97">
        <f>prodnorm35</f>
        <v>0</v>
      </c>
      <c r="N459" s="41">
        <f>dagwerk35</f>
        <v>0</v>
      </c>
      <c r="O459" s="94" t="s">
        <v>108</v>
      </c>
      <c r="P459" s="26">
        <f>uurtarief35</f>
        <v>0</v>
      </c>
      <c r="Q459" s="96" t="e">
        <f>IF(ISBLANK(M459),0,L459/ROUND(M459,4))</f>
        <v>#DIV/0!</v>
      </c>
      <c r="R459" s="96" t="e">
        <f>IF(ISBLANK(M459),0,Q459*ROUND(N459,2))</f>
        <v>#DIV/0!</v>
      </c>
      <c r="S459" s="26" t="e">
        <f>ROUND(P459,2)*Q459</f>
        <v>#DIV/0!</v>
      </c>
      <c r="T459" s="96" t="e">
        <f>Q459*dagenperjaar1</f>
        <v>#DIV/0!</v>
      </c>
      <c r="U459" s="27" t="e">
        <f>T459*ROUND(P459,2)</f>
        <v>#DIV/0!</v>
      </c>
    </row>
    <row r="460" spans="1:21" x14ac:dyDescent="0.2">
      <c r="A460" s="93" t="s">
        <v>629</v>
      </c>
      <c r="B460" s="94" t="s">
        <v>42</v>
      </c>
      <c r="C460" s="94" t="s">
        <v>350</v>
      </c>
      <c r="D460" s="94" t="s">
        <v>674</v>
      </c>
      <c r="E460" s="95" t="s">
        <v>673</v>
      </c>
      <c r="F460" s="94" t="s">
        <v>263</v>
      </c>
      <c r="G460" s="94" t="s">
        <v>193</v>
      </c>
      <c r="H460" s="94" t="s">
        <v>10</v>
      </c>
      <c r="I460" s="94" t="s">
        <v>191</v>
      </c>
      <c r="J460" s="94"/>
      <c r="K460" s="96">
        <v>14</v>
      </c>
      <c r="L460" s="96">
        <f>K460*VLOOKUP(H460,dagsoorttabel1,2,FALSE)</f>
        <v>14</v>
      </c>
      <c r="M460" s="97">
        <f>prodnorm14</f>
        <v>0</v>
      </c>
      <c r="N460" s="41">
        <f>dagwerk14</f>
        <v>0</v>
      </c>
      <c r="O460" s="94" t="s">
        <v>108</v>
      </c>
      <c r="P460" s="26">
        <f>uurtarief14</f>
        <v>0</v>
      </c>
      <c r="Q460" s="96" t="e">
        <f>IF(ISBLANK(M460),0,L460/ROUND(M460,4))</f>
        <v>#DIV/0!</v>
      </c>
      <c r="R460" s="96" t="e">
        <f>IF(ISBLANK(M460),0,Q460*ROUND(N460,2))</f>
        <v>#DIV/0!</v>
      </c>
      <c r="S460" s="26" t="e">
        <f>ROUND(P460,2)*Q460</f>
        <v>#DIV/0!</v>
      </c>
      <c r="T460" s="96" t="e">
        <f>Q460*dagenperjaar1</f>
        <v>#DIV/0!</v>
      </c>
      <c r="U460" s="27" t="e">
        <f>T460*ROUND(P460,2)</f>
        <v>#DIV/0!</v>
      </c>
    </row>
    <row r="461" spans="1:21" x14ac:dyDescent="0.2">
      <c r="A461" s="93" t="s">
        <v>629</v>
      </c>
      <c r="B461" s="94" t="s">
        <v>42</v>
      </c>
      <c r="C461" s="94" t="s">
        <v>350</v>
      </c>
      <c r="D461" s="94" t="s">
        <v>675</v>
      </c>
      <c r="E461" s="95" t="s">
        <v>647</v>
      </c>
      <c r="F461" s="94" t="s">
        <v>277</v>
      </c>
      <c r="G461" s="94" t="s">
        <v>225</v>
      </c>
      <c r="H461" s="94" t="s">
        <v>10</v>
      </c>
      <c r="I461" s="94" t="s">
        <v>191</v>
      </c>
      <c r="J461" s="94"/>
      <c r="K461" s="96">
        <v>63.720000000000006</v>
      </c>
      <c r="L461" s="96">
        <f>K461*VLOOKUP(H461,dagsoorttabel1,2,FALSE)</f>
        <v>63.720000000000006</v>
      </c>
      <c r="M461" s="97">
        <f>prodnorm34</f>
        <v>0</v>
      </c>
      <c r="N461" s="41">
        <f>dagwerk34</f>
        <v>0</v>
      </c>
      <c r="O461" s="94" t="s">
        <v>108</v>
      </c>
      <c r="P461" s="26">
        <f>uurtarief34</f>
        <v>0</v>
      </c>
      <c r="Q461" s="96" t="e">
        <f>IF(ISBLANK(M461),0,L461/ROUND(M461,4))</f>
        <v>#DIV/0!</v>
      </c>
      <c r="R461" s="96" t="e">
        <f>IF(ISBLANK(M461),0,Q461*ROUND(N461,2))</f>
        <v>#DIV/0!</v>
      </c>
      <c r="S461" s="26" t="e">
        <f>ROUND(P461,2)*Q461</f>
        <v>#DIV/0!</v>
      </c>
      <c r="T461" s="96" t="e">
        <f>Q461*dagenperjaar1</f>
        <v>#DIV/0!</v>
      </c>
      <c r="U461" s="27" t="e">
        <f>T461*ROUND(P461,2)</f>
        <v>#DIV/0!</v>
      </c>
    </row>
    <row r="462" spans="1:21" x14ac:dyDescent="0.2">
      <c r="A462" s="93" t="s">
        <v>629</v>
      </c>
      <c r="B462" s="94" t="s">
        <v>42</v>
      </c>
      <c r="C462" s="94" t="s">
        <v>350</v>
      </c>
      <c r="D462" s="94" t="s">
        <v>675</v>
      </c>
      <c r="E462" s="95" t="s">
        <v>647</v>
      </c>
      <c r="F462" s="94" t="s">
        <v>277</v>
      </c>
      <c r="G462" s="94" t="s">
        <v>227</v>
      </c>
      <c r="H462" s="94" t="s">
        <v>24</v>
      </c>
      <c r="I462" s="94" t="s">
        <v>191</v>
      </c>
      <c r="J462" s="94"/>
      <c r="K462" s="96">
        <v>63.720000000000006</v>
      </c>
      <c r="L462" s="96">
        <f>K462*VLOOKUP(H462,dagsoorttabel1,2,FALSE)</f>
        <v>0.31860000000000005</v>
      </c>
      <c r="M462" s="97">
        <f>prodnorm35</f>
        <v>0</v>
      </c>
      <c r="N462" s="41">
        <f>dagwerk35</f>
        <v>0</v>
      </c>
      <c r="O462" s="94" t="s">
        <v>108</v>
      </c>
      <c r="P462" s="26">
        <f>uurtarief35</f>
        <v>0</v>
      </c>
      <c r="Q462" s="96" t="e">
        <f>IF(ISBLANK(M462),0,L462/ROUND(M462,4))</f>
        <v>#DIV/0!</v>
      </c>
      <c r="R462" s="96" t="e">
        <f>IF(ISBLANK(M462),0,Q462*ROUND(N462,2))</f>
        <v>#DIV/0!</v>
      </c>
      <c r="S462" s="26" t="e">
        <f>ROUND(P462,2)*Q462</f>
        <v>#DIV/0!</v>
      </c>
      <c r="T462" s="96" t="e">
        <f>Q462*dagenperjaar1</f>
        <v>#DIV/0!</v>
      </c>
      <c r="U462" s="27" t="e">
        <f>T462*ROUND(P462,2)</f>
        <v>#DIV/0!</v>
      </c>
    </row>
    <row r="463" spans="1:21" x14ac:dyDescent="0.2">
      <c r="A463" s="93" t="s">
        <v>629</v>
      </c>
      <c r="B463" s="94" t="s">
        <v>42</v>
      </c>
      <c r="C463" s="94" t="s">
        <v>350</v>
      </c>
      <c r="D463" s="94" t="s">
        <v>676</v>
      </c>
      <c r="E463" s="95" t="s">
        <v>677</v>
      </c>
      <c r="F463" s="94" t="s">
        <v>277</v>
      </c>
      <c r="G463" s="94" t="s">
        <v>225</v>
      </c>
      <c r="H463" s="94" t="s">
        <v>10</v>
      </c>
      <c r="I463" s="94" t="s">
        <v>191</v>
      </c>
      <c r="J463" s="94"/>
      <c r="K463" s="96">
        <v>6.4</v>
      </c>
      <c r="L463" s="96">
        <f>K463*VLOOKUP(H463,dagsoorttabel1,2,FALSE)</f>
        <v>6.4</v>
      </c>
      <c r="M463" s="97">
        <f>prodnorm34</f>
        <v>0</v>
      </c>
      <c r="N463" s="41">
        <f>dagwerk34</f>
        <v>0</v>
      </c>
      <c r="O463" s="94" t="s">
        <v>108</v>
      </c>
      <c r="P463" s="26">
        <f>uurtarief34</f>
        <v>0</v>
      </c>
      <c r="Q463" s="96" t="e">
        <f>IF(ISBLANK(M463),0,L463/ROUND(M463,4))</f>
        <v>#DIV/0!</v>
      </c>
      <c r="R463" s="96" t="e">
        <f>IF(ISBLANK(M463),0,Q463*ROUND(N463,2))</f>
        <v>#DIV/0!</v>
      </c>
      <c r="S463" s="26" t="e">
        <f>ROUND(P463,2)*Q463</f>
        <v>#DIV/0!</v>
      </c>
      <c r="T463" s="96" t="e">
        <f>Q463*dagenperjaar1</f>
        <v>#DIV/0!</v>
      </c>
      <c r="U463" s="27" t="e">
        <f>T463*ROUND(P463,2)</f>
        <v>#DIV/0!</v>
      </c>
    </row>
    <row r="464" spans="1:21" x14ac:dyDescent="0.2">
      <c r="A464" s="93" t="s">
        <v>629</v>
      </c>
      <c r="B464" s="94" t="s">
        <v>42</v>
      </c>
      <c r="C464" s="94" t="s">
        <v>350</v>
      </c>
      <c r="D464" s="94" t="s">
        <v>676</v>
      </c>
      <c r="E464" s="95" t="s">
        <v>677</v>
      </c>
      <c r="F464" s="94" t="s">
        <v>277</v>
      </c>
      <c r="G464" s="94" t="s">
        <v>227</v>
      </c>
      <c r="H464" s="94" t="s">
        <v>24</v>
      </c>
      <c r="I464" s="94" t="s">
        <v>191</v>
      </c>
      <c r="J464" s="94"/>
      <c r="K464" s="96">
        <v>6.4</v>
      </c>
      <c r="L464" s="96">
        <f>K464*VLOOKUP(H464,dagsoorttabel1,2,FALSE)</f>
        <v>3.2000000000000001E-2</v>
      </c>
      <c r="M464" s="97">
        <f>prodnorm35</f>
        <v>0</v>
      </c>
      <c r="N464" s="41">
        <f>dagwerk35</f>
        <v>0</v>
      </c>
      <c r="O464" s="94" t="s">
        <v>108</v>
      </c>
      <c r="P464" s="26">
        <f>uurtarief35</f>
        <v>0</v>
      </c>
      <c r="Q464" s="96" t="e">
        <f>IF(ISBLANK(M464),0,L464/ROUND(M464,4))</f>
        <v>#DIV/0!</v>
      </c>
      <c r="R464" s="96" t="e">
        <f>IF(ISBLANK(M464),0,Q464*ROUND(N464,2))</f>
        <v>#DIV/0!</v>
      </c>
      <c r="S464" s="26" t="e">
        <f>ROUND(P464,2)*Q464</f>
        <v>#DIV/0!</v>
      </c>
      <c r="T464" s="96" t="e">
        <f>Q464*dagenperjaar1</f>
        <v>#DIV/0!</v>
      </c>
      <c r="U464" s="27" t="e">
        <f>T464*ROUND(P464,2)</f>
        <v>#DIV/0!</v>
      </c>
    </row>
    <row r="465" spans="1:21" x14ac:dyDescent="0.2">
      <c r="A465" s="93" t="s">
        <v>629</v>
      </c>
      <c r="B465" s="94" t="s">
        <v>42</v>
      </c>
      <c r="C465" s="94" t="s">
        <v>350</v>
      </c>
      <c r="D465" s="94" t="s">
        <v>678</v>
      </c>
      <c r="E465" s="95" t="s">
        <v>679</v>
      </c>
      <c r="F465" s="94" t="s">
        <v>269</v>
      </c>
      <c r="G465" s="94" t="s">
        <v>205</v>
      </c>
      <c r="H465" s="94" t="s">
        <v>10</v>
      </c>
      <c r="I465" s="94" t="s">
        <v>191</v>
      </c>
      <c r="J465" s="94"/>
      <c r="K465" s="96">
        <v>26</v>
      </c>
      <c r="L465" s="96">
        <f>K465*VLOOKUP(H465,dagsoorttabel1,2,FALSE)</f>
        <v>26</v>
      </c>
      <c r="M465" s="97">
        <f>prodnorm23</f>
        <v>0</v>
      </c>
      <c r="N465" s="41">
        <f>dagwerk23</f>
        <v>0</v>
      </c>
      <c r="O465" s="94" t="s">
        <v>108</v>
      </c>
      <c r="P465" s="26">
        <f>uurtarief23</f>
        <v>0</v>
      </c>
      <c r="Q465" s="96" t="e">
        <f>IF(ISBLANK(M465),0,L465/ROUND(M465,4))</f>
        <v>#DIV/0!</v>
      </c>
      <c r="R465" s="96" t="e">
        <f>IF(ISBLANK(M465),0,Q465*ROUND(N465,2))</f>
        <v>#DIV/0!</v>
      </c>
      <c r="S465" s="26" t="e">
        <f>ROUND(P465,2)*Q465</f>
        <v>#DIV/0!</v>
      </c>
      <c r="T465" s="96" t="e">
        <f>Q465*dagenperjaar1</f>
        <v>#DIV/0!</v>
      </c>
      <c r="U465" s="27" t="e">
        <f>T465*ROUND(P465,2)</f>
        <v>#DIV/0!</v>
      </c>
    </row>
    <row r="466" spans="1:21" x14ac:dyDescent="0.2">
      <c r="A466" s="93" t="s">
        <v>629</v>
      </c>
      <c r="B466" s="94" t="s">
        <v>42</v>
      </c>
      <c r="C466" s="94" t="s">
        <v>350</v>
      </c>
      <c r="D466" s="94" t="s">
        <v>680</v>
      </c>
      <c r="E466" s="95" t="s">
        <v>681</v>
      </c>
      <c r="F466" s="94" t="s">
        <v>269</v>
      </c>
      <c r="G466" s="94" t="s">
        <v>205</v>
      </c>
      <c r="H466" s="94" t="s">
        <v>10</v>
      </c>
      <c r="I466" s="94" t="s">
        <v>191</v>
      </c>
      <c r="J466" s="94"/>
      <c r="K466" s="96">
        <v>30</v>
      </c>
      <c r="L466" s="96">
        <f>K466*VLOOKUP(H466,dagsoorttabel1,2,FALSE)</f>
        <v>30</v>
      </c>
      <c r="M466" s="97">
        <f>prodnorm23</f>
        <v>0</v>
      </c>
      <c r="N466" s="41">
        <f>dagwerk23</f>
        <v>0</v>
      </c>
      <c r="O466" s="94" t="s">
        <v>108</v>
      </c>
      <c r="P466" s="26">
        <f>uurtarief23</f>
        <v>0</v>
      </c>
      <c r="Q466" s="96" t="e">
        <f>IF(ISBLANK(M466),0,L466/ROUND(M466,4))</f>
        <v>#DIV/0!</v>
      </c>
      <c r="R466" s="96" t="e">
        <f>IF(ISBLANK(M466),0,Q466*ROUND(N466,2))</f>
        <v>#DIV/0!</v>
      </c>
      <c r="S466" s="26" t="e">
        <f>ROUND(P466,2)*Q466</f>
        <v>#DIV/0!</v>
      </c>
      <c r="T466" s="96" t="e">
        <f>Q466*dagenperjaar1</f>
        <v>#DIV/0!</v>
      </c>
      <c r="U466" s="27" t="e">
        <f>T466*ROUND(P466,2)</f>
        <v>#DIV/0!</v>
      </c>
    </row>
    <row r="467" spans="1:21" x14ac:dyDescent="0.2">
      <c r="A467" s="93" t="s">
        <v>629</v>
      </c>
      <c r="B467" s="94" t="s">
        <v>42</v>
      </c>
      <c r="C467" s="94" t="s">
        <v>350</v>
      </c>
      <c r="D467" s="94" t="s">
        <v>396</v>
      </c>
      <c r="E467" s="95" t="s">
        <v>682</v>
      </c>
      <c r="F467" s="94" t="s">
        <v>314</v>
      </c>
      <c r="G467" s="94" t="s">
        <v>219</v>
      </c>
      <c r="H467" s="94" t="s">
        <v>10</v>
      </c>
      <c r="I467" s="94" t="s">
        <v>191</v>
      </c>
      <c r="J467" s="94"/>
      <c r="K467" s="96">
        <v>7.25</v>
      </c>
      <c r="L467" s="96">
        <f>K467*VLOOKUP(H467,dagsoorttabel1,2,FALSE)</f>
        <v>7.25</v>
      </c>
      <c r="M467" s="97">
        <f>prodnorm30</f>
        <v>0</v>
      </c>
      <c r="N467" s="41">
        <f>dagwerk30</f>
        <v>0</v>
      </c>
      <c r="O467" s="94" t="s">
        <v>108</v>
      </c>
      <c r="P467" s="26">
        <f>uurtarief30</f>
        <v>0</v>
      </c>
      <c r="Q467" s="96" t="e">
        <f>IF(ISBLANK(M467),0,L467/ROUND(M467,4))</f>
        <v>#DIV/0!</v>
      </c>
      <c r="R467" s="96" t="e">
        <f>IF(ISBLANK(M467),0,Q467*ROUND(N467,2))</f>
        <v>#DIV/0!</v>
      </c>
      <c r="S467" s="26" t="e">
        <f>ROUND(P467,2)*Q467</f>
        <v>#DIV/0!</v>
      </c>
      <c r="T467" s="96" t="e">
        <f>Q467*dagenperjaar1</f>
        <v>#DIV/0!</v>
      </c>
      <c r="U467" s="27" t="e">
        <f>T467*ROUND(P467,2)</f>
        <v>#DIV/0!</v>
      </c>
    </row>
    <row r="468" spans="1:21" x14ac:dyDescent="0.2">
      <c r="A468" s="93" t="s">
        <v>629</v>
      </c>
      <c r="B468" s="94" t="s">
        <v>42</v>
      </c>
      <c r="C468" s="94" t="s">
        <v>350</v>
      </c>
      <c r="D468" s="94" t="s">
        <v>683</v>
      </c>
      <c r="E468" s="95" t="s">
        <v>684</v>
      </c>
      <c r="F468" s="94" t="s">
        <v>277</v>
      </c>
      <c r="G468" s="94" t="s">
        <v>193</v>
      </c>
      <c r="H468" s="94" t="s">
        <v>14</v>
      </c>
      <c r="I468" s="94" t="s">
        <v>191</v>
      </c>
      <c r="J468" s="94"/>
      <c r="K468" s="96">
        <v>5</v>
      </c>
      <c r="L468" s="96">
        <f>K468*VLOOKUP(H468,dagsoorttabel1,2,FALSE)</f>
        <v>2</v>
      </c>
      <c r="M468" s="97">
        <f>prodnorm15</f>
        <v>0</v>
      </c>
      <c r="N468" s="41">
        <f>dagwerk15</f>
        <v>0</v>
      </c>
      <c r="O468" s="94" t="s">
        <v>108</v>
      </c>
      <c r="P468" s="26">
        <f>uurtarief15</f>
        <v>0</v>
      </c>
      <c r="Q468" s="96" t="e">
        <f>IF(ISBLANK(M468),0,L468/ROUND(M468,4))</f>
        <v>#DIV/0!</v>
      </c>
      <c r="R468" s="96" t="e">
        <f>IF(ISBLANK(M468),0,Q468*ROUND(N468,2))</f>
        <v>#DIV/0!</v>
      </c>
      <c r="S468" s="26" t="e">
        <f>ROUND(P468,2)*Q468</f>
        <v>#DIV/0!</v>
      </c>
      <c r="T468" s="96" t="e">
        <f>Q468*dagenperjaar1</f>
        <v>#DIV/0!</v>
      </c>
      <c r="U468" s="27" t="e">
        <f>T468*ROUND(P468,2)</f>
        <v>#DIV/0!</v>
      </c>
    </row>
    <row r="469" spans="1:21" x14ac:dyDescent="0.2">
      <c r="A469" s="93" t="s">
        <v>629</v>
      </c>
      <c r="B469" s="94" t="s">
        <v>42</v>
      </c>
      <c r="C469" s="94" t="s">
        <v>350</v>
      </c>
      <c r="D469" s="94" t="s">
        <v>683</v>
      </c>
      <c r="E469" s="95" t="s">
        <v>684</v>
      </c>
      <c r="F469" s="94" t="s">
        <v>277</v>
      </c>
      <c r="G469" s="94" t="s">
        <v>227</v>
      </c>
      <c r="H469" s="94" t="s">
        <v>24</v>
      </c>
      <c r="I469" s="94" t="s">
        <v>191</v>
      </c>
      <c r="J469" s="94"/>
      <c r="K469" s="96">
        <v>5</v>
      </c>
      <c r="L469" s="96">
        <f>K469*VLOOKUP(H469,dagsoorttabel1,2,FALSE)</f>
        <v>2.5000000000000001E-2</v>
      </c>
      <c r="M469" s="97">
        <f>prodnorm35</f>
        <v>0</v>
      </c>
      <c r="N469" s="41">
        <f>dagwerk35</f>
        <v>0</v>
      </c>
      <c r="O469" s="94" t="s">
        <v>108</v>
      </c>
      <c r="P469" s="26">
        <f>uurtarief35</f>
        <v>0</v>
      </c>
      <c r="Q469" s="96" t="e">
        <f>IF(ISBLANK(M469),0,L469/ROUND(M469,4))</f>
        <v>#DIV/0!</v>
      </c>
      <c r="R469" s="96" t="e">
        <f>IF(ISBLANK(M469),0,Q469*ROUND(N469,2))</f>
        <v>#DIV/0!</v>
      </c>
      <c r="S469" s="26" t="e">
        <f>ROUND(P469,2)*Q469</f>
        <v>#DIV/0!</v>
      </c>
      <c r="T469" s="96" t="e">
        <f>Q469*dagenperjaar1</f>
        <v>#DIV/0!</v>
      </c>
      <c r="U469" s="27" t="e">
        <f>T469*ROUND(P469,2)</f>
        <v>#DIV/0!</v>
      </c>
    </row>
    <row r="470" spans="1:21" ht="25.5" x14ac:dyDescent="0.2">
      <c r="A470" s="93" t="s">
        <v>629</v>
      </c>
      <c r="B470" s="94" t="s">
        <v>42</v>
      </c>
      <c r="C470" s="94" t="s">
        <v>350</v>
      </c>
      <c r="D470" s="94" t="s">
        <v>685</v>
      </c>
      <c r="E470" s="95" t="s">
        <v>686</v>
      </c>
      <c r="F470" s="94" t="s">
        <v>314</v>
      </c>
      <c r="G470" s="94" t="s">
        <v>219</v>
      </c>
      <c r="H470" s="94" t="s">
        <v>10</v>
      </c>
      <c r="I470" s="94" t="s">
        <v>191</v>
      </c>
      <c r="J470" s="94"/>
      <c r="K470" s="96">
        <v>2.6</v>
      </c>
      <c r="L470" s="96">
        <f>K470*VLOOKUP(H470,dagsoorttabel1,2,FALSE)</f>
        <v>2.6</v>
      </c>
      <c r="M470" s="97">
        <f>prodnorm30</f>
        <v>0</v>
      </c>
      <c r="N470" s="41">
        <f>dagwerk30</f>
        <v>0</v>
      </c>
      <c r="O470" s="94" t="s">
        <v>108</v>
      </c>
      <c r="P470" s="26">
        <f>uurtarief30</f>
        <v>0</v>
      </c>
      <c r="Q470" s="96" t="e">
        <f>IF(ISBLANK(M470),0,L470/ROUND(M470,4))</f>
        <v>#DIV/0!</v>
      </c>
      <c r="R470" s="96" t="e">
        <f>IF(ISBLANK(M470),0,Q470*ROUND(N470,2))</f>
        <v>#DIV/0!</v>
      </c>
      <c r="S470" s="26" t="e">
        <f>ROUND(P470,2)*Q470</f>
        <v>#DIV/0!</v>
      </c>
      <c r="T470" s="96" t="e">
        <f>Q470*dagenperjaar1</f>
        <v>#DIV/0!</v>
      </c>
      <c r="U470" s="27" t="e">
        <f>T470*ROUND(P470,2)</f>
        <v>#DIV/0!</v>
      </c>
    </row>
    <row r="471" spans="1:21" x14ac:dyDescent="0.2">
      <c r="A471" s="93" t="s">
        <v>629</v>
      </c>
      <c r="B471" s="94" t="s">
        <v>42</v>
      </c>
      <c r="C471" s="94" t="s">
        <v>350</v>
      </c>
      <c r="D471" s="94" t="s">
        <v>398</v>
      </c>
      <c r="E471" s="95" t="s">
        <v>687</v>
      </c>
      <c r="F471" s="94" t="s">
        <v>688</v>
      </c>
      <c r="G471" s="94" t="s">
        <v>203</v>
      </c>
      <c r="H471" s="94" t="s">
        <v>16</v>
      </c>
      <c r="I471" s="94" t="s">
        <v>191</v>
      </c>
      <c r="J471" s="94"/>
      <c r="K471" s="96">
        <v>28.8</v>
      </c>
      <c r="L471" s="96">
        <f>K471*VLOOKUP(H471,dagsoorttabel1,2,FALSE)</f>
        <v>5.7600000000000007</v>
      </c>
      <c r="M471" s="97">
        <f>prodnorm21</f>
        <v>0</v>
      </c>
      <c r="N471" s="41">
        <f>dagwerk21</f>
        <v>0</v>
      </c>
      <c r="O471" s="94" t="s">
        <v>108</v>
      </c>
      <c r="P471" s="26">
        <f>uurtarief21</f>
        <v>0</v>
      </c>
      <c r="Q471" s="96" t="e">
        <f>IF(ISBLANK(M471),0,L471/ROUND(M471,4))</f>
        <v>#DIV/0!</v>
      </c>
      <c r="R471" s="96" t="e">
        <f>IF(ISBLANK(M471),0,Q471*ROUND(N471,2))</f>
        <v>#DIV/0!</v>
      </c>
      <c r="S471" s="26" t="e">
        <f>ROUND(P471,2)*Q471</f>
        <v>#DIV/0!</v>
      </c>
      <c r="T471" s="96" t="e">
        <f>Q471*dagenperjaar1</f>
        <v>#DIV/0!</v>
      </c>
      <c r="U471" s="27" t="e">
        <f>T471*ROUND(P471,2)</f>
        <v>#DIV/0!</v>
      </c>
    </row>
    <row r="472" spans="1:21" x14ac:dyDescent="0.2">
      <c r="A472" s="93" t="s">
        <v>629</v>
      </c>
      <c r="B472" s="94" t="s">
        <v>42</v>
      </c>
      <c r="C472" s="94" t="s">
        <v>350</v>
      </c>
      <c r="D472" s="94" t="s">
        <v>689</v>
      </c>
      <c r="E472" s="95" t="s">
        <v>690</v>
      </c>
      <c r="F472" s="94" t="s">
        <v>688</v>
      </c>
      <c r="G472" s="94" t="s">
        <v>203</v>
      </c>
      <c r="H472" s="94" t="s">
        <v>10</v>
      </c>
      <c r="I472" s="94" t="s">
        <v>191</v>
      </c>
      <c r="J472" s="94"/>
      <c r="K472" s="96">
        <v>252</v>
      </c>
      <c r="L472" s="96">
        <f>K472*VLOOKUP(H472,dagsoorttabel1,2,FALSE)</f>
        <v>252</v>
      </c>
      <c r="M472" s="97">
        <f>prodnorm20</f>
        <v>0</v>
      </c>
      <c r="N472" s="41">
        <f>dagwerk20</f>
        <v>0</v>
      </c>
      <c r="O472" s="94" t="s">
        <v>108</v>
      </c>
      <c r="P472" s="26">
        <f>uurtarief20</f>
        <v>0</v>
      </c>
      <c r="Q472" s="96" t="e">
        <f>IF(ISBLANK(M472),0,L472/ROUND(M472,4))</f>
        <v>#DIV/0!</v>
      </c>
      <c r="R472" s="96" t="e">
        <f>IF(ISBLANK(M472),0,Q472*ROUND(N472,2))</f>
        <v>#DIV/0!</v>
      </c>
      <c r="S472" s="26" t="e">
        <f>ROUND(P472,2)*Q472</f>
        <v>#DIV/0!</v>
      </c>
      <c r="T472" s="96" t="e">
        <f>Q472*dagenperjaar1</f>
        <v>#DIV/0!</v>
      </c>
      <c r="U472" s="27" t="e">
        <f>T472*ROUND(P472,2)</f>
        <v>#DIV/0!</v>
      </c>
    </row>
    <row r="473" spans="1:21" x14ac:dyDescent="0.2">
      <c r="A473" s="93" t="s">
        <v>629</v>
      </c>
      <c r="B473" s="94" t="s">
        <v>42</v>
      </c>
      <c r="C473" s="94" t="s">
        <v>350</v>
      </c>
      <c r="D473" s="94" t="s">
        <v>400</v>
      </c>
      <c r="E473" s="95" t="s">
        <v>691</v>
      </c>
      <c r="F473" s="94" t="s">
        <v>688</v>
      </c>
      <c r="G473" s="94" t="s">
        <v>225</v>
      </c>
      <c r="H473" s="94" t="s">
        <v>10</v>
      </c>
      <c r="I473" s="94" t="s">
        <v>191</v>
      </c>
      <c r="J473" s="94"/>
      <c r="K473" s="96">
        <v>17</v>
      </c>
      <c r="L473" s="96">
        <f>K473*VLOOKUP(H473,dagsoorttabel1,2,FALSE)</f>
        <v>17</v>
      </c>
      <c r="M473" s="97">
        <f>prodnorm34</f>
        <v>0</v>
      </c>
      <c r="N473" s="41">
        <f>dagwerk34</f>
        <v>0</v>
      </c>
      <c r="O473" s="94" t="s">
        <v>108</v>
      </c>
      <c r="P473" s="26">
        <f>uurtarief34</f>
        <v>0</v>
      </c>
      <c r="Q473" s="96" t="e">
        <f>IF(ISBLANK(M473),0,L473/ROUND(M473,4))</f>
        <v>#DIV/0!</v>
      </c>
      <c r="R473" s="96" t="e">
        <f>IF(ISBLANK(M473),0,Q473*ROUND(N473,2))</f>
        <v>#DIV/0!</v>
      </c>
      <c r="S473" s="26" t="e">
        <f>ROUND(P473,2)*Q473</f>
        <v>#DIV/0!</v>
      </c>
      <c r="T473" s="96" t="e">
        <f>Q473*dagenperjaar1</f>
        <v>#DIV/0!</v>
      </c>
      <c r="U473" s="27" t="e">
        <f>T473*ROUND(P473,2)</f>
        <v>#DIV/0!</v>
      </c>
    </row>
    <row r="474" spans="1:21" x14ac:dyDescent="0.2">
      <c r="A474" s="93" t="s">
        <v>629</v>
      </c>
      <c r="B474" s="94" t="s">
        <v>42</v>
      </c>
      <c r="C474" s="94" t="s">
        <v>350</v>
      </c>
      <c r="D474" s="94" t="s">
        <v>402</v>
      </c>
      <c r="E474" s="95" t="s">
        <v>692</v>
      </c>
      <c r="F474" s="94" t="s">
        <v>657</v>
      </c>
      <c r="G474" s="94" t="s">
        <v>223</v>
      </c>
      <c r="H474" s="94" t="s">
        <v>10</v>
      </c>
      <c r="I474" s="94" t="s">
        <v>191</v>
      </c>
      <c r="J474" s="94"/>
      <c r="K474" s="96">
        <v>21.41</v>
      </c>
      <c r="L474" s="96">
        <f>K474*VLOOKUP(H474,dagsoorttabel1,2,FALSE)</f>
        <v>21.41</v>
      </c>
      <c r="M474" s="97">
        <f>prodnorm32</f>
        <v>0</v>
      </c>
      <c r="N474" s="41">
        <f>dagwerk32</f>
        <v>0</v>
      </c>
      <c r="O474" s="94" t="s">
        <v>108</v>
      </c>
      <c r="P474" s="26">
        <f>uurtarief32</f>
        <v>0</v>
      </c>
      <c r="Q474" s="96" t="e">
        <f>IF(ISBLANK(M474),0,L474/ROUND(M474,4))</f>
        <v>#DIV/0!</v>
      </c>
      <c r="R474" s="96" t="e">
        <f>IF(ISBLANK(M474),0,Q474*ROUND(N474,2))</f>
        <v>#DIV/0!</v>
      </c>
      <c r="S474" s="26" t="e">
        <f>ROUND(P474,2)*Q474</f>
        <v>#DIV/0!</v>
      </c>
      <c r="T474" s="96" t="e">
        <f>Q474*dagenperjaar1</f>
        <v>#DIV/0!</v>
      </c>
      <c r="U474" s="27" t="e">
        <f>T474*ROUND(P474,2)</f>
        <v>#DIV/0!</v>
      </c>
    </row>
    <row r="475" spans="1:21" x14ac:dyDescent="0.2">
      <c r="A475" s="93" t="s">
        <v>629</v>
      </c>
      <c r="B475" s="94" t="s">
        <v>42</v>
      </c>
      <c r="C475" s="94" t="s">
        <v>350</v>
      </c>
      <c r="D475" s="94" t="s">
        <v>403</v>
      </c>
      <c r="E475" s="95" t="s">
        <v>693</v>
      </c>
      <c r="F475" s="94" t="s">
        <v>277</v>
      </c>
      <c r="G475" s="94" t="s">
        <v>223</v>
      </c>
      <c r="H475" s="94" t="s">
        <v>10</v>
      </c>
      <c r="I475" s="94" t="s">
        <v>191</v>
      </c>
      <c r="J475" s="94"/>
      <c r="K475" s="96">
        <v>9.2399999999999984</v>
      </c>
      <c r="L475" s="96">
        <f>K475*VLOOKUP(H475,dagsoorttabel1,2,FALSE)</f>
        <v>9.2399999999999984</v>
      </c>
      <c r="M475" s="97">
        <f>prodnorm32</f>
        <v>0</v>
      </c>
      <c r="N475" s="41">
        <f>dagwerk32</f>
        <v>0</v>
      </c>
      <c r="O475" s="94" t="s">
        <v>108</v>
      </c>
      <c r="P475" s="26">
        <f>uurtarief32</f>
        <v>0</v>
      </c>
      <c r="Q475" s="96" t="e">
        <f>IF(ISBLANK(M475),0,L475/ROUND(M475,4))</f>
        <v>#DIV/0!</v>
      </c>
      <c r="R475" s="96" t="e">
        <f>IF(ISBLANK(M475),0,Q475*ROUND(N475,2))</f>
        <v>#DIV/0!</v>
      </c>
      <c r="S475" s="26" t="e">
        <f>ROUND(P475,2)*Q475</f>
        <v>#DIV/0!</v>
      </c>
      <c r="T475" s="96" t="e">
        <f>Q475*dagenperjaar1</f>
        <v>#DIV/0!</v>
      </c>
      <c r="U475" s="27" t="e">
        <f>T475*ROUND(P475,2)</f>
        <v>#DIV/0!</v>
      </c>
    </row>
    <row r="476" spans="1:21" x14ac:dyDescent="0.2">
      <c r="A476" s="93" t="s">
        <v>629</v>
      </c>
      <c r="B476" s="94" t="s">
        <v>42</v>
      </c>
      <c r="C476" s="94" t="s">
        <v>452</v>
      </c>
      <c r="D476" s="94" t="s">
        <v>694</v>
      </c>
      <c r="E476" s="95" t="s">
        <v>695</v>
      </c>
      <c r="F476" s="94" t="s">
        <v>277</v>
      </c>
      <c r="G476" s="94" t="s">
        <v>207</v>
      </c>
      <c r="H476" s="94" t="s">
        <v>10</v>
      </c>
      <c r="I476" s="94" t="s">
        <v>191</v>
      </c>
      <c r="J476" s="94"/>
      <c r="K476" s="96">
        <v>44.2</v>
      </c>
      <c r="L476" s="96">
        <f>K476*VLOOKUP(H476,dagsoorttabel1,2,FALSE)</f>
        <v>44.2</v>
      </c>
      <c r="M476" s="97">
        <f>prodnorm24</f>
        <v>0</v>
      </c>
      <c r="N476" s="41">
        <f>dagwerk24</f>
        <v>0</v>
      </c>
      <c r="O476" s="94" t="s">
        <v>108</v>
      </c>
      <c r="P476" s="26">
        <f>uurtarief24</f>
        <v>0</v>
      </c>
      <c r="Q476" s="96" t="e">
        <f>IF(ISBLANK(M476),0,L476/ROUND(M476,4))</f>
        <v>#DIV/0!</v>
      </c>
      <c r="R476" s="96" t="e">
        <f>IF(ISBLANK(M476),0,Q476*ROUND(N476,2))</f>
        <v>#DIV/0!</v>
      </c>
      <c r="S476" s="26" t="e">
        <f>ROUND(P476,2)*Q476</f>
        <v>#DIV/0!</v>
      </c>
      <c r="T476" s="96" t="e">
        <f>Q476*dagenperjaar1</f>
        <v>#DIV/0!</v>
      </c>
      <c r="U476" s="27" t="e">
        <f>T476*ROUND(P476,2)</f>
        <v>#DIV/0!</v>
      </c>
    </row>
    <row r="477" spans="1:21" x14ac:dyDescent="0.2">
      <c r="A477" s="93" t="s">
        <v>629</v>
      </c>
      <c r="B477" s="94" t="s">
        <v>42</v>
      </c>
      <c r="C477" s="94" t="s">
        <v>452</v>
      </c>
      <c r="D477" s="94" t="s">
        <v>694</v>
      </c>
      <c r="E477" s="95" t="s">
        <v>695</v>
      </c>
      <c r="F477" s="94" t="s">
        <v>277</v>
      </c>
      <c r="G477" s="94" t="s">
        <v>227</v>
      </c>
      <c r="H477" s="94" t="s">
        <v>24</v>
      </c>
      <c r="I477" s="94" t="s">
        <v>191</v>
      </c>
      <c r="J477" s="94"/>
      <c r="K477" s="96">
        <v>44.2</v>
      </c>
      <c r="L477" s="96">
        <f>K477*VLOOKUP(H477,dagsoorttabel1,2,FALSE)</f>
        <v>0.22100000000000003</v>
      </c>
      <c r="M477" s="97">
        <f>prodnorm35</f>
        <v>0</v>
      </c>
      <c r="N477" s="41">
        <f>dagwerk35</f>
        <v>0</v>
      </c>
      <c r="O477" s="94" t="s">
        <v>108</v>
      </c>
      <c r="P477" s="26">
        <f>uurtarief35</f>
        <v>0</v>
      </c>
      <c r="Q477" s="96" t="e">
        <f>IF(ISBLANK(M477),0,L477/ROUND(M477,4))</f>
        <v>#DIV/0!</v>
      </c>
      <c r="R477" s="96" t="e">
        <f>IF(ISBLANK(M477),0,Q477*ROUND(N477,2))</f>
        <v>#DIV/0!</v>
      </c>
      <c r="S477" s="26" t="e">
        <f>ROUND(P477,2)*Q477</f>
        <v>#DIV/0!</v>
      </c>
      <c r="T477" s="96" t="e">
        <f>Q477*dagenperjaar1</f>
        <v>#DIV/0!</v>
      </c>
      <c r="U477" s="27" t="e">
        <f>T477*ROUND(P477,2)</f>
        <v>#DIV/0!</v>
      </c>
    </row>
    <row r="478" spans="1:21" x14ac:dyDescent="0.2">
      <c r="A478" s="93" t="s">
        <v>629</v>
      </c>
      <c r="B478" s="94" t="s">
        <v>42</v>
      </c>
      <c r="C478" s="94" t="s">
        <v>452</v>
      </c>
      <c r="D478" s="94" t="s">
        <v>696</v>
      </c>
      <c r="E478" s="95" t="s">
        <v>695</v>
      </c>
      <c r="F478" s="94" t="s">
        <v>277</v>
      </c>
      <c r="G478" s="94" t="s">
        <v>207</v>
      </c>
      <c r="H478" s="94" t="s">
        <v>10</v>
      </c>
      <c r="I478" s="94" t="s">
        <v>191</v>
      </c>
      <c r="J478" s="94"/>
      <c r="K478" s="96">
        <v>44.2</v>
      </c>
      <c r="L478" s="96">
        <f>K478*VLOOKUP(H478,dagsoorttabel1,2,FALSE)</f>
        <v>44.2</v>
      </c>
      <c r="M478" s="97">
        <f>prodnorm24</f>
        <v>0</v>
      </c>
      <c r="N478" s="41">
        <f>dagwerk24</f>
        <v>0</v>
      </c>
      <c r="O478" s="94" t="s">
        <v>108</v>
      </c>
      <c r="P478" s="26">
        <f>uurtarief24</f>
        <v>0</v>
      </c>
      <c r="Q478" s="96" t="e">
        <f>IF(ISBLANK(M478),0,L478/ROUND(M478,4))</f>
        <v>#DIV/0!</v>
      </c>
      <c r="R478" s="96" t="e">
        <f>IF(ISBLANK(M478),0,Q478*ROUND(N478,2))</f>
        <v>#DIV/0!</v>
      </c>
      <c r="S478" s="26" t="e">
        <f>ROUND(P478,2)*Q478</f>
        <v>#DIV/0!</v>
      </c>
      <c r="T478" s="96" t="e">
        <f>Q478*dagenperjaar1</f>
        <v>#DIV/0!</v>
      </c>
      <c r="U478" s="27" t="e">
        <f>T478*ROUND(P478,2)</f>
        <v>#DIV/0!</v>
      </c>
    </row>
    <row r="479" spans="1:21" x14ac:dyDescent="0.2">
      <c r="A479" s="93" t="s">
        <v>629</v>
      </c>
      <c r="B479" s="94" t="s">
        <v>42</v>
      </c>
      <c r="C479" s="94" t="s">
        <v>452</v>
      </c>
      <c r="D479" s="94" t="s">
        <v>696</v>
      </c>
      <c r="E479" s="95" t="s">
        <v>695</v>
      </c>
      <c r="F479" s="94" t="s">
        <v>277</v>
      </c>
      <c r="G479" s="94" t="s">
        <v>227</v>
      </c>
      <c r="H479" s="94" t="s">
        <v>24</v>
      </c>
      <c r="I479" s="94" t="s">
        <v>191</v>
      </c>
      <c r="J479" s="94"/>
      <c r="K479" s="96">
        <v>44.2</v>
      </c>
      <c r="L479" s="96">
        <f>K479*VLOOKUP(H479,dagsoorttabel1,2,FALSE)</f>
        <v>0.22100000000000003</v>
      </c>
      <c r="M479" s="97">
        <f>prodnorm35</f>
        <v>0</v>
      </c>
      <c r="N479" s="41">
        <f>dagwerk35</f>
        <v>0</v>
      </c>
      <c r="O479" s="94" t="s">
        <v>108</v>
      </c>
      <c r="P479" s="26">
        <f>uurtarief35</f>
        <v>0</v>
      </c>
      <c r="Q479" s="96" t="e">
        <f>IF(ISBLANK(M479),0,L479/ROUND(M479,4))</f>
        <v>#DIV/0!</v>
      </c>
      <c r="R479" s="96" t="e">
        <f>IF(ISBLANK(M479),0,Q479*ROUND(N479,2))</f>
        <v>#DIV/0!</v>
      </c>
      <c r="S479" s="26" t="e">
        <f>ROUND(P479,2)*Q479</f>
        <v>#DIV/0!</v>
      </c>
      <c r="T479" s="96" t="e">
        <f>Q479*dagenperjaar1</f>
        <v>#DIV/0!</v>
      </c>
      <c r="U479" s="27" t="e">
        <f>T479*ROUND(P479,2)</f>
        <v>#DIV/0!</v>
      </c>
    </row>
    <row r="480" spans="1:21" x14ac:dyDescent="0.2">
      <c r="A480" s="93" t="s">
        <v>629</v>
      </c>
      <c r="B480" s="94" t="s">
        <v>42</v>
      </c>
      <c r="C480" s="94" t="s">
        <v>452</v>
      </c>
      <c r="D480" s="94" t="s">
        <v>455</v>
      </c>
      <c r="E480" s="95" t="s">
        <v>695</v>
      </c>
      <c r="F480" s="94" t="s">
        <v>277</v>
      </c>
      <c r="G480" s="94" t="s">
        <v>207</v>
      </c>
      <c r="H480" s="94" t="s">
        <v>10</v>
      </c>
      <c r="I480" s="94" t="s">
        <v>191</v>
      </c>
      <c r="J480" s="94"/>
      <c r="K480" s="96">
        <v>44.2</v>
      </c>
      <c r="L480" s="96">
        <f>K480*VLOOKUP(H480,dagsoorttabel1,2,FALSE)</f>
        <v>44.2</v>
      </c>
      <c r="M480" s="97">
        <f>prodnorm24</f>
        <v>0</v>
      </c>
      <c r="N480" s="41">
        <f>dagwerk24</f>
        <v>0</v>
      </c>
      <c r="O480" s="94" t="s">
        <v>108</v>
      </c>
      <c r="P480" s="26">
        <f>uurtarief24</f>
        <v>0</v>
      </c>
      <c r="Q480" s="96" t="e">
        <f>IF(ISBLANK(M480),0,L480/ROUND(M480,4))</f>
        <v>#DIV/0!</v>
      </c>
      <c r="R480" s="96" t="e">
        <f>IF(ISBLANK(M480),0,Q480*ROUND(N480,2))</f>
        <v>#DIV/0!</v>
      </c>
      <c r="S480" s="26" t="e">
        <f>ROUND(P480,2)*Q480</f>
        <v>#DIV/0!</v>
      </c>
      <c r="T480" s="96" t="e">
        <f>Q480*dagenperjaar1</f>
        <v>#DIV/0!</v>
      </c>
      <c r="U480" s="27" t="e">
        <f>T480*ROUND(P480,2)</f>
        <v>#DIV/0!</v>
      </c>
    </row>
    <row r="481" spans="1:21" x14ac:dyDescent="0.2">
      <c r="A481" s="93" t="s">
        <v>629</v>
      </c>
      <c r="B481" s="94" t="s">
        <v>42</v>
      </c>
      <c r="C481" s="94" t="s">
        <v>452</v>
      </c>
      <c r="D481" s="94" t="s">
        <v>455</v>
      </c>
      <c r="E481" s="95" t="s">
        <v>695</v>
      </c>
      <c r="F481" s="94" t="s">
        <v>277</v>
      </c>
      <c r="G481" s="94" t="s">
        <v>227</v>
      </c>
      <c r="H481" s="94" t="s">
        <v>24</v>
      </c>
      <c r="I481" s="94" t="s">
        <v>191</v>
      </c>
      <c r="J481" s="94"/>
      <c r="K481" s="96">
        <v>44.2</v>
      </c>
      <c r="L481" s="96">
        <f>K481*VLOOKUP(H481,dagsoorttabel1,2,FALSE)</f>
        <v>0.22100000000000003</v>
      </c>
      <c r="M481" s="97">
        <f>prodnorm35</f>
        <v>0</v>
      </c>
      <c r="N481" s="41">
        <f>dagwerk35</f>
        <v>0</v>
      </c>
      <c r="O481" s="94" t="s">
        <v>108</v>
      </c>
      <c r="P481" s="26">
        <f>uurtarief35</f>
        <v>0</v>
      </c>
      <c r="Q481" s="96" t="e">
        <f>IF(ISBLANK(M481),0,L481/ROUND(M481,4))</f>
        <v>#DIV/0!</v>
      </c>
      <c r="R481" s="96" t="e">
        <f>IF(ISBLANK(M481),0,Q481*ROUND(N481,2))</f>
        <v>#DIV/0!</v>
      </c>
      <c r="S481" s="26" t="e">
        <f>ROUND(P481,2)*Q481</f>
        <v>#DIV/0!</v>
      </c>
      <c r="T481" s="96" t="e">
        <f>Q481*dagenperjaar1</f>
        <v>#DIV/0!</v>
      </c>
      <c r="U481" s="27" t="e">
        <f>T481*ROUND(P481,2)</f>
        <v>#DIV/0!</v>
      </c>
    </row>
    <row r="482" spans="1:21" x14ac:dyDescent="0.2">
      <c r="A482" s="93" t="s">
        <v>629</v>
      </c>
      <c r="B482" s="94" t="s">
        <v>42</v>
      </c>
      <c r="C482" s="94" t="s">
        <v>452</v>
      </c>
      <c r="D482" s="94" t="s">
        <v>456</v>
      </c>
      <c r="E482" s="95" t="s">
        <v>695</v>
      </c>
      <c r="F482" s="94" t="s">
        <v>277</v>
      </c>
      <c r="G482" s="94" t="s">
        <v>207</v>
      </c>
      <c r="H482" s="94" t="s">
        <v>10</v>
      </c>
      <c r="I482" s="94" t="s">
        <v>191</v>
      </c>
      <c r="J482" s="94"/>
      <c r="K482" s="96">
        <v>44.2</v>
      </c>
      <c r="L482" s="96">
        <f>K482*VLOOKUP(H482,dagsoorttabel1,2,FALSE)</f>
        <v>44.2</v>
      </c>
      <c r="M482" s="97">
        <f>prodnorm24</f>
        <v>0</v>
      </c>
      <c r="N482" s="41">
        <f>dagwerk24</f>
        <v>0</v>
      </c>
      <c r="O482" s="94" t="s">
        <v>108</v>
      </c>
      <c r="P482" s="26">
        <f>uurtarief24</f>
        <v>0</v>
      </c>
      <c r="Q482" s="96" t="e">
        <f>IF(ISBLANK(M482),0,L482/ROUND(M482,4))</f>
        <v>#DIV/0!</v>
      </c>
      <c r="R482" s="96" t="e">
        <f>IF(ISBLANK(M482),0,Q482*ROUND(N482,2))</f>
        <v>#DIV/0!</v>
      </c>
      <c r="S482" s="26" t="e">
        <f>ROUND(P482,2)*Q482</f>
        <v>#DIV/0!</v>
      </c>
      <c r="T482" s="96" t="e">
        <f>Q482*dagenperjaar1</f>
        <v>#DIV/0!</v>
      </c>
      <c r="U482" s="27" t="e">
        <f>T482*ROUND(P482,2)</f>
        <v>#DIV/0!</v>
      </c>
    </row>
    <row r="483" spans="1:21" x14ac:dyDescent="0.2">
      <c r="A483" s="93" t="s">
        <v>629</v>
      </c>
      <c r="B483" s="94" t="s">
        <v>42</v>
      </c>
      <c r="C483" s="94" t="s">
        <v>452</v>
      </c>
      <c r="D483" s="94" t="s">
        <v>456</v>
      </c>
      <c r="E483" s="95" t="s">
        <v>695</v>
      </c>
      <c r="F483" s="94" t="s">
        <v>277</v>
      </c>
      <c r="G483" s="94" t="s">
        <v>227</v>
      </c>
      <c r="H483" s="94" t="s">
        <v>24</v>
      </c>
      <c r="I483" s="94" t="s">
        <v>191</v>
      </c>
      <c r="J483" s="94"/>
      <c r="K483" s="96">
        <v>44.2</v>
      </c>
      <c r="L483" s="96">
        <f>K483*VLOOKUP(H483,dagsoorttabel1,2,FALSE)</f>
        <v>0.22100000000000003</v>
      </c>
      <c r="M483" s="97">
        <f>prodnorm35</f>
        <v>0</v>
      </c>
      <c r="N483" s="41">
        <f>dagwerk35</f>
        <v>0</v>
      </c>
      <c r="O483" s="94" t="s">
        <v>108</v>
      </c>
      <c r="P483" s="26">
        <f>uurtarief35</f>
        <v>0</v>
      </c>
      <c r="Q483" s="96" t="e">
        <f>IF(ISBLANK(M483),0,L483/ROUND(M483,4))</f>
        <v>#DIV/0!</v>
      </c>
      <c r="R483" s="96" t="e">
        <f>IF(ISBLANK(M483),0,Q483*ROUND(N483,2))</f>
        <v>#DIV/0!</v>
      </c>
      <c r="S483" s="26" t="e">
        <f>ROUND(P483,2)*Q483</f>
        <v>#DIV/0!</v>
      </c>
      <c r="T483" s="96" t="e">
        <f>Q483*dagenperjaar1</f>
        <v>#DIV/0!</v>
      </c>
      <c r="U483" s="27" t="e">
        <f>T483*ROUND(P483,2)</f>
        <v>#DIV/0!</v>
      </c>
    </row>
    <row r="484" spans="1:21" x14ac:dyDescent="0.2">
      <c r="A484" s="93" t="s">
        <v>629</v>
      </c>
      <c r="B484" s="94" t="s">
        <v>42</v>
      </c>
      <c r="C484" s="94" t="s">
        <v>452</v>
      </c>
      <c r="D484" s="94" t="s">
        <v>457</v>
      </c>
      <c r="E484" s="95" t="s">
        <v>695</v>
      </c>
      <c r="F484" s="94" t="s">
        <v>277</v>
      </c>
      <c r="G484" s="94" t="s">
        <v>207</v>
      </c>
      <c r="H484" s="94" t="s">
        <v>10</v>
      </c>
      <c r="I484" s="94" t="s">
        <v>191</v>
      </c>
      <c r="J484" s="94"/>
      <c r="K484" s="96">
        <v>44.2</v>
      </c>
      <c r="L484" s="96">
        <f>K484*VLOOKUP(H484,dagsoorttabel1,2,FALSE)</f>
        <v>44.2</v>
      </c>
      <c r="M484" s="97">
        <f>prodnorm24</f>
        <v>0</v>
      </c>
      <c r="N484" s="41">
        <f>dagwerk24</f>
        <v>0</v>
      </c>
      <c r="O484" s="94" t="s">
        <v>108</v>
      </c>
      <c r="P484" s="26">
        <f>uurtarief24</f>
        <v>0</v>
      </c>
      <c r="Q484" s="96" t="e">
        <f>IF(ISBLANK(M484),0,L484/ROUND(M484,4))</f>
        <v>#DIV/0!</v>
      </c>
      <c r="R484" s="96" t="e">
        <f>IF(ISBLANK(M484),0,Q484*ROUND(N484,2))</f>
        <v>#DIV/0!</v>
      </c>
      <c r="S484" s="26" t="e">
        <f>ROUND(P484,2)*Q484</f>
        <v>#DIV/0!</v>
      </c>
      <c r="T484" s="96" t="e">
        <f>Q484*dagenperjaar1</f>
        <v>#DIV/0!</v>
      </c>
      <c r="U484" s="27" t="e">
        <f>T484*ROUND(P484,2)</f>
        <v>#DIV/0!</v>
      </c>
    </row>
    <row r="485" spans="1:21" x14ac:dyDescent="0.2">
      <c r="A485" s="93" t="s">
        <v>629</v>
      </c>
      <c r="B485" s="94" t="s">
        <v>42</v>
      </c>
      <c r="C485" s="94" t="s">
        <v>452</v>
      </c>
      <c r="D485" s="94" t="s">
        <v>457</v>
      </c>
      <c r="E485" s="95" t="s">
        <v>695</v>
      </c>
      <c r="F485" s="94" t="s">
        <v>277</v>
      </c>
      <c r="G485" s="94" t="s">
        <v>227</v>
      </c>
      <c r="H485" s="94" t="s">
        <v>24</v>
      </c>
      <c r="I485" s="94" t="s">
        <v>191</v>
      </c>
      <c r="J485" s="94"/>
      <c r="K485" s="96">
        <v>44.2</v>
      </c>
      <c r="L485" s="96">
        <f>K485*VLOOKUP(H485,dagsoorttabel1,2,FALSE)</f>
        <v>0.22100000000000003</v>
      </c>
      <c r="M485" s="97">
        <f>prodnorm35</f>
        <v>0</v>
      </c>
      <c r="N485" s="41">
        <f>dagwerk35</f>
        <v>0</v>
      </c>
      <c r="O485" s="94" t="s">
        <v>108</v>
      </c>
      <c r="P485" s="26">
        <f>uurtarief35</f>
        <v>0</v>
      </c>
      <c r="Q485" s="96" t="e">
        <f>IF(ISBLANK(M485),0,L485/ROUND(M485,4))</f>
        <v>#DIV/0!</v>
      </c>
      <c r="R485" s="96" t="e">
        <f>IF(ISBLANK(M485),0,Q485*ROUND(N485,2))</f>
        <v>#DIV/0!</v>
      </c>
      <c r="S485" s="26" t="e">
        <f>ROUND(P485,2)*Q485</f>
        <v>#DIV/0!</v>
      </c>
      <c r="T485" s="96" t="e">
        <f>Q485*dagenperjaar1</f>
        <v>#DIV/0!</v>
      </c>
      <c r="U485" s="27" t="e">
        <f>T485*ROUND(P485,2)</f>
        <v>#DIV/0!</v>
      </c>
    </row>
    <row r="486" spans="1:21" x14ac:dyDescent="0.2">
      <c r="A486" s="93" t="s">
        <v>629</v>
      </c>
      <c r="B486" s="94" t="s">
        <v>42</v>
      </c>
      <c r="C486" s="94" t="s">
        <v>452</v>
      </c>
      <c r="D486" s="94" t="s">
        <v>458</v>
      </c>
      <c r="E486" s="95" t="s">
        <v>695</v>
      </c>
      <c r="F486" s="94" t="s">
        <v>277</v>
      </c>
      <c r="G486" s="94" t="s">
        <v>207</v>
      </c>
      <c r="H486" s="94" t="s">
        <v>10</v>
      </c>
      <c r="I486" s="94" t="s">
        <v>191</v>
      </c>
      <c r="J486" s="94"/>
      <c r="K486" s="96">
        <v>44.2</v>
      </c>
      <c r="L486" s="96">
        <f>K486*VLOOKUP(H486,dagsoorttabel1,2,FALSE)</f>
        <v>44.2</v>
      </c>
      <c r="M486" s="97">
        <f>prodnorm24</f>
        <v>0</v>
      </c>
      <c r="N486" s="41">
        <f>dagwerk24</f>
        <v>0</v>
      </c>
      <c r="O486" s="94" t="s">
        <v>108</v>
      </c>
      <c r="P486" s="26">
        <f>uurtarief24</f>
        <v>0</v>
      </c>
      <c r="Q486" s="96" t="e">
        <f>IF(ISBLANK(M486),0,L486/ROUND(M486,4))</f>
        <v>#DIV/0!</v>
      </c>
      <c r="R486" s="96" t="e">
        <f>IF(ISBLANK(M486),0,Q486*ROUND(N486,2))</f>
        <v>#DIV/0!</v>
      </c>
      <c r="S486" s="26" t="e">
        <f>ROUND(P486,2)*Q486</f>
        <v>#DIV/0!</v>
      </c>
      <c r="T486" s="96" t="e">
        <f>Q486*dagenperjaar1</f>
        <v>#DIV/0!</v>
      </c>
      <c r="U486" s="27" t="e">
        <f>T486*ROUND(P486,2)</f>
        <v>#DIV/0!</v>
      </c>
    </row>
    <row r="487" spans="1:21" x14ac:dyDescent="0.2">
      <c r="A487" s="93" t="s">
        <v>629</v>
      </c>
      <c r="B487" s="94" t="s">
        <v>42</v>
      </c>
      <c r="C487" s="94" t="s">
        <v>452</v>
      </c>
      <c r="D487" s="94" t="s">
        <v>458</v>
      </c>
      <c r="E487" s="95" t="s">
        <v>695</v>
      </c>
      <c r="F487" s="94" t="s">
        <v>277</v>
      </c>
      <c r="G487" s="94" t="s">
        <v>227</v>
      </c>
      <c r="H487" s="94" t="s">
        <v>24</v>
      </c>
      <c r="I487" s="94" t="s">
        <v>191</v>
      </c>
      <c r="J487" s="94"/>
      <c r="K487" s="96">
        <v>44.2</v>
      </c>
      <c r="L487" s="96">
        <f>K487*VLOOKUP(H487,dagsoorttabel1,2,FALSE)</f>
        <v>0.22100000000000003</v>
      </c>
      <c r="M487" s="97">
        <f>prodnorm35</f>
        <v>0</v>
      </c>
      <c r="N487" s="41">
        <f>dagwerk35</f>
        <v>0</v>
      </c>
      <c r="O487" s="94" t="s">
        <v>108</v>
      </c>
      <c r="P487" s="26">
        <f>uurtarief35</f>
        <v>0</v>
      </c>
      <c r="Q487" s="96" t="e">
        <f>IF(ISBLANK(M487),0,L487/ROUND(M487,4))</f>
        <v>#DIV/0!</v>
      </c>
      <c r="R487" s="96" t="e">
        <f>IF(ISBLANK(M487),0,Q487*ROUND(N487,2))</f>
        <v>#DIV/0!</v>
      </c>
      <c r="S487" s="26" t="e">
        <f>ROUND(P487,2)*Q487</f>
        <v>#DIV/0!</v>
      </c>
      <c r="T487" s="96" t="e">
        <f>Q487*dagenperjaar1</f>
        <v>#DIV/0!</v>
      </c>
      <c r="U487" s="27" t="e">
        <f>T487*ROUND(P487,2)</f>
        <v>#DIV/0!</v>
      </c>
    </row>
    <row r="488" spans="1:21" x14ac:dyDescent="0.2">
      <c r="A488" s="93" t="s">
        <v>629</v>
      </c>
      <c r="B488" s="94" t="s">
        <v>42</v>
      </c>
      <c r="C488" s="94" t="s">
        <v>452</v>
      </c>
      <c r="D488" s="94" t="s">
        <v>459</v>
      </c>
      <c r="E488" s="95" t="s">
        <v>697</v>
      </c>
      <c r="F488" s="94" t="s">
        <v>277</v>
      </c>
      <c r="G488" s="94" t="s">
        <v>223</v>
      </c>
      <c r="H488" s="94" t="s">
        <v>10</v>
      </c>
      <c r="I488" s="94" t="s">
        <v>191</v>
      </c>
      <c r="J488" s="94"/>
      <c r="K488" s="96">
        <v>23.22</v>
      </c>
      <c r="L488" s="96">
        <f>K488*VLOOKUP(H488,dagsoorttabel1,2,FALSE)</f>
        <v>23.22</v>
      </c>
      <c r="M488" s="97">
        <f>prodnorm32</f>
        <v>0</v>
      </c>
      <c r="N488" s="41">
        <f>dagwerk32</f>
        <v>0</v>
      </c>
      <c r="O488" s="94" t="s">
        <v>108</v>
      </c>
      <c r="P488" s="26">
        <f>uurtarief32</f>
        <v>0</v>
      </c>
      <c r="Q488" s="96" t="e">
        <f>IF(ISBLANK(M488),0,L488/ROUND(M488,4))</f>
        <v>#DIV/0!</v>
      </c>
      <c r="R488" s="96" t="e">
        <f>IF(ISBLANK(M488),0,Q488*ROUND(N488,2))</f>
        <v>#DIV/0!</v>
      </c>
      <c r="S488" s="26" t="e">
        <f>ROUND(P488,2)*Q488</f>
        <v>#DIV/0!</v>
      </c>
      <c r="T488" s="96" t="e">
        <f>Q488*dagenperjaar1</f>
        <v>#DIV/0!</v>
      </c>
      <c r="U488" s="27" t="e">
        <f>T488*ROUND(P488,2)</f>
        <v>#DIV/0!</v>
      </c>
    </row>
    <row r="489" spans="1:21" x14ac:dyDescent="0.2">
      <c r="A489" s="93" t="s">
        <v>629</v>
      </c>
      <c r="B489" s="94" t="s">
        <v>42</v>
      </c>
      <c r="C489" s="94" t="s">
        <v>452</v>
      </c>
      <c r="D489" s="94" t="s">
        <v>459</v>
      </c>
      <c r="E489" s="95" t="s">
        <v>697</v>
      </c>
      <c r="F489" s="94" t="s">
        <v>277</v>
      </c>
      <c r="G489" s="94" t="s">
        <v>227</v>
      </c>
      <c r="H489" s="94" t="s">
        <v>24</v>
      </c>
      <c r="I489" s="94" t="s">
        <v>191</v>
      </c>
      <c r="J489" s="94"/>
      <c r="K489" s="96">
        <v>23.22</v>
      </c>
      <c r="L489" s="96">
        <f>K489*VLOOKUP(H489,dagsoorttabel1,2,FALSE)</f>
        <v>0.11609999999999999</v>
      </c>
      <c r="M489" s="97">
        <f>prodnorm35</f>
        <v>0</v>
      </c>
      <c r="N489" s="41">
        <f>dagwerk35</f>
        <v>0</v>
      </c>
      <c r="O489" s="94" t="s">
        <v>108</v>
      </c>
      <c r="P489" s="26">
        <f>uurtarief35</f>
        <v>0</v>
      </c>
      <c r="Q489" s="96" t="e">
        <f>IF(ISBLANK(M489),0,L489/ROUND(M489,4))</f>
        <v>#DIV/0!</v>
      </c>
      <c r="R489" s="96" t="e">
        <f>IF(ISBLANK(M489),0,Q489*ROUND(N489,2))</f>
        <v>#DIV/0!</v>
      </c>
      <c r="S489" s="26" t="e">
        <f>ROUND(P489,2)*Q489</f>
        <v>#DIV/0!</v>
      </c>
      <c r="T489" s="96" t="e">
        <f>Q489*dagenperjaar1</f>
        <v>#DIV/0!</v>
      </c>
      <c r="U489" s="27" t="e">
        <f>T489*ROUND(P489,2)</f>
        <v>#DIV/0!</v>
      </c>
    </row>
    <row r="490" spans="1:21" x14ac:dyDescent="0.2">
      <c r="A490" s="93" t="s">
        <v>629</v>
      </c>
      <c r="B490" s="94" t="s">
        <v>42</v>
      </c>
      <c r="C490" s="94" t="s">
        <v>452</v>
      </c>
      <c r="D490" s="94" t="s">
        <v>460</v>
      </c>
      <c r="E490" s="95" t="s">
        <v>698</v>
      </c>
      <c r="F490" s="94" t="s">
        <v>287</v>
      </c>
      <c r="G490" s="94" t="s">
        <v>219</v>
      </c>
      <c r="H490" s="94" t="s">
        <v>10</v>
      </c>
      <c r="I490" s="94" t="s">
        <v>191</v>
      </c>
      <c r="J490" s="94"/>
      <c r="K490" s="96">
        <v>20.8</v>
      </c>
      <c r="L490" s="96">
        <f>K490*VLOOKUP(H490,dagsoorttabel1,2,FALSE)</f>
        <v>20.8</v>
      </c>
      <c r="M490" s="97">
        <f>prodnorm30</f>
        <v>0</v>
      </c>
      <c r="N490" s="41">
        <f>dagwerk30</f>
        <v>0</v>
      </c>
      <c r="O490" s="94" t="s">
        <v>108</v>
      </c>
      <c r="P490" s="26">
        <f>uurtarief30</f>
        <v>0</v>
      </c>
      <c r="Q490" s="96" t="e">
        <f>IF(ISBLANK(M490),0,L490/ROUND(M490,4))</f>
        <v>#DIV/0!</v>
      </c>
      <c r="R490" s="96" t="e">
        <f>IF(ISBLANK(M490),0,Q490*ROUND(N490,2))</f>
        <v>#DIV/0!</v>
      </c>
      <c r="S490" s="26" t="e">
        <f>ROUND(P490,2)*Q490</f>
        <v>#DIV/0!</v>
      </c>
      <c r="T490" s="96" t="e">
        <f>Q490*dagenperjaar1</f>
        <v>#DIV/0!</v>
      </c>
      <c r="U490" s="27" t="e">
        <f>T490*ROUND(P490,2)</f>
        <v>#DIV/0!</v>
      </c>
    </row>
    <row r="491" spans="1:21" x14ac:dyDescent="0.2">
      <c r="A491" s="93" t="s">
        <v>629</v>
      </c>
      <c r="B491" s="94" t="s">
        <v>42</v>
      </c>
      <c r="C491" s="94" t="s">
        <v>452</v>
      </c>
      <c r="D491" s="94" t="s">
        <v>461</v>
      </c>
      <c r="E491" s="95" t="s">
        <v>699</v>
      </c>
      <c r="F491" s="94" t="s">
        <v>287</v>
      </c>
      <c r="G491" s="94" t="s">
        <v>219</v>
      </c>
      <c r="H491" s="94" t="s">
        <v>10</v>
      </c>
      <c r="I491" s="94" t="s">
        <v>191</v>
      </c>
      <c r="J491" s="94"/>
      <c r="K491" s="96">
        <v>20.8</v>
      </c>
      <c r="L491" s="96">
        <f>K491*VLOOKUP(H491,dagsoorttabel1,2,FALSE)</f>
        <v>20.8</v>
      </c>
      <c r="M491" s="97">
        <f>prodnorm30</f>
        <v>0</v>
      </c>
      <c r="N491" s="41">
        <f>dagwerk30</f>
        <v>0</v>
      </c>
      <c r="O491" s="94" t="s">
        <v>108</v>
      </c>
      <c r="P491" s="26">
        <f>uurtarief30</f>
        <v>0</v>
      </c>
      <c r="Q491" s="96" t="e">
        <f>IF(ISBLANK(M491),0,L491/ROUND(M491,4))</f>
        <v>#DIV/0!</v>
      </c>
      <c r="R491" s="96" t="e">
        <f>IF(ISBLANK(M491),0,Q491*ROUND(N491,2))</f>
        <v>#DIV/0!</v>
      </c>
      <c r="S491" s="26" t="e">
        <f>ROUND(P491,2)*Q491</f>
        <v>#DIV/0!</v>
      </c>
      <c r="T491" s="96" t="e">
        <f>Q491*dagenperjaar1</f>
        <v>#DIV/0!</v>
      </c>
      <c r="U491" s="27" t="e">
        <f>T491*ROUND(P491,2)</f>
        <v>#DIV/0!</v>
      </c>
    </row>
    <row r="492" spans="1:21" x14ac:dyDescent="0.2">
      <c r="A492" s="93" t="s">
        <v>629</v>
      </c>
      <c r="B492" s="94" t="s">
        <v>42</v>
      </c>
      <c r="C492" s="94" t="s">
        <v>452</v>
      </c>
      <c r="D492" s="94" t="s">
        <v>462</v>
      </c>
      <c r="E492" s="95" t="s">
        <v>700</v>
      </c>
      <c r="F492" s="94" t="s">
        <v>287</v>
      </c>
      <c r="G492" s="94" t="s">
        <v>219</v>
      </c>
      <c r="H492" s="94" t="s">
        <v>10</v>
      </c>
      <c r="I492" s="94" t="s">
        <v>191</v>
      </c>
      <c r="J492" s="94"/>
      <c r="K492" s="96">
        <v>10.5</v>
      </c>
      <c r="L492" s="96">
        <f>K492*VLOOKUP(H492,dagsoorttabel1,2,FALSE)</f>
        <v>10.5</v>
      </c>
      <c r="M492" s="97">
        <f>prodnorm30</f>
        <v>0</v>
      </c>
      <c r="N492" s="41">
        <f>dagwerk30</f>
        <v>0</v>
      </c>
      <c r="O492" s="94" t="s">
        <v>108</v>
      </c>
      <c r="P492" s="26">
        <f>uurtarief30</f>
        <v>0</v>
      </c>
      <c r="Q492" s="96" t="e">
        <f>IF(ISBLANK(M492),0,L492/ROUND(M492,4))</f>
        <v>#DIV/0!</v>
      </c>
      <c r="R492" s="96" t="e">
        <f>IF(ISBLANK(M492),0,Q492*ROUND(N492,2))</f>
        <v>#DIV/0!</v>
      </c>
      <c r="S492" s="26" t="e">
        <f>ROUND(P492,2)*Q492</f>
        <v>#DIV/0!</v>
      </c>
      <c r="T492" s="96" t="e">
        <f>Q492*dagenperjaar1</f>
        <v>#DIV/0!</v>
      </c>
      <c r="U492" s="27" t="e">
        <f>T492*ROUND(P492,2)</f>
        <v>#DIV/0!</v>
      </c>
    </row>
    <row r="493" spans="1:21" x14ac:dyDescent="0.2">
      <c r="A493" s="93" t="s">
        <v>629</v>
      </c>
      <c r="B493" s="94" t="s">
        <v>42</v>
      </c>
      <c r="C493" s="94" t="s">
        <v>452</v>
      </c>
      <c r="D493" s="94" t="s">
        <v>463</v>
      </c>
      <c r="E493" s="95" t="s">
        <v>699</v>
      </c>
      <c r="F493" s="94" t="s">
        <v>287</v>
      </c>
      <c r="G493" s="94" t="s">
        <v>219</v>
      </c>
      <c r="H493" s="94" t="s">
        <v>10</v>
      </c>
      <c r="I493" s="94" t="s">
        <v>191</v>
      </c>
      <c r="J493" s="94"/>
      <c r="K493" s="96">
        <v>7</v>
      </c>
      <c r="L493" s="96">
        <f>K493*VLOOKUP(H493,dagsoorttabel1,2,FALSE)</f>
        <v>7</v>
      </c>
      <c r="M493" s="97">
        <f>prodnorm30</f>
        <v>0</v>
      </c>
      <c r="N493" s="41">
        <f>dagwerk30</f>
        <v>0</v>
      </c>
      <c r="O493" s="94" t="s">
        <v>108</v>
      </c>
      <c r="P493" s="26">
        <f>uurtarief30</f>
        <v>0</v>
      </c>
      <c r="Q493" s="96" t="e">
        <f>IF(ISBLANK(M493),0,L493/ROUND(M493,4))</f>
        <v>#DIV/0!</v>
      </c>
      <c r="R493" s="96" t="e">
        <f>IF(ISBLANK(M493),0,Q493*ROUND(N493,2))</f>
        <v>#DIV/0!</v>
      </c>
      <c r="S493" s="26" t="e">
        <f>ROUND(P493,2)*Q493</f>
        <v>#DIV/0!</v>
      </c>
      <c r="T493" s="96" t="e">
        <f>Q493*dagenperjaar1</f>
        <v>#DIV/0!</v>
      </c>
      <c r="U493" s="27" t="e">
        <f>T493*ROUND(P493,2)</f>
        <v>#DIV/0!</v>
      </c>
    </row>
    <row r="494" spans="1:21" x14ac:dyDescent="0.2">
      <c r="A494" s="93" t="s">
        <v>629</v>
      </c>
      <c r="B494" s="94" t="s">
        <v>42</v>
      </c>
      <c r="C494" s="94" t="s">
        <v>452</v>
      </c>
      <c r="D494" s="94" t="s">
        <v>701</v>
      </c>
      <c r="E494" s="95" t="s">
        <v>702</v>
      </c>
      <c r="F494" s="94" t="s">
        <v>277</v>
      </c>
      <c r="G494" s="94" t="s">
        <v>207</v>
      </c>
      <c r="H494" s="94" t="s">
        <v>10</v>
      </c>
      <c r="I494" s="94" t="s">
        <v>191</v>
      </c>
      <c r="J494" s="94"/>
      <c r="K494" s="96">
        <v>62.44</v>
      </c>
      <c r="L494" s="96">
        <f>K494*VLOOKUP(H494,dagsoorttabel1,2,FALSE)</f>
        <v>62.44</v>
      </c>
      <c r="M494" s="97">
        <f>prodnorm24</f>
        <v>0</v>
      </c>
      <c r="N494" s="41">
        <f>dagwerk24</f>
        <v>0</v>
      </c>
      <c r="O494" s="94" t="s">
        <v>108</v>
      </c>
      <c r="P494" s="26">
        <f>uurtarief24</f>
        <v>0</v>
      </c>
      <c r="Q494" s="96" t="e">
        <f>IF(ISBLANK(M494),0,L494/ROUND(M494,4))</f>
        <v>#DIV/0!</v>
      </c>
      <c r="R494" s="96" t="e">
        <f>IF(ISBLANK(M494),0,Q494*ROUND(N494,2))</f>
        <v>#DIV/0!</v>
      </c>
      <c r="S494" s="26" t="e">
        <f>ROUND(P494,2)*Q494</f>
        <v>#DIV/0!</v>
      </c>
      <c r="T494" s="96" t="e">
        <f>Q494*dagenperjaar1</f>
        <v>#DIV/0!</v>
      </c>
      <c r="U494" s="27" t="e">
        <f>T494*ROUND(P494,2)</f>
        <v>#DIV/0!</v>
      </c>
    </row>
    <row r="495" spans="1:21" x14ac:dyDescent="0.2">
      <c r="A495" s="93" t="s">
        <v>629</v>
      </c>
      <c r="B495" s="94" t="s">
        <v>42</v>
      </c>
      <c r="C495" s="94" t="s">
        <v>452</v>
      </c>
      <c r="D495" s="94" t="s">
        <v>701</v>
      </c>
      <c r="E495" s="95" t="s">
        <v>702</v>
      </c>
      <c r="F495" s="94" t="s">
        <v>277</v>
      </c>
      <c r="G495" s="94" t="s">
        <v>227</v>
      </c>
      <c r="H495" s="94" t="s">
        <v>24</v>
      </c>
      <c r="I495" s="94" t="s">
        <v>191</v>
      </c>
      <c r="J495" s="94"/>
      <c r="K495" s="96">
        <v>62.44</v>
      </c>
      <c r="L495" s="96">
        <f>K495*VLOOKUP(H495,dagsoorttabel1,2,FALSE)</f>
        <v>0.31219999999999998</v>
      </c>
      <c r="M495" s="97">
        <f>prodnorm35</f>
        <v>0</v>
      </c>
      <c r="N495" s="41">
        <f>dagwerk35</f>
        <v>0</v>
      </c>
      <c r="O495" s="94" t="s">
        <v>108</v>
      </c>
      <c r="P495" s="26">
        <f>uurtarief35</f>
        <v>0</v>
      </c>
      <c r="Q495" s="96" t="e">
        <f>IF(ISBLANK(M495),0,L495/ROUND(M495,4))</f>
        <v>#DIV/0!</v>
      </c>
      <c r="R495" s="96" t="e">
        <f>IF(ISBLANK(M495),0,Q495*ROUND(N495,2))</f>
        <v>#DIV/0!</v>
      </c>
      <c r="S495" s="26" t="e">
        <f>ROUND(P495,2)*Q495</f>
        <v>#DIV/0!</v>
      </c>
      <c r="T495" s="96" t="e">
        <f>Q495*dagenperjaar1</f>
        <v>#DIV/0!</v>
      </c>
      <c r="U495" s="27" t="e">
        <f>T495*ROUND(P495,2)</f>
        <v>#DIV/0!</v>
      </c>
    </row>
    <row r="496" spans="1:21" x14ac:dyDescent="0.2">
      <c r="A496" s="93" t="s">
        <v>629</v>
      </c>
      <c r="B496" s="94" t="s">
        <v>42</v>
      </c>
      <c r="C496" s="94" t="s">
        <v>452</v>
      </c>
      <c r="D496" s="94" t="s">
        <v>703</v>
      </c>
      <c r="E496" s="95" t="s">
        <v>704</v>
      </c>
      <c r="F496" s="94" t="s">
        <v>277</v>
      </c>
      <c r="G496" s="94" t="s">
        <v>227</v>
      </c>
      <c r="H496" s="94" t="s">
        <v>24</v>
      </c>
      <c r="I496" s="94" t="s">
        <v>191</v>
      </c>
      <c r="J496" s="94"/>
      <c r="K496" s="96">
        <v>27.52</v>
      </c>
      <c r="L496" s="96">
        <f>K496*VLOOKUP(H496,dagsoorttabel1,2,FALSE)</f>
        <v>0.1376</v>
      </c>
      <c r="M496" s="97">
        <f>prodnorm35</f>
        <v>0</v>
      </c>
      <c r="N496" s="41">
        <f>dagwerk35</f>
        <v>0</v>
      </c>
      <c r="O496" s="94" t="s">
        <v>108</v>
      </c>
      <c r="P496" s="26">
        <f>uurtarief35</f>
        <v>0</v>
      </c>
      <c r="Q496" s="96" t="e">
        <f>IF(ISBLANK(M496),0,L496/ROUND(M496,4))</f>
        <v>#DIV/0!</v>
      </c>
      <c r="R496" s="96" t="e">
        <f>IF(ISBLANK(M496),0,Q496*ROUND(N496,2))</f>
        <v>#DIV/0!</v>
      </c>
      <c r="S496" s="26" t="e">
        <f>ROUND(P496,2)*Q496</f>
        <v>#DIV/0!</v>
      </c>
      <c r="T496" s="96" t="e">
        <f>Q496*dagenperjaar1</f>
        <v>#DIV/0!</v>
      </c>
      <c r="U496" s="27" t="e">
        <f>T496*ROUND(P496,2)</f>
        <v>#DIV/0!</v>
      </c>
    </row>
    <row r="497" spans="1:21" x14ac:dyDescent="0.2">
      <c r="A497" s="93" t="s">
        <v>629</v>
      </c>
      <c r="B497" s="94" t="s">
        <v>42</v>
      </c>
      <c r="C497" s="94" t="s">
        <v>452</v>
      </c>
      <c r="D497" s="94" t="s">
        <v>703</v>
      </c>
      <c r="E497" s="95" t="s">
        <v>704</v>
      </c>
      <c r="F497" s="94" t="s">
        <v>277</v>
      </c>
      <c r="G497" s="94" t="s">
        <v>229</v>
      </c>
      <c r="H497" s="94" t="s">
        <v>16</v>
      </c>
      <c r="I497" s="94" t="s">
        <v>191</v>
      </c>
      <c r="J497" s="94"/>
      <c r="K497" s="96">
        <v>27.52</v>
      </c>
      <c r="L497" s="96">
        <f>K497*VLOOKUP(H497,dagsoorttabel1,2,FALSE)</f>
        <v>5.5040000000000004</v>
      </c>
      <c r="M497" s="97">
        <f>prodnorm36</f>
        <v>0</v>
      </c>
      <c r="N497" s="41">
        <f>dagwerk36</f>
        <v>0</v>
      </c>
      <c r="O497" s="94" t="s">
        <v>108</v>
      </c>
      <c r="P497" s="26">
        <f>uurtarief36</f>
        <v>0</v>
      </c>
      <c r="Q497" s="96" t="e">
        <f>IF(ISBLANK(M497),0,L497/ROUND(M497,4))</f>
        <v>#DIV/0!</v>
      </c>
      <c r="R497" s="96" t="e">
        <f>IF(ISBLANK(M497),0,Q497*ROUND(N497,2))</f>
        <v>#DIV/0!</v>
      </c>
      <c r="S497" s="26" t="e">
        <f>ROUND(P497,2)*Q497</f>
        <v>#DIV/0!</v>
      </c>
      <c r="T497" s="96" t="e">
        <f>Q497*dagenperjaar1</f>
        <v>#DIV/0!</v>
      </c>
      <c r="U497" s="27" t="e">
        <f>T497*ROUND(P497,2)</f>
        <v>#DIV/0!</v>
      </c>
    </row>
    <row r="498" spans="1:21" x14ac:dyDescent="0.2">
      <c r="A498" s="93" t="s">
        <v>629</v>
      </c>
      <c r="B498" s="94" t="s">
        <v>42</v>
      </c>
      <c r="C498" s="94" t="s">
        <v>452</v>
      </c>
      <c r="D498" s="94" t="s">
        <v>705</v>
      </c>
      <c r="E498" s="95" t="s">
        <v>706</v>
      </c>
      <c r="F498" s="94" t="s">
        <v>277</v>
      </c>
      <c r="G498" s="94" t="s">
        <v>217</v>
      </c>
      <c r="H498" s="94" t="s">
        <v>10</v>
      </c>
      <c r="I498" s="94" t="s">
        <v>191</v>
      </c>
      <c r="J498" s="94"/>
      <c r="K498" s="96">
        <v>70.84</v>
      </c>
      <c r="L498" s="96">
        <f>K498*VLOOKUP(H498,dagsoorttabel1,2,FALSE)</f>
        <v>70.84</v>
      </c>
      <c r="M498" s="97">
        <f>prodnorm29</f>
        <v>0</v>
      </c>
      <c r="N498" s="41">
        <f>dagwerk29</f>
        <v>0</v>
      </c>
      <c r="O498" s="94" t="s">
        <v>108</v>
      </c>
      <c r="P498" s="26">
        <f>uurtarief29</f>
        <v>0</v>
      </c>
      <c r="Q498" s="96" t="e">
        <f>IF(ISBLANK(M498),0,L498/ROUND(M498,4))</f>
        <v>#DIV/0!</v>
      </c>
      <c r="R498" s="96" t="e">
        <f>IF(ISBLANK(M498),0,Q498*ROUND(N498,2))</f>
        <v>#DIV/0!</v>
      </c>
      <c r="S498" s="26" t="e">
        <f>ROUND(P498,2)*Q498</f>
        <v>#DIV/0!</v>
      </c>
      <c r="T498" s="96" t="e">
        <f>Q498*dagenperjaar1</f>
        <v>#DIV/0!</v>
      </c>
      <c r="U498" s="27" t="e">
        <f>T498*ROUND(P498,2)</f>
        <v>#DIV/0!</v>
      </c>
    </row>
    <row r="499" spans="1:21" x14ac:dyDescent="0.2">
      <c r="A499" s="93" t="s">
        <v>629</v>
      </c>
      <c r="B499" s="94" t="s">
        <v>42</v>
      </c>
      <c r="C499" s="94" t="s">
        <v>452</v>
      </c>
      <c r="D499" s="94" t="s">
        <v>705</v>
      </c>
      <c r="E499" s="95" t="s">
        <v>706</v>
      </c>
      <c r="F499" s="94" t="s">
        <v>277</v>
      </c>
      <c r="G499" s="94" t="s">
        <v>227</v>
      </c>
      <c r="H499" s="94" t="s">
        <v>24</v>
      </c>
      <c r="I499" s="94" t="s">
        <v>191</v>
      </c>
      <c r="J499" s="94"/>
      <c r="K499" s="96">
        <v>70.84</v>
      </c>
      <c r="L499" s="96">
        <f>K499*VLOOKUP(H499,dagsoorttabel1,2,FALSE)</f>
        <v>0.35420000000000001</v>
      </c>
      <c r="M499" s="97">
        <f>prodnorm35</f>
        <v>0</v>
      </c>
      <c r="N499" s="41">
        <f>dagwerk35</f>
        <v>0</v>
      </c>
      <c r="O499" s="94" t="s">
        <v>108</v>
      </c>
      <c r="P499" s="26">
        <f>uurtarief35</f>
        <v>0</v>
      </c>
      <c r="Q499" s="96" t="e">
        <f>IF(ISBLANK(M499),0,L499/ROUND(M499,4))</f>
        <v>#DIV/0!</v>
      </c>
      <c r="R499" s="96" t="e">
        <f>IF(ISBLANK(M499),0,Q499*ROUND(N499,2))</f>
        <v>#DIV/0!</v>
      </c>
      <c r="S499" s="26" t="e">
        <f>ROUND(P499,2)*Q499</f>
        <v>#DIV/0!</v>
      </c>
      <c r="T499" s="96" t="e">
        <f>Q499*dagenperjaar1</f>
        <v>#DIV/0!</v>
      </c>
      <c r="U499" s="27" t="e">
        <f>T499*ROUND(P499,2)</f>
        <v>#DIV/0!</v>
      </c>
    </row>
    <row r="500" spans="1:21" x14ac:dyDescent="0.2">
      <c r="A500" s="93" t="s">
        <v>629</v>
      </c>
      <c r="B500" s="94" t="s">
        <v>42</v>
      </c>
      <c r="C500" s="94" t="s">
        <v>452</v>
      </c>
      <c r="D500" s="94" t="s">
        <v>467</v>
      </c>
      <c r="E500" s="95" t="s">
        <v>707</v>
      </c>
      <c r="F500" s="94" t="s">
        <v>277</v>
      </c>
      <c r="G500" s="94" t="s">
        <v>207</v>
      </c>
      <c r="H500" s="94" t="s">
        <v>10</v>
      </c>
      <c r="I500" s="94" t="s">
        <v>191</v>
      </c>
      <c r="J500" s="94"/>
      <c r="K500" s="96">
        <v>62.339999999999996</v>
      </c>
      <c r="L500" s="96">
        <f>K500*VLOOKUP(H500,dagsoorttabel1,2,FALSE)</f>
        <v>62.339999999999996</v>
      </c>
      <c r="M500" s="97">
        <f>prodnorm24</f>
        <v>0</v>
      </c>
      <c r="N500" s="41">
        <f>dagwerk24</f>
        <v>0</v>
      </c>
      <c r="O500" s="94" t="s">
        <v>108</v>
      </c>
      <c r="P500" s="26">
        <f>uurtarief24</f>
        <v>0</v>
      </c>
      <c r="Q500" s="96" t="e">
        <f>IF(ISBLANK(M500),0,L500/ROUND(M500,4))</f>
        <v>#DIV/0!</v>
      </c>
      <c r="R500" s="96" t="e">
        <f>IF(ISBLANK(M500),0,Q500*ROUND(N500,2))</f>
        <v>#DIV/0!</v>
      </c>
      <c r="S500" s="26" t="e">
        <f>ROUND(P500,2)*Q500</f>
        <v>#DIV/0!</v>
      </c>
      <c r="T500" s="96" t="e">
        <f>Q500*dagenperjaar1</f>
        <v>#DIV/0!</v>
      </c>
      <c r="U500" s="27" t="e">
        <f>T500*ROUND(P500,2)</f>
        <v>#DIV/0!</v>
      </c>
    </row>
    <row r="501" spans="1:21" x14ac:dyDescent="0.2">
      <c r="A501" s="93" t="s">
        <v>629</v>
      </c>
      <c r="B501" s="94" t="s">
        <v>42</v>
      </c>
      <c r="C501" s="94" t="s">
        <v>452</v>
      </c>
      <c r="D501" s="94" t="s">
        <v>467</v>
      </c>
      <c r="E501" s="95" t="s">
        <v>707</v>
      </c>
      <c r="F501" s="94" t="s">
        <v>277</v>
      </c>
      <c r="G501" s="94" t="s">
        <v>227</v>
      </c>
      <c r="H501" s="94" t="s">
        <v>24</v>
      </c>
      <c r="I501" s="94" t="s">
        <v>191</v>
      </c>
      <c r="J501" s="94"/>
      <c r="K501" s="96">
        <v>62.339999999999996</v>
      </c>
      <c r="L501" s="96">
        <f>K501*VLOOKUP(H501,dagsoorttabel1,2,FALSE)</f>
        <v>0.31169999999999998</v>
      </c>
      <c r="M501" s="97">
        <f>prodnorm35</f>
        <v>0</v>
      </c>
      <c r="N501" s="41">
        <f>dagwerk35</f>
        <v>0</v>
      </c>
      <c r="O501" s="94" t="s">
        <v>108</v>
      </c>
      <c r="P501" s="26">
        <f>uurtarief35</f>
        <v>0</v>
      </c>
      <c r="Q501" s="96" t="e">
        <f>IF(ISBLANK(M501),0,L501/ROUND(M501,4))</f>
        <v>#DIV/0!</v>
      </c>
      <c r="R501" s="96" t="e">
        <f>IF(ISBLANK(M501),0,Q501*ROUND(N501,2))</f>
        <v>#DIV/0!</v>
      </c>
      <c r="S501" s="26" t="e">
        <f>ROUND(P501,2)*Q501</f>
        <v>#DIV/0!</v>
      </c>
      <c r="T501" s="96" t="e">
        <f>Q501*dagenperjaar1</f>
        <v>#DIV/0!</v>
      </c>
      <c r="U501" s="27" t="e">
        <f>T501*ROUND(P501,2)</f>
        <v>#DIV/0!</v>
      </c>
    </row>
    <row r="502" spans="1:21" x14ac:dyDescent="0.2">
      <c r="A502" s="93" t="s">
        <v>629</v>
      </c>
      <c r="B502" s="94" t="s">
        <v>42</v>
      </c>
      <c r="C502" s="94" t="s">
        <v>452</v>
      </c>
      <c r="D502" s="94" t="s">
        <v>468</v>
      </c>
      <c r="E502" s="95" t="s">
        <v>284</v>
      </c>
      <c r="F502" s="94" t="s">
        <v>277</v>
      </c>
      <c r="G502" s="94" t="s">
        <v>225</v>
      </c>
      <c r="H502" s="94" t="s">
        <v>10</v>
      </c>
      <c r="I502" s="94" t="s">
        <v>191</v>
      </c>
      <c r="J502" s="94"/>
      <c r="K502" s="96">
        <v>31.439999999999998</v>
      </c>
      <c r="L502" s="96">
        <f>K502*VLOOKUP(H502,dagsoorttabel1,2,FALSE)</f>
        <v>31.439999999999998</v>
      </c>
      <c r="M502" s="97">
        <f>prodnorm34</f>
        <v>0</v>
      </c>
      <c r="N502" s="41">
        <f>dagwerk34</f>
        <v>0</v>
      </c>
      <c r="O502" s="94" t="s">
        <v>108</v>
      </c>
      <c r="P502" s="26">
        <f>uurtarief34</f>
        <v>0</v>
      </c>
      <c r="Q502" s="96" t="e">
        <f>IF(ISBLANK(M502),0,L502/ROUND(M502,4))</f>
        <v>#DIV/0!</v>
      </c>
      <c r="R502" s="96" t="e">
        <f>IF(ISBLANK(M502),0,Q502*ROUND(N502,2))</f>
        <v>#DIV/0!</v>
      </c>
      <c r="S502" s="26" t="e">
        <f>ROUND(P502,2)*Q502</f>
        <v>#DIV/0!</v>
      </c>
      <c r="T502" s="96" t="e">
        <f>Q502*dagenperjaar1</f>
        <v>#DIV/0!</v>
      </c>
      <c r="U502" s="27" t="e">
        <f>T502*ROUND(P502,2)</f>
        <v>#DIV/0!</v>
      </c>
    </row>
    <row r="503" spans="1:21" x14ac:dyDescent="0.2">
      <c r="A503" s="93" t="s">
        <v>629</v>
      </c>
      <c r="B503" s="94" t="s">
        <v>42</v>
      </c>
      <c r="C503" s="94" t="s">
        <v>452</v>
      </c>
      <c r="D503" s="94" t="s">
        <v>468</v>
      </c>
      <c r="E503" s="95" t="s">
        <v>284</v>
      </c>
      <c r="F503" s="94" t="s">
        <v>277</v>
      </c>
      <c r="G503" s="94" t="s">
        <v>227</v>
      </c>
      <c r="H503" s="94" t="s">
        <v>24</v>
      </c>
      <c r="I503" s="94" t="s">
        <v>191</v>
      </c>
      <c r="J503" s="94"/>
      <c r="K503" s="96">
        <v>31.439999999999998</v>
      </c>
      <c r="L503" s="96">
        <f>K503*VLOOKUP(H503,dagsoorttabel1,2,FALSE)</f>
        <v>0.15719999999999998</v>
      </c>
      <c r="M503" s="97">
        <f>prodnorm35</f>
        <v>0</v>
      </c>
      <c r="N503" s="41">
        <f>dagwerk35</f>
        <v>0</v>
      </c>
      <c r="O503" s="94" t="s">
        <v>108</v>
      </c>
      <c r="P503" s="26">
        <f>uurtarief35</f>
        <v>0</v>
      </c>
      <c r="Q503" s="96" t="e">
        <f>IF(ISBLANK(M503),0,L503/ROUND(M503,4))</f>
        <v>#DIV/0!</v>
      </c>
      <c r="R503" s="96" t="e">
        <f>IF(ISBLANK(M503),0,Q503*ROUND(N503,2))</f>
        <v>#DIV/0!</v>
      </c>
      <c r="S503" s="26" t="e">
        <f>ROUND(P503,2)*Q503</f>
        <v>#DIV/0!</v>
      </c>
      <c r="T503" s="96" t="e">
        <f>Q503*dagenperjaar1</f>
        <v>#DIV/0!</v>
      </c>
      <c r="U503" s="27" t="e">
        <f>T503*ROUND(P503,2)</f>
        <v>#DIV/0!</v>
      </c>
    </row>
    <row r="504" spans="1:21" x14ac:dyDescent="0.2">
      <c r="A504" s="93" t="s">
        <v>629</v>
      </c>
      <c r="B504" s="94" t="s">
        <v>42</v>
      </c>
      <c r="C504" s="94" t="s">
        <v>452</v>
      </c>
      <c r="D504" s="94" t="s">
        <v>469</v>
      </c>
      <c r="E504" s="95" t="s">
        <v>708</v>
      </c>
      <c r="F504" s="94" t="s">
        <v>277</v>
      </c>
      <c r="G504" s="94" t="s">
        <v>207</v>
      </c>
      <c r="H504" s="94" t="s">
        <v>10</v>
      </c>
      <c r="I504" s="94" t="s">
        <v>191</v>
      </c>
      <c r="J504" s="94"/>
      <c r="K504" s="96">
        <v>62.730000000000004</v>
      </c>
      <c r="L504" s="96">
        <f>K504*VLOOKUP(H504,dagsoorttabel1,2,FALSE)</f>
        <v>62.730000000000004</v>
      </c>
      <c r="M504" s="97">
        <f>prodnorm24</f>
        <v>0</v>
      </c>
      <c r="N504" s="41">
        <f>dagwerk24</f>
        <v>0</v>
      </c>
      <c r="O504" s="94" t="s">
        <v>108</v>
      </c>
      <c r="P504" s="26">
        <f>uurtarief24</f>
        <v>0</v>
      </c>
      <c r="Q504" s="96" t="e">
        <f>IF(ISBLANK(M504),0,L504/ROUND(M504,4))</f>
        <v>#DIV/0!</v>
      </c>
      <c r="R504" s="96" t="e">
        <f>IF(ISBLANK(M504),0,Q504*ROUND(N504,2))</f>
        <v>#DIV/0!</v>
      </c>
      <c r="S504" s="26" t="e">
        <f>ROUND(P504,2)*Q504</f>
        <v>#DIV/0!</v>
      </c>
      <c r="T504" s="96" t="e">
        <f>Q504*dagenperjaar1</f>
        <v>#DIV/0!</v>
      </c>
      <c r="U504" s="27" t="e">
        <f>T504*ROUND(P504,2)</f>
        <v>#DIV/0!</v>
      </c>
    </row>
    <row r="505" spans="1:21" x14ac:dyDescent="0.2">
      <c r="A505" s="93" t="s">
        <v>629</v>
      </c>
      <c r="B505" s="94" t="s">
        <v>42</v>
      </c>
      <c r="C505" s="94" t="s">
        <v>452</v>
      </c>
      <c r="D505" s="94" t="s">
        <v>469</v>
      </c>
      <c r="E505" s="95" t="s">
        <v>708</v>
      </c>
      <c r="F505" s="94" t="s">
        <v>277</v>
      </c>
      <c r="G505" s="94" t="s">
        <v>227</v>
      </c>
      <c r="H505" s="94" t="s">
        <v>24</v>
      </c>
      <c r="I505" s="94" t="s">
        <v>191</v>
      </c>
      <c r="J505" s="94"/>
      <c r="K505" s="96">
        <v>62.730000000000004</v>
      </c>
      <c r="L505" s="96">
        <f>K505*VLOOKUP(H505,dagsoorttabel1,2,FALSE)</f>
        <v>0.31365000000000004</v>
      </c>
      <c r="M505" s="97">
        <f>prodnorm35</f>
        <v>0</v>
      </c>
      <c r="N505" s="41">
        <f>dagwerk35</f>
        <v>0</v>
      </c>
      <c r="O505" s="94" t="s">
        <v>108</v>
      </c>
      <c r="P505" s="26">
        <f>uurtarief35</f>
        <v>0</v>
      </c>
      <c r="Q505" s="96" t="e">
        <f>IF(ISBLANK(M505),0,L505/ROUND(M505,4))</f>
        <v>#DIV/0!</v>
      </c>
      <c r="R505" s="96" t="e">
        <f>IF(ISBLANK(M505),0,Q505*ROUND(N505,2))</f>
        <v>#DIV/0!</v>
      </c>
      <c r="S505" s="26" t="e">
        <f>ROUND(P505,2)*Q505</f>
        <v>#DIV/0!</v>
      </c>
      <c r="T505" s="96" t="e">
        <f>Q505*dagenperjaar1</f>
        <v>#DIV/0!</v>
      </c>
      <c r="U505" s="27" t="e">
        <f>T505*ROUND(P505,2)</f>
        <v>#DIV/0!</v>
      </c>
    </row>
    <row r="506" spans="1:21" x14ac:dyDescent="0.2">
      <c r="A506" s="93" t="s">
        <v>629</v>
      </c>
      <c r="B506" s="94" t="s">
        <v>42</v>
      </c>
      <c r="C506" s="94" t="s">
        <v>452</v>
      </c>
      <c r="D506" s="94" t="s">
        <v>471</v>
      </c>
      <c r="E506" s="95" t="s">
        <v>697</v>
      </c>
      <c r="F506" s="94" t="s">
        <v>657</v>
      </c>
      <c r="G506" s="94" t="s">
        <v>223</v>
      </c>
      <c r="H506" s="94" t="s">
        <v>10</v>
      </c>
      <c r="I506" s="94" t="s">
        <v>191</v>
      </c>
      <c r="J506" s="94"/>
      <c r="K506" s="96">
        <v>152.9</v>
      </c>
      <c r="L506" s="96">
        <f>K506*VLOOKUP(H506,dagsoorttabel1,2,FALSE)</f>
        <v>152.9</v>
      </c>
      <c r="M506" s="97">
        <f>prodnorm32</f>
        <v>0</v>
      </c>
      <c r="N506" s="41">
        <f>dagwerk32</f>
        <v>0</v>
      </c>
      <c r="O506" s="94" t="s">
        <v>108</v>
      </c>
      <c r="P506" s="26">
        <f>uurtarief32</f>
        <v>0</v>
      </c>
      <c r="Q506" s="96" t="e">
        <f>IF(ISBLANK(M506),0,L506/ROUND(M506,4))</f>
        <v>#DIV/0!</v>
      </c>
      <c r="R506" s="96" t="e">
        <f>IF(ISBLANK(M506),0,Q506*ROUND(N506,2))</f>
        <v>#DIV/0!</v>
      </c>
      <c r="S506" s="26" t="e">
        <f>ROUND(P506,2)*Q506</f>
        <v>#DIV/0!</v>
      </c>
      <c r="T506" s="96" t="e">
        <f>Q506*dagenperjaar1</f>
        <v>#DIV/0!</v>
      </c>
      <c r="U506" s="27" t="e">
        <f>T506*ROUND(P506,2)</f>
        <v>#DIV/0!</v>
      </c>
    </row>
    <row r="507" spans="1:21" x14ac:dyDescent="0.2">
      <c r="A507" s="93" t="s">
        <v>629</v>
      </c>
      <c r="B507" s="94" t="s">
        <v>42</v>
      </c>
      <c r="C507" s="94" t="s">
        <v>452</v>
      </c>
      <c r="D507" s="94" t="s">
        <v>709</v>
      </c>
      <c r="E507" s="95" t="s">
        <v>710</v>
      </c>
      <c r="F507" s="94" t="s">
        <v>711</v>
      </c>
      <c r="G507" s="94" t="s">
        <v>190</v>
      </c>
      <c r="H507" s="94" t="s">
        <v>10</v>
      </c>
      <c r="I507" s="94" t="s">
        <v>191</v>
      </c>
      <c r="J507" s="94"/>
      <c r="K507" s="96">
        <v>267.95</v>
      </c>
      <c r="L507" s="96">
        <f>K507*VLOOKUP(H507,dagsoorttabel1,2,FALSE)</f>
        <v>267.95</v>
      </c>
      <c r="M507" s="97">
        <f>prodnorm12</f>
        <v>0</v>
      </c>
      <c r="N507" s="41">
        <f>dagwerk12</f>
        <v>0</v>
      </c>
      <c r="O507" s="94" t="s">
        <v>108</v>
      </c>
      <c r="P507" s="26">
        <f>uurtarief12</f>
        <v>0</v>
      </c>
      <c r="Q507" s="96" t="e">
        <f>IF(ISBLANK(M507),0,L507/ROUND(M507,4))</f>
        <v>#DIV/0!</v>
      </c>
      <c r="R507" s="96" t="e">
        <f>IF(ISBLANK(M507),0,Q507*ROUND(N507,2))</f>
        <v>#DIV/0!</v>
      </c>
      <c r="S507" s="26" t="e">
        <f>ROUND(P507,2)*Q507</f>
        <v>#DIV/0!</v>
      </c>
      <c r="T507" s="96" t="e">
        <f>Q507*dagenperjaar1</f>
        <v>#DIV/0!</v>
      </c>
      <c r="U507" s="27" t="e">
        <f>T507*ROUND(P507,2)</f>
        <v>#DIV/0!</v>
      </c>
    </row>
    <row r="508" spans="1:21" x14ac:dyDescent="0.2">
      <c r="A508" s="93" t="s">
        <v>629</v>
      </c>
      <c r="B508" s="94" t="s">
        <v>42</v>
      </c>
      <c r="C508" s="94" t="s">
        <v>452</v>
      </c>
      <c r="D508" s="94" t="s">
        <v>712</v>
      </c>
      <c r="E508" s="95" t="s">
        <v>713</v>
      </c>
      <c r="F508" s="94" t="s">
        <v>434</v>
      </c>
      <c r="G508" s="94" t="s">
        <v>190</v>
      </c>
      <c r="H508" s="94" t="s">
        <v>14</v>
      </c>
      <c r="I508" s="94" t="s">
        <v>191</v>
      </c>
      <c r="J508" s="94"/>
      <c r="K508" s="96">
        <v>104</v>
      </c>
      <c r="L508" s="96">
        <f>K508*VLOOKUP(H508,dagsoorttabel1,2,FALSE)</f>
        <v>41.6</v>
      </c>
      <c r="M508" s="97">
        <f>prodnorm13</f>
        <v>0</v>
      </c>
      <c r="N508" s="41">
        <f>dagwerk13</f>
        <v>0</v>
      </c>
      <c r="O508" s="94" t="s">
        <v>108</v>
      </c>
      <c r="P508" s="26">
        <f>uurtarief13</f>
        <v>0</v>
      </c>
      <c r="Q508" s="96" t="e">
        <f>IF(ISBLANK(M508),0,L508/ROUND(M508,4))</f>
        <v>#DIV/0!</v>
      </c>
      <c r="R508" s="96" t="e">
        <f>IF(ISBLANK(M508),0,Q508*ROUND(N508,2))</f>
        <v>#DIV/0!</v>
      </c>
      <c r="S508" s="26" t="e">
        <f>ROUND(P508,2)*Q508</f>
        <v>#DIV/0!</v>
      </c>
      <c r="T508" s="96" t="e">
        <f>Q508*dagenperjaar1</f>
        <v>#DIV/0!</v>
      </c>
      <c r="U508" s="27" t="e">
        <f>T508*ROUND(P508,2)</f>
        <v>#DIV/0!</v>
      </c>
    </row>
    <row r="509" spans="1:21" x14ac:dyDescent="0.2">
      <c r="A509" s="93" t="s">
        <v>629</v>
      </c>
      <c r="B509" s="94" t="s">
        <v>42</v>
      </c>
      <c r="C509" s="94" t="s">
        <v>452</v>
      </c>
      <c r="D509" s="94" t="s">
        <v>712</v>
      </c>
      <c r="E509" s="95" t="s">
        <v>713</v>
      </c>
      <c r="F509" s="94" t="s">
        <v>434</v>
      </c>
      <c r="G509" s="94" t="s">
        <v>229</v>
      </c>
      <c r="H509" s="94" t="s">
        <v>16</v>
      </c>
      <c r="I509" s="94" t="s">
        <v>191</v>
      </c>
      <c r="J509" s="94"/>
      <c r="K509" s="96">
        <v>104</v>
      </c>
      <c r="L509" s="96">
        <f>K509*VLOOKUP(H509,dagsoorttabel1,2,FALSE)</f>
        <v>20.8</v>
      </c>
      <c r="M509" s="97">
        <f>prodnorm36</f>
        <v>0</v>
      </c>
      <c r="N509" s="41">
        <f>dagwerk36</f>
        <v>0</v>
      </c>
      <c r="O509" s="94" t="s">
        <v>108</v>
      </c>
      <c r="P509" s="26">
        <f>uurtarief36</f>
        <v>0</v>
      </c>
      <c r="Q509" s="96" t="e">
        <f>IF(ISBLANK(M509),0,L509/ROUND(M509,4))</f>
        <v>#DIV/0!</v>
      </c>
      <c r="R509" s="96" t="e">
        <f>IF(ISBLANK(M509),0,Q509*ROUND(N509,2))</f>
        <v>#DIV/0!</v>
      </c>
      <c r="S509" s="26" t="e">
        <f>ROUND(P509,2)*Q509</f>
        <v>#DIV/0!</v>
      </c>
      <c r="T509" s="96" t="e">
        <f>Q509*dagenperjaar1</f>
        <v>#DIV/0!</v>
      </c>
      <c r="U509" s="27" t="e">
        <f>T509*ROUND(P509,2)</f>
        <v>#DIV/0!</v>
      </c>
    </row>
    <row r="510" spans="1:21" x14ac:dyDescent="0.2">
      <c r="A510" s="93" t="s">
        <v>629</v>
      </c>
      <c r="B510" s="94" t="s">
        <v>42</v>
      </c>
      <c r="C510" s="94" t="s">
        <v>452</v>
      </c>
      <c r="D510" s="94" t="s">
        <v>714</v>
      </c>
      <c r="E510" s="95" t="s">
        <v>697</v>
      </c>
      <c r="F510" s="94" t="s">
        <v>434</v>
      </c>
      <c r="G510" s="94" t="s">
        <v>223</v>
      </c>
      <c r="H510" s="94" t="s">
        <v>14</v>
      </c>
      <c r="I510" s="94" t="s">
        <v>191</v>
      </c>
      <c r="J510" s="94"/>
      <c r="K510" s="96">
        <v>5.2</v>
      </c>
      <c r="L510" s="96">
        <f>K510*VLOOKUP(H510,dagsoorttabel1,2,FALSE)</f>
        <v>2.08</v>
      </c>
      <c r="M510" s="97">
        <f>prodnorm33</f>
        <v>0</v>
      </c>
      <c r="N510" s="41">
        <f>dagwerk33</f>
        <v>0</v>
      </c>
      <c r="O510" s="94" t="s">
        <v>108</v>
      </c>
      <c r="P510" s="26">
        <f>uurtarief33</f>
        <v>0</v>
      </c>
      <c r="Q510" s="96" t="e">
        <f>IF(ISBLANK(M510),0,L510/ROUND(M510,4))</f>
        <v>#DIV/0!</v>
      </c>
      <c r="R510" s="96" t="e">
        <f>IF(ISBLANK(M510),0,Q510*ROUND(N510,2))</f>
        <v>#DIV/0!</v>
      </c>
      <c r="S510" s="26" t="e">
        <f>ROUND(P510,2)*Q510</f>
        <v>#DIV/0!</v>
      </c>
      <c r="T510" s="96" t="e">
        <f>Q510*dagenperjaar1</f>
        <v>#DIV/0!</v>
      </c>
      <c r="U510" s="27" t="e">
        <f>T510*ROUND(P510,2)</f>
        <v>#DIV/0!</v>
      </c>
    </row>
    <row r="511" spans="1:21" x14ac:dyDescent="0.2">
      <c r="A511" s="93" t="s">
        <v>629</v>
      </c>
      <c r="B511" s="94" t="s">
        <v>42</v>
      </c>
      <c r="C511" s="94" t="s">
        <v>452</v>
      </c>
      <c r="D511" s="94" t="s">
        <v>715</v>
      </c>
      <c r="E511" s="95" t="s">
        <v>716</v>
      </c>
      <c r="F511" s="94" t="s">
        <v>277</v>
      </c>
      <c r="G511" s="94" t="s">
        <v>225</v>
      </c>
      <c r="H511" s="94" t="s">
        <v>10</v>
      </c>
      <c r="I511" s="94" t="s">
        <v>191</v>
      </c>
      <c r="J511" s="94"/>
      <c r="K511" s="96">
        <v>70.599999999999994</v>
      </c>
      <c r="L511" s="96">
        <f>K511*VLOOKUP(H511,dagsoorttabel1,2,FALSE)</f>
        <v>70.599999999999994</v>
      </c>
      <c r="M511" s="97">
        <f>prodnorm34</f>
        <v>0</v>
      </c>
      <c r="N511" s="41">
        <f>dagwerk34</f>
        <v>0</v>
      </c>
      <c r="O511" s="94" t="s">
        <v>108</v>
      </c>
      <c r="P511" s="26">
        <f>uurtarief34</f>
        <v>0</v>
      </c>
      <c r="Q511" s="96" t="e">
        <f>IF(ISBLANK(M511),0,L511/ROUND(M511,4))</f>
        <v>#DIV/0!</v>
      </c>
      <c r="R511" s="96" t="e">
        <f>IF(ISBLANK(M511),0,Q511*ROUND(N511,2))</f>
        <v>#DIV/0!</v>
      </c>
      <c r="S511" s="26" t="e">
        <f>ROUND(P511,2)*Q511</f>
        <v>#DIV/0!</v>
      </c>
      <c r="T511" s="96" t="e">
        <f>Q511*dagenperjaar1</f>
        <v>#DIV/0!</v>
      </c>
      <c r="U511" s="27" t="e">
        <f>T511*ROUND(P511,2)</f>
        <v>#DIV/0!</v>
      </c>
    </row>
    <row r="512" spans="1:21" x14ac:dyDescent="0.2">
      <c r="A512" s="93" t="s">
        <v>629</v>
      </c>
      <c r="B512" s="94" t="s">
        <v>42</v>
      </c>
      <c r="C512" s="94" t="s">
        <v>452</v>
      </c>
      <c r="D512" s="94" t="s">
        <v>715</v>
      </c>
      <c r="E512" s="95" t="s">
        <v>716</v>
      </c>
      <c r="F512" s="94" t="s">
        <v>277</v>
      </c>
      <c r="G512" s="94" t="s">
        <v>227</v>
      </c>
      <c r="H512" s="94" t="s">
        <v>24</v>
      </c>
      <c r="I512" s="94" t="s">
        <v>191</v>
      </c>
      <c r="J512" s="94"/>
      <c r="K512" s="96">
        <v>70.599999999999994</v>
      </c>
      <c r="L512" s="96">
        <f>K512*VLOOKUP(H512,dagsoorttabel1,2,FALSE)</f>
        <v>0.35299999999999998</v>
      </c>
      <c r="M512" s="97">
        <f>prodnorm35</f>
        <v>0</v>
      </c>
      <c r="N512" s="41">
        <f>dagwerk35</f>
        <v>0</v>
      </c>
      <c r="O512" s="94" t="s">
        <v>108</v>
      </c>
      <c r="P512" s="26">
        <f>uurtarief35</f>
        <v>0</v>
      </c>
      <c r="Q512" s="96" t="e">
        <f>IF(ISBLANK(M512),0,L512/ROUND(M512,4))</f>
        <v>#DIV/0!</v>
      </c>
      <c r="R512" s="96" t="e">
        <f>IF(ISBLANK(M512),0,Q512*ROUND(N512,2))</f>
        <v>#DIV/0!</v>
      </c>
      <c r="S512" s="26" t="e">
        <f>ROUND(P512,2)*Q512</f>
        <v>#DIV/0!</v>
      </c>
      <c r="T512" s="96" t="e">
        <f>Q512*dagenperjaar1</f>
        <v>#DIV/0!</v>
      </c>
      <c r="U512" s="27" t="e">
        <f>T512*ROUND(P512,2)</f>
        <v>#DIV/0!</v>
      </c>
    </row>
    <row r="513" spans="1:21" x14ac:dyDescent="0.2">
      <c r="A513" s="93" t="s">
        <v>629</v>
      </c>
      <c r="B513" s="94" t="s">
        <v>42</v>
      </c>
      <c r="C513" s="94" t="s">
        <v>452</v>
      </c>
      <c r="D513" s="94" t="s">
        <v>506</v>
      </c>
      <c r="E513" s="95" t="s">
        <v>716</v>
      </c>
      <c r="F513" s="94" t="s">
        <v>277</v>
      </c>
      <c r="G513" s="94" t="s">
        <v>225</v>
      </c>
      <c r="H513" s="94" t="s">
        <v>10</v>
      </c>
      <c r="I513" s="94" t="s">
        <v>191</v>
      </c>
      <c r="J513" s="94"/>
      <c r="K513" s="96">
        <v>35</v>
      </c>
      <c r="L513" s="96">
        <f>K513*VLOOKUP(H513,dagsoorttabel1,2,FALSE)</f>
        <v>35</v>
      </c>
      <c r="M513" s="97">
        <f>prodnorm34</f>
        <v>0</v>
      </c>
      <c r="N513" s="41">
        <f>dagwerk34</f>
        <v>0</v>
      </c>
      <c r="O513" s="94" t="s">
        <v>108</v>
      </c>
      <c r="P513" s="26">
        <f>uurtarief34</f>
        <v>0</v>
      </c>
      <c r="Q513" s="96" t="e">
        <f>IF(ISBLANK(M513),0,L513/ROUND(M513,4))</f>
        <v>#DIV/0!</v>
      </c>
      <c r="R513" s="96" t="e">
        <f>IF(ISBLANK(M513),0,Q513*ROUND(N513,2))</f>
        <v>#DIV/0!</v>
      </c>
      <c r="S513" s="26" t="e">
        <f>ROUND(P513,2)*Q513</f>
        <v>#DIV/0!</v>
      </c>
      <c r="T513" s="96" t="e">
        <f>Q513*dagenperjaar1</f>
        <v>#DIV/0!</v>
      </c>
      <c r="U513" s="27" t="e">
        <f>T513*ROUND(P513,2)</f>
        <v>#DIV/0!</v>
      </c>
    </row>
    <row r="514" spans="1:21" x14ac:dyDescent="0.2">
      <c r="A514" s="93" t="s">
        <v>629</v>
      </c>
      <c r="B514" s="94" t="s">
        <v>42</v>
      </c>
      <c r="C514" s="94" t="s">
        <v>452</v>
      </c>
      <c r="D514" s="94" t="s">
        <v>506</v>
      </c>
      <c r="E514" s="95" t="s">
        <v>716</v>
      </c>
      <c r="F514" s="94" t="s">
        <v>277</v>
      </c>
      <c r="G514" s="94" t="s">
        <v>227</v>
      </c>
      <c r="H514" s="94" t="s">
        <v>24</v>
      </c>
      <c r="I514" s="94" t="s">
        <v>191</v>
      </c>
      <c r="J514" s="94"/>
      <c r="K514" s="96">
        <v>35</v>
      </c>
      <c r="L514" s="96">
        <f>K514*VLOOKUP(H514,dagsoorttabel1,2,FALSE)</f>
        <v>0.17500000000000002</v>
      </c>
      <c r="M514" s="97">
        <f>prodnorm35</f>
        <v>0</v>
      </c>
      <c r="N514" s="41">
        <f>dagwerk35</f>
        <v>0</v>
      </c>
      <c r="O514" s="94" t="s">
        <v>108</v>
      </c>
      <c r="P514" s="26">
        <f>uurtarief35</f>
        <v>0</v>
      </c>
      <c r="Q514" s="96" t="e">
        <f>IF(ISBLANK(M514),0,L514/ROUND(M514,4))</f>
        <v>#DIV/0!</v>
      </c>
      <c r="R514" s="96" t="e">
        <f>IF(ISBLANK(M514),0,Q514*ROUND(N514,2))</f>
        <v>#DIV/0!</v>
      </c>
      <c r="S514" s="26" t="e">
        <f>ROUND(P514,2)*Q514</f>
        <v>#DIV/0!</v>
      </c>
      <c r="T514" s="96" t="e">
        <f>Q514*dagenperjaar1</f>
        <v>#DIV/0!</v>
      </c>
      <c r="U514" s="27" t="e">
        <f>T514*ROUND(P514,2)</f>
        <v>#DIV/0!</v>
      </c>
    </row>
    <row r="515" spans="1:21" x14ac:dyDescent="0.2">
      <c r="A515" s="93" t="s">
        <v>629</v>
      </c>
      <c r="B515" s="94" t="s">
        <v>42</v>
      </c>
      <c r="C515" s="94" t="s">
        <v>452</v>
      </c>
      <c r="D515" s="94" t="s">
        <v>507</v>
      </c>
      <c r="E515" s="95" t="s">
        <v>679</v>
      </c>
      <c r="F515" s="94" t="s">
        <v>269</v>
      </c>
      <c r="G515" s="94" t="s">
        <v>205</v>
      </c>
      <c r="H515" s="94" t="s">
        <v>10</v>
      </c>
      <c r="I515" s="94" t="s">
        <v>191</v>
      </c>
      <c r="J515" s="94"/>
      <c r="K515" s="96">
        <v>26</v>
      </c>
      <c r="L515" s="96">
        <f>K515*VLOOKUP(H515,dagsoorttabel1,2,FALSE)</f>
        <v>26</v>
      </c>
      <c r="M515" s="97">
        <f>prodnorm23</f>
        <v>0</v>
      </c>
      <c r="N515" s="41">
        <f>dagwerk23</f>
        <v>0</v>
      </c>
      <c r="O515" s="94" t="s">
        <v>108</v>
      </c>
      <c r="P515" s="26">
        <f>uurtarief23</f>
        <v>0</v>
      </c>
      <c r="Q515" s="96" t="e">
        <f>IF(ISBLANK(M515),0,L515/ROUND(M515,4))</f>
        <v>#DIV/0!</v>
      </c>
      <c r="R515" s="96" t="e">
        <f>IF(ISBLANK(M515),0,Q515*ROUND(N515,2))</f>
        <v>#DIV/0!</v>
      </c>
      <c r="S515" s="26" t="e">
        <f>ROUND(P515,2)*Q515</f>
        <v>#DIV/0!</v>
      </c>
      <c r="T515" s="96" t="e">
        <f>Q515*dagenperjaar1</f>
        <v>#DIV/0!</v>
      </c>
      <c r="U515" s="27" t="e">
        <f>T515*ROUND(P515,2)</f>
        <v>#DIV/0!</v>
      </c>
    </row>
    <row r="516" spans="1:21" x14ac:dyDescent="0.2">
      <c r="A516" s="93" t="s">
        <v>629</v>
      </c>
      <c r="B516" s="94" t="s">
        <v>42</v>
      </c>
      <c r="C516" s="94" t="s">
        <v>452</v>
      </c>
      <c r="D516" s="94" t="s">
        <v>508</v>
      </c>
      <c r="E516" s="95" t="s">
        <v>717</v>
      </c>
      <c r="F516" s="94" t="s">
        <v>269</v>
      </c>
      <c r="G516" s="94" t="s">
        <v>205</v>
      </c>
      <c r="H516" s="94" t="s">
        <v>10</v>
      </c>
      <c r="I516" s="94" t="s">
        <v>191</v>
      </c>
      <c r="J516" s="94"/>
      <c r="K516" s="96">
        <v>30</v>
      </c>
      <c r="L516" s="96">
        <f>K516*VLOOKUP(H516,dagsoorttabel1,2,FALSE)</f>
        <v>30</v>
      </c>
      <c r="M516" s="97">
        <f>prodnorm23</f>
        <v>0</v>
      </c>
      <c r="N516" s="41">
        <f>dagwerk23</f>
        <v>0</v>
      </c>
      <c r="O516" s="94" t="s">
        <v>108</v>
      </c>
      <c r="P516" s="26">
        <f>uurtarief23</f>
        <v>0</v>
      </c>
      <c r="Q516" s="96" t="e">
        <f>IF(ISBLANK(M516),0,L516/ROUND(M516,4))</f>
        <v>#DIV/0!</v>
      </c>
      <c r="R516" s="96" t="e">
        <f>IF(ISBLANK(M516),0,Q516*ROUND(N516,2))</f>
        <v>#DIV/0!</v>
      </c>
      <c r="S516" s="26" t="e">
        <f>ROUND(P516,2)*Q516</f>
        <v>#DIV/0!</v>
      </c>
      <c r="T516" s="96" t="e">
        <f>Q516*dagenperjaar1</f>
        <v>#DIV/0!</v>
      </c>
      <c r="U516" s="27" t="e">
        <f>T516*ROUND(P516,2)</f>
        <v>#DIV/0!</v>
      </c>
    </row>
    <row r="517" spans="1:21" x14ac:dyDescent="0.2">
      <c r="A517" s="93" t="s">
        <v>629</v>
      </c>
      <c r="B517" s="94" t="s">
        <v>42</v>
      </c>
      <c r="C517" s="94" t="s">
        <v>452</v>
      </c>
      <c r="D517" s="94" t="s">
        <v>509</v>
      </c>
      <c r="E517" s="95" t="s">
        <v>682</v>
      </c>
      <c r="F517" s="94" t="s">
        <v>269</v>
      </c>
      <c r="G517" s="94" t="s">
        <v>219</v>
      </c>
      <c r="H517" s="94" t="s">
        <v>10</v>
      </c>
      <c r="I517" s="94" t="s">
        <v>191</v>
      </c>
      <c r="J517" s="94"/>
      <c r="K517" s="96">
        <v>7.25</v>
      </c>
      <c r="L517" s="96">
        <f>K517*VLOOKUP(H517,dagsoorttabel1,2,FALSE)</f>
        <v>7.25</v>
      </c>
      <c r="M517" s="97">
        <f>prodnorm30</f>
        <v>0</v>
      </c>
      <c r="N517" s="41">
        <f>dagwerk30</f>
        <v>0</v>
      </c>
      <c r="O517" s="94" t="s">
        <v>108</v>
      </c>
      <c r="P517" s="26">
        <f>uurtarief30</f>
        <v>0</v>
      </c>
      <c r="Q517" s="96" t="e">
        <f>IF(ISBLANK(M517),0,L517/ROUND(M517,4))</f>
        <v>#DIV/0!</v>
      </c>
      <c r="R517" s="96" t="e">
        <f>IF(ISBLANK(M517),0,Q517*ROUND(N517,2))</f>
        <v>#DIV/0!</v>
      </c>
      <c r="S517" s="26" t="e">
        <f>ROUND(P517,2)*Q517</f>
        <v>#DIV/0!</v>
      </c>
      <c r="T517" s="96" t="e">
        <f>Q517*dagenperjaar1</f>
        <v>#DIV/0!</v>
      </c>
      <c r="U517" s="27" t="e">
        <f>T517*ROUND(P517,2)</f>
        <v>#DIV/0!</v>
      </c>
    </row>
    <row r="518" spans="1:21" x14ac:dyDescent="0.2">
      <c r="A518" s="93" t="s">
        <v>629</v>
      </c>
      <c r="B518" s="94" t="s">
        <v>42</v>
      </c>
      <c r="C518" s="94" t="s">
        <v>452</v>
      </c>
      <c r="D518" s="94" t="s">
        <v>511</v>
      </c>
      <c r="E518" s="95" t="s">
        <v>718</v>
      </c>
      <c r="F518" s="94" t="s">
        <v>277</v>
      </c>
      <c r="G518" s="94" t="s">
        <v>193</v>
      </c>
      <c r="H518" s="94" t="s">
        <v>14</v>
      </c>
      <c r="I518" s="94" t="s">
        <v>191</v>
      </c>
      <c r="J518" s="94"/>
      <c r="K518" s="96">
        <v>5</v>
      </c>
      <c r="L518" s="96">
        <f>K518*VLOOKUP(H518,dagsoorttabel1,2,FALSE)</f>
        <v>2</v>
      </c>
      <c r="M518" s="97">
        <f>prodnorm15</f>
        <v>0</v>
      </c>
      <c r="N518" s="41">
        <f>dagwerk15</f>
        <v>0</v>
      </c>
      <c r="O518" s="94" t="s">
        <v>108</v>
      </c>
      <c r="P518" s="26">
        <f>uurtarief15</f>
        <v>0</v>
      </c>
      <c r="Q518" s="96" t="e">
        <f>IF(ISBLANK(M518),0,L518/ROUND(M518,4))</f>
        <v>#DIV/0!</v>
      </c>
      <c r="R518" s="96" t="e">
        <f>IF(ISBLANK(M518),0,Q518*ROUND(N518,2))</f>
        <v>#DIV/0!</v>
      </c>
      <c r="S518" s="26" t="e">
        <f>ROUND(P518,2)*Q518</f>
        <v>#DIV/0!</v>
      </c>
      <c r="T518" s="96" t="e">
        <f>Q518*dagenperjaar1</f>
        <v>#DIV/0!</v>
      </c>
      <c r="U518" s="27" t="e">
        <f>T518*ROUND(P518,2)</f>
        <v>#DIV/0!</v>
      </c>
    </row>
    <row r="519" spans="1:21" x14ac:dyDescent="0.2">
      <c r="A519" s="93" t="s">
        <v>629</v>
      </c>
      <c r="B519" s="94" t="s">
        <v>42</v>
      </c>
      <c r="C519" s="94" t="s">
        <v>452</v>
      </c>
      <c r="D519" s="94" t="s">
        <v>511</v>
      </c>
      <c r="E519" s="95" t="s">
        <v>718</v>
      </c>
      <c r="F519" s="94" t="s">
        <v>277</v>
      </c>
      <c r="G519" s="94" t="s">
        <v>227</v>
      </c>
      <c r="H519" s="94" t="s">
        <v>24</v>
      </c>
      <c r="I519" s="94" t="s">
        <v>191</v>
      </c>
      <c r="J519" s="94"/>
      <c r="K519" s="96">
        <v>5</v>
      </c>
      <c r="L519" s="96">
        <f>K519*VLOOKUP(H519,dagsoorttabel1,2,FALSE)</f>
        <v>2.5000000000000001E-2</v>
      </c>
      <c r="M519" s="97">
        <f>prodnorm35</f>
        <v>0</v>
      </c>
      <c r="N519" s="41">
        <f>dagwerk35</f>
        <v>0</v>
      </c>
      <c r="O519" s="94" t="s">
        <v>108</v>
      </c>
      <c r="P519" s="26">
        <f>uurtarief35</f>
        <v>0</v>
      </c>
      <c r="Q519" s="96" t="e">
        <f>IF(ISBLANK(M519),0,L519/ROUND(M519,4))</f>
        <v>#DIV/0!</v>
      </c>
      <c r="R519" s="96" t="e">
        <f>IF(ISBLANK(M519),0,Q519*ROUND(N519,2))</f>
        <v>#DIV/0!</v>
      </c>
      <c r="S519" s="26" t="e">
        <f>ROUND(P519,2)*Q519</f>
        <v>#DIV/0!</v>
      </c>
      <c r="T519" s="96" t="e">
        <f>Q519*dagenperjaar1</f>
        <v>#DIV/0!</v>
      </c>
      <c r="U519" s="27" t="e">
        <f>T519*ROUND(P519,2)</f>
        <v>#DIV/0!</v>
      </c>
    </row>
    <row r="520" spans="1:21" ht="25.5" x14ac:dyDescent="0.2">
      <c r="A520" s="93" t="s">
        <v>629</v>
      </c>
      <c r="B520" s="94" t="s">
        <v>42</v>
      </c>
      <c r="C520" s="94" t="s">
        <v>452</v>
      </c>
      <c r="D520" s="94" t="s">
        <v>719</v>
      </c>
      <c r="E520" s="95" t="s">
        <v>720</v>
      </c>
      <c r="F520" s="94" t="s">
        <v>314</v>
      </c>
      <c r="G520" s="94" t="s">
        <v>219</v>
      </c>
      <c r="H520" s="94" t="s">
        <v>10</v>
      </c>
      <c r="I520" s="94" t="s">
        <v>191</v>
      </c>
      <c r="J520" s="94"/>
      <c r="K520" s="96">
        <v>2.6</v>
      </c>
      <c r="L520" s="96">
        <f>K520*VLOOKUP(H520,dagsoorttabel1,2,FALSE)</f>
        <v>2.6</v>
      </c>
      <c r="M520" s="97">
        <f>prodnorm30</f>
        <v>0</v>
      </c>
      <c r="N520" s="41">
        <f>dagwerk30</f>
        <v>0</v>
      </c>
      <c r="O520" s="94" t="s">
        <v>108</v>
      </c>
      <c r="P520" s="26">
        <f>uurtarief30</f>
        <v>0</v>
      </c>
      <c r="Q520" s="96" t="e">
        <f>IF(ISBLANK(M520),0,L520/ROUND(M520,4))</f>
        <v>#DIV/0!</v>
      </c>
      <c r="R520" s="96" t="e">
        <f>IF(ISBLANK(M520),0,Q520*ROUND(N520,2))</f>
        <v>#DIV/0!</v>
      </c>
      <c r="S520" s="26" t="e">
        <f>ROUND(P520,2)*Q520</f>
        <v>#DIV/0!</v>
      </c>
      <c r="T520" s="96" t="e">
        <f>Q520*dagenperjaar1</f>
        <v>#DIV/0!</v>
      </c>
      <c r="U520" s="27" t="e">
        <f>T520*ROUND(P520,2)</f>
        <v>#DIV/0!</v>
      </c>
    </row>
    <row r="521" spans="1:21" x14ac:dyDescent="0.2">
      <c r="A521" s="93" t="s">
        <v>629</v>
      </c>
      <c r="B521" s="94" t="s">
        <v>42</v>
      </c>
      <c r="C521" s="94" t="s">
        <v>452</v>
      </c>
      <c r="D521" s="94" t="s">
        <v>512</v>
      </c>
      <c r="E521" s="95" t="s">
        <v>687</v>
      </c>
      <c r="F521" s="94" t="s">
        <v>688</v>
      </c>
      <c r="G521" s="94" t="s">
        <v>203</v>
      </c>
      <c r="H521" s="94" t="s">
        <v>16</v>
      </c>
      <c r="I521" s="94" t="s">
        <v>191</v>
      </c>
      <c r="J521" s="94"/>
      <c r="K521" s="96">
        <v>28.8</v>
      </c>
      <c r="L521" s="96">
        <f>K521*VLOOKUP(H521,dagsoorttabel1,2,FALSE)</f>
        <v>5.7600000000000007</v>
      </c>
      <c r="M521" s="97">
        <f>prodnorm21</f>
        <v>0</v>
      </c>
      <c r="N521" s="41">
        <f>dagwerk21</f>
        <v>0</v>
      </c>
      <c r="O521" s="94" t="s">
        <v>108</v>
      </c>
      <c r="P521" s="26">
        <f>uurtarief21</f>
        <v>0</v>
      </c>
      <c r="Q521" s="96" t="e">
        <f>IF(ISBLANK(M521),0,L521/ROUND(M521,4))</f>
        <v>#DIV/0!</v>
      </c>
      <c r="R521" s="96" t="e">
        <f>IF(ISBLANK(M521),0,Q521*ROUND(N521,2))</f>
        <v>#DIV/0!</v>
      </c>
      <c r="S521" s="26" t="e">
        <f>ROUND(P521,2)*Q521</f>
        <v>#DIV/0!</v>
      </c>
      <c r="T521" s="96" t="e">
        <f>Q521*dagenperjaar1</f>
        <v>#DIV/0!</v>
      </c>
      <c r="U521" s="27" t="e">
        <f>T521*ROUND(P521,2)</f>
        <v>#DIV/0!</v>
      </c>
    </row>
    <row r="522" spans="1:21" x14ac:dyDescent="0.2">
      <c r="A522" s="93" t="s">
        <v>629</v>
      </c>
      <c r="B522" s="94" t="s">
        <v>42</v>
      </c>
      <c r="C522" s="94" t="s">
        <v>452</v>
      </c>
      <c r="D522" s="94" t="s">
        <v>513</v>
      </c>
      <c r="E522" s="95" t="s">
        <v>690</v>
      </c>
      <c r="F522" s="94" t="s">
        <v>688</v>
      </c>
      <c r="G522" s="94" t="s">
        <v>203</v>
      </c>
      <c r="H522" s="94" t="s">
        <v>10</v>
      </c>
      <c r="I522" s="94" t="s">
        <v>191</v>
      </c>
      <c r="J522" s="94"/>
      <c r="K522" s="96">
        <v>252</v>
      </c>
      <c r="L522" s="96">
        <f>K522*VLOOKUP(H522,dagsoorttabel1,2,FALSE)</f>
        <v>252</v>
      </c>
      <c r="M522" s="97">
        <f>prodnorm20</f>
        <v>0</v>
      </c>
      <c r="N522" s="41">
        <f>dagwerk20</f>
        <v>0</v>
      </c>
      <c r="O522" s="94" t="s">
        <v>108</v>
      </c>
      <c r="P522" s="26">
        <f>uurtarief20</f>
        <v>0</v>
      </c>
      <c r="Q522" s="96" t="e">
        <f>IF(ISBLANK(M522),0,L522/ROUND(M522,4))</f>
        <v>#DIV/0!</v>
      </c>
      <c r="R522" s="96" t="e">
        <f>IF(ISBLANK(M522),0,Q522*ROUND(N522,2))</f>
        <v>#DIV/0!</v>
      </c>
      <c r="S522" s="26" t="e">
        <f>ROUND(P522,2)*Q522</f>
        <v>#DIV/0!</v>
      </c>
      <c r="T522" s="96" t="e">
        <f>Q522*dagenperjaar1</f>
        <v>#DIV/0!</v>
      </c>
      <c r="U522" s="27" t="e">
        <f>T522*ROUND(P522,2)</f>
        <v>#DIV/0!</v>
      </c>
    </row>
    <row r="523" spans="1:21" x14ac:dyDescent="0.2">
      <c r="A523" s="93" t="s">
        <v>629</v>
      </c>
      <c r="B523" s="94" t="s">
        <v>42</v>
      </c>
      <c r="C523" s="94" t="s">
        <v>452</v>
      </c>
      <c r="D523" s="94" t="s">
        <v>515</v>
      </c>
      <c r="E523" s="95" t="s">
        <v>691</v>
      </c>
      <c r="F523" s="94" t="s">
        <v>688</v>
      </c>
      <c r="G523" s="94" t="s">
        <v>225</v>
      </c>
      <c r="H523" s="94" t="s">
        <v>10</v>
      </c>
      <c r="I523" s="94" t="s">
        <v>191</v>
      </c>
      <c r="J523" s="94"/>
      <c r="K523" s="96">
        <v>17</v>
      </c>
      <c r="L523" s="96">
        <f>K523*VLOOKUP(H523,dagsoorttabel1,2,FALSE)</f>
        <v>17</v>
      </c>
      <c r="M523" s="97">
        <f>prodnorm34</f>
        <v>0</v>
      </c>
      <c r="N523" s="41">
        <f>dagwerk34</f>
        <v>0</v>
      </c>
      <c r="O523" s="94" t="s">
        <v>108</v>
      </c>
      <c r="P523" s="26">
        <f>uurtarief34</f>
        <v>0</v>
      </c>
      <c r="Q523" s="96" t="e">
        <f>IF(ISBLANK(M523),0,L523/ROUND(M523,4))</f>
        <v>#DIV/0!</v>
      </c>
      <c r="R523" s="96" t="e">
        <f>IF(ISBLANK(M523),0,Q523*ROUND(N523,2))</f>
        <v>#DIV/0!</v>
      </c>
      <c r="S523" s="26" t="e">
        <f>ROUND(P523,2)*Q523</f>
        <v>#DIV/0!</v>
      </c>
      <c r="T523" s="96" t="e">
        <f>Q523*dagenperjaar1</f>
        <v>#DIV/0!</v>
      </c>
      <c r="U523" s="27" t="e">
        <f>T523*ROUND(P523,2)</f>
        <v>#DIV/0!</v>
      </c>
    </row>
    <row r="524" spans="1:21" x14ac:dyDescent="0.2">
      <c r="A524" s="93" t="s">
        <v>629</v>
      </c>
      <c r="B524" s="94" t="s">
        <v>42</v>
      </c>
      <c r="C524" s="94" t="s">
        <v>452</v>
      </c>
      <c r="D524" s="94" t="s">
        <v>721</v>
      </c>
      <c r="E524" s="95" t="s">
        <v>722</v>
      </c>
      <c r="F524" s="94" t="s">
        <v>248</v>
      </c>
      <c r="G524" s="94" t="s">
        <v>723</v>
      </c>
      <c r="H524" s="94" t="s">
        <v>16</v>
      </c>
      <c r="I524" s="94" t="s">
        <v>259</v>
      </c>
      <c r="J524" s="94"/>
      <c r="K524" s="96">
        <v>0</v>
      </c>
      <c r="L524" s="96">
        <f>K524*VLOOKUP(H524,dagsoorttabel1,2,FALSE)</f>
        <v>0</v>
      </c>
      <c r="M524" s="97"/>
      <c r="N524" s="98"/>
      <c r="O524" s="94" t="s">
        <v>260</v>
      </c>
      <c r="P524" s="26"/>
      <c r="Q524" s="96">
        <f>L524</f>
        <v>0</v>
      </c>
      <c r="R524" s="99"/>
      <c r="S524" s="26">
        <f>ROUND(P524,2)*Q524</f>
        <v>0</v>
      </c>
      <c r="T524" s="96">
        <f>Q524*dagenperjaar1</f>
        <v>0</v>
      </c>
      <c r="U524" s="27">
        <f>T524*ROUND(P524,2)</f>
        <v>0</v>
      </c>
    </row>
    <row r="525" spans="1:21" x14ac:dyDescent="0.2">
      <c r="A525" s="93" t="s">
        <v>629</v>
      </c>
      <c r="B525" s="94" t="s">
        <v>42</v>
      </c>
      <c r="C525" s="94" t="s">
        <v>452</v>
      </c>
      <c r="D525" s="94" t="s">
        <v>721</v>
      </c>
      <c r="E525" s="95" t="s">
        <v>722</v>
      </c>
      <c r="F525" s="94" t="s">
        <v>248</v>
      </c>
      <c r="G525" s="94" t="s">
        <v>203</v>
      </c>
      <c r="H525" s="94" t="s">
        <v>10</v>
      </c>
      <c r="I525" s="94" t="s">
        <v>191</v>
      </c>
      <c r="J525" s="94"/>
      <c r="K525" s="96">
        <v>123.27</v>
      </c>
      <c r="L525" s="96">
        <f>K525*VLOOKUP(H525,dagsoorttabel1,2,FALSE)</f>
        <v>123.27</v>
      </c>
      <c r="M525" s="97">
        <f>prodnorm20</f>
        <v>0</v>
      </c>
      <c r="N525" s="41">
        <f>dagwerk20</f>
        <v>0</v>
      </c>
      <c r="O525" s="94" t="s">
        <v>108</v>
      </c>
      <c r="P525" s="26">
        <f>uurtarief20</f>
        <v>0</v>
      </c>
      <c r="Q525" s="96" t="e">
        <f>IF(ISBLANK(M525),0,L525/ROUND(M525,4))</f>
        <v>#DIV/0!</v>
      </c>
      <c r="R525" s="96" t="e">
        <f>IF(ISBLANK(M525),0,Q525*ROUND(N525,2))</f>
        <v>#DIV/0!</v>
      </c>
      <c r="S525" s="26" t="e">
        <f>ROUND(P525,2)*Q525</f>
        <v>#DIV/0!</v>
      </c>
      <c r="T525" s="96" t="e">
        <f>Q525*dagenperjaar1</f>
        <v>#DIV/0!</v>
      </c>
      <c r="U525" s="27" t="e">
        <f>T525*ROUND(P525,2)</f>
        <v>#DIV/0!</v>
      </c>
    </row>
    <row r="526" spans="1:21" x14ac:dyDescent="0.2">
      <c r="A526" s="93" t="s">
        <v>629</v>
      </c>
      <c r="B526" s="94" t="s">
        <v>42</v>
      </c>
      <c r="C526" s="94" t="s">
        <v>544</v>
      </c>
      <c r="D526" s="94" t="s">
        <v>724</v>
      </c>
      <c r="E526" s="95" t="s">
        <v>725</v>
      </c>
      <c r="F526" s="94" t="s">
        <v>277</v>
      </c>
      <c r="G526" s="94" t="s">
        <v>207</v>
      </c>
      <c r="H526" s="94" t="s">
        <v>10</v>
      </c>
      <c r="I526" s="94" t="s">
        <v>191</v>
      </c>
      <c r="J526" s="94"/>
      <c r="K526" s="96">
        <v>44.2</v>
      </c>
      <c r="L526" s="96">
        <f>K526*VLOOKUP(H526,dagsoorttabel1,2,FALSE)</f>
        <v>44.2</v>
      </c>
      <c r="M526" s="97">
        <f>prodnorm24</f>
        <v>0</v>
      </c>
      <c r="N526" s="41">
        <f>dagwerk24</f>
        <v>0</v>
      </c>
      <c r="O526" s="94" t="s">
        <v>108</v>
      </c>
      <c r="P526" s="26">
        <f>uurtarief24</f>
        <v>0</v>
      </c>
      <c r="Q526" s="96" t="e">
        <f>IF(ISBLANK(M526),0,L526/ROUND(M526,4))</f>
        <v>#DIV/0!</v>
      </c>
      <c r="R526" s="96" t="e">
        <f>IF(ISBLANK(M526),0,Q526*ROUND(N526,2))</f>
        <v>#DIV/0!</v>
      </c>
      <c r="S526" s="26" t="e">
        <f>ROUND(P526,2)*Q526</f>
        <v>#DIV/0!</v>
      </c>
      <c r="T526" s="96" t="e">
        <f>Q526*dagenperjaar1</f>
        <v>#DIV/0!</v>
      </c>
      <c r="U526" s="27" t="e">
        <f>T526*ROUND(P526,2)</f>
        <v>#DIV/0!</v>
      </c>
    </row>
    <row r="527" spans="1:21" x14ac:dyDescent="0.2">
      <c r="A527" s="93" t="s">
        <v>629</v>
      </c>
      <c r="B527" s="94" t="s">
        <v>42</v>
      </c>
      <c r="C527" s="94" t="s">
        <v>544</v>
      </c>
      <c r="D527" s="94" t="s">
        <v>724</v>
      </c>
      <c r="E527" s="95" t="s">
        <v>725</v>
      </c>
      <c r="F527" s="94" t="s">
        <v>277</v>
      </c>
      <c r="G527" s="94" t="s">
        <v>227</v>
      </c>
      <c r="H527" s="94" t="s">
        <v>24</v>
      </c>
      <c r="I527" s="94" t="s">
        <v>191</v>
      </c>
      <c r="J527" s="94"/>
      <c r="K527" s="96">
        <v>44.2</v>
      </c>
      <c r="L527" s="96">
        <f>K527*VLOOKUP(H527,dagsoorttabel1,2,FALSE)</f>
        <v>0.22100000000000003</v>
      </c>
      <c r="M527" s="97">
        <f>prodnorm35</f>
        <v>0</v>
      </c>
      <c r="N527" s="41">
        <f>dagwerk35</f>
        <v>0</v>
      </c>
      <c r="O527" s="94" t="s">
        <v>108</v>
      </c>
      <c r="P527" s="26">
        <f>uurtarief35</f>
        <v>0</v>
      </c>
      <c r="Q527" s="96" t="e">
        <f>IF(ISBLANK(M527),0,L527/ROUND(M527,4))</f>
        <v>#DIV/0!</v>
      </c>
      <c r="R527" s="96" t="e">
        <f>IF(ISBLANK(M527),0,Q527*ROUND(N527,2))</f>
        <v>#DIV/0!</v>
      </c>
      <c r="S527" s="26" t="e">
        <f>ROUND(P527,2)*Q527</f>
        <v>#DIV/0!</v>
      </c>
      <c r="T527" s="96" t="e">
        <f>Q527*dagenperjaar1</f>
        <v>#DIV/0!</v>
      </c>
      <c r="U527" s="27" t="e">
        <f>T527*ROUND(P527,2)</f>
        <v>#DIV/0!</v>
      </c>
    </row>
    <row r="528" spans="1:21" x14ac:dyDescent="0.2">
      <c r="A528" s="93" t="s">
        <v>629</v>
      </c>
      <c r="B528" s="94" t="s">
        <v>42</v>
      </c>
      <c r="C528" s="94" t="s">
        <v>544</v>
      </c>
      <c r="D528" s="94" t="s">
        <v>726</v>
      </c>
      <c r="E528" s="95" t="s">
        <v>725</v>
      </c>
      <c r="F528" s="94" t="s">
        <v>277</v>
      </c>
      <c r="G528" s="94" t="s">
        <v>207</v>
      </c>
      <c r="H528" s="94" t="s">
        <v>10</v>
      </c>
      <c r="I528" s="94" t="s">
        <v>191</v>
      </c>
      <c r="J528" s="94"/>
      <c r="K528" s="96">
        <v>44.2</v>
      </c>
      <c r="L528" s="96">
        <f>K528*VLOOKUP(H528,dagsoorttabel1,2,FALSE)</f>
        <v>44.2</v>
      </c>
      <c r="M528" s="97">
        <f>prodnorm24</f>
        <v>0</v>
      </c>
      <c r="N528" s="41">
        <f>dagwerk24</f>
        <v>0</v>
      </c>
      <c r="O528" s="94" t="s">
        <v>108</v>
      </c>
      <c r="P528" s="26">
        <f>uurtarief24</f>
        <v>0</v>
      </c>
      <c r="Q528" s="96" t="e">
        <f>IF(ISBLANK(M528),0,L528/ROUND(M528,4))</f>
        <v>#DIV/0!</v>
      </c>
      <c r="R528" s="96" t="e">
        <f>IF(ISBLANK(M528),0,Q528*ROUND(N528,2))</f>
        <v>#DIV/0!</v>
      </c>
      <c r="S528" s="26" t="e">
        <f>ROUND(P528,2)*Q528</f>
        <v>#DIV/0!</v>
      </c>
      <c r="T528" s="96" t="e">
        <f>Q528*dagenperjaar1</f>
        <v>#DIV/0!</v>
      </c>
      <c r="U528" s="27" t="e">
        <f>T528*ROUND(P528,2)</f>
        <v>#DIV/0!</v>
      </c>
    </row>
    <row r="529" spans="1:21" x14ac:dyDescent="0.2">
      <c r="A529" s="93" t="s">
        <v>629</v>
      </c>
      <c r="B529" s="94" t="s">
        <v>42</v>
      </c>
      <c r="C529" s="94" t="s">
        <v>544</v>
      </c>
      <c r="D529" s="94" t="s">
        <v>726</v>
      </c>
      <c r="E529" s="95" t="s">
        <v>725</v>
      </c>
      <c r="F529" s="94" t="s">
        <v>277</v>
      </c>
      <c r="G529" s="94" t="s">
        <v>227</v>
      </c>
      <c r="H529" s="94" t="s">
        <v>24</v>
      </c>
      <c r="I529" s="94" t="s">
        <v>191</v>
      </c>
      <c r="J529" s="94"/>
      <c r="K529" s="96">
        <v>44.2</v>
      </c>
      <c r="L529" s="96">
        <f>K529*VLOOKUP(H529,dagsoorttabel1,2,FALSE)</f>
        <v>0.22100000000000003</v>
      </c>
      <c r="M529" s="97">
        <f>prodnorm35</f>
        <v>0</v>
      </c>
      <c r="N529" s="41">
        <f>dagwerk35</f>
        <v>0</v>
      </c>
      <c r="O529" s="94" t="s">
        <v>108</v>
      </c>
      <c r="P529" s="26">
        <f>uurtarief35</f>
        <v>0</v>
      </c>
      <c r="Q529" s="96" t="e">
        <f>IF(ISBLANK(M529),0,L529/ROUND(M529,4))</f>
        <v>#DIV/0!</v>
      </c>
      <c r="R529" s="96" t="e">
        <f>IF(ISBLANK(M529),0,Q529*ROUND(N529,2))</f>
        <v>#DIV/0!</v>
      </c>
      <c r="S529" s="26" t="e">
        <f>ROUND(P529,2)*Q529</f>
        <v>#DIV/0!</v>
      </c>
      <c r="T529" s="96" t="e">
        <f>Q529*dagenperjaar1</f>
        <v>#DIV/0!</v>
      </c>
      <c r="U529" s="27" t="e">
        <f>T529*ROUND(P529,2)</f>
        <v>#DIV/0!</v>
      </c>
    </row>
    <row r="530" spans="1:21" x14ac:dyDescent="0.2">
      <c r="A530" s="93" t="s">
        <v>629</v>
      </c>
      <c r="B530" s="94" t="s">
        <v>42</v>
      </c>
      <c r="C530" s="94" t="s">
        <v>544</v>
      </c>
      <c r="D530" s="94" t="s">
        <v>727</v>
      </c>
      <c r="E530" s="95" t="s">
        <v>725</v>
      </c>
      <c r="F530" s="94" t="s">
        <v>277</v>
      </c>
      <c r="G530" s="94" t="s">
        <v>207</v>
      </c>
      <c r="H530" s="94" t="s">
        <v>10</v>
      </c>
      <c r="I530" s="94" t="s">
        <v>191</v>
      </c>
      <c r="J530" s="94"/>
      <c r="K530" s="96">
        <v>44.2</v>
      </c>
      <c r="L530" s="96">
        <f>K530*VLOOKUP(H530,dagsoorttabel1,2,FALSE)</f>
        <v>44.2</v>
      </c>
      <c r="M530" s="97">
        <f>prodnorm24</f>
        <v>0</v>
      </c>
      <c r="N530" s="41">
        <f>dagwerk24</f>
        <v>0</v>
      </c>
      <c r="O530" s="94" t="s">
        <v>108</v>
      </c>
      <c r="P530" s="26">
        <f>uurtarief24</f>
        <v>0</v>
      </c>
      <c r="Q530" s="96" t="e">
        <f>IF(ISBLANK(M530),0,L530/ROUND(M530,4))</f>
        <v>#DIV/0!</v>
      </c>
      <c r="R530" s="96" t="e">
        <f>IF(ISBLANK(M530),0,Q530*ROUND(N530,2))</f>
        <v>#DIV/0!</v>
      </c>
      <c r="S530" s="26" t="e">
        <f>ROUND(P530,2)*Q530</f>
        <v>#DIV/0!</v>
      </c>
      <c r="T530" s="96" t="e">
        <f>Q530*dagenperjaar1</f>
        <v>#DIV/0!</v>
      </c>
      <c r="U530" s="27" t="e">
        <f>T530*ROUND(P530,2)</f>
        <v>#DIV/0!</v>
      </c>
    </row>
    <row r="531" spans="1:21" x14ac:dyDescent="0.2">
      <c r="A531" s="93" t="s">
        <v>629</v>
      </c>
      <c r="B531" s="94" t="s">
        <v>42</v>
      </c>
      <c r="C531" s="94" t="s">
        <v>544</v>
      </c>
      <c r="D531" s="94" t="s">
        <v>727</v>
      </c>
      <c r="E531" s="95" t="s">
        <v>725</v>
      </c>
      <c r="F531" s="94" t="s">
        <v>277</v>
      </c>
      <c r="G531" s="94" t="s">
        <v>227</v>
      </c>
      <c r="H531" s="94" t="s">
        <v>24</v>
      </c>
      <c r="I531" s="94" t="s">
        <v>191</v>
      </c>
      <c r="J531" s="94"/>
      <c r="K531" s="96">
        <v>44.2</v>
      </c>
      <c r="L531" s="96">
        <f>K531*VLOOKUP(H531,dagsoorttabel1,2,FALSE)</f>
        <v>0.22100000000000003</v>
      </c>
      <c r="M531" s="97">
        <f>prodnorm35</f>
        <v>0</v>
      </c>
      <c r="N531" s="41">
        <f>dagwerk35</f>
        <v>0</v>
      </c>
      <c r="O531" s="94" t="s">
        <v>108</v>
      </c>
      <c r="P531" s="26">
        <f>uurtarief35</f>
        <v>0</v>
      </c>
      <c r="Q531" s="96" t="e">
        <f>IF(ISBLANK(M531),0,L531/ROUND(M531,4))</f>
        <v>#DIV/0!</v>
      </c>
      <c r="R531" s="96" t="e">
        <f>IF(ISBLANK(M531),0,Q531*ROUND(N531,2))</f>
        <v>#DIV/0!</v>
      </c>
      <c r="S531" s="26" t="e">
        <f>ROUND(P531,2)*Q531</f>
        <v>#DIV/0!</v>
      </c>
      <c r="T531" s="96" t="e">
        <f>Q531*dagenperjaar1</f>
        <v>#DIV/0!</v>
      </c>
      <c r="U531" s="27" t="e">
        <f>T531*ROUND(P531,2)</f>
        <v>#DIV/0!</v>
      </c>
    </row>
    <row r="532" spans="1:21" x14ac:dyDescent="0.2">
      <c r="A532" s="93" t="s">
        <v>629</v>
      </c>
      <c r="B532" s="94" t="s">
        <v>42</v>
      </c>
      <c r="C532" s="94" t="s">
        <v>544</v>
      </c>
      <c r="D532" s="94" t="s">
        <v>728</v>
      </c>
      <c r="E532" s="95" t="s">
        <v>725</v>
      </c>
      <c r="F532" s="94" t="s">
        <v>277</v>
      </c>
      <c r="G532" s="94" t="s">
        <v>207</v>
      </c>
      <c r="H532" s="94" t="s">
        <v>10</v>
      </c>
      <c r="I532" s="94" t="s">
        <v>191</v>
      </c>
      <c r="J532" s="94"/>
      <c r="K532" s="96">
        <v>44.2</v>
      </c>
      <c r="L532" s="96">
        <f>K532*VLOOKUP(H532,dagsoorttabel1,2,FALSE)</f>
        <v>44.2</v>
      </c>
      <c r="M532" s="97">
        <f>prodnorm24</f>
        <v>0</v>
      </c>
      <c r="N532" s="41">
        <f>dagwerk24</f>
        <v>0</v>
      </c>
      <c r="O532" s="94" t="s">
        <v>108</v>
      </c>
      <c r="P532" s="26">
        <f>uurtarief24</f>
        <v>0</v>
      </c>
      <c r="Q532" s="96" t="e">
        <f>IF(ISBLANK(M532),0,L532/ROUND(M532,4))</f>
        <v>#DIV/0!</v>
      </c>
      <c r="R532" s="96" t="e">
        <f>IF(ISBLANK(M532),0,Q532*ROUND(N532,2))</f>
        <v>#DIV/0!</v>
      </c>
      <c r="S532" s="26" t="e">
        <f>ROUND(P532,2)*Q532</f>
        <v>#DIV/0!</v>
      </c>
      <c r="T532" s="96" t="e">
        <f>Q532*dagenperjaar1</f>
        <v>#DIV/0!</v>
      </c>
      <c r="U532" s="27" t="e">
        <f>T532*ROUND(P532,2)</f>
        <v>#DIV/0!</v>
      </c>
    </row>
    <row r="533" spans="1:21" x14ac:dyDescent="0.2">
      <c r="A533" s="93" t="s">
        <v>629</v>
      </c>
      <c r="B533" s="94" t="s">
        <v>42</v>
      </c>
      <c r="C533" s="94" t="s">
        <v>544</v>
      </c>
      <c r="D533" s="94" t="s">
        <v>728</v>
      </c>
      <c r="E533" s="95" t="s">
        <v>725</v>
      </c>
      <c r="F533" s="94" t="s">
        <v>277</v>
      </c>
      <c r="G533" s="94" t="s">
        <v>227</v>
      </c>
      <c r="H533" s="94" t="s">
        <v>24</v>
      </c>
      <c r="I533" s="94" t="s">
        <v>191</v>
      </c>
      <c r="J533" s="94"/>
      <c r="K533" s="96">
        <v>44.2</v>
      </c>
      <c r="L533" s="96">
        <f>K533*VLOOKUP(H533,dagsoorttabel1,2,FALSE)</f>
        <v>0.22100000000000003</v>
      </c>
      <c r="M533" s="97">
        <f>prodnorm35</f>
        <v>0</v>
      </c>
      <c r="N533" s="41">
        <f>dagwerk35</f>
        <v>0</v>
      </c>
      <c r="O533" s="94" t="s">
        <v>108</v>
      </c>
      <c r="P533" s="26">
        <f>uurtarief35</f>
        <v>0</v>
      </c>
      <c r="Q533" s="96" t="e">
        <f>IF(ISBLANK(M533),0,L533/ROUND(M533,4))</f>
        <v>#DIV/0!</v>
      </c>
      <c r="R533" s="96" t="e">
        <f>IF(ISBLANK(M533),0,Q533*ROUND(N533,2))</f>
        <v>#DIV/0!</v>
      </c>
      <c r="S533" s="26" t="e">
        <f>ROUND(P533,2)*Q533</f>
        <v>#DIV/0!</v>
      </c>
      <c r="T533" s="96" t="e">
        <f>Q533*dagenperjaar1</f>
        <v>#DIV/0!</v>
      </c>
      <c r="U533" s="27" t="e">
        <f>T533*ROUND(P533,2)</f>
        <v>#DIV/0!</v>
      </c>
    </row>
    <row r="534" spans="1:21" x14ac:dyDescent="0.2">
      <c r="A534" s="93" t="s">
        <v>629</v>
      </c>
      <c r="B534" s="94" t="s">
        <v>42</v>
      </c>
      <c r="C534" s="94" t="s">
        <v>544</v>
      </c>
      <c r="D534" s="94" t="s">
        <v>729</v>
      </c>
      <c r="E534" s="95" t="s">
        <v>725</v>
      </c>
      <c r="F534" s="94" t="s">
        <v>277</v>
      </c>
      <c r="G534" s="94" t="s">
        <v>207</v>
      </c>
      <c r="H534" s="94" t="s">
        <v>10</v>
      </c>
      <c r="I534" s="94" t="s">
        <v>191</v>
      </c>
      <c r="J534" s="94"/>
      <c r="K534" s="96">
        <v>44.2</v>
      </c>
      <c r="L534" s="96">
        <f>K534*VLOOKUP(H534,dagsoorttabel1,2,FALSE)</f>
        <v>44.2</v>
      </c>
      <c r="M534" s="97">
        <f>prodnorm24</f>
        <v>0</v>
      </c>
      <c r="N534" s="41">
        <f>dagwerk24</f>
        <v>0</v>
      </c>
      <c r="O534" s="94" t="s">
        <v>108</v>
      </c>
      <c r="P534" s="26">
        <f>uurtarief24</f>
        <v>0</v>
      </c>
      <c r="Q534" s="96" t="e">
        <f>IF(ISBLANK(M534),0,L534/ROUND(M534,4))</f>
        <v>#DIV/0!</v>
      </c>
      <c r="R534" s="96" t="e">
        <f>IF(ISBLANK(M534),0,Q534*ROUND(N534,2))</f>
        <v>#DIV/0!</v>
      </c>
      <c r="S534" s="26" t="e">
        <f>ROUND(P534,2)*Q534</f>
        <v>#DIV/0!</v>
      </c>
      <c r="T534" s="96" t="e">
        <f>Q534*dagenperjaar1</f>
        <v>#DIV/0!</v>
      </c>
      <c r="U534" s="27" t="e">
        <f>T534*ROUND(P534,2)</f>
        <v>#DIV/0!</v>
      </c>
    </row>
    <row r="535" spans="1:21" x14ac:dyDescent="0.2">
      <c r="A535" s="93" t="s">
        <v>629</v>
      </c>
      <c r="B535" s="94" t="s">
        <v>42</v>
      </c>
      <c r="C535" s="94" t="s">
        <v>544</v>
      </c>
      <c r="D535" s="94" t="s">
        <v>729</v>
      </c>
      <c r="E535" s="95" t="s">
        <v>725</v>
      </c>
      <c r="F535" s="94" t="s">
        <v>277</v>
      </c>
      <c r="G535" s="94" t="s">
        <v>227</v>
      </c>
      <c r="H535" s="94" t="s">
        <v>24</v>
      </c>
      <c r="I535" s="94" t="s">
        <v>191</v>
      </c>
      <c r="J535" s="94"/>
      <c r="K535" s="96">
        <v>44.2</v>
      </c>
      <c r="L535" s="96">
        <f>K535*VLOOKUP(H535,dagsoorttabel1,2,FALSE)</f>
        <v>0.22100000000000003</v>
      </c>
      <c r="M535" s="97">
        <f>prodnorm35</f>
        <v>0</v>
      </c>
      <c r="N535" s="41">
        <f>dagwerk35</f>
        <v>0</v>
      </c>
      <c r="O535" s="94" t="s">
        <v>108</v>
      </c>
      <c r="P535" s="26">
        <f>uurtarief35</f>
        <v>0</v>
      </c>
      <c r="Q535" s="96" t="e">
        <f>IF(ISBLANK(M535),0,L535/ROUND(M535,4))</f>
        <v>#DIV/0!</v>
      </c>
      <c r="R535" s="96" t="e">
        <f>IF(ISBLANK(M535),0,Q535*ROUND(N535,2))</f>
        <v>#DIV/0!</v>
      </c>
      <c r="S535" s="26" t="e">
        <f>ROUND(P535,2)*Q535</f>
        <v>#DIV/0!</v>
      </c>
      <c r="T535" s="96" t="e">
        <f>Q535*dagenperjaar1</f>
        <v>#DIV/0!</v>
      </c>
      <c r="U535" s="27" t="e">
        <f>T535*ROUND(P535,2)</f>
        <v>#DIV/0!</v>
      </c>
    </row>
    <row r="536" spans="1:21" x14ac:dyDescent="0.2">
      <c r="A536" s="93" t="s">
        <v>629</v>
      </c>
      <c r="B536" s="94" t="s">
        <v>42</v>
      </c>
      <c r="C536" s="94" t="s">
        <v>544</v>
      </c>
      <c r="D536" s="94" t="s">
        <v>730</v>
      </c>
      <c r="E536" s="95" t="s">
        <v>725</v>
      </c>
      <c r="F536" s="94" t="s">
        <v>277</v>
      </c>
      <c r="G536" s="94" t="s">
        <v>207</v>
      </c>
      <c r="H536" s="94" t="s">
        <v>10</v>
      </c>
      <c r="I536" s="94" t="s">
        <v>191</v>
      </c>
      <c r="J536" s="94"/>
      <c r="K536" s="96">
        <v>44.2</v>
      </c>
      <c r="L536" s="96">
        <f>K536*VLOOKUP(H536,dagsoorttabel1,2,FALSE)</f>
        <v>44.2</v>
      </c>
      <c r="M536" s="97">
        <f>prodnorm24</f>
        <v>0</v>
      </c>
      <c r="N536" s="41">
        <f>dagwerk24</f>
        <v>0</v>
      </c>
      <c r="O536" s="94" t="s">
        <v>108</v>
      </c>
      <c r="P536" s="26">
        <f>uurtarief24</f>
        <v>0</v>
      </c>
      <c r="Q536" s="96" t="e">
        <f>IF(ISBLANK(M536),0,L536/ROUND(M536,4))</f>
        <v>#DIV/0!</v>
      </c>
      <c r="R536" s="96" t="e">
        <f>IF(ISBLANK(M536),0,Q536*ROUND(N536,2))</f>
        <v>#DIV/0!</v>
      </c>
      <c r="S536" s="26" t="e">
        <f>ROUND(P536,2)*Q536</f>
        <v>#DIV/0!</v>
      </c>
      <c r="T536" s="96" t="e">
        <f>Q536*dagenperjaar1</f>
        <v>#DIV/0!</v>
      </c>
      <c r="U536" s="27" t="e">
        <f>T536*ROUND(P536,2)</f>
        <v>#DIV/0!</v>
      </c>
    </row>
    <row r="537" spans="1:21" x14ac:dyDescent="0.2">
      <c r="A537" s="93" t="s">
        <v>629</v>
      </c>
      <c r="B537" s="94" t="s">
        <v>42</v>
      </c>
      <c r="C537" s="94" t="s">
        <v>544</v>
      </c>
      <c r="D537" s="94" t="s">
        <v>730</v>
      </c>
      <c r="E537" s="95" t="s">
        <v>725</v>
      </c>
      <c r="F537" s="94" t="s">
        <v>277</v>
      </c>
      <c r="G537" s="94" t="s">
        <v>227</v>
      </c>
      <c r="H537" s="94" t="s">
        <v>24</v>
      </c>
      <c r="I537" s="94" t="s">
        <v>191</v>
      </c>
      <c r="J537" s="94"/>
      <c r="K537" s="96">
        <v>44.2</v>
      </c>
      <c r="L537" s="96">
        <f>K537*VLOOKUP(H537,dagsoorttabel1,2,FALSE)</f>
        <v>0.22100000000000003</v>
      </c>
      <c r="M537" s="97">
        <f>prodnorm35</f>
        <v>0</v>
      </c>
      <c r="N537" s="41">
        <f>dagwerk35</f>
        <v>0</v>
      </c>
      <c r="O537" s="94" t="s">
        <v>108</v>
      </c>
      <c r="P537" s="26">
        <f>uurtarief35</f>
        <v>0</v>
      </c>
      <c r="Q537" s="96" t="e">
        <f>IF(ISBLANK(M537),0,L537/ROUND(M537,4))</f>
        <v>#DIV/0!</v>
      </c>
      <c r="R537" s="96" t="e">
        <f>IF(ISBLANK(M537),0,Q537*ROUND(N537,2))</f>
        <v>#DIV/0!</v>
      </c>
      <c r="S537" s="26" t="e">
        <f>ROUND(P537,2)*Q537</f>
        <v>#DIV/0!</v>
      </c>
      <c r="T537" s="96" t="e">
        <f>Q537*dagenperjaar1</f>
        <v>#DIV/0!</v>
      </c>
      <c r="U537" s="27" t="e">
        <f>T537*ROUND(P537,2)</f>
        <v>#DIV/0!</v>
      </c>
    </row>
    <row r="538" spans="1:21" x14ac:dyDescent="0.2">
      <c r="A538" s="93" t="s">
        <v>629</v>
      </c>
      <c r="B538" s="94" t="s">
        <v>42</v>
      </c>
      <c r="C538" s="94" t="s">
        <v>544</v>
      </c>
      <c r="D538" s="94" t="s">
        <v>731</v>
      </c>
      <c r="E538" s="95" t="s">
        <v>732</v>
      </c>
      <c r="F538" s="94" t="s">
        <v>277</v>
      </c>
      <c r="G538" s="94" t="s">
        <v>223</v>
      </c>
      <c r="H538" s="94" t="s">
        <v>10</v>
      </c>
      <c r="I538" s="94" t="s">
        <v>191</v>
      </c>
      <c r="J538" s="94"/>
      <c r="K538" s="96">
        <v>23.22</v>
      </c>
      <c r="L538" s="96">
        <f>K538*VLOOKUP(H538,dagsoorttabel1,2,FALSE)</f>
        <v>23.22</v>
      </c>
      <c r="M538" s="97">
        <f>prodnorm32</f>
        <v>0</v>
      </c>
      <c r="N538" s="41">
        <f>dagwerk32</f>
        <v>0</v>
      </c>
      <c r="O538" s="94" t="s">
        <v>108</v>
      </c>
      <c r="P538" s="26">
        <f>uurtarief32</f>
        <v>0</v>
      </c>
      <c r="Q538" s="96" t="e">
        <f>IF(ISBLANK(M538),0,L538/ROUND(M538,4))</f>
        <v>#DIV/0!</v>
      </c>
      <c r="R538" s="96" t="e">
        <f>IF(ISBLANK(M538),0,Q538*ROUND(N538,2))</f>
        <v>#DIV/0!</v>
      </c>
      <c r="S538" s="26" t="e">
        <f>ROUND(P538,2)*Q538</f>
        <v>#DIV/0!</v>
      </c>
      <c r="T538" s="96" t="e">
        <f>Q538*dagenperjaar1</f>
        <v>#DIV/0!</v>
      </c>
      <c r="U538" s="27" t="e">
        <f>T538*ROUND(P538,2)</f>
        <v>#DIV/0!</v>
      </c>
    </row>
    <row r="539" spans="1:21" x14ac:dyDescent="0.2">
      <c r="A539" s="93" t="s">
        <v>629</v>
      </c>
      <c r="B539" s="94" t="s">
        <v>42</v>
      </c>
      <c r="C539" s="94" t="s">
        <v>544</v>
      </c>
      <c r="D539" s="94" t="s">
        <v>731</v>
      </c>
      <c r="E539" s="95" t="s">
        <v>732</v>
      </c>
      <c r="F539" s="94" t="s">
        <v>277</v>
      </c>
      <c r="G539" s="94" t="s">
        <v>227</v>
      </c>
      <c r="H539" s="94" t="s">
        <v>24</v>
      </c>
      <c r="I539" s="94" t="s">
        <v>191</v>
      </c>
      <c r="J539" s="94"/>
      <c r="K539" s="96">
        <v>23.22</v>
      </c>
      <c r="L539" s="96">
        <f>K539*VLOOKUP(H539,dagsoorttabel1,2,FALSE)</f>
        <v>0.11609999999999999</v>
      </c>
      <c r="M539" s="97">
        <f>prodnorm35</f>
        <v>0</v>
      </c>
      <c r="N539" s="41">
        <f>dagwerk35</f>
        <v>0</v>
      </c>
      <c r="O539" s="94" t="s">
        <v>108</v>
      </c>
      <c r="P539" s="26">
        <f>uurtarief35</f>
        <v>0</v>
      </c>
      <c r="Q539" s="96" t="e">
        <f>IF(ISBLANK(M539),0,L539/ROUND(M539,4))</f>
        <v>#DIV/0!</v>
      </c>
      <c r="R539" s="96" t="e">
        <f>IF(ISBLANK(M539),0,Q539*ROUND(N539,2))</f>
        <v>#DIV/0!</v>
      </c>
      <c r="S539" s="26" t="e">
        <f>ROUND(P539,2)*Q539</f>
        <v>#DIV/0!</v>
      </c>
      <c r="T539" s="96" t="e">
        <f>Q539*dagenperjaar1</f>
        <v>#DIV/0!</v>
      </c>
      <c r="U539" s="27" t="e">
        <f>T539*ROUND(P539,2)</f>
        <v>#DIV/0!</v>
      </c>
    </row>
    <row r="540" spans="1:21" x14ac:dyDescent="0.2">
      <c r="A540" s="93" t="s">
        <v>629</v>
      </c>
      <c r="B540" s="94" t="s">
        <v>42</v>
      </c>
      <c r="C540" s="94" t="s">
        <v>544</v>
      </c>
      <c r="D540" s="94" t="s">
        <v>733</v>
      </c>
      <c r="E540" s="95" t="s">
        <v>734</v>
      </c>
      <c r="F540" s="94" t="s">
        <v>287</v>
      </c>
      <c r="G540" s="94" t="s">
        <v>219</v>
      </c>
      <c r="H540" s="94" t="s">
        <v>10</v>
      </c>
      <c r="I540" s="94" t="s">
        <v>191</v>
      </c>
      <c r="J540" s="94"/>
      <c r="K540" s="96">
        <v>20.82</v>
      </c>
      <c r="L540" s="96">
        <f>K540*VLOOKUP(H540,dagsoorttabel1,2,FALSE)</f>
        <v>20.82</v>
      </c>
      <c r="M540" s="97">
        <f>prodnorm30</f>
        <v>0</v>
      </c>
      <c r="N540" s="41">
        <f>dagwerk30</f>
        <v>0</v>
      </c>
      <c r="O540" s="94" t="s">
        <v>108</v>
      </c>
      <c r="P540" s="26">
        <f>uurtarief30</f>
        <v>0</v>
      </c>
      <c r="Q540" s="96" t="e">
        <f>IF(ISBLANK(M540),0,L540/ROUND(M540,4))</f>
        <v>#DIV/0!</v>
      </c>
      <c r="R540" s="96" t="e">
        <f>IF(ISBLANK(M540),0,Q540*ROUND(N540,2))</f>
        <v>#DIV/0!</v>
      </c>
      <c r="S540" s="26" t="e">
        <f>ROUND(P540,2)*Q540</f>
        <v>#DIV/0!</v>
      </c>
      <c r="T540" s="96" t="e">
        <f>Q540*dagenperjaar1</f>
        <v>#DIV/0!</v>
      </c>
      <c r="U540" s="27" t="e">
        <f>T540*ROUND(P540,2)</f>
        <v>#DIV/0!</v>
      </c>
    </row>
    <row r="541" spans="1:21" x14ac:dyDescent="0.2">
      <c r="A541" s="93" t="s">
        <v>629</v>
      </c>
      <c r="B541" s="94" t="s">
        <v>42</v>
      </c>
      <c r="C541" s="94" t="s">
        <v>544</v>
      </c>
      <c r="D541" s="94" t="s">
        <v>735</v>
      </c>
      <c r="E541" s="95" t="s">
        <v>736</v>
      </c>
      <c r="F541" s="94" t="s">
        <v>287</v>
      </c>
      <c r="G541" s="94" t="s">
        <v>219</v>
      </c>
      <c r="H541" s="94" t="s">
        <v>10</v>
      </c>
      <c r="I541" s="94" t="s">
        <v>191</v>
      </c>
      <c r="J541" s="94"/>
      <c r="K541" s="96">
        <v>10.5</v>
      </c>
      <c r="L541" s="96">
        <f>K541*VLOOKUP(H541,dagsoorttabel1,2,FALSE)</f>
        <v>10.5</v>
      </c>
      <c r="M541" s="97">
        <f>prodnorm30</f>
        <v>0</v>
      </c>
      <c r="N541" s="41">
        <f>dagwerk30</f>
        <v>0</v>
      </c>
      <c r="O541" s="94" t="s">
        <v>108</v>
      </c>
      <c r="P541" s="26">
        <f>uurtarief30</f>
        <v>0</v>
      </c>
      <c r="Q541" s="96" t="e">
        <f>IF(ISBLANK(M541),0,L541/ROUND(M541,4))</f>
        <v>#DIV/0!</v>
      </c>
      <c r="R541" s="96" t="e">
        <f>IF(ISBLANK(M541),0,Q541*ROUND(N541,2))</f>
        <v>#DIV/0!</v>
      </c>
      <c r="S541" s="26" t="e">
        <f>ROUND(P541,2)*Q541</f>
        <v>#DIV/0!</v>
      </c>
      <c r="T541" s="96" t="e">
        <f>Q541*dagenperjaar1</f>
        <v>#DIV/0!</v>
      </c>
      <c r="U541" s="27" t="e">
        <f>T541*ROUND(P541,2)</f>
        <v>#DIV/0!</v>
      </c>
    </row>
    <row r="542" spans="1:21" x14ac:dyDescent="0.2">
      <c r="A542" s="93" t="s">
        <v>629</v>
      </c>
      <c r="B542" s="94" t="s">
        <v>42</v>
      </c>
      <c r="C542" s="94" t="s">
        <v>544</v>
      </c>
      <c r="D542" s="94" t="s">
        <v>562</v>
      </c>
      <c r="E542" s="95" t="s">
        <v>734</v>
      </c>
      <c r="F542" s="94" t="s">
        <v>287</v>
      </c>
      <c r="G542" s="94" t="s">
        <v>219</v>
      </c>
      <c r="H542" s="94" t="s">
        <v>10</v>
      </c>
      <c r="I542" s="94" t="s">
        <v>191</v>
      </c>
      <c r="J542" s="94"/>
      <c r="K542" s="96">
        <v>7</v>
      </c>
      <c r="L542" s="96">
        <f>K542*VLOOKUP(H542,dagsoorttabel1,2,FALSE)</f>
        <v>7</v>
      </c>
      <c r="M542" s="97">
        <f>prodnorm30</f>
        <v>0</v>
      </c>
      <c r="N542" s="41">
        <f>dagwerk30</f>
        <v>0</v>
      </c>
      <c r="O542" s="94" t="s">
        <v>108</v>
      </c>
      <c r="P542" s="26">
        <f>uurtarief30</f>
        <v>0</v>
      </c>
      <c r="Q542" s="96" t="e">
        <f>IF(ISBLANK(M542),0,L542/ROUND(M542,4))</f>
        <v>#DIV/0!</v>
      </c>
      <c r="R542" s="96" t="e">
        <f>IF(ISBLANK(M542),0,Q542*ROUND(N542,2))</f>
        <v>#DIV/0!</v>
      </c>
      <c r="S542" s="26" t="e">
        <f>ROUND(P542,2)*Q542</f>
        <v>#DIV/0!</v>
      </c>
      <c r="T542" s="96" t="e">
        <f>Q542*dagenperjaar1</f>
        <v>#DIV/0!</v>
      </c>
      <c r="U542" s="27" t="e">
        <f>T542*ROUND(P542,2)</f>
        <v>#DIV/0!</v>
      </c>
    </row>
    <row r="543" spans="1:21" x14ac:dyDescent="0.2">
      <c r="A543" s="93" t="s">
        <v>629</v>
      </c>
      <c r="B543" s="94" t="s">
        <v>42</v>
      </c>
      <c r="C543" s="94" t="s">
        <v>544</v>
      </c>
      <c r="D543" s="94" t="s">
        <v>737</v>
      </c>
      <c r="E543" s="95" t="s">
        <v>517</v>
      </c>
      <c r="F543" s="94" t="s">
        <v>277</v>
      </c>
      <c r="G543" s="94" t="s">
        <v>207</v>
      </c>
      <c r="H543" s="94" t="s">
        <v>10</v>
      </c>
      <c r="I543" s="94" t="s">
        <v>191</v>
      </c>
      <c r="J543" s="94"/>
      <c r="K543" s="96">
        <v>62.730000000000004</v>
      </c>
      <c r="L543" s="96">
        <f>K543*VLOOKUP(H543,dagsoorttabel1,2,FALSE)</f>
        <v>62.730000000000004</v>
      </c>
      <c r="M543" s="97">
        <f>prodnorm24</f>
        <v>0</v>
      </c>
      <c r="N543" s="41">
        <f>dagwerk24</f>
        <v>0</v>
      </c>
      <c r="O543" s="94" t="s">
        <v>108</v>
      </c>
      <c r="P543" s="26">
        <f>uurtarief24</f>
        <v>0</v>
      </c>
      <c r="Q543" s="96" t="e">
        <f>IF(ISBLANK(M543),0,L543/ROUND(M543,4))</f>
        <v>#DIV/0!</v>
      </c>
      <c r="R543" s="96" t="e">
        <f>IF(ISBLANK(M543),0,Q543*ROUND(N543,2))</f>
        <v>#DIV/0!</v>
      </c>
      <c r="S543" s="26" t="e">
        <f>ROUND(P543,2)*Q543</f>
        <v>#DIV/0!</v>
      </c>
      <c r="T543" s="96" t="e">
        <f>Q543*dagenperjaar1</f>
        <v>#DIV/0!</v>
      </c>
      <c r="U543" s="27" t="e">
        <f>T543*ROUND(P543,2)</f>
        <v>#DIV/0!</v>
      </c>
    </row>
    <row r="544" spans="1:21" x14ac:dyDescent="0.2">
      <c r="A544" s="93" t="s">
        <v>629</v>
      </c>
      <c r="B544" s="94" t="s">
        <v>42</v>
      </c>
      <c r="C544" s="94" t="s">
        <v>544</v>
      </c>
      <c r="D544" s="94" t="s">
        <v>737</v>
      </c>
      <c r="E544" s="95" t="s">
        <v>517</v>
      </c>
      <c r="F544" s="94" t="s">
        <v>277</v>
      </c>
      <c r="G544" s="94" t="s">
        <v>227</v>
      </c>
      <c r="H544" s="94" t="s">
        <v>24</v>
      </c>
      <c r="I544" s="94" t="s">
        <v>191</v>
      </c>
      <c r="J544" s="94"/>
      <c r="K544" s="96">
        <v>62.730000000000004</v>
      </c>
      <c r="L544" s="96">
        <f>K544*VLOOKUP(H544,dagsoorttabel1,2,FALSE)</f>
        <v>0.31365000000000004</v>
      </c>
      <c r="M544" s="97">
        <f>prodnorm35</f>
        <v>0</v>
      </c>
      <c r="N544" s="41">
        <f>dagwerk35</f>
        <v>0</v>
      </c>
      <c r="O544" s="94" t="s">
        <v>108</v>
      </c>
      <c r="P544" s="26">
        <f>uurtarief35</f>
        <v>0</v>
      </c>
      <c r="Q544" s="96" t="e">
        <f>IF(ISBLANK(M544),0,L544/ROUND(M544,4))</f>
        <v>#DIV/0!</v>
      </c>
      <c r="R544" s="96" t="e">
        <f>IF(ISBLANK(M544),0,Q544*ROUND(N544,2))</f>
        <v>#DIV/0!</v>
      </c>
      <c r="S544" s="26" t="e">
        <f>ROUND(P544,2)*Q544</f>
        <v>#DIV/0!</v>
      </c>
      <c r="T544" s="96" t="e">
        <f>Q544*dagenperjaar1</f>
        <v>#DIV/0!</v>
      </c>
      <c r="U544" s="27" t="e">
        <f>T544*ROUND(P544,2)</f>
        <v>#DIV/0!</v>
      </c>
    </row>
    <row r="545" spans="1:21" x14ac:dyDescent="0.2">
      <c r="A545" s="93" t="s">
        <v>629</v>
      </c>
      <c r="B545" s="94" t="s">
        <v>42</v>
      </c>
      <c r="C545" s="94" t="s">
        <v>544</v>
      </c>
      <c r="D545" s="94" t="s">
        <v>566</v>
      </c>
      <c r="E545" s="95" t="s">
        <v>738</v>
      </c>
      <c r="F545" s="94" t="s">
        <v>277</v>
      </c>
      <c r="G545" s="94" t="s">
        <v>217</v>
      </c>
      <c r="H545" s="94" t="s">
        <v>10</v>
      </c>
      <c r="I545" s="94" t="s">
        <v>191</v>
      </c>
      <c r="J545" s="94"/>
      <c r="K545" s="96">
        <v>79.010000000000005</v>
      </c>
      <c r="L545" s="96">
        <f>K545*VLOOKUP(H545,dagsoorttabel1,2,FALSE)</f>
        <v>79.010000000000005</v>
      </c>
      <c r="M545" s="97">
        <f>prodnorm29</f>
        <v>0</v>
      </c>
      <c r="N545" s="41">
        <f>dagwerk29</f>
        <v>0</v>
      </c>
      <c r="O545" s="94" t="s">
        <v>108</v>
      </c>
      <c r="P545" s="26">
        <f>uurtarief29</f>
        <v>0</v>
      </c>
      <c r="Q545" s="96" t="e">
        <f>IF(ISBLANK(M545),0,L545/ROUND(M545,4))</f>
        <v>#DIV/0!</v>
      </c>
      <c r="R545" s="96" t="e">
        <f>IF(ISBLANK(M545),0,Q545*ROUND(N545,2))</f>
        <v>#DIV/0!</v>
      </c>
      <c r="S545" s="26" t="e">
        <f>ROUND(P545,2)*Q545</f>
        <v>#DIV/0!</v>
      </c>
      <c r="T545" s="96" t="e">
        <f>Q545*dagenperjaar1</f>
        <v>#DIV/0!</v>
      </c>
      <c r="U545" s="27" t="e">
        <f>T545*ROUND(P545,2)</f>
        <v>#DIV/0!</v>
      </c>
    </row>
    <row r="546" spans="1:21" x14ac:dyDescent="0.2">
      <c r="A546" s="93" t="s">
        <v>629</v>
      </c>
      <c r="B546" s="94" t="s">
        <v>42</v>
      </c>
      <c r="C546" s="94" t="s">
        <v>544</v>
      </c>
      <c r="D546" s="94" t="s">
        <v>566</v>
      </c>
      <c r="E546" s="95" t="s">
        <v>738</v>
      </c>
      <c r="F546" s="94" t="s">
        <v>277</v>
      </c>
      <c r="G546" s="94" t="s">
        <v>227</v>
      </c>
      <c r="H546" s="94" t="s">
        <v>24</v>
      </c>
      <c r="I546" s="94" t="s">
        <v>191</v>
      </c>
      <c r="J546" s="94"/>
      <c r="K546" s="96">
        <v>79.010000000000005</v>
      </c>
      <c r="L546" s="96">
        <f>K546*VLOOKUP(H546,dagsoorttabel1,2,FALSE)</f>
        <v>0.39505000000000001</v>
      </c>
      <c r="M546" s="97">
        <f>prodnorm35</f>
        <v>0</v>
      </c>
      <c r="N546" s="41">
        <f>dagwerk35</f>
        <v>0</v>
      </c>
      <c r="O546" s="94" t="s">
        <v>108</v>
      </c>
      <c r="P546" s="26">
        <f>uurtarief35</f>
        <v>0</v>
      </c>
      <c r="Q546" s="96" t="e">
        <f>IF(ISBLANK(M546),0,L546/ROUND(M546,4))</f>
        <v>#DIV/0!</v>
      </c>
      <c r="R546" s="96" t="e">
        <f>IF(ISBLANK(M546),0,Q546*ROUND(N546,2))</f>
        <v>#DIV/0!</v>
      </c>
      <c r="S546" s="26" t="e">
        <f>ROUND(P546,2)*Q546</f>
        <v>#DIV/0!</v>
      </c>
      <c r="T546" s="96" t="e">
        <f>Q546*dagenperjaar1</f>
        <v>#DIV/0!</v>
      </c>
      <c r="U546" s="27" t="e">
        <f>T546*ROUND(P546,2)</f>
        <v>#DIV/0!</v>
      </c>
    </row>
    <row r="547" spans="1:21" x14ac:dyDescent="0.2">
      <c r="A547" s="93" t="s">
        <v>629</v>
      </c>
      <c r="B547" s="94" t="s">
        <v>42</v>
      </c>
      <c r="C547" s="94" t="s">
        <v>544</v>
      </c>
      <c r="D547" s="94" t="s">
        <v>567</v>
      </c>
      <c r="E547" s="95" t="s">
        <v>739</v>
      </c>
      <c r="F547" s="94" t="s">
        <v>277</v>
      </c>
      <c r="G547" s="94" t="s">
        <v>217</v>
      </c>
      <c r="H547" s="94" t="s">
        <v>10</v>
      </c>
      <c r="I547" s="94" t="s">
        <v>191</v>
      </c>
      <c r="J547" s="94"/>
      <c r="K547" s="96">
        <v>15.870000000000001</v>
      </c>
      <c r="L547" s="96">
        <f>K547*VLOOKUP(H547,dagsoorttabel1,2,FALSE)</f>
        <v>15.870000000000001</v>
      </c>
      <c r="M547" s="97">
        <f>prodnorm29</f>
        <v>0</v>
      </c>
      <c r="N547" s="41">
        <f>dagwerk29</f>
        <v>0</v>
      </c>
      <c r="O547" s="94" t="s">
        <v>108</v>
      </c>
      <c r="P547" s="26">
        <f>uurtarief29</f>
        <v>0</v>
      </c>
      <c r="Q547" s="96" t="e">
        <f>IF(ISBLANK(M547),0,L547/ROUND(M547,4))</f>
        <v>#DIV/0!</v>
      </c>
      <c r="R547" s="96" t="e">
        <f>IF(ISBLANK(M547),0,Q547*ROUND(N547,2))</f>
        <v>#DIV/0!</v>
      </c>
      <c r="S547" s="26" t="e">
        <f>ROUND(P547,2)*Q547</f>
        <v>#DIV/0!</v>
      </c>
      <c r="T547" s="96" t="e">
        <f>Q547*dagenperjaar1</f>
        <v>#DIV/0!</v>
      </c>
      <c r="U547" s="27" t="e">
        <f>T547*ROUND(P547,2)</f>
        <v>#DIV/0!</v>
      </c>
    </row>
    <row r="548" spans="1:21" x14ac:dyDescent="0.2">
      <c r="A548" s="93" t="s">
        <v>629</v>
      </c>
      <c r="B548" s="94" t="s">
        <v>42</v>
      </c>
      <c r="C548" s="94" t="s">
        <v>544</v>
      </c>
      <c r="D548" s="94" t="s">
        <v>567</v>
      </c>
      <c r="E548" s="95" t="s">
        <v>739</v>
      </c>
      <c r="F548" s="94" t="s">
        <v>277</v>
      </c>
      <c r="G548" s="94" t="s">
        <v>227</v>
      </c>
      <c r="H548" s="94" t="s">
        <v>24</v>
      </c>
      <c r="I548" s="94" t="s">
        <v>191</v>
      </c>
      <c r="J548" s="94"/>
      <c r="K548" s="96">
        <v>15.870000000000001</v>
      </c>
      <c r="L548" s="96">
        <f>K548*VLOOKUP(H548,dagsoorttabel1,2,FALSE)</f>
        <v>7.9350000000000004E-2</v>
      </c>
      <c r="M548" s="97">
        <f>prodnorm35</f>
        <v>0</v>
      </c>
      <c r="N548" s="41">
        <f>dagwerk35</f>
        <v>0</v>
      </c>
      <c r="O548" s="94" t="s">
        <v>108</v>
      </c>
      <c r="P548" s="26">
        <f>uurtarief35</f>
        <v>0</v>
      </c>
      <c r="Q548" s="96" t="e">
        <f>IF(ISBLANK(M548),0,L548/ROUND(M548,4))</f>
        <v>#DIV/0!</v>
      </c>
      <c r="R548" s="96" t="e">
        <f>IF(ISBLANK(M548),0,Q548*ROUND(N548,2))</f>
        <v>#DIV/0!</v>
      </c>
      <c r="S548" s="26" t="e">
        <f>ROUND(P548,2)*Q548</f>
        <v>#DIV/0!</v>
      </c>
      <c r="T548" s="96" t="e">
        <f>Q548*dagenperjaar1</f>
        <v>#DIV/0!</v>
      </c>
      <c r="U548" s="27" t="e">
        <f>T548*ROUND(P548,2)</f>
        <v>#DIV/0!</v>
      </c>
    </row>
    <row r="549" spans="1:21" x14ac:dyDescent="0.2">
      <c r="A549" s="93" t="s">
        <v>629</v>
      </c>
      <c r="B549" s="94" t="s">
        <v>42</v>
      </c>
      <c r="C549" s="94" t="s">
        <v>544</v>
      </c>
      <c r="D549" s="94" t="s">
        <v>568</v>
      </c>
      <c r="E549" s="95" t="s">
        <v>517</v>
      </c>
      <c r="F549" s="94" t="s">
        <v>277</v>
      </c>
      <c r="G549" s="94" t="s">
        <v>207</v>
      </c>
      <c r="H549" s="94" t="s">
        <v>10</v>
      </c>
      <c r="I549" s="94" t="s">
        <v>191</v>
      </c>
      <c r="J549" s="94"/>
      <c r="K549" s="96">
        <v>62.7</v>
      </c>
      <c r="L549" s="96">
        <f>K549*VLOOKUP(H549,dagsoorttabel1,2,FALSE)</f>
        <v>62.7</v>
      </c>
      <c r="M549" s="97">
        <f>prodnorm24</f>
        <v>0</v>
      </c>
      <c r="N549" s="41">
        <f>dagwerk24</f>
        <v>0</v>
      </c>
      <c r="O549" s="94" t="s">
        <v>108</v>
      </c>
      <c r="P549" s="26">
        <f>uurtarief24</f>
        <v>0</v>
      </c>
      <c r="Q549" s="96" t="e">
        <f>IF(ISBLANK(M549),0,L549/ROUND(M549,4))</f>
        <v>#DIV/0!</v>
      </c>
      <c r="R549" s="96" t="e">
        <f>IF(ISBLANK(M549),0,Q549*ROUND(N549,2))</f>
        <v>#DIV/0!</v>
      </c>
      <c r="S549" s="26" t="e">
        <f>ROUND(P549,2)*Q549</f>
        <v>#DIV/0!</v>
      </c>
      <c r="T549" s="96" t="e">
        <f>Q549*dagenperjaar1</f>
        <v>#DIV/0!</v>
      </c>
      <c r="U549" s="27" t="e">
        <f>T549*ROUND(P549,2)</f>
        <v>#DIV/0!</v>
      </c>
    </row>
    <row r="550" spans="1:21" x14ac:dyDescent="0.2">
      <c r="A550" s="93" t="s">
        <v>629</v>
      </c>
      <c r="B550" s="94" t="s">
        <v>42</v>
      </c>
      <c r="C550" s="94" t="s">
        <v>544</v>
      </c>
      <c r="D550" s="94" t="s">
        <v>568</v>
      </c>
      <c r="E550" s="95" t="s">
        <v>517</v>
      </c>
      <c r="F550" s="94" t="s">
        <v>277</v>
      </c>
      <c r="G550" s="94" t="s">
        <v>227</v>
      </c>
      <c r="H550" s="94" t="s">
        <v>24</v>
      </c>
      <c r="I550" s="94" t="s">
        <v>191</v>
      </c>
      <c r="J550" s="94"/>
      <c r="K550" s="96">
        <v>62.7</v>
      </c>
      <c r="L550" s="96">
        <f>K550*VLOOKUP(H550,dagsoorttabel1,2,FALSE)</f>
        <v>0.3135</v>
      </c>
      <c r="M550" s="97">
        <f>prodnorm35</f>
        <v>0</v>
      </c>
      <c r="N550" s="41">
        <f>dagwerk35</f>
        <v>0</v>
      </c>
      <c r="O550" s="94" t="s">
        <v>108</v>
      </c>
      <c r="P550" s="26">
        <f>uurtarief35</f>
        <v>0</v>
      </c>
      <c r="Q550" s="96" t="e">
        <f>IF(ISBLANK(M550),0,L550/ROUND(M550,4))</f>
        <v>#DIV/0!</v>
      </c>
      <c r="R550" s="96" t="e">
        <f>IF(ISBLANK(M550),0,Q550*ROUND(N550,2))</f>
        <v>#DIV/0!</v>
      </c>
      <c r="S550" s="26" t="e">
        <f>ROUND(P550,2)*Q550</f>
        <v>#DIV/0!</v>
      </c>
      <c r="T550" s="96" t="e">
        <f>Q550*dagenperjaar1</f>
        <v>#DIV/0!</v>
      </c>
      <c r="U550" s="27" t="e">
        <f>T550*ROUND(P550,2)</f>
        <v>#DIV/0!</v>
      </c>
    </row>
    <row r="551" spans="1:21" x14ac:dyDescent="0.2">
      <c r="A551" s="93" t="s">
        <v>629</v>
      </c>
      <c r="B551" s="94" t="s">
        <v>42</v>
      </c>
      <c r="C551" s="94" t="s">
        <v>544</v>
      </c>
      <c r="D551" s="94" t="s">
        <v>569</v>
      </c>
      <c r="E551" s="95" t="s">
        <v>284</v>
      </c>
      <c r="F551" s="94" t="s">
        <v>277</v>
      </c>
      <c r="G551" s="94" t="s">
        <v>225</v>
      </c>
      <c r="H551" s="94" t="s">
        <v>10</v>
      </c>
      <c r="I551" s="94" t="s">
        <v>191</v>
      </c>
      <c r="J551" s="94"/>
      <c r="K551" s="96">
        <v>38.4</v>
      </c>
      <c r="L551" s="96">
        <f>K551*VLOOKUP(H551,dagsoorttabel1,2,FALSE)</f>
        <v>38.4</v>
      </c>
      <c r="M551" s="97">
        <f>prodnorm34</f>
        <v>0</v>
      </c>
      <c r="N551" s="41">
        <f>dagwerk34</f>
        <v>0</v>
      </c>
      <c r="O551" s="94" t="s">
        <v>108</v>
      </c>
      <c r="P551" s="26">
        <f>uurtarief34</f>
        <v>0</v>
      </c>
      <c r="Q551" s="96" t="e">
        <f>IF(ISBLANK(M551),0,L551/ROUND(M551,4))</f>
        <v>#DIV/0!</v>
      </c>
      <c r="R551" s="96" t="e">
        <f>IF(ISBLANK(M551),0,Q551*ROUND(N551,2))</f>
        <v>#DIV/0!</v>
      </c>
      <c r="S551" s="26" t="e">
        <f>ROUND(P551,2)*Q551</f>
        <v>#DIV/0!</v>
      </c>
      <c r="T551" s="96" t="e">
        <f>Q551*dagenperjaar1</f>
        <v>#DIV/0!</v>
      </c>
      <c r="U551" s="27" t="e">
        <f>T551*ROUND(P551,2)</f>
        <v>#DIV/0!</v>
      </c>
    </row>
    <row r="552" spans="1:21" x14ac:dyDescent="0.2">
      <c r="A552" s="93" t="s">
        <v>629</v>
      </c>
      <c r="B552" s="94" t="s">
        <v>42</v>
      </c>
      <c r="C552" s="94" t="s">
        <v>544</v>
      </c>
      <c r="D552" s="94" t="s">
        <v>569</v>
      </c>
      <c r="E552" s="95" t="s">
        <v>284</v>
      </c>
      <c r="F552" s="94" t="s">
        <v>277</v>
      </c>
      <c r="G552" s="94" t="s">
        <v>227</v>
      </c>
      <c r="H552" s="94" t="s">
        <v>24</v>
      </c>
      <c r="I552" s="94" t="s">
        <v>191</v>
      </c>
      <c r="J552" s="94"/>
      <c r="K552" s="96">
        <v>38.4</v>
      </c>
      <c r="L552" s="96">
        <f>K552*VLOOKUP(H552,dagsoorttabel1,2,FALSE)</f>
        <v>0.192</v>
      </c>
      <c r="M552" s="97">
        <f>prodnorm35</f>
        <v>0</v>
      </c>
      <c r="N552" s="41">
        <f>dagwerk35</f>
        <v>0</v>
      </c>
      <c r="O552" s="94" t="s">
        <v>108</v>
      </c>
      <c r="P552" s="26">
        <f>uurtarief35</f>
        <v>0</v>
      </c>
      <c r="Q552" s="96" t="e">
        <f>IF(ISBLANK(M552),0,L552/ROUND(M552,4))</f>
        <v>#DIV/0!</v>
      </c>
      <c r="R552" s="96" t="e">
        <f>IF(ISBLANK(M552),0,Q552*ROUND(N552,2))</f>
        <v>#DIV/0!</v>
      </c>
      <c r="S552" s="26" t="e">
        <f>ROUND(P552,2)*Q552</f>
        <v>#DIV/0!</v>
      </c>
      <c r="T552" s="96" t="e">
        <f>Q552*dagenperjaar1</f>
        <v>#DIV/0!</v>
      </c>
      <c r="U552" s="27" t="e">
        <f>T552*ROUND(P552,2)</f>
        <v>#DIV/0!</v>
      </c>
    </row>
    <row r="553" spans="1:21" x14ac:dyDescent="0.2">
      <c r="A553" s="93" t="s">
        <v>629</v>
      </c>
      <c r="B553" s="94" t="s">
        <v>42</v>
      </c>
      <c r="C553" s="94" t="s">
        <v>544</v>
      </c>
      <c r="D553" s="94" t="s">
        <v>570</v>
      </c>
      <c r="E553" s="95" t="s">
        <v>704</v>
      </c>
      <c r="F553" s="94" t="s">
        <v>277</v>
      </c>
      <c r="G553" s="94" t="s">
        <v>227</v>
      </c>
      <c r="H553" s="94" t="s">
        <v>24</v>
      </c>
      <c r="I553" s="94" t="s">
        <v>191</v>
      </c>
      <c r="J553" s="94"/>
      <c r="K553" s="96">
        <v>22.69</v>
      </c>
      <c r="L553" s="96">
        <f>K553*VLOOKUP(H553,dagsoorttabel1,2,FALSE)</f>
        <v>0.11345000000000001</v>
      </c>
      <c r="M553" s="97">
        <f>prodnorm35</f>
        <v>0</v>
      </c>
      <c r="N553" s="41">
        <f>dagwerk35</f>
        <v>0</v>
      </c>
      <c r="O553" s="94" t="s">
        <v>108</v>
      </c>
      <c r="P553" s="26">
        <f>uurtarief35</f>
        <v>0</v>
      </c>
      <c r="Q553" s="96" t="e">
        <f>IF(ISBLANK(M553),0,L553/ROUND(M553,4))</f>
        <v>#DIV/0!</v>
      </c>
      <c r="R553" s="96" t="e">
        <f>IF(ISBLANK(M553),0,Q553*ROUND(N553,2))</f>
        <v>#DIV/0!</v>
      </c>
      <c r="S553" s="26" t="e">
        <f>ROUND(P553,2)*Q553</f>
        <v>#DIV/0!</v>
      </c>
      <c r="T553" s="96" t="e">
        <f>Q553*dagenperjaar1</f>
        <v>#DIV/0!</v>
      </c>
      <c r="U553" s="27" t="e">
        <f>T553*ROUND(P553,2)</f>
        <v>#DIV/0!</v>
      </c>
    </row>
    <row r="554" spans="1:21" x14ac:dyDescent="0.2">
      <c r="A554" s="93" t="s">
        <v>629</v>
      </c>
      <c r="B554" s="94" t="s">
        <v>42</v>
      </c>
      <c r="C554" s="94" t="s">
        <v>544</v>
      </c>
      <c r="D554" s="94" t="s">
        <v>570</v>
      </c>
      <c r="E554" s="95" t="s">
        <v>704</v>
      </c>
      <c r="F554" s="94" t="s">
        <v>277</v>
      </c>
      <c r="G554" s="94" t="s">
        <v>229</v>
      </c>
      <c r="H554" s="94" t="s">
        <v>16</v>
      </c>
      <c r="I554" s="94" t="s">
        <v>191</v>
      </c>
      <c r="J554" s="94"/>
      <c r="K554" s="96">
        <v>22.69</v>
      </c>
      <c r="L554" s="96">
        <f>K554*VLOOKUP(H554,dagsoorttabel1,2,FALSE)</f>
        <v>4.5380000000000003</v>
      </c>
      <c r="M554" s="97">
        <f>prodnorm36</f>
        <v>0</v>
      </c>
      <c r="N554" s="41">
        <f>dagwerk36</f>
        <v>0</v>
      </c>
      <c r="O554" s="94" t="s">
        <v>108</v>
      </c>
      <c r="P554" s="26">
        <f>uurtarief36</f>
        <v>0</v>
      </c>
      <c r="Q554" s="96" t="e">
        <f>IF(ISBLANK(M554),0,L554/ROUND(M554,4))</f>
        <v>#DIV/0!</v>
      </c>
      <c r="R554" s="96" t="e">
        <f>IF(ISBLANK(M554),0,Q554*ROUND(N554,2))</f>
        <v>#DIV/0!</v>
      </c>
      <c r="S554" s="26" t="e">
        <f>ROUND(P554,2)*Q554</f>
        <v>#DIV/0!</v>
      </c>
      <c r="T554" s="96" t="e">
        <f>Q554*dagenperjaar1</f>
        <v>#DIV/0!</v>
      </c>
      <c r="U554" s="27" t="e">
        <f>T554*ROUND(P554,2)</f>
        <v>#DIV/0!</v>
      </c>
    </row>
    <row r="555" spans="1:21" x14ac:dyDescent="0.2">
      <c r="A555" s="93" t="s">
        <v>629</v>
      </c>
      <c r="B555" s="94" t="s">
        <v>42</v>
      </c>
      <c r="C555" s="94" t="s">
        <v>544</v>
      </c>
      <c r="D555" s="94" t="s">
        <v>573</v>
      </c>
      <c r="E555" s="95" t="s">
        <v>740</v>
      </c>
      <c r="F555" s="94" t="s">
        <v>277</v>
      </c>
      <c r="G555" s="94" t="s">
        <v>215</v>
      </c>
      <c r="H555" s="94" t="s">
        <v>10</v>
      </c>
      <c r="I555" s="94" t="s">
        <v>191</v>
      </c>
      <c r="J555" s="94"/>
      <c r="K555" s="96">
        <v>33.93</v>
      </c>
      <c r="L555" s="96">
        <f>K555*VLOOKUP(H555,dagsoorttabel1,2,FALSE)</f>
        <v>33.93</v>
      </c>
      <c r="M555" s="97">
        <f>prodnorm28</f>
        <v>0</v>
      </c>
      <c r="N555" s="41">
        <f>dagwerk28</f>
        <v>0</v>
      </c>
      <c r="O555" s="94" t="s">
        <v>108</v>
      </c>
      <c r="P555" s="26">
        <f>uurtarief28</f>
        <v>0</v>
      </c>
      <c r="Q555" s="96" t="e">
        <f>IF(ISBLANK(M555),0,L555/ROUND(M555,4))</f>
        <v>#DIV/0!</v>
      </c>
      <c r="R555" s="96" t="e">
        <f>IF(ISBLANK(M555),0,Q555*ROUND(N555,2))</f>
        <v>#DIV/0!</v>
      </c>
      <c r="S555" s="26" t="e">
        <f>ROUND(P555,2)*Q555</f>
        <v>#DIV/0!</v>
      </c>
      <c r="T555" s="96" t="e">
        <f>Q555*dagenperjaar1</f>
        <v>#DIV/0!</v>
      </c>
      <c r="U555" s="27" t="e">
        <f>T555*ROUND(P555,2)</f>
        <v>#DIV/0!</v>
      </c>
    </row>
    <row r="556" spans="1:21" x14ac:dyDescent="0.2">
      <c r="A556" s="93" t="s">
        <v>629</v>
      </c>
      <c r="B556" s="94" t="s">
        <v>42</v>
      </c>
      <c r="C556" s="94" t="s">
        <v>544</v>
      </c>
      <c r="D556" s="94" t="s">
        <v>573</v>
      </c>
      <c r="E556" s="95" t="s">
        <v>740</v>
      </c>
      <c r="F556" s="94" t="s">
        <v>277</v>
      </c>
      <c r="G556" s="94" t="s">
        <v>227</v>
      </c>
      <c r="H556" s="94" t="s">
        <v>24</v>
      </c>
      <c r="I556" s="94" t="s">
        <v>191</v>
      </c>
      <c r="J556" s="94"/>
      <c r="K556" s="96">
        <v>33.93</v>
      </c>
      <c r="L556" s="96">
        <f>K556*VLOOKUP(H556,dagsoorttabel1,2,FALSE)</f>
        <v>0.16965</v>
      </c>
      <c r="M556" s="97">
        <f>prodnorm35</f>
        <v>0</v>
      </c>
      <c r="N556" s="41">
        <f>dagwerk35</f>
        <v>0</v>
      </c>
      <c r="O556" s="94" t="s">
        <v>108</v>
      </c>
      <c r="P556" s="26">
        <f>uurtarief35</f>
        <v>0</v>
      </c>
      <c r="Q556" s="96" t="e">
        <f>IF(ISBLANK(M556),0,L556/ROUND(M556,4))</f>
        <v>#DIV/0!</v>
      </c>
      <c r="R556" s="96" t="e">
        <f>IF(ISBLANK(M556),0,Q556*ROUND(N556,2))</f>
        <v>#DIV/0!</v>
      </c>
      <c r="S556" s="26" t="e">
        <f>ROUND(P556,2)*Q556</f>
        <v>#DIV/0!</v>
      </c>
      <c r="T556" s="96" t="e">
        <f>Q556*dagenperjaar1</f>
        <v>#DIV/0!</v>
      </c>
      <c r="U556" s="27" t="e">
        <f>T556*ROUND(P556,2)</f>
        <v>#DIV/0!</v>
      </c>
    </row>
    <row r="557" spans="1:21" x14ac:dyDescent="0.2">
      <c r="A557" s="93" t="s">
        <v>629</v>
      </c>
      <c r="B557" s="94" t="s">
        <v>42</v>
      </c>
      <c r="C557" s="94" t="s">
        <v>544</v>
      </c>
      <c r="D557" s="94" t="s">
        <v>574</v>
      </c>
      <c r="E557" s="95" t="s">
        <v>741</v>
      </c>
      <c r="F557" s="94" t="s">
        <v>657</v>
      </c>
      <c r="G557" s="94" t="s">
        <v>223</v>
      </c>
      <c r="H557" s="94" t="s">
        <v>10</v>
      </c>
      <c r="I557" s="94" t="s">
        <v>191</v>
      </c>
      <c r="J557" s="94"/>
      <c r="K557" s="96">
        <v>152.9</v>
      </c>
      <c r="L557" s="96">
        <f>K557*VLOOKUP(H557,dagsoorttabel1,2,FALSE)</f>
        <v>152.9</v>
      </c>
      <c r="M557" s="97">
        <f>prodnorm32</f>
        <v>0</v>
      </c>
      <c r="N557" s="41">
        <f>dagwerk32</f>
        <v>0</v>
      </c>
      <c r="O557" s="94" t="s">
        <v>108</v>
      </c>
      <c r="P557" s="26">
        <f>uurtarief32</f>
        <v>0</v>
      </c>
      <c r="Q557" s="96" t="e">
        <f>IF(ISBLANK(M557),0,L557/ROUND(M557,4))</f>
        <v>#DIV/0!</v>
      </c>
      <c r="R557" s="96" t="e">
        <f>IF(ISBLANK(M557),0,Q557*ROUND(N557,2))</f>
        <v>#DIV/0!</v>
      </c>
      <c r="S557" s="26" t="e">
        <f>ROUND(P557,2)*Q557</f>
        <v>#DIV/0!</v>
      </c>
      <c r="T557" s="96" t="e">
        <f>Q557*dagenperjaar1</f>
        <v>#DIV/0!</v>
      </c>
      <c r="U557" s="27" t="e">
        <f>T557*ROUND(P557,2)</f>
        <v>#DIV/0!</v>
      </c>
    </row>
    <row r="558" spans="1:21" x14ac:dyDescent="0.2">
      <c r="A558" s="93" t="s">
        <v>629</v>
      </c>
      <c r="B558" s="94" t="s">
        <v>42</v>
      </c>
      <c r="C558" s="94" t="s">
        <v>544</v>
      </c>
      <c r="D558" s="94" t="s">
        <v>742</v>
      </c>
      <c r="E558" s="95" t="s">
        <v>743</v>
      </c>
      <c r="F558" s="94" t="s">
        <v>277</v>
      </c>
      <c r="G558" s="94" t="s">
        <v>211</v>
      </c>
      <c r="H558" s="94" t="s">
        <v>10</v>
      </c>
      <c r="I558" s="94" t="s">
        <v>191</v>
      </c>
      <c r="J558" s="94"/>
      <c r="K558" s="96">
        <v>15</v>
      </c>
      <c r="L558" s="96">
        <f>K558*VLOOKUP(H558,dagsoorttabel1,2,FALSE)</f>
        <v>15</v>
      </c>
      <c r="M558" s="97">
        <f>prodnorm26</f>
        <v>0</v>
      </c>
      <c r="N558" s="41">
        <f>dagwerk26</f>
        <v>0</v>
      </c>
      <c r="O558" s="94" t="s">
        <v>108</v>
      </c>
      <c r="P558" s="26">
        <f>uurtarief26</f>
        <v>0</v>
      </c>
      <c r="Q558" s="96" t="e">
        <f>IF(ISBLANK(M558),0,L558/ROUND(M558,4))</f>
        <v>#DIV/0!</v>
      </c>
      <c r="R558" s="96" t="e">
        <f>IF(ISBLANK(M558),0,Q558*ROUND(N558,2))</f>
        <v>#DIV/0!</v>
      </c>
      <c r="S558" s="26" t="e">
        <f>ROUND(P558,2)*Q558</f>
        <v>#DIV/0!</v>
      </c>
      <c r="T558" s="96" t="e">
        <f>Q558*dagenperjaar1</f>
        <v>#DIV/0!</v>
      </c>
      <c r="U558" s="27" t="e">
        <f>T558*ROUND(P558,2)</f>
        <v>#DIV/0!</v>
      </c>
    </row>
    <row r="559" spans="1:21" x14ac:dyDescent="0.2">
      <c r="A559" s="93" t="s">
        <v>629</v>
      </c>
      <c r="B559" s="94" t="s">
        <v>42</v>
      </c>
      <c r="C559" s="94" t="s">
        <v>544</v>
      </c>
      <c r="D559" s="94" t="s">
        <v>742</v>
      </c>
      <c r="E559" s="95" t="s">
        <v>743</v>
      </c>
      <c r="F559" s="94" t="s">
        <v>277</v>
      </c>
      <c r="G559" s="94" t="s">
        <v>227</v>
      </c>
      <c r="H559" s="94" t="s">
        <v>24</v>
      </c>
      <c r="I559" s="94" t="s">
        <v>191</v>
      </c>
      <c r="J559" s="94"/>
      <c r="K559" s="96">
        <v>15</v>
      </c>
      <c r="L559" s="96">
        <f>K559*VLOOKUP(H559,dagsoorttabel1,2,FALSE)</f>
        <v>7.4999999999999997E-2</v>
      </c>
      <c r="M559" s="97">
        <f>prodnorm35</f>
        <v>0</v>
      </c>
      <c r="N559" s="41">
        <f>dagwerk35</f>
        <v>0</v>
      </c>
      <c r="O559" s="94" t="s">
        <v>108</v>
      </c>
      <c r="P559" s="26">
        <f>uurtarief35</f>
        <v>0</v>
      </c>
      <c r="Q559" s="96" t="e">
        <f>IF(ISBLANK(M559),0,L559/ROUND(M559,4))</f>
        <v>#DIV/0!</v>
      </c>
      <c r="R559" s="96" t="e">
        <f>IF(ISBLANK(M559),0,Q559*ROUND(N559,2))</f>
        <v>#DIV/0!</v>
      </c>
      <c r="S559" s="26" t="e">
        <f>ROUND(P559,2)*Q559</f>
        <v>#DIV/0!</v>
      </c>
      <c r="T559" s="96" t="e">
        <f>Q559*dagenperjaar1</f>
        <v>#DIV/0!</v>
      </c>
      <c r="U559" s="27" t="e">
        <f>T559*ROUND(P559,2)</f>
        <v>#DIV/0!</v>
      </c>
    </row>
    <row r="560" spans="1:21" x14ac:dyDescent="0.2">
      <c r="A560" s="93" t="s">
        <v>629</v>
      </c>
      <c r="B560" s="94" t="s">
        <v>42</v>
      </c>
      <c r="C560" s="94" t="s">
        <v>544</v>
      </c>
      <c r="D560" s="94" t="s">
        <v>744</v>
      </c>
      <c r="E560" s="95" t="s">
        <v>745</v>
      </c>
      <c r="F560" s="94" t="s">
        <v>277</v>
      </c>
      <c r="G560" s="94" t="s">
        <v>225</v>
      </c>
      <c r="H560" s="94" t="s">
        <v>10</v>
      </c>
      <c r="I560" s="94" t="s">
        <v>191</v>
      </c>
      <c r="J560" s="94"/>
      <c r="K560" s="96">
        <v>70.599999999999994</v>
      </c>
      <c r="L560" s="96">
        <f>K560*VLOOKUP(H560,dagsoorttabel1,2,FALSE)</f>
        <v>70.599999999999994</v>
      </c>
      <c r="M560" s="97">
        <f>prodnorm34</f>
        <v>0</v>
      </c>
      <c r="N560" s="41">
        <f>dagwerk34</f>
        <v>0</v>
      </c>
      <c r="O560" s="94" t="s">
        <v>108</v>
      </c>
      <c r="P560" s="26">
        <f>uurtarief34</f>
        <v>0</v>
      </c>
      <c r="Q560" s="96" t="e">
        <f>IF(ISBLANK(M560),0,L560/ROUND(M560,4))</f>
        <v>#DIV/0!</v>
      </c>
      <c r="R560" s="96" t="e">
        <f>IF(ISBLANK(M560),0,Q560*ROUND(N560,2))</f>
        <v>#DIV/0!</v>
      </c>
      <c r="S560" s="26" t="e">
        <f>ROUND(P560,2)*Q560</f>
        <v>#DIV/0!</v>
      </c>
      <c r="T560" s="96" t="e">
        <f>Q560*dagenperjaar1</f>
        <v>#DIV/0!</v>
      </c>
      <c r="U560" s="27" t="e">
        <f>T560*ROUND(P560,2)</f>
        <v>#DIV/0!</v>
      </c>
    </row>
    <row r="561" spans="1:21" x14ac:dyDescent="0.2">
      <c r="A561" s="93" t="s">
        <v>629</v>
      </c>
      <c r="B561" s="94" t="s">
        <v>42</v>
      </c>
      <c r="C561" s="94" t="s">
        <v>544</v>
      </c>
      <c r="D561" s="94" t="s">
        <v>744</v>
      </c>
      <c r="E561" s="95" t="s">
        <v>745</v>
      </c>
      <c r="F561" s="94" t="s">
        <v>277</v>
      </c>
      <c r="G561" s="94" t="s">
        <v>227</v>
      </c>
      <c r="H561" s="94" t="s">
        <v>24</v>
      </c>
      <c r="I561" s="94" t="s">
        <v>191</v>
      </c>
      <c r="J561" s="94"/>
      <c r="K561" s="96">
        <v>70.599999999999994</v>
      </c>
      <c r="L561" s="96">
        <f>K561*VLOOKUP(H561,dagsoorttabel1,2,FALSE)</f>
        <v>0.35299999999999998</v>
      </c>
      <c r="M561" s="97">
        <f>prodnorm35</f>
        <v>0</v>
      </c>
      <c r="N561" s="41">
        <f>dagwerk35</f>
        <v>0</v>
      </c>
      <c r="O561" s="94" t="s">
        <v>108</v>
      </c>
      <c r="P561" s="26">
        <f>uurtarief35</f>
        <v>0</v>
      </c>
      <c r="Q561" s="96" t="e">
        <f>IF(ISBLANK(M561),0,L561/ROUND(M561,4))</f>
        <v>#DIV/0!</v>
      </c>
      <c r="R561" s="96" t="e">
        <f>IF(ISBLANK(M561),0,Q561*ROUND(N561,2))</f>
        <v>#DIV/0!</v>
      </c>
      <c r="S561" s="26" t="e">
        <f>ROUND(P561,2)*Q561</f>
        <v>#DIV/0!</v>
      </c>
      <c r="T561" s="96" t="e">
        <f>Q561*dagenperjaar1</f>
        <v>#DIV/0!</v>
      </c>
      <c r="U561" s="27" t="e">
        <f>T561*ROUND(P561,2)</f>
        <v>#DIV/0!</v>
      </c>
    </row>
    <row r="562" spans="1:21" x14ac:dyDescent="0.2">
      <c r="A562" s="93" t="s">
        <v>629</v>
      </c>
      <c r="B562" s="94" t="s">
        <v>42</v>
      </c>
      <c r="C562" s="94" t="s">
        <v>544</v>
      </c>
      <c r="D562" s="94" t="s">
        <v>746</v>
      </c>
      <c r="E562" s="95" t="s">
        <v>745</v>
      </c>
      <c r="F562" s="94" t="s">
        <v>277</v>
      </c>
      <c r="G562" s="94" t="s">
        <v>225</v>
      </c>
      <c r="H562" s="94" t="s">
        <v>10</v>
      </c>
      <c r="I562" s="94" t="s">
        <v>191</v>
      </c>
      <c r="J562" s="94"/>
      <c r="K562" s="96">
        <v>35</v>
      </c>
      <c r="L562" s="96">
        <f>K562*VLOOKUP(H562,dagsoorttabel1,2,FALSE)</f>
        <v>35</v>
      </c>
      <c r="M562" s="97">
        <f>prodnorm34</f>
        <v>0</v>
      </c>
      <c r="N562" s="41">
        <f>dagwerk34</f>
        <v>0</v>
      </c>
      <c r="O562" s="94" t="s">
        <v>108</v>
      </c>
      <c r="P562" s="26">
        <f>uurtarief34</f>
        <v>0</v>
      </c>
      <c r="Q562" s="96" t="e">
        <f>IF(ISBLANK(M562),0,L562/ROUND(M562,4))</f>
        <v>#DIV/0!</v>
      </c>
      <c r="R562" s="96" t="e">
        <f>IF(ISBLANK(M562),0,Q562*ROUND(N562,2))</f>
        <v>#DIV/0!</v>
      </c>
      <c r="S562" s="26" t="e">
        <f>ROUND(P562,2)*Q562</f>
        <v>#DIV/0!</v>
      </c>
      <c r="T562" s="96" t="e">
        <f>Q562*dagenperjaar1</f>
        <v>#DIV/0!</v>
      </c>
      <c r="U562" s="27" t="e">
        <f>T562*ROUND(P562,2)</f>
        <v>#DIV/0!</v>
      </c>
    </row>
    <row r="563" spans="1:21" x14ac:dyDescent="0.2">
      <c r="A563" s="93" t="s">
        <v>629</v>
      </c>
      <c r="B563" s="94" t="s">
        <v>42</v>
      </c>
      <c r="C563" s="94" t="s">
        <v>544</v>
      </c>
      <c r="D563" s="94" t="s">
        <v>746</v>
      </c>
      <c r="E563" s="95" t="s">
        <v>745</v>
      </c>
      <c r="F563" s="94" t="s">
        <v>277</v>
      </c>
      <c r="G563" s="94" t="s">
        <v>227</v>
      </c>
      <c r="H563" s="94" t="s">
        <v>24</v>
      </c>
      <c r="I563" s="94" t="s">
        <v>191</v>
      </c>
      <c r="J563" s="94"/>
      <c r="K563" s="96">
        <v>35</v>
      </c>
      <c r="L563" s="96">
        <f>K563*VLOOKUP(H563,dagsoorttabel1,2,FALSE)</f>
        <v>0.17500000000000002</v>
      </c>
      <c r="M563" s="97">
        <f>prodnorm35</f>
        <v>0</v>
      </c>
      <c r="N563" s="41">
        <f>dagwerk35</f>
        <v>0</v>
      </c>
      <c r="O563" s="94" t="s">
        <v>108</v>
      </c>
      <c r="P563" s="26">
        <f>uurtarief35</f>
        <v>0</v>
      </c>
      <c r="Q563" s="96" t="e">
        <f>IF(ISBLANK(M563),0,L563/ROUND(M563,4))</f>
        <v>#DIV/0!</v>
      </c>
      <c r="R563" s="96" t="e">
        <f>IF(ISBLANK(M563),0,Q563*ROUND(N563,2))</f>
        <v>#DIV/0!</v>
      </c>
      <c r="S563" s="26" t="e">
        <f>ROUND(P563,2)*Q563</f>
        <v>#DIV/0!</v>
      </c>
      <c r="T563" s="96" t="e">
        <f>Q563*dagenperjaar1</f>
        <v>#DIV/0!</v>
      </c>
      <c r="U563" s="27" t="e">
        <f>T563*ROUND(P563,2)</f>
        <v>#DIV/0!</v>
      </c>
    </row>
    <row r="564" spans="1:21" x14ac:dyDescent="0.2">
      <c r="A564" s="93" t="s">
        <v>629</v>
      </c>
      <c r="B564" s="94" t="s">
        <v>42</v>
      </c>
      <c r="C564" s="94" t="s">
        <v>747</v>
      </c>
      <c r="D564" s="94" t="s">
        <v>605</v>
      </c>
      <c r="E564" s="95" t="s">
        <v>748</v>
      </c>
      <c r="F564" s="94" t="s">
        <v>277</v>
      </c>
      <c r="G564" s="94" t="s">
        <v>217</v>
      </c>
      <c r="H564" s="94" t="s">
        <v>10</v>
      </c>
      <c r="I564" s="94" t="s">
        <v>191</v>
      </c>
      <c r="J564" s="94"/>
      <c r="K564" s="96">
        <v>88.4</v>
      </c>
      <c r="L564" s="96">
        <f>K564*VLOOKUP(H564,dagsoorttabel1,2,FALSE)</f>
        <v>88.4</v>
      </c>
      <c r="M564" s="97">
        <f>prodnorm29</f>
        <v>0</v>
      </c>
      <c r="N564" s="41">
        <f>dagwerk29</f>
        <v>0</v>
      </c>
      <c r="O564" s="94" t="s">
        <v>108</v>
      </c>
      <c r="P564" s="26">
        <f>uurtarief29</f>
        <v>0</v>
      </c>
      <c r="Q564" s="96" t="e">
        <f>IF(ISBLANK(M564),0,L564/ROUND(M564,4))</f>
        <v>#DIV/0!</v>
      </c>
      <c r="R564" s="96" t="e">
        <f>IF(ISBLANK(M564),0,Q564*ROUND(N564,2))</f>
        <v>#DIV/0!</v>
      </c>
      <c r="S564" s="26" t="e">
        <f>ROUND(P564,2)*Q564</f>
        <v>#DIV/0!</v>
      </c>
      <c r="T564" s="96" t="e">
        <f>Q564*dagenperjaar1</f>
        <v>#DIV/0!</v>
      </c>
      <c r="U564" s="27" t="e">
        <f>T564*ROUND(P564,2)</f>
        <v>#DIV/0!</v>
      </c>
    </row>
    <row r="565" spans="1:21" x14ac:dyDescent="0.2">
      <c r="A565" s="93" t="s">
        <v>629</v>
      </c>
      <c r="B565" s="94" t="s">
        <v>42</v>
      </c>
      <c r="C565" s="94" t="s">
        <v>747</v>
      </c>
      <c r="D565" s="94" t="s">
        <v>605</v>
      </c>
      <c r="E565" s="95" t="s">
        <v>748</v>
      </c>
      <c r="F565" s="94" t="s">
        <v>277</v>
      </c>
      <c r="G565" s="94" t="s">
        <v>227</v>
      </c>
      <c r="H565" s="94" t="s">
        <v>24</v>
      </c>
      <c r="I565" s="94" t="s">
        <v>191</v>
      </c>
      <c r="J565" s="94"/>
      <c r="K565" s="96">
        <v>88.4</v>
      </c>
      <c r="L565" s="96">
        <f>K565*VLOOKUP(H565,dagsoorttabel1,2,FALSE)</f>
        <v>0.44200000000000006</v>
      </c>
      <c r="M565" s="97">
        <f>prodnorm35</f>
        <v>0</v>
      </c>
      <c r="N565" s="41">
        <f>dagwerk35</f>
        <v>0</v>
      </c>
      <c r="O565" s="94" t="s">
        <v>108</v>
      </c>
      <c r="P565" s="26">
        <f>uurtarief35</f>
        <v>0</v>
      </c>
      <c r="Q565" s="96" t="e">
        <f>IF(ISBLANK(M565),0,L565/ROUND(M565,4))</f>
        <v>#DIV/0!</v>
      </c>
      <c r="R565" s="96" t="e">
        <f>IF(ISBLANK(M565),0,Q565*ROUND(N565,2))</f>
        <v>#DIV/0!</v>
      </c>
      <c r="S565" s="26" t="e">
        <f>ROUND(P565,2)*Q565</f>
        <v>#DIV/0!</v>
      </c>
      <c r="T565" s="96" t="e">
        <f>Q565*dagenperjaar1</f>
        <v>#DIV/0!</v>
      </c>
      <c r="U565" s="27" t="e">
        <f>T565*ROUND(P565,2)</f>
        <v>#DIV/0!</v>
      </c>
    </row>
    <row r="566" spans="1:21" x14ac:dyDescent="0.2">
      <c r="A566" s="93" t="s">
        <v>629</v>
      </c>
      <c r="B566" s="94" t="s">
        <v>42</v>
      </c>
      <c r="C566" s="94" t="s">
        <v>747</v>
      </c>
      <c r="D566" s="94" t="s">
        <v>607</v>
      </c>
      <c r="E566" s="95" t="s">
        <v>749</v>
      </c>
      <c r="F566" s="94" t="s">
        <v>277</v>
      </c>
      <c r="G566" s="94" t="s">
        <v>207</v>
      </c>
      <c r="H566" s="94" t="s">
        <v>10</v>
      </c>
      <c r="I566" s="94" t="s">
        <v>191</v>
      </c>
      <c r="J566" s="94"/>
      <c r="K566" s="96">
        <v>44.2</v>
      </c>
      <c r="L566" s="96">
        <f>K566*VLOOKUP(H566,dagsoorttabel1,2,FALSE)</f>
        <v>44.2</v>
      </c>
      <c r="M566" s="97">
        <f>prodnorm24</f>
        <v>0</v>
      </c>
      <c r="N566" s="41">
        <f>dagwerk24</f>
        <v>0</v>
      </c>
      <c r="O566" s="94" t="s">
        <v>108</v>
      </c>
      <c r="P566" s="26">
        <f>uurtarief24</f>
        <v>0</v>
      </c>
      <c r="Q566" s="96" t="e">
        <f>IF(ISBLANK(M566),0,L566/ROUND(M566,4))</f>
        <v>#DIV/0!</v>
      </c>
      <c r="R566" s="96" t="e">
        <f>IF(ISBLANK(M566),0,Q566*ROUND(N566,2))</f>
        <v>#DIV/0!</v>
      </c>
      <c r="S566" s="26" t="e">
        <f>ROUND(P566,2)*Q566</f>
        <v>#DIV/0!</v>
      </c>
      <c r="T566" s="96" t="e">
        <f>Q566*dagenperjaar1</f>
        <v>#DIV/0!</v>
      </c>
      <c r="U566" s="27" t="e">
        <f>T566*ROUND(P566,2)</f>
        <v>#DIV/0!</v>
      </c>
    </row>
    <row r="567" spans="1:21" x14ac:dyDescent="0.2">
      <c r="A567" s="93" t="s">
        <v>629</v>
      </c>
      <c r="B567" s="94" t="s">
        <v>42</v>
      </c>
      <c r="C567" s="94" t="s">
        <v>747</v>
      </c>
      <c r="D567" s="94" t="s">
        <v>607</v>
      </c>
      <c r="E567" s="95" t="s">
        <v>749</v>
      </c>
      <c r="F567" s="94" t="s">
        <v>277</v>
      </c>
      <c r="G567" s="94" t="s">
        <v>227</v>
      </c>
      <c r="H567" s="94" t="s">
        <v>24</v>
      </c>
      <c r="I567" s="94" t="s">
        <v>191</v>
      </c>
      <c r="J567" s="94"/>
      <c r="K567" s="96">
        <v>44.2</v>
      </c>
      <c r="L567" s="96">
        <f>K567*VLOOKUP(H567,dagsoorttabel1,2,FALSE)</f>
        <v>0.22100000000000003</v>
      </c>
      <c r="M567" s="97">
        <f>prodnorm35</f>
        <v>0</v>
      </c>
      <c r="N567" s="41">
        <f>dagwerk35</f>
        <v>0</v>
      </c>
      <c r="O567" s="94" t="s">
        <v>108</v>
      </c>
      <c r="P567" s="26">
        <f>uurtarief35</f>
        <v>0</v>
      </c>
      <c r="Q567" s="96" t="e">
        <f>IF(ISBLANK(M567),0,L567/ROUND(M567,4))</f>
        <v>#DIV/0!</v>
      </c>
      <c r="R567" s="96" t="e">
        <f>IF(ISBLANK(M567),0,Q567*ROUND(N567,2))</f>
        <v>#DIV/0!</v>
      </c>
      <c r="S567" s="26" t="e">
        <f>ROUND(P567,2)*Q567</f>
        <v>#DIV/0!</v>
      </c>
      <c r="T567" s="96" t="e">
        <f>Q567*dagenperjaar1</f>
        <v>#DIV/0!</v>
      </c>
      <c r="U567" s="27" t="e">
        <f>T567*ROUND(P567,2)</f>
        <v>#DIV/0!</v>
      </c>
    </row>
    <row r="568" spans="1:21" x14ac:dyDescent="0.2">
      <c r="A568" s="93" t="s">
        <v>629</v>
      </c>
      <c r="B568" s="94" t="s">
        <v>42</v>
      </c>
      <c r="C568" s="94" t="s">
        <v>747</v>
      </c>
      <c r="D568" s="94" t="s">
        <v>750</v>
      </c>
      <c r="E568" s="95" t="s">
        <v>749</v>
      </c>
      <c r="F568" s="94" t="s">
        <v>277</v>
      </c>
      <c r="G568" s="94" t="s">
        <v>207</v>
      </c>
      <c r="H568" s="94" t="s">
        <v>10</v>
      </c>
      <c r="I568" s="94" t="s">
        <v>191</v>
      </c>
      <c r="J568" s="94"/>
      <c r="K568" s="96">
        <v>44.2</v>
      </c>
      <c r="L568" s="96">
        <f>K568*VLOOKUP(H568,dagsoorttabel1,2,FALSE)</f>
        <v>44.2</v>
      </c>
      <c r="M568" s="97">
        <f>prodnorm24</f>
        <v>0</v>
      </c>
      <c r="N568" s="41">
        <f>dagwerk24</f>
        <v>0</v>
      </c>
      <c r="O568" s="94" t="s">
        <v>108</v>
      </c>
      <c r="P568" s="26">
        <f>uurtarief24</f>
        <v>0</v>
      </c>
      <c r="Q568" s="96" t="e">
        <f>IF(ISBLANK(M568),0,L568/ROUND(M568,4))</f>
        <v>#DIV/0!</v>
      </c>
      <c r="R568" s="96" t="e">
        <f>IF(ISBLANK(M568),0,Q568*ROUND(N568,2))</f>
        <v>#DIV/0!</v>
      </c>
      <c r="S568" s="26" t="e">
        <f>ROUND(P568,2)*Q568</f>
        <v>#DIV/0!</v>
      </c>
      <c r="T568" s="96" t="e">
        <f>Q568*dagenperjaar1</f>
        <v>#DIV/0!</v>
      </c>
      <c r="U568" s="27" t="e">
        <f>T568*ROUND(P568,2)</f>
        <v>#DIV/0!</v>
      </c>
    </row>
    <row r="569" spans="1:21" x14ac:dyDescent="0.2">
      <c r="A569" s="93" t="s">
        <v>629</v>
      </c>
      <c r="B569" s="94" t="s">
        <v>42</v>
      </c>
      <c r="C569" s="94" t="s">
        <v>747</v>
      </c>
      <c r="D569" s="94" t="s">
        <v>750</v>
      </c>
      <c r="E569" s="95" t="s">
        <v>749</v>
      </c>
      <c r="F569" s="94" t="s">
        <v>277</v>
      </c>
      <c r="G569" s="94" t="s">
        <v>227</v>
      </c>
      <c r="H569" s="94" t="s">
        <v>24</v>
      </c>
      <c r="I569" s="94" t="s">
        <v>191</v>
      </c>
      <c r="J569" s="94"/>
      <c r="K569" s="96">
        <v>44.2</v>
      </c>
      <c r="L569" s="96">
        <f>K569*VLOOKUP(H569,dagsoorttabel1,2,FALSE)</f>
        <v>0.22100000000000003</v>
      </c>
      <c r="M569" s="97">
        <f>prodnorm35</f>
        <v>0</v>
      </c>
      <c r="N569" s="41">
        <f>dagwerk35</f>
        <v>0</v>
      </c>
      <c r="O569" s="94" t="s">
        <v>108</v>
      </c>
      <c r="P569" s="26">
        <f>uurtarief35</f>
        <v>0</v>
      </c>
      <c r="Q569" s="96" t="e">
        <f>IF(ISBLANK(M569),0,L569/ROUND(M569,4))</f>
        <v>#DIV/0!</v>
      </c>
      <c r="R569" s="96" t="e">
        <f>IF(ISBLANK(M569),0,Q569*ROUND(N569,2))</f>
        <v>#DIV/0!</v>
      </c>
      <c r="S569" s="26" t="e">
        <f>ROUND(P569,2)*Q569</f>
        <v>#DIV/0!</v>
      </c>
      <c r="T569" s="96" t="e">
        <f>Q569*dagenperjaar1</f>
        <v>#DIV/0!</v>
      </c>
      <c r="U569" s="27" t="e">
        <f>T569*ROUND(P569,2)</f>
        <v>#DIV/0!</v>
      </c>
    </row>
    <row r="570" spans="1:21" x14ac:dyDescent="0.2">
      <c r="A570" s="93" t="s">
        <v>629</v>
      </c>
      <c r="B570" s="94" t="s">
        <v>42</v>
      </c>
      <c r="C570" s="94" t="s">
        <v>747</v>
      </c>
      <c r="D570" s="94" t="s">
        <v>610</v>
      </c>
      <c r="E570" s="95" t="s">
        <v>749</v>
      </c>
      <c r="F570" s="94" t="s">
        <v>277</v>
      </c>
      <c r="G570" s="94" t="s">
        <v>207</v>
      </c>
      <c r="H570" s="94" t="s">
        <v>10</v>
      </c>
      <c r="I570" s="94" t="s">
        <v>191</v>
      </c>
      <c r="J570" s="94"/>
      <c r="K570" s="96">
        <v>44.2</v>
      </c>
      <c r="L570" s="96">
        <f>K570*VLOOKUP(H570,dagsoorttabel1,2,FALSE)</f>
        <v>44.2</v>
      </c>
      <c r="M570" s="97">
        <f>prodnorm24</f>
        <v>0</v>
      </c>
      <c r="N570" s="41">
        <f>dagwerk24</f>
        <v>0</v>
      </c>
      <c r="O570" s="94" t="s">
        <v>108</v>
      </c>
      <c r="P570" s="26">
        <f>uurtarief24</f>
        <v>0</v>
      </c>
      <c r="Q570" s="96" t="e">
        <f>IF(ISBLANK(M570),0,L570/ROUND(M570,4))</f>
        <v>#DIV/0!</v>
      </c>
      <c r="R570" s="96" t="e">
        <f>IF(ISBLANK(M570),0,Q570*ROUND(N570,2))</f>
        <v>#DIV/0!</v>
      </c>
      <c r="S570" s="26" t="e">
        <f>ROUND(P570,2)*Q570</f>
        <v>#DIV/0!</v>
      </c>
      <c r="T570" s="96" t="e">
        <f>Q570*dagenperjaar1</f>
        <v>#DIV/0!</v>
      </c>
      <c r="U570" s="27" t="e">
        <f>T570*ROUND(P570,2)</f>
        <v>#DIV/0!</v>
      </c>
    </row>
    <row r="571" spans="1:21" x14ac:dyDescent="0.2">
      <c r="A571" s="93" t="s">
        <v>629</v>
      </c>
      <c r="B571" s="94" t="s">
        <v>42</v>
      </c>
      <c r="C571" s="94" t="s">
        <v>747</v>
      </c>
      <c r="D571" s="94" t="s">
        <v>610</v>
      </c>
      <c r="E571" s="95" t="s">
        <v>749</v>
      </c>
      <c r="F571" s="94" t="s">
        <v>277</v>
      </c>
      <c r="G571" s="94" t="s">
        <v>227</v>
      </c>
      <c r="H571" s="94" t="s">
        <v>24</v>
      </c>
      <c r="I571" s="94" t="s">
        <v>191</v>
      </c>
      <c r="J571" s="94"/>
      <c r="K571" s="96">
        <v>44.2</v>
      </c>
      <c r="L571" s="96">
        <f>K571*VLOOKUP(H571,dagsoorttabel1,2,FALSE)</f>
        <v>0.22100000000000003</v>
      </c>
      <c r="M571" s="97">
        <f>prodnorm35</f>
        <v>0</v>
      </c>
      <c r="N571" s="41">
        <f>dagwerk35</f>
        <v>0</v>
      </c>
      <c r="O571" s="94" t="s">
        <v>108</v>
      </c>
      <c r="P571" s="26">
        <f>uurtarief35</f>
        <v>0</v>
      </c>
      <c r="Q571" s="96" t="e">
        <f>IF(ISBLANK(M571),0,L571/ROUND(M571,4))</f>
        <v>#DIV/0!</v>
      </c>
      <c r="R571" s="96" t="e">
        <f>IF(ISBLANK(M571),0,Q571*ROUND(N571,2))</f>
        <v>#DIV/0!</v>
      </c>
      <c r="S571" s="26" t="e">
        <f>ROUND(P571,2)*Q571</f>
        <v>#DIV/0!</v>
      </c>
      <c r="T571" s="96" t="e">
        <f>Q571*dagenperjaar1</f>
        <v>#DIV/0!</v>
      </c>
      <c r="U571" s="27" t="e">
        <f>T571*ROUND(P571,2)</f>
        <v>#DIV/0!</v>
      </c>
    </row>
    <row r="572" spans="1:21" x14ac:dyDescent="0.2">
      <c r="A572" s="93" t="s">
        <v>629</v>
      </c>
      <c r="B572" s="94" t="s">
        <v>42</v>
      </c>
      <c r="C572" s="94" t="s">
        <v>747</v>
      </c>
      <c r="D572" s="94" t="s">
        <v>611</v>
      </c>
      <c r="E572" s="95" t="s">
        <v>749</v>
      </c>
      <c r="F572" s="94" t="s">
        <v>277</v>
      </c>
      <c r="G572" s="94" t="s">
        <v>207</v>
      </c>
      <c r="H572" s="94" t="s">
        <v>10</v>
      </c>
      <c r="I572" s="94" t="s">
        <v>191</v>
      </c>
      <c r="J572" s="94"/>
      <c r="K572" s="96">
        <v>44.2</v>
      </c>
      <c r="L572" s="96">
        <f>K572*VLOOKUP(H572,dagsoorttabel1,2,FALSE)</f>
        <v>44.2</v>
      </c>
      <c r="M572" s="97">
        <f>prodnorm24</f>
        <v>0</v>
      </c>
      <c r="N572" s="41">
        <f>dagwerk24</f>
        <v>0</v>
      </c>
      <c r="O572" s="94" t="s">
        <v>108</v>
      </c>
      <c r="P572" s="26">
        <f>uurtarief24</f>
        <v>0</v>
      </c>
      <c r="Q572" s="96" t="e">
        <f>IF(ISBLANK(M572),0,L572/ROUND(M572,4))</f>
        <v>#DIV/0!</v>
      </c>
      <c r="R572" s="96" t="e">
        <f>IF(ISBLANK(M572),0,Q572*ROUND(N572,2))</f>
        <v>#DIV/0!</v>
      </c>
      <c r="S572" s="26" t="e">
        <f>ROUND(P572,2)*Q572</f>
        <v>#DIV/0!</v>
      </c>
      <c r="T572" s="96" t="e">
        <f>Q572*dagenperjaar1</f>
        <v>#DIV/0!</v>
      </c>
      <c r="U572" s="27" t="e">
        <f>T572*ROUND(P572,2)</f>
        <v>#DIV/0!</v>
      </c>
    </row>
    <row r="573" spans="1:21" x14ac:dyDescent="0.2">
      <c r="A573" s="93" t="s">
        <v>629</v>
      </c>
      <c r="B573" s="94" t="s">
        <v>42</v>
      </c>
      <c r="C573" s="94" t="s">
        <v>747</v>
      </c>
      <c r="D573" s="94" t="s">
        <v>611</v>
      </c>
      <c r="E573" s="95" t="s">
        <v>749</v>
      </c>
      <c r="F573" s="94" t="s">
        <v>277</v>
      </c>
      <c r="G573" s="94" t="s">
        <v>227</v>
      </c>
      <c r="H573" s="94" t="s">
        <v>24</v>
      </c>
      <c r="I573" s="94" t="s">
        <v>191</v>
      </c>
      <c r="J573" s="94"/>
      <c r="K573" s="96">
        <v>44.2</v>
      </c>
      <c r="L573" s="96">
        <f>K573*VLOOKUP(H573,dagsoorttabel1,2,FALSE)</f>
        <v>0.22100000000000003</v>
      </c>
      <c r="M573" s="97">
        <f>prodnorm35</f>
        <v>0</v>
      </c>
      <c r="N573" s="41">
        <f>dagwerk35</f>
        <v>0</v>
      </c>
      <c r="O573" s="94" t="s">
        <v>108</v>
      </c>
      <c r="P573" s="26">
        <f>uurtarief35</f>
        <v>0</v>
      </c>
      <c r="Q573" s="96" t="e">
        <f>IF(ISBLANK(M573),0,L573/ROUND(M573,4))</f>
        <v>#DIV/0!</v>
      </c>
      <c r="R573" s="96" t="e">
        <f>IF(ISBLANK(M573),0,Q573*ROUND(N573,2))</f>
        <v>#DIV/0!</v>
      </c>
      <c r="S573" s="26" t="e">
        <f>ROUND(P573,2)*Q573</f>
        <v>#DIV/0!</v>
      </c>
      <c r="T573" s="96" t="e">
        <f>Q573*dagenperjaar1</f>
        <v>#DIV/0!</v>
      </c>
      <c r="U573" s="27" t="e">
        <f>T573*ROUND(P573,2)</f>
        <v>#DIV/0!</v>
      </c>
    </row>
    <row r="574" spans="1:21" x14ac:dyDescent="0.2">
      <c r="A574" s="93" t="s">
        <v>629</v>
      </c>
      <c r="B574" s="94" t="s">
        <v>42</v>
      </c>
      <c r="C574" s="94" t="s">
        <v>747</v>
      </c>
      <c r="D574" s="94" t="s">
        <v>612</v>
      </c>
      <c r="E574" s="95" t="s">
        <v>751</v>
      </c>
      <c r="F574" s="94" t="s">
        <v>277</v>
      </c>
      <c r="G574" s="94" t="s">
        <v>223</v>
      </c>
      <c r="H574" s="94" t="s">
        <v>10</v>
      </c>
      <c r="I574" s="94" t="s">
        <v>191</v>
      </c>
      <c r="J574" s="94"/>
      <c r="K574" s="96">
        <v>23.22</v>
      </c>
      <c r="L574" s="96">
        <f>K574*VLOOKUP(H574,dagsoorttabel1,2,FALSE)</f>
        <v>23.22</v>
      </c>
      <c r="M574" s="97">
        <f>prodnorm32</f>
        <v>0</v>
      </c>
      <c r="N574" s="41">
        <f>dagwerk32</f>
        <v>0</v>
      </c>
      <c r="O574" s="94" t="s">
        <v>108</v>
      </c>
      <c r="P574" s="26">
        <f>uurtarief32</f>
        <v>0</v>
      </c>
      <c r="Q574" s="96" t="e">
        <f>IF(ISBLANK(M574),0,L574/ROUND(M574,4))</f>
        <v>#DIV/0!</v>
      </c>
      <c r="R574" s="96" t="e">
        <f>IF(ISBLANK(M574),0,Q574*ROUND(N574,2))</f>
        <v>#DIV/0!</v>
      </c>
      <c r="S574" s="26" t="e">
        <f>ROUND(P574,2)*Q574</f>
        <v>#DIV/0!</v>
      </c>
      <c r="T574" s="96" t="e">
        <f>Q574*dagenperjaar1</f>
        <v>#DIV/0!</v>
      </c>
      <c r="U574" s="27" t="e">
        <f>T574*ROUND(P574,2)</f>
        <v>#DIV/0!</v>
      </c>
    </row>
    <row r="575" spans="1:21" x14ac:dyDescent="0.2">
      <c r="A575" s="93" t="s">
        <v>629</v>
      </c>
      <c r="B575" s="94" t="s">
        <v>42</v>
      </c>
      <c r="C575" s="94" t="s">
        <v>747</v>
      </c>
      <c r="D575" s="94" t="s">
        <v>612</v>
      </c>
      <c r="E575" s="95" t="s">
        <v>751</v>
      </c>
      <c r="F575" s="94" t="s">
        <v>277</v>
      </c>
      <c r="G575" s="94" t="s">
        <v>227</v>
      </c>
      <c r="H575" s="94" t="s">
        <v>24</v>
      </c>
      <c r="I575" s="94" t="s">
        <v>191</v>
      </c>
      <c r="J575" s="94"/>
      <c r="K575" s="96">
        <v>23.22</v>
      </c>
      <c r="L575" s="96">
        <f>K575*VLOOKUP(H575,dagsoorttabel1,2,FALSE)</f>
        <v>0.11609999999999999</v>
      </c>
      <c r="M575" s="97">
        <f>prodnorm35</f>
        <v>0</v>
      </c>
      <c r="N575" s="41">
        <f>dagwerk35</f>
        <v>0</v>
      </c>
      <c r="O575" s="94" t="s">
        <v>108</v>
      </c>
      <c r="P575" s="26">
        <f>uurtarief35</f>
        <v>0</v>
      </c>
      <c r="Q575" s="96" t="e">
        <f>IF(ISBLANK(M575),0,L575/ROUND(M575,4))</f>
        <v>#DIV/0!</v>
      </c>
      <c r="R575" s="96" t="e">
        <f>IF(ISBLANK(M575),0,Q575*ROUND(N575,2))</f>
        <v>#DIV/0!</v>
      </c>
      <c r="S575" s="26" t="e">
        <f>ROUND(P575,2)*Q575</f>
        <v>#DIV/0!</v>
      </c>
      <c r="T575" s="96" t="e">
        <f>Q575*dagenperjaar1</f>
        <v>#DIV/0!</v>
      </c>
      <c r="U575" s="27" t="e">
        <f>T575*ROUND(P575,2)</f>
        <v>#DIV/0!</v>
      </c>
    </row>
    <row r="576" spans="1:21" x14ac:dyDescent="0.2">
      <c r="A576" s="93" t="s">
        <v>629</v>
      </c>
      <c r="B576" s="94" t="s">
        <v>42</v>
      </c>
      <c r="C576" s="94" t="s">
        <v>747</v>
      </c>
      <c r="D576" s="94" t="s">
        <v>613</v>
      </c>
      <c r="E576" s="95" t="s">
        <v>752</v>
      </c>
      <c r="F576" s="94" t="s">
        <v>287</v>
      </c>
      <c r="G576" s="94" t="s">
        <v>219</v>
      </c>
      <c r="H576" s="94" t="s">
        <v>10</v>
      </c>
      <c r="I576" s="94" t="s">
        <v>191</v>
      </c>
      <c r="J576" s="94"/>
      <c r="K576" s="96">
        <v>20.8</v>
      </c>
      <c r="L576" s="96">
        <f>K576*VLOOKUP(H576,dagsoorttabel1,2,FALSE)</f>
        <v>20.8</v>
      </c>
      <c r="M576" s="97">
        <f>prodnorm30</f>
        <v>0</v>
      </c>
      <c r="N576" s="41">
        <f>dagwerk30</f>
        <v>0</v>
      </c>
      <c r="O576" s="94" t="s">
        <v>108</v>
      </c>
      <c r="P576" s="26">
        <f>uurtarief30</f>
        <v>0</v>
      </c>
      <c r="Q576" s="96" t="e">
        <f>IF(ISBLANK(M576),0,L576/ROUND(M576,4))</f>
        <v>#DIV/0!</v>
      </c>
      <c r="R576" s="96" t="e">
        <f>IF(ISBLANK(M576),0,Q576*ROUND(N576,2))</f>
        <v>#DIV/0!</v>
      </c>
      <c r="S576" s="26" t="e">
        <f>ROUND(P576,2)*Q576</f>
        <v>#DIV/0!</v>
      </c>
      <c r="T576" s="96" t="e">
        <f>Q576*dagenperjaar1</f>
        <v>#DIV/0!</v>
      </c>
      <c r="U576" s="27" t="e">
        <f>T576*ROUND(P576,2)</f>
        <v>#DIV/0!</v>
      </c>
    </row>
    <row r="577" spans="1:21" x14ac:dyDescent="0.2">
      <c r="A577" s="93" t="s">
        <v>629</v>
      </c>
      <c r="B577" s="94" t="s">
        <v>42</v>
      </c>
      <c r="C577" s="94" t="s">
        <v>747</v>
      </c>
      <c r="D577" s="94" t="s">
        <v>753</v>
      </c>
      <c r="E577" s="95" t="s">
        <v>754</v>
      </c>
      <c r="F577" s="94" t="s">
        <v>277</v>
      </c>
      <c r="G577" s="94" t="s">
        <v>193</v>
      </c>
      <c r="H577" s="94" t="s">
        <v>14</v>
      </c>
      <c r="I577" s="94" t="s">
        <v>191</v>
      </c>
      <c r="J577" s="94"/>
      <c r="K577" s="96">
        <v>10.129999999999999</v>
      </c>
      <c r="L577" s="96">
        <f>K577*VLOOKUP(H577,dagsoorttabel1,2,FALSE)</f>
        <v>4.0519999999999996</v>
      </c>
      <c r="M577" s="97">
        <f>prodnorm15</f>
        <v>0</v>
      </c>
      <c r="N577" s="41">
        <f>dagwerk15</f>
        <v>0</v>
      </c>
      <c r="O577" s="94" t="s">
        <v>108</v>
      </c>
      <c r="P577" s="26">
        <f>uurtarief15</f>
        <v>0</v>
      </c>
      <c r="Q577" s="96" t="e">
        <f>IF(ISBLANK(M577),0,L577/ROUND(M577,4))</f>
        <v>#DIV/0!</v>
      </c>
      <c r="R577" s="96" t="e">
        <f>IF(ISBLANK(M577),0,Q577*ROUND(N577,2))</f>
        <v>#DIV/0!</v>
      </c>
      <c r="S577" s="26" t="e">
        <f>ROUND(P577,2)*Q577</f>
        <v>#DIV/0!</v>
      </c>
      <c r="T577" s="96" t="e">
        <f>Q577*dagenperjaar1</f>
        <v>#DIV/0!</v>
      </c>
      <c r="U577" s="27" t="e">
        <f>T577*ROUND(P577,2)</f>
        <v>#DIV/0!</v>
      </c>
    </row>
    <row r="578" spans="1:21" x14ac:dyDescent="0.2">
      <c r="A578" s="93" t="s">
        <v>629</v>
      </c>
      <c r="B578" s="94" t="s">
        <v>42</v>
      </c>
      <c r="C578" s="94" t="s">
        <v>747</v>
      </c>
      <c r="D578" s="94" t="s">
        <v>753</v>
      </c>
      <c r="E578" s="95" t="s">
        <v>754</v>
      </c>
      <c r="F578" s="94" t="s">
        <v>277</v>
      </c>
      <c r="G578" s="94" t="s">
        <v>227</v>
      </c>
      <c r="H578" s="94" t="s">
        <v>24</v>
      </c>
      <c r="I578" s="94" t="s">
        <v>191</v>
      </c>
      <c r="J578" s="94"/>
      <c r="K578" s="96">
        <v>10.129999999999999</v>
      </c>
      <c r="L578" s="96">
        <f>K578*VLOOKUP(H578,dagsoorttabel1,2,FALSE)</f>
        <v>5.0649999999999994E-2</v>
      </c>
      <c r="M578" s="97">
        <f>prodnorm35</f>
        <v>0</v>
      </c>
      <c r="N578" s="41">
        <f>dagwerk35</f>
        <v>0</v>
      </c>
      <c r="O578" s="94" t="s">
        <v>108</v>
      </c>
      <c r="P578" s="26">
        <f>uurtarief35</f>
        <v>0</v>
      </c>
      <c r="Q578" s="96" t="e">
        <f>IF(ISBLANK(M578),0,L578/ROUND(M578,4))</f>
        <v>#DIV/0!</v>
      </c>
      <c r="R578" s="96" t="e">
        <f>IF(ISBLANK(M578),0,Q578*ROUND(N578,2))</f>
        <v>#DIV/0!</v>
      </c>
      <c r="S578" s="26" t="e">
        <f>ROUND(P578,2)*Q578</f>
        <v>#DIV/0!</v>
      </c>
      <c r="T578" s="96" t="e">
        <f>Q578*dagenperjaar1</f>
        <v>#DIV/0!</v>
      </c>
      <c r="U578" s="27" t="e">
        <f>T578*ROUND(P578,2)</f>
        <v>#DIV/0!</v>
      </c>
    </row>
    <row r="579" spans="1:21" x14ac:dyDescent="0.2">
      <c r="A579" s="93" t="s">
        <v>629</v>
      </c>
      <c r="B579" s="94" t="s">
        <v>42</v>
      </c>
      <c r="C579" s="94" t="s">
        <v>747</v>
      </c>
      <c r="D579" s="94" t="s">
        <v>755</v>
      </c>
      <c r="E579" s="95" t="s">
        <v>698</v>
      </c>
      <c r="F579" s="94" t="s">
        <v>314</v>
      </c>
      <c r="G579" s="94" t="s">
        <v>219</v>
      </c>
      <c r="H579" s="94" t="s">
        <v>10</v>
      </c>
      <c r="I579" s="94" t="s">
        <v>191</v>
      </c>
      <c r="J579" s="94"/>
      <c r="K579" s="96">
        <v>7.09</v>
      </c>
      <c r="L579" s="96">
        <f>K579*VLOOKUP(H579,dagsoorttabel1,2,FALSE)</f>
        <v>7.09</v>
      </c>
      <c r="M579" s="97">
        <f>prodnorm30</f>
        <v>0</v>
      </c>
      <c r="N579" s="41">
        <f>dagwerk30</f>
        <v>0</v>
      </c>
      <c r="O579" s="94" t="s">
        <v>108</v>
      </c>
      <c r="P579" s="26">
        <f>uurtarief30</f>
        <v>0</v>
      </c>
      <c r="Q579" s="96" t="e">
        <f>IF(ISBLANK(M579),0,L579/ROUND(M579,4))</f>
        <v>#DIV/0!</v>
      </c>
      <c r="R579" s="96" t="e">
        <f>IF(ISBLANK(M579),0,Q579*ROUND(N579,2))</f>
        <v>#DIV/0!</v>
      </c>
      <c r="S579" s="26" t="e">
        <f>ROUND(P579,2)*Q579</f>
        <v>#DIV/0!</v>
      </c>
      <c r="T579" s="96" t="e">
        <f>Q579*dagenperjaar1</f>
        <v>#DIV/0!</v>
      </c>
      <c r="U579" s="27" t="e">
        <f>T579*ROUND(P579,2)</f>
        <v>#DIV/0!</v>
      </c>
    </row>
    <row r="580" spans="1:21" x14ac:dyDescent="0.2">
      <c r="A580" s="93" t="s">
        <v>629</v>
      </c>
      <c r="B580" s="94" t="s">
        <v>42</v>
      </c>
      <c r="C580" s="94" t="s">
        <v>747</v>
      </c>
      <c r="D580" s="94" t="s">
        <v>756</v>
      </c>
      <c r="E580" s="95" t="s">
        <v>704</v>
      </c>
      <c r="F580" s="94" t="s">
        <v>277</v>
      </c>
      <c r="G580" s="94" t="s">
        <v>227</v>
      </c>
      <c r="H580" s="94" t="s">
        <v>24</v>
      </c>
      <c r="I580" s="94" t="s">
        <v>191</v>
      </c>
      <c r="J580" s="94"/>
      <c r="K580" s="96">
        <v>44.2</v>
      </c>
      <c r="L580" s="96">
        <f>K580*VLOOKUP(H580,dagsoorttabel1,2,FALSE)</f>
        <v>0.22100000000000003</v>
      </c>
      <c r="M580" s="97">
        <f>prodnorm35</f>
        <v>0</v>
      </c>
      <c r="N580" s="41">
        <f>dagwerk35</f>
        <v>0</v>
      </c>
      <c r="O580" s="94" t="s">
        <v>108</v>
      </c>
      <c r="P580" s="26">
        <f>uurtarief35</f>
        <v>0</v>
      </c>
      <c r="Q580" s="96" t="e">
        <f>IF(ISBLANK(M580),0,L580/ROUND(M580,4))</f>
        <v>#DIV/0!</v>
      </c>
      <c r="R580" s="96" t="e">
        <f>IF(ISBLANK(M580),0,Q580*ROUND(N580,2))</f>
        <v>#DIV/0!</v>
      </c>
      <c r="S580" s="26" t="e">
        <f>ROUND(P580,2)*Q580</f>
        <v>#DIV/0!</v>
      </c>
      <c r="T580" s="96" t="e">
        <f>Q580*dagenperjaar1</f>
        <v>#DIV/0!</v>
      </c>
      <c r="U580" s="27" t="e">
        <f>T580*ROUND(P580,2)</f>
        <v>#DIV/0!</v>
      </c>
    </row>
    <row r="581" spans="1:21" x14ac:dyDescent="0.2">
      <c r="A581" s="93" t="s">
        <v>629</v>
      </c>
      <c r="B581" s="94" t="s">
        <v>42</v>
      </c>
      <c r="C581" s="94" t="s">
        <v>747</v>
      </c>
      <c r="D581" s="94" t="s">
        <v>756</v>
      </c>
      <c r="E581" s="95" t="s">
        <v>704</v>
      </c>
      <c r="F581" s="94" t="s">
        <v>277</v>
      </c>
      <c r="G581" s="94" t="s">
        <v>229</v>
      </c>
      <c r="H581" s="94" t="s">
        <v>16</v>
      </c>
      <c r="I581" s="94" t="s">
        <v>191</v>
      </c>
      <c r="J581" s="94"/>
      <c r="K581" s="96">
        <v>44.2</v>
      </c>
      <c r="L581" s="96">
        <f>K581*VLOOKUP(H581,dagsoorttabel1,2,FALSE)</f>
        <v>8.8400000000000016</v>
      </c>
      <c r="M581" s="97">
        <f>prodnorm36</f>
        <v>0</v>
      </c>
      <c r="N581" s="41">
        <f>dagwerk36</f>
        <v>0</v>
      </c>
      <c r="O581" s="94" t="s">
        <v>108</v>
      </c>
      <c r="P581" s="26">
        <f>uurtarief36</f>
        <v>0</v>
      </c>
      <c r="Q581" s="96" t="e">
        <f>IF(ISBLANK(M581),0,L581/ROUND(M581,4))</f>
        <v>#DIV/0!</v>
      </c>
      <c r="R581" s="96" t="e">
        <f>IF(ISBLANK(M581),0,Q581*ROUND(N581,2))</f>
        <v>#DIV/0!</v>
      </c>
      <c r="S581" s="26" t="e">
        <f>ROUND(P581,2)*Q581</f>
        <v>#DIV/0!</v>
      </c>
      <c r="T581" s="96" t="e">
        <f>Q581*dagenperjaar1</f>
        <v>#DIV/0!</v>
      </c>
      <c r="U581" s="27" t="e">
        <f>T581*ROUND(P581,2)</f>
        <v>#DIV/0!</v>
      </c>
    </row>
    <row r="582" spans="1:21" x14ac:dyDescent="0.2">
      <c r="A582" s="93" t="s">
        <v>629</v>
      </c>
      <c r="B582" s="94" t="s">
        <v>42</v>
      </c>
      <c r="C582" s="94" t="s">
        <v>747</v>
      </c>
      <c r="D582" s="94" t="s">
        <v>757</v>
      </c>
      <c r="E582" s="95" t="s">
        <v>758</v>
      </c>
      <c r="F582" s="94" t="s">
        <v>657</v>
      </c>
      <c r="G582" s="94" t="s">
        <v>223</v>
      </c>
      <c r="H582" s="94" t="s">
        <v>10</v>
      </c>
      <c r="I582" s="94" t="s">
        <v>191</v>
      </c>
      <c r="J582" s="94"/>
      <c r="K582" s="96">
        <v>54</v>
      </c>
      <c r="L582" s="96">
        <f>K582*VLOOKUP(H582,dagsoorttabel1,2,FALSE)</f>
        <v>54</v>
      </c>
      <c r="M582" s="97">
        <f>prodnorm32</f>
        <v>0</v>
      </c>
      <c r="N582" s="41">
        <f>dagwerk32</f>
        <v>0</v>
      </c>
      <c r="O582" s="94" t="s">
        <v>108</v>
      </c>
      <c r="P582" s="26">
        <f>uurtarief32</f>
        <v>0</v>
      </c>
      <c r="Q582" s="96" t="e">
        <f>IF(ISBLANK(M582),0,L582/ROUND(M582,4))</f>
        <v>#DIV/0!</v>
      </c>
      <c r="R582" s="96" t="e">
        <f>IF(ISBLANK(M582),0,Q582*ROUND(N582,2))</f>
        <v>#DIV/0!</v>
      </c>
      <c r="S582" s="26" t="e">
        <f>ROUND(P582,2)*Q582</f>
        <v>#DIV/0!</v>
      </c>
      <c r="T582" s="96" t="e">
        <f>Q582*dagenperjaar1</f>
        <v>#DIV/0!</v>
      </c>
      <c r="U582" s="27" t="e">
        <f>T582*ROUND(P582,2)</f>
        <v>#DIV/0!</v>
      </c>
    </row>
    <row r="583" spans="1:21" x14ac:dyDescent="0.2">
      <c r="A583" s="93" t="s">
        <v>629</v>
      </c>
      <c r="B583" s="94" t="s">
        <v>42</v>
      </c>
      <c r="C583" s="94" t="s">
        <v>747</v>
      </c>
      <c r="D583" s="94" t="s">
        <v>759</v>
      </c>
      <c r="E583" s="95" t="s">
        <v>760</v>
      </c>
      <c r="F583" s="94" t="s">
        <v>277</v>
      </c>
      <c r="G583" s="94" t="s">
        <v>225</v>
      </c>
      <c r="H583" s="94" t="s">
        <v>10</v>
      </c>
      <c r="I583" s="94" t="s">
        <v>191</v>
      </c>
      <c r="J583" s="94"/>
      <c r="K583" s="96">
        <v>70.599999999999994</v>
      </c>
      <c r="L583" s="96">
        <f>K583*VLOOKUP(H583,dagsoorttabel1,2,FALSE)</f>
        <v>70.599999999999994</v>
      </c>
      <c r="M583" s="97">
        <f>prodnorm34</f>
        <v>0</v>
      </c>
      <c r="N583" s="41">
        <f>dagwerk34</f>
        <v>0</v>
      </c>
      <c r="O583" s="94" t="s">
        <v>108</v>
      </c>
      <c r="P583" s="26">
        <f>uurtarief34</f>
        <v>0</v>
      </c>
      <c r="Q583" s="96" t="e">
        <f>IF(ISBLANK(M583),0,L583/ROUND(M583,4))</f>
        <v>#DIV/0!</v>
      </c>
      <c r="R583" s="96" t="e">
        <f>IF(ISBLANK(M583),0,Q583*ROUND(N583,2))</f>
        <v>#DIV/0!</v>
      </c>
      <c r="S583" s="26" t="e">
        <f>ROUND(P583,2)*Q583</f>
        <v>#DIV/0!</v>
      </c>
      <c r="T583" s="96" t="e">
        <f>Q583*dagenperjaar1</f>
        <v>#DIV/0!</v>
      </c>
      <c r="U583" s="27" t="e">
        <f>T583*ROUND(P583,2)</f>
        <v>#DIV/0!</v>
      </c>
    </row>
    <row r="584" spans="1:21" x14ac:dyDescent="0.2">
      <c r="A584" s="93" t="s">
        <v>629</v>
      </c>
      <c r="B584" s="94" t="s">
        <v>42</v>
      </c>
      <c r="C584" s="94" t="s">
        <v>747</v>
      </c>
      <c r="D584" s="94" t="s">
        <v>759</v>
      </c>
      <c r="E584" s="95" t="s">
        <v>760</v>
      </c>
      <c r="F584" s="94" t="s">
        <v>277</v>
      </c>
      <c r="G584" s="94" t="s">
        <v>227</v>
      </c>
      <c r="H584" s="94" t="s">
        <v>24</v>
      </c>
      <c r="I584" s="94" t="s">
        <v>191</v>
      </c>
      <c r="J584" s="94"/>
      <c r="K584" s="96">
        <v>70.599999999999994</v>
      </c>
      <c r="L584" s="96">
        <f>K584*VLOOKUP(H584,dagsoorttabel1,2,FALSE)</f>
        <v>0.35299999999999998</v>
      </c>
      <c r="M584" s="97">
        <f>prodnorm35</f>
        <v>0</v>
      </c>
      <c r="N584" s="41">
        <f>dagwerk35</f>
        <v>0</v>
      </c>
      <c r="O584" s="94" t="s">
        <v>108</v>
      </c>
      <c r="P584" s="26">
        <f>uurtarief35</f>
        <v>0</v>
      </c>
      <c r="Q584" s="96" t="e">
        <f>IF(ISBLANK(M584),0,L584/ROUND(M584,4))</f>
        <v>#DIV/0!</v>
      </c>
      <c r="R584" s="96" t="e">
        <f>IF(ISBLANK(M584),0,Q584*ROUND(N584,2))</f>
        <v>#DIV/0!</v>
      </c>
      <c r="S584" s="26" t="e">
        <f>ROUND(P584,2)*Q584</f>
        <v>#DIV/0!</v>
      </c>
      <c r="T584" s="96" t="e">
        <f>Q584*dagenperjaar1</f>
        <v>#DIV/0!</v>
      </c>
      <c r="U584" s="27" t="e">
        <f>T584*ROUND(P584,2)</f>
        <v>#DIV/0!</v>
      </c>
    </row>
    <row r="585" spans="1:21" x14ac:dyDescent="0.2">
      <c r="A585" s="93" t="s">
        <v>629</v>
      </c>
      <c r="B585" s="94" t="s">
        <v>42</v>
      </c>
      <c r="C585" s="94" t="s">
        <v>747</v>
      </c>
      <c r="D585" s="94" t="s">
        <v>761</v>
      </c>
      <c r="E585" s="95" t="s">
        <v>760</v>
      </c>
      <c r="F585" s="94" t="s">
        <v>277</v>
      </c>
      <c r="G585" s="94" t="s">
        <v>225</v>
      </c>
      <c r="H585" s="94" t="s">
        <v>10</v>
      </c>
      <c r="I585" s="94" t="s">
        <v>191</v>
      </c>
      <c r="J585" s="94"/>
      <c r="K585" s="96">
        <v>35</v>
      </c>
      <c r="L585" s="96">
        <f>K585*VLOOKUP(H585,dagsoorttabel1,2,FALSE)</f>
        <v>35</v>
      </c>
      <c r="M585" s="97">
        <f>prodnorm34</f>
        <v>0</v>
      </c>
      <c r="N585" s="41">
        <f>dagwerk34</f>
        <v>0</v>
      </c>
      <c r="O585" s="94" t="s">
        <v>108</v>
      </c>
      <c r="P585" s="26">
        <f>uurtarief34</f>
        <v>0</v>
      </c>
      <c r="Q585" s="96" t="e">
        <f>IF(ISBLANK(M585),0,L585/ROUND(M585,4))</f>
        <v>#DIV/0!</v>
      </c>
      <c r="R585" s="96" t="e">
        <f>IF(ISBLANK(M585),0,Q585*ROUND(N585,2))</f>
        <v>#DIV/0!</v>
      </c>
      <c r="S585" s="26" t="e">
        <f>ROUND(P585,2)*Q585</f>
        <v>#DIV/0!</v>
      </c>
      <c r="T585" s="96" t="e">
        <f>Q585*dagenperjaar1</f>
        <v>#DIV/0!</v>
      </c>
      <c r="U585" s="27" t="e">
        <f>T585*ROUND(P585,2)</f>
        <v>#DIV/0!</v>
      </c>
    </row>
    <row r="586" spans="1:21" x14ac:dyDescent="0.2">
      <c r="A586" s="93" t="s">
        <v>629</v>
      </c>
      <c r="B586" s="94" t="s">
        <v>42</v>
      </c>
      <c r="C586" s="94" t="s">
        <v>747</v>
      </c>
      <c r="D586" s="94" t="s">
        <v>761</v>
      </c>
      <c r="E586" s="95" t="s">
        <v>760</v>
      </c>
      <c r="F586" s="94" t="s">
        <v>277</v>
      </c>
      <c r="G586" s="94" t="s">
        <v>227</v>
      </c>
      <c r="H586" s="94" t="s">
        <v>24</v>
      </c>
      <c r="I586" s="94" t="s">
        <v>191</v>
      </c>
      <c r="J586" s="94"/>
      <c r="K586" s="96">
        <v>35</v>
      </c>
      <c r="L586" s="96">
        <f>K586*VLOOKUP(H586,dagsoorttabel1,2,FALSE)</f>
        <v>0.17500000000000002</v>
      </c>
      <c r="M586" s="97">
        <f>prodnorm35</f>
        <v>0</v>
      </c>
      <c r="N586" s="41">
        <f>dagwerk35</f>
        <v>0</v>
      </c>
      <c r="O586" s="94" t="s">
        <v>108</v>
      </c>
      <c r="P586" s="26">
        <f>uurtarief35</f>
        <v>0</v>
      </c>
      <c r="Q586" s="96" t="e">
        <f>IF(ISBLANK(M586),0,L586/ROUND(M586,4))</f>
        <v>#DIV/0!</v>
      </c>
      <c r="R586" s="96" t="e">
        <f>IF(ISBLANK(M586),0,Q586*ROUND(N586,2))</f>
        <v>#DIV/0!</v>
      </c>
      <c r="S586" s="26" t="e">
        <f>ROUND(P586,2)*Q586</f>
        <v>#DIV/0!</v>
      </c>
      <c r="T586" s="96" t="e">
        <f>Q586*dagenperjaar1</f>
        <v>#DIV/0!</v>
      </c>
      <c r="U586" s="27" t="e">
        <f>T586*ROUND(P586,2)</f>
        <v>#DIV/0!</v>
      </c>
    </row>
    <row r="587" spans="1:21" x14ac:dyDescent="0.2">
      <c r="A587" s="100" t="s">
        <v>629</v>
      </c>
      <c r="B587" s="101" t="s">
        <v>42</v>
      </c>
      <c r="C587" s="101" t="s">
        <v>747</v>
      </c>
      <c r="D587" s="101" t="s">
        <v>762</v>
      </c>
      <c r="E587" s="102" t="s">
        <v>763</v>
      </c>
      <c r="F587" s="101" t="s">
        <v>277</v>
      </c>
      <c r="G587" s="101" t="s">
        <v>190</v>
      </c>
      <c r="H587" s="101" t="s">
        <v>10</v>
      </c>
      <c r="I587" s="101" t="s">
        <v>191</v>
      </c>
      <c r="J587" s="101"/>
      <c r="K587" s="103">
        <v>50</v>
      </c>
      <c r="L587" s="103">
        <f>K587*VLOOKUP(H587,dagsoorttabel1,2,FALSE)</f>
        <v>50</v>
      </c>
      <c r="M587" s="104">
        <f>prodnorm12</f>
        <v>0</v>
      </c>
      <c r="N587" s="105">
        <f>dagwerk12</f>
        <v>0</v>
      </c>
      <c r="O587" s="101" t="s">
        <v>108</v>
      </c>
      <c r="P587" s="36">
        <f>uurtarief12</f>
        <v>0</v>
      </c>
      <c r="Q587" s="103" t="e">
        <f>IF(ISBLANK(M587),0,L587/ROUND(M587,4))</f>
        <v>#DIV/0!</v>
      </c>
      <c r="R587" s="103" t="e">
        <f>IF(ISBLANK(M587),0,Q587*ROUND(N587,2))</f>
        <v>#DIV/0!</v>
      </c>
      <c r="S587" s="36" t="e">
        <f>ROUND(P587,2)*Q587</f>
        <v>#DIV/0!</v>
      </c>
      <c r="T587" s="103" t="e">
        <f>Q587*dagenperjaar1</f>
        <v>#DIV/0!</v>
      </c>
      <c r="U587" s="37" t="e">
        <f>T587*ROUND(P587,2)</f>
        <v>#DIV/0!</v>
      </c>
    </row>
    <row r="588" spans="1:21" x14ac:dyDescent="0.2">
      <c r="A588" s="75" t="s">
        <v>627</v>
      </c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8" t="e">
        <f>IF(_xlfn.SINGLE(object2_urenjaar1)&gt;0,_xlfn.SINGLE(object2_prijsjaar1)/_xlfn.SINGLE(object2_urenjaar1),0)</f>
        <v>#DIV/0!</v>
      </c>
      <c r="Q588" s="77" t="e">
        <f>SUM(Q411:Q587)</f>
        <v>#DIV/0!</v>
      </c>
      <c r="R588" s="77" t="e">
        <f>SUM(R411:R587)</f>
        <v>#DIV/0!</v>
      </c>
      <c r="S588" s="78" t="e">
        <f>SUM(S411:S587)</f>
        <v>#DIV/0!</v>
      </c>
      <c r="T588" s="77" t="e">
        <f>SUM(T411:T587)</f>
        <v>#DIV/0!</v>
      </c>
      <c r="U588" s="78" t="e">
        <f>SUM(U411:U587)</f>
        <v>#DIV/0!</v>
      </c>
    </row>
  </sheetData>
  <sheetProtection algorithmName="SHA-512" hashValue="yURO/r2u9ydmudTd2XaX92dlgEFRNKi3CK/vr+JULDarsfpA1VtWQpVw/t+oMWu2IU4D7Wg5eu17nWLNE6946Q==" saltValue="5hh1cOhpjMihlG+m8Za2Zg==" spinCount="100000" sheet="1" objects="1" scenarios="1" autoFilter="0"/>
  <autoFilter ref="A3:U588" xr:uid="{FF7B715B-B49E-4C86-97D2-38415D5FE251}"/>
  <pageMargins left="0.7" right="0.7" top="0.75" bottom="0.75" header="0.3" footer="0.3"/>
  <pageSetup paperSize="9" scale="61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92FA6-1617-41B2-A106-86B8BD6F30BB}">
  <dimension ref="A1:K30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1" width="12.625" customWidth="1"/>
  </cols>
  <sheetData>
    <row r="1" spans="1:11" x14ac:dyDescent="0.2">
      <c r="A1" s="1" t="s">
        <v>764</v>
      </c>
    </row>
    <row r="3" spans="1:11" ht="25.5" x14ac:dyDescent="0.2">
      <c r="A3" s="107" t="s">
        <v>182</v>
      </c>
      <c r="B3" s="107" t="s">
        <v>7</v>
      </c>
      <c r="C3" s="108" t="s">
        <v>765</v>
      </c>
      <c r="D3" s="108" t="s">
        <v>766</v>
      </c>
      <c r="E3" s="108" t="s">
        <v>767</v>
      </c>
      <c r="F3" s="108" t="s">
        <v>768</v>
      </c>
      <c r="G3" s="108" t="s">
        <v>769</v>
      </c>
      <c r="H3" s="108" t="s">
        <v>770</v>
      </c>
      <c r="I3" s="107" t="s">
        <v>771</v>
      </c>
      <c r="J3" s="107" t="s">
        <v>772</v>
      </c>
      <c r="K3" s="107" t="s">
        <v>773</v>
      </c>
    </row>
    <row r="4" spans="1:11" x14ac:dyDescent="0.2">
      <c r="A4" s="109"/>
      <c r="B4" s="109"/>
      <c r="C4" s="109"/>
      <c r="D4" s="109"/>
      <c r="E4" s="109"/>
      <c r="F4" s="109"/>
      <c r="G4" s="109"/>
      <c r="H4" s="109"/>
      <c r="I4" s="109"/>
      <c r="J4" s="110" t="s">
        <v>184</v>
      </c>
      <c r="K4" s="110" t="s">
        <v>184</v>
      </c>
    </row>
    <row r="5" spans="1:11" x14ac:dyDescent="0.2">
      <c r="A5" s="51" t="s">
        <v>190</v>
      </c>
      <c r="B5" s="51" t="s">
        <v>10</v>
      </c>
      <c r="C5" s="51" t="s">
        <v>4</v>
      </c>
      <c r="D5" s="51" t="s">
        <v>191</v>
      </c>
      <c r="E5" s="66">
        <f>IF(B5="","",VLOOKUP(B5,dagsoorttabel1,2,FALSE))</f>
        <v>1</v>
      </c>
      <c r="F5" s="66">
        <v>1</v>
      </c>
      <c r="G5" s="66">
        <f>IF(prodnorm12&gt;0,1/ROUND(prodnorm12,4),0)</f>
        <v>0</v>
      </c>
      <c r="H5" s="68">
        <f>ROUND(dagwerk12,4+2)</f>
        <v>0</v>
      </c>
      <c r="I5" s="55">
        <f>ROUND(uurtarief12,2)</f>
        <v>0</v>
      </c>
      <c r="J5" s="66">
        <v>1050.1400000000001</v>
      </c>
      <c r="K5" s="66">
        <v>317.95</v>
      </c>
    </row>
    <row r="6" spans="1:11" x14ac:dyDescent="0.2">
      <c r="A6" s="56" t="s">
        <v>190</v>
      </c>
      <c r="B6" s="56" t="s">
        <v>14</v>
      </c>
      <c r="C6" s="56" t="s">
        <v>4</v>
      </c>
      <c r="D6" s="56" t="s">
        <v>191</v>
      </c>
      <c r="E6" s="69">
        <f>IF(B6="","",VLOOKUP(B6,dagsoorttabel1,2,FALSE))</f>
        <v>0.4</v>
      </c>
      <c r="F6" s="69">
        <v>1</v>
      </c>
      <c r="G6" s="69">
        <f>IF(prodnorm13&gt;0,1/ROUND(prodnorm13,4),0)</f>
        <v>0</v>
      </c>
      <c r="H6" s="71">
        <f>ROUND(dagwerk13,4+2)</f>
        <v>0</v>
      </c>
      <c r="I6" s="60">
        <f>ROUND(uurtarief13,2)</f>
        <v>0</v>
      </c>
      <c r="J6" s="69">
        <v>0</v>
      </c>
      <c r="K6" s="69">
        <v>104</v>
      </c>
    </row>
    <row r="7" spans="1:11" x14ac:dyDescent="0.2">
      <c r="A7" s="56" t="s">
        <v>193</v>
      </c>
      <c r="B7" s="56" t="s">
        <v>10</v>
      </c>
      <c r="C7" s="56" t="s">
        <v>4</v>
      </c>
      <c r="D7" s="56" t="s">
        <v>191</v>
      </c>
      <c r="E7" s="69">
        <f>IF(B7="","",VLOOKUP(B7,dagsoorttabel1,2,FALSE))</f>
        <v>1</v>
      </c>
      <c r="F7" s="69">
        <v>1</v>
      </c>
      <c r="G7" s="69">
        <f>IF(prodnorm14&gt;0,1/ROUND(prodnorm14,4),0)</f>
        <v>0</v>
      </c>
      <c r="H7" s="71">
        <f>ROUND(dagwerk14,4+2)</f>
        <v>0</v>
      </c>
      <c r="I7" s="60">
        <f>ROUND(uurtarief14,2)</f>
        <v>0</v>
      </c>
      <c r="J7" s="69">
        <v>75.849999999999994</v>
      </c>
      <c r="K7" s="69">
        <v>78.010000000000005</v>
      </c>
    </row>
    <row r="8" spans="1:11" x14ac:dyDescent="0.2">
      <c r="A8" s="56" t="s">
        <v>193</v>
      </c>
      <c r="B8" s="56" t="s">
        <v>14</v>
      </c>
      <c r="C8" s="56" t="s">
        <v>4</v>
      </c>
      <c r="D8" s="56" t="s">
        <v>191</v>
      </c>
      <c r="E8" s="69">
        <f>IF(B8="","",VLOOKUP(B8,dagsoorttabel1,2,FALSE))</f>
        <v>0.4</v>
      </c>
      <c r="F8" s="69">
        <v>1</v>
      </c>
      <c r="G8" s="69">
        <f>IF(prodnorm15&gt;0,1/ROUND(prodnorm15,4),0)</f>
        <v>0</v>
      </c>
      <c r="H8" s="71">
        <f>ROUND(dagwerk15,4+2)</f>
        <v>0</v>
      </c>
      <c r="I8" s="60">
        <f>ROUND(uurtarief15,2)</f>
        <v>0</v>
      </c>
      <c r="J8" s="69">
        <v>1004.69</v>
      </c>
      <c r="K8" s="69">
        <v>251.65</v>
      </c>
    </row>
    <row r="9" spans="1:11" x14ac:dyDescent="0.2">
      <c r="A9" s="56" t="s">
        <v>195</v>
      </c>
      <c r="B9" s="56" t="s">
        <v>14</v>
      </c>
      <c r="C9" s="56" t="s">
        <v>4</v>
      </c>
      <c r="D9" s="56" t="s">
        <v>191</v>
      </c>
      <c r="E9" s="69">
        <f>IF(B9="","",VLOOKUP(B9,dagsoorttabel1,2,FALSE))</f>
        <v>0.4</v>
      </c>
      <c r="F9" s="69">
        <v>1</v>
      </c>
      <c r="G9" s="69">
        <f>IF(prodnorm16&gt;0,1/ROUND(prodnorm16,4),0)</f>
        <v>0</v>
      </c>
      <c r="H9" s="71">
        <f>ROUND(dagwerk16,4+2)</f>
        <v>0</v>
      </c>
      <c r="I9" s="60">
        <f>ROUND(uurtarief16,2)</f>
        <v>0</v>
      </c>
      <c r="J9" s="69">
        <v>66.77</v>
      </c>
      <c r="K9" s="69">
        <v>0</v>
      </c>
    </row>
    <row r="10" spans="1:11" x14ac:dyDescent="0.2">
      <c r="A10" s="56" t="s">
        <v>197</v>
      </c>
      <c r="B10" s="56" t="s">
        <v>10</v>
      </c>
      <c r="C10" s="56" t="s">
        <v>4</v>
      </c>
      <c r="D10" s="56" t="s">
        <v>191</v>
      </c>
      <c r="E10" s="69">
        <f>IF(B10="","",VLOOKUP(B10,dagsoorttabel1,2,FALSE))</f>
        <v>1</v>
      </c>
      <c r="F10" s="69">
        <v>1</v>
      </c>
      <c r="G10" s="69">
        <f>IF(prodnorm17&gt;0,1/ROUND(prodnorm17,4),0)</f>
        <v>0</v>
      </c>
      <c r="H10" s="71">
        <f>ROUND(dagwerk17,4+2)</f>
        <v>0</v>
      </c>
      <c r="I10" s="60">
        <f>ROUND(uurtarief17,2)</f>
        <v>0</v>
      </c>
      <c r="J10" s="69">
        <v>84.86</v>
      </c>
      <c r="K10" s="69">
        <v>0</v>
      </c>
    </row>
    <row r="11" spans="1:11" x14ac:dyDescent="0.2">
      <c r="A11" s="56" t="s">
        <v>199</v>
      </c>
      <c r="B11" s="56" t="s">
        <v>10</v>
      </c>
      <c r="C11" s="56" t="s">
        <v>4</v>
      </c>
      <c r="D11" s="56" t="s">
        <v>191</v>
      </c>
      <c r="E11" s="69">
        <f>IF(B11="","",VLOOKUP(B11,dagsoorttabel1,2,FALSE))</f>
        <v>1</v>
      </c>
      <c r="F11" s="69">
        <v>1</v>
      </c>
      <c r="G11" s="69">
        <f>IF(prodnorm18&gt;0,1/ROUND(prodnorm18,4),0)</f>
        <v>0</v>
      </c>
      <c r="H11" s="71">
        <f>ROUND(dagwerk18,4+2)</f>
        <v>0</v>
      </c>
      <c r="I11" s="60">
        <f>ROUND(uurtarief18,2)</f>
        <v>0</v>
      </c>
      <c r="J11" s="69">
        <v>77.540000000000006</v>
      </c>
      <c r="K11" s="69">
        <v>26</v>
      </c>
    </row>
    <row r="12" spans="1:11" x14ac:dyDescent="0.2">
      <c r="A12" s="56" t="s">
        <v>201</v>
      </c>
      <c r="B12" s="56" t="s">
        <v>10</v>
      </c>
      <c r="C12" s="56" t="s">
        <v>4</v>
      </c>
      <c r="D12" s="56" t="s">
        <v>191</v>
      </c>
      <c r="E12" s="69">
        <f>IF(B12="","",VLOOKUP(B12,dagsoorttabel1,2,FALSE))</f>
        <v>1</v>
      </c>
      <c r="F12" s="69">
        <v>1</v>
      </c>
      <c r="G12" s="69">
        <f>IF(prodnorm19&gt;0,1/ROUND(prodnorm19,4),0)</f>
        <v>0</v>
      </c>
      <c r="H12" s="71">
        <f>ROUND(dagwerk19,4+2)</f>
        <v>0</v>
      </c>
      <c r="I12" s="60">
        <f>ROUND(uurtarief19,2)</f>
        <v>0</v>
      </c>
      <c r="J12" s="69">
        <v>3.91</v>
      </c>
      <c r="K12" s="69">
        <v>1.3</v>
      </c>
    </row>
    <row r="13" spans="1:11" x14ac:dyDescent="0.2">
      <c r="A13" s="56" t="s">
        <v>203</v>
      </c>
      <c r="B13" s="56" t="s">
        <v>10</v>
      </c>
      <c r="C13" s="56" t="s">
        <v>4</v>
      </c>
      <c r="D13" s="56" t="s">
        <v>191</v>
      </c>
      <c r="E13" s="69">
        <f>IF(B13="","",VLOOKUP(B13,dagsoorttabel1,2,FALSE))</f>
        <v>1</v>
      </c>
      <c r="F13" s="69">
        <v>1</v>
      </c>
      <c r="G13" s="69">
        <f>IF(prodnorm20&gt;0,1/ROUND(prodnorm20,4),0)</f>
        <v>0</v>
      </c>
      <c r="H13" s="71">
        <f>ROUND(dagwerk20,4+2)</f>
        <v>0</v>
      </c>
      <c r="I13" s="60">
        <f>ROUND(uurtarief20,2)</f>
        <v>0</v>
      </c>
      <c r="J13" s="69">
        <v>884.65</v>
      </c>
      <c r="K13" s="69">
        <v>627.27</v>
      </c>
    </row>
    <row r="14" spans="1:11" x14ac:dyDescent="0.2">
      <c r="A14" s="56" t="s">
        <v>203</v>
      </c>
      <c r="B14" s="56" t="s">
        <v>16</v>
      </c>
      <c r="C14" s="56" t="s">
        <v>4</v>
      </c>
      <c r="D14" s="56" t="s">
        <v>191</v>
      </c>
      <c r="E14" s="69">
        <f>IF(B14="","",VLOOKUP(B14,dagsoorttabel1,2,FALSE))</f>
        <v>0.2</v>
      </c>
      <c r="F14" s="69">
        <v>1</v>
      </c>
      <c r="G14" s="69">
        <f>IF(prodnorm21&gt;0,1/ROUND(prodnorm21,4),0)</f>
        <v>0</v>
      </c>
      <c r="H14" s="71">
        <f>ROUND(dagwerk21,4+2)</f>
        <v>0</v>
      </c>
      <c r="I14" s="60">
        <f>ROUND(uurtarief21,2)</f>
        <v>0</v>
      </c>
      <c r="J14" s="69">
        <v>130.09</v>
      </c>
      <c r="K14" s="69">
        <v>57.6</v>
      </c>
    </row>
    <row r="15" spans="1:11" x14ac:dyDescent="0.2">
      <c r="A15" s="56" t="s">
        <v>203</v>
      </c>
      <c r="B15" s="56" t="s">
        <v>14</v>
      </c>
      <c r="C15" s="56" t="s">
        <v>4</v>
      </c>
      <c r="D15" s="56" t="s">
        <v>191</v>
      </c>
      <c r="E15" s="69">
        <f>IF(B15="","",VLOOKUP(B15,dagsoorttabel1,2,FALSE))</f>
        <v>0.4</v>
      </c>
      <c r="F15" s="69">
        <v>1</v>
      </c>
      <c r="G15" s="69">
        <f>IF(prodnorm22&gt;0,1/ROUND(prodnorm22,4),0)</f>
        <v>0</v>
      </c>
      <c r="H15" s="71">
        <f>ROUND(dagwerk22,4+2)</f>
        <v>0</v>
      </c>
      <c r="I15" s="60">
        <f>ROUND(uurtarief22,2)</f>
        <v>0</v>
      </c>
      <c r="J15" s="69">
        <v>55</v>
      </c>
      <c r="K15" s="69">
        <v>0</v>
      </c>
    </row>
    <row r="16" spans="1:11" x14ac:dyDescent="0.2">
      <c r="A16" s="56" t="s">
        <v>205</v>
      </c>
      <c r="B16" s="56" t="s">
        <v>10</v>
      </c>
      <c r="C16" s="56" t="s">
        <v>4</v>
      </c>
      <c r="D16" s="56" t="s">
        <v>191</v>
      </c>
      <c r="E16" s="69">
        <f>IF(B16="","",VLOOKUP(B16,dagsoorttabel1,2,FALSE))</f>
        <v>1</v>
      </c>
      <c r="F16" s="69">
        <v>1</v>
      </c>
      <c r="G16" s="69">
        <f>IF(prodnorm23&gt;0,1/ROUND(prodnorm23,4),0)</f>
        <v>0</v>
      </c>
      <c r="H16" s="71">
        <f>ROUND(dagwerk23,4+2)</f>
        <v>0</v>
      </c>
      <c r="I16" s="60">
        <f>ROUND(uurtarief23,2)</f>
        <v>0</v>
      </c>
      <c r="J16" s="69">
        <v>141.53</v>
      </c>
      <c r="K16" s="69">
        <v>112</v>
      </c>
    </row>
    <row r="17" spans="1:11" x14ac:dyDescent="0.2">
      <c r="A17" s="56" t="s">
        <v>207</v>
      </c>
      <c r="B17" s="56" t="s">
        <v>10</v>
      </c>
      <c r="C17" s="56" t="s">
        <v>4</v>
      </c>
      <c r="D17" s="56" t="s">
        <v>191</v>
      </c>
      <c r="E17" s="69">
        <f>IF(B17="","",VLOOKUP(B17,dagsoorttabel1,2,FALSE))</f>
        <v>1</v>
      </c>
      <c r="F17" s="69">
        <v>1</v>
      </c>
      <c r="G17" s="69">
        <f>IF(prodnorm24&gt;0,1/ROUND(prodnorm24,4),0)</f>
        <v>0</v>
      </c>
      <c r="H17" s="71">
        <f>ROUND(dagwerk24,4+2)</f>
        <v>0</v>
      </c>
      <c r="I17" s="60">
        <f>ROUND(uurtarief24,2)</f>
        <v>0</v>
      </c>
      <c r="J17" s="69">
        <v>2840.46</v>
      </c>
      <c r="K17" s="69">
        <v>1152.74</v>
      </c>
    </row>
    <row r="18" spans="1:11" x14ac:dyDescent="0.2">
      <c r="A18" s="56" t="s">
        <v>209</v>
      </c>
      <c r="B18" s="56" t="s">
        <v>10</v>
      </c>
      <c r="C18" s="56" t="s">
        <v>4</v>
      </c>
      <c r="D18" s="56" t="s">
        <v>191</v>
      </c>
      <c r="E18" s="69">
        <f>IF(B18="","",VLOOKUP(B18,dagsoorttabel1,2,FALSE))</f>
        <v>1</v>
      </c>
      <c r="F18" s="69">
        <v>1</v>
      </c>
      <c r="G18" s="69">
        <f>IF(prodnorm25&gt;0,1/ROUND(prodnorm25,4),0)</f>
        <v>0</v>
      </c>
      <c r="H18" s="71">
        <f>ROUND(dagwerk25,4+2)</f>
        <v>0</v>
      </c>
      <c r="I18" s="60">
        <f>ROUND(uurtarief25,2)</f>
        <v>0</v>
      </c>
      <c r="J18" s="69">
        <v>132.30000000000001</v>
      </c>
      <c r="K18" s="69">
        <v>0</v>
      </c>
    </row>
    <row r="19" spans="1:11" x14ac:dyDescent="0.2">
      <c r="A19" s="56" t="s">
        <v>211</v>
      </c>
      <c r="B19" s="56" t="s">
        <v>10</v>
      </c>
      <c r="C19" s="56" t="s">
        <v>4</v>
      </c>
      <c r="D19" s="56" t="s">
        <v>191</v>
      </c>
      <c r="E19" s="69">
        <f>IF(B19="","",VLOOKUP(B19,dagsoorttabel1,2,FALSE))</f>
        <v>1</v>
      </c>
      <c r="F19" s="69">
        <v>1</v>
      </c>
      <c r="G19" s="69">
        <f>IF(prodnorm26&gt;0,1/ROUND(prodnorm26,4),0)</f>
        <v>0</v>
      </c>
      <c r="H19" s="71">
        <f>ROUND(dagwerk26,4+2)</f>
        <v>0</v>
      </c>
      <c r="I19" s="60">
        <f>ROUND(uurtarief26,2)</f>
        <v>0</v>
      </c>
      <c r="J19" s="69">
        <v>152.46</v>
      </c>
      <c r="K19" s="69">
        <v>359.9</v>
      </c>
    </row>
    <row r="20" spans="1:11" x14ac:dyDescent="0.2">
      <c r="A20" s="56" t="s">
        <v>213</v>
      </c>
      <c r="B20" s="56" t="s">
        <v>10</v>
      </c>
      <c r="C20" s="56" t="s">
        <v>4</v>
      </c>
      <c r="D20" s="56" t="s">
        <v>191</v>
      </c>
      <c r="E20" s="69">
        <f>IF(B20="","",VLOOKUP(B20,dagsoorttabel1,2,FALSE))</f>
        <v>1</v>
      </c>
      <c r="F20" s="69">
        <v>1</v>
      </c>
      <c r="G20" s="69">
        <f>IF(prodnorm27&gt;0,1/ROUND(prodnorm27,4),0)</f>
        <v>0</v>
      </c>
      <c r="H20" s="71">
        <f>ROUND(dagwerk27,4+2)</f>
        <v>0</v>
      </c>
      <c r="I20" s="60">
        <f>ROUND(uurtarief27,2)</f>
        <v>0</v>
      </c>
      <c r="J20" s="69">
        <v>4</v>
      </c>
      <c r="K20" s="69">
        <v>0</v>
      </c>
    </row>
    <row r="21" spans="1:11" x14ac:dyDescent="0.2">
      <c r="A21" s="56" t="s">
        <v>215</v>
      </c>
      <c r="B21" s="56" t="s">
        <v>10</v>
      </c>
      <c r="C21" s="56" t="s">
        <v>4</v>
      </c>
      <c r="D21" s="56" t="s">
        <v>191</v>
      </c>
      <c r="E21" s="69">
        <f>IF(B21="","",VLOOKUP(B21,dagsoorttabel1,2,FALSE))</f>
        <v>1</v>
      </c>
      <c r="F21" s="69">
        <v>1</v>
      </c>
      <c r="G21" s="69">
        <f>IF(prodnorm28&gt;0,1/ROUND(prodnorm28,4),0)</f>
        <v>0</v>
      </c>
      <c r="H21" s="71">
        <f>ROUND(dagwerk28,4+2)</f>
        <v>0</v>
      </c>
      <c r="I21" s="60">
        <f>ROUND(uurtarief28,2)</f>
        <v>0</v>
      </c>
      <c r="J21" s="69">
        <v>44.220000000000006</v>
      </c>
      <c r="K21" s="69">
        <v>92.43</v>
      </c>
    </row>
    <row r="22" spans="1:11" x14ac:dyDescent="0.2">
      <c r="A22" s="56" t="s">
        <v>217</v>
      </c>
      <c r="B22" s="56" t="s">
        <v>10</v>
      </c>
      <c r="C22" s="56" t="s">
        <v>4</v>
      </c>
      <c r="D22" s="56" t="s">
        <v>191</v>
      </c>
      <c r="E22" s="69">
        <f>IF(B22="","",VLOOKUP(B22,dagsoorttabel1,2,FALSE))</f>
        <v>1</v>
      </c>
      <c r="F22" s="69">
        <v>1</v>
      </c>
      <c r="G22" s="69">
        <f>IF(prodnorm29&gt;0,1/ROUND(prodnorm29,4),0)</f>
        <v>0</v>
      </c>
      <c r="H22" s="71">
        <f>ROUND(dagwerk29,4+2)</f>
        <v>0</v>
      </c>
      <c r="I22" s="60">
        <f>ROUND(uurtarief29,2)</f>
        <v>0</v>
      </c>
      <c r="J22" s="69">
        <v>547.1</v>
      </c>
      <c r="K22" s="69">
        <v>254.12000000000003</v>
      </c>
    </row>
    <row r="23" spans="1:11" x14ac:dyDescent="0.2">
      <c r="A23" s="56" t="s">
        <v>219</v>
      </c>
      <c r="B23" s="56" t="s">
        <v>10</v>
      </c>
      <c r="C23" s="56" t="s">
        <v>4</v>
      </c>
      <c r="D23" s="56" t="s">
        <v>191</v>
      </c>
      <c r="E23" s="69">
        <f>IF(B23="","",VLOOKUP(B23,dagsoorttabel1,2,FALSE))</f>
        <v>1</v>
      </c>
      <c r="F23" s="69">
        <v>1</v>
      </c>
      <c r="G23" s="69">
        <f>IF(prodnorm30&gt;0,1/ROUND(prodnorm30,4),0)</f>
        <v>0</v>
      </c>
      <c r="H23" s="71">
        <f>ROUND(dagwerk30,4+2)</f>
        <v>0</v>
      </c>
      <c r="I23" s="60">
        <f>ROUND(uurtarief30,2)</f>
        <v>0</v>
      </c>
      <c r="J23" s="69">
        <v>261.08</v>
      </c>
      <c r="K23" s="69">
        <v>177.64999999999998</v>
      </c>
    </row>
    <row r="24" spans="1:11" x14ac:dyDescent="0.2">
      <c r="A24" s="56" t="s">
        <v>221</v>
      </c>
      <c r="B24" s="56" t="s">
        <v>10</v>
      </c>
      <c r="C24" s="56" t="s">
        <v>4</v>
      </c>
      <c r="D24" s="56" t="s">
        <v>191</v>
      </c>
      <c r="E24" s="69">
        <f>IF(B24="","",VLOOKUP(B24,dagsoorttabel1,2,FALSE))</f>
        <v>1</v>
      </c>
      <c r="F24" s="69">
        <v>1</v>
      </c>
      <c r="G24" s="69">
        <f>IF(prodnorm31&gt;0,1/ROUND(prodnorm31,4),0)</f>
        <v>0</v>
      </c>
      <c r="H24" s="71">
        <f>ROUND(dagwerk31,4+2)</f>
        <v>0</v>
      </c>
      <c r="I24" s="60">
        <f>ROUND(uurtarief31,2)</f>
        <v>0</v>
      </c>
      <c r="J24" s="69">
        <v>40</v>
      </c>
      <c r="K24" s="69">
        <v>0</v>
      </c>
    </row>
    <row r="25" spans="1:11" x14ac:dyDescent="0.2">
      <c r="A25" s="56" t="s">
        <v>223</v>
      </c>
      <c r="B25" s="56" t="s">
        <v>10</v>
      </c>
      <c r="C25" s="56" t="s">
        <v>4</v>
      </c>
      <c r="D25" s="56" t="s">
        <v>191</v>
      </c>
      <c r="E25" s="69">
        <f>IF(B25="","",VLOOKUP(B25,dagsoorttabel1,2,FALSE))</f>
        <v>1</v>
      </c>
      <c r="F25" s="69">
        <v>1</v>
      </c>
      <c r="G25" s="69">
        <f>IF(prodnorm32&gt;0,1/ROUND(prodnorm32,4),0)</f>
        <v>0</v>
      </c>
      <c r="H25" s="71">
        <f>ROUND(dagwerk32,4+2)</f>
        <v>0</v>
      </c>
      <c r="I25" s="60">
        <f>ROUND(uurtarief32,2)</f>
        <v>0</v>
      </c>
      <c r="J25" s="69">
        <v>520.37</v>
      </c>
      <c r="K25" s="69">
        <v>637.93000000000006</v>
      </c>
    </row>
    <row r="26" spans="1:11" x14ac:dyDescent="0.2">
      <c r="A26" s="56" t="s">
        <v>223</v>
      </c>
      <c r="B26" s="56" t="s">
        <v>14</v>
      </c>
      <c r="C26" s="56" t="s">
        <v>4</v>
      </c>
      <c r="D26" s="56" t="s">
        <v>191</v>
      </c>
      <c r="E26" s="69">
        <f>IF(B26="","",VLOOKUP(B26,dagsoorttabel1,2,FALSE))</f>
        <v>0.4</v>
      </c>
      <c r="F26" s="69">
        <v>1</v>
      </c>
      <c r="G26" s="69">
        <f>IF(prodnorm33&gt;0,1/ROUND(prodnorm33,4),0)</f>
        <v>0</v>
      </c>
      <c r="H26" s="71">
        <f>ROUND(dagwerk33,4+2)</f>
        <v>0</v>
      </c>
      <c r="I26" s="60">
        <f>ROUND(uurtarief33,2)</f>
        <v>0</v>
      </c>
      <c r="J26" s="69">
        <v>7.67</v>
      </c>
      <c r="K26" s="69">
        <v>5.2</v>
      </c>
    </row>
    <row r="27" spans="1:11" x14ac:dyDescent="0.2">
      <c r="A27" s="56" t="s">
        <v>225</v>
      </c>
      <c r="B27" s="56" t="s">
        <v>10</v>
      </c>
      <c r="C27" s="56" t="s">
        <v>4</v>
      </c>
      <c r="D27" s="56" t="s">
        <v>191</v>
      </c>
      <c r="E27" s="69">
        <f>IF(B27="","",VLOOKUP(B27,dagsoorttabel1,2,FALSE))</f>
        <v>1</v>
      </c>
      <c r="F27" s="69">
        <v>1</v>
      </c>
      <c r="G27" s="69">
        <f>IF(prodnorm34&gt;0,1/ROUND(prodnorm34,4),0)</f>
        <v>0</v>
      </c>
      <c r="H27" s="71">
        <f>ROUND(dagwerk34,4+2)</f>
        <v>0</v>
      </c>
      <c r="I27" s="60">
        <f>ROUND(uurtarief34,2)</f>
        <v>0</v>
      </c>
      <c r="J27" s="69">
        <v>3335.16</v>
      </c>
      <c r="K27" s="69">
        <v>970.71999999999991</v>
      </c>
    </row>
    <row r="28" spans="1:11" x14ac:dyDescent="0.2">
      <c r="A28" s="56" t="s">
        <v>227</v>
      </c>
      <c r="B28" s="56" t="s">
        <v>24</v>
      </c>
      <c r="C28" s="56" t="s">
        <v>4</v>
      </c>
      <c r="D28" s="56" t="s">
        <v>191</v>
      </c>
      <c r="E28" s="69">
        <f>IF(B28="","",VLOOKUP(B28,dagsoorttabel1,2,FALSE))</f>
        <v>5.0000000000000001E-3</v>
      </c>
      <c r="F28" s="69">
        <v>1</v>
      </c>
      <c r="G28" s="69">
        <f>IF(prodnorm35&gt;0,1/ROUND(prodnorm35,4),0)</f>
        <v>0</v>
      </c>
      <c r="H28" s="71">
        <f>ROUND(dagwerk35,4+2)</f>
        <v>0</v>
      </c>
      <c r="I28" s="60">
        <f>ROUND(uurtarief35,2)</f>
        <v>0</v>
      </c>
      <c r="J28" s="69">
        <v>7949.71</v>
      </c>
      <c r="K28" s="69">
        <v>2667.58</v>
      </c>
    </row>
    <row r="29" spans="1:11" x14ac:dyDescent="0.2">
      <c r="A29" s="61" t="s">
        <v>229</v>
      </c>
      <c r="B29" s="61" t="s">
        <v>16</v>
      </c>
      <c r="C29" s="61" t="s">
        <v>4</v>
      </c>
      <c r="D29" s="61" t="s">
        <v>191</v>
      </c>
      <c r="E29" s="72">
        <f>IF(B29="","",VLOOKUP(B29,dagsoorttabel1,2,FALSE))</f>
        <v>0.2</v>
      </c>
      <c r="F29" s="72">
        <v>1</v>
      </c>
      <c r="G29" s="72">
        <f>IF(prodnorm36&gt;0,1/ROUND(prodnorm36,4),0)</f>
        <v>0</v>
      </c>
      <c r="H29" s="111">
        <f>ROUND(dagwerk36,4+2)</f>
        <v>0</v>
      </c>
      <c r="I29" s="65">
        <f>ROUND(uurtarief36,2)</f>
        <v>0</v>
      </c>
      <c r="J29" s="72">
        <v>0</v>
      </c>
      <c r="K29" s="72">
        <v>198.41000000000003</v>
      </c>
    </row>
    <row r="30" spans="1:11" x14ac:dyDescent="0.2">
      <c r="A30" s="75" t="s">
        <v>231</v>
      </c>
      <c r="B30" s="76"/>
      <c r="C30" s="76"/>
      <c r="D30" s="76"/>
      <c r="E30" s="76"/>
      <c r="F30" s="76"/>
      <c r="G30" s="76"/>
      <c r="H30" s="76"/>
      <c r="I30" s="76"/>
      <c r="J30" s="112"/>
      <c r="K30" s="112"/>
    </row>
  </sheetData>
  <sheetProtection algorithmName="SHA-512" hashValue="xjJbc7KWOH7/Fkmz9OXCj6gEOtz6F4GJLfwjdny1eTcAwpTlk+sF3l2OeW7lapXl4nIzzMd1MZd2acHcQdoKZQ==" saltValue="gVcazg8b5PaY1PZJF4Lp6w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0462-56B6-472C-AEE9-310F07F41CF6}">
  <dimension ref="A1:R13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14" width="12.125" customWidth="1"/>
    <col min="15" max="16" width="12.625" customWidth="1"/>
    <col min="17" max="17" width="14.625" customWidth="1"/>
    <col min="18" max="18" width="13.625" customWidth="1"/>
  </cols>
  <sheetData>
    <row r="1" spans="1:18" x14ac:dyDescent="0.2">
      <c r="A1" s="1" t="str">
        <f>CONCATENATE("Bijlage G.4: ",tabeltype," objecten")</f>
        <v>Bijlage G.4: Invultabel objecten</v>
      </c>
    </row>
    <row r="3" spans="1:18" ht="51" x14ac:dyDescent="0.2">
      <c r="A3" s="44" t="s">
        <v>234</v>
      </c>
      <c r="B3" s="44" t="s">
        <v>774</v>
      </c>
      <c r="C3" s="44" t="s">
        <v>775</v>
      </c>
      <c r="D3" s="44" t="s">
        <v>776</v>
      </c>
      <c r="E3" s="44" t="s">
        <v>7</v>
      </c>
      <c r="F3" s="44" t="s">
        <v>777</v>
      </c>
      <c r="G3" s="44" t="s">
        <v>778</v>
      </c>
      <c r="H3" s="44" t="s">
        <v>779</v>
      </c>
      <c r="I3" s="44" t="s">
        <v>780</v>
      </c>
      <c r="J3" s="44" t="s">
        <v>781</v>
      </c>
      <c r="K3" s="44" t="s">
        <v>782</v>
      </c>
      <c r="L3" s="44" t="s">
        <v>783</v>
      </c>
      <c r="M3" s="44" t="s">
        <v>784</v>
      </c>
      <c r="N3" s="44" t="s">
        <v>785</v>
      </c>
      <c r="O3" s="44" t="s">
        <v>786</v>
      </c>
      <c r="P3" s="44" t="s">
        <v>188</v>
      </c>
      <c r="Q3" s="44" t="s">
        <v>189</v>
      </c>
      <c r="R3" s="44" t="s">
        <v>787</v>
      </c>
    </row>
    <row r="4" spans="1:18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</row>
    <row r="5" spans="1:18" x14ac:dyDescent="0.2">
      <c r="A5" s="48" t="s">
        <v>104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18" x14ac:dyDescent="0.2">
      <c r="A6" s="51" t="s">
        <v>244</v>
      </c>
      <c r="B6" s="51" t="s">
        <v>788</v>
      </c>
      <c r="C6" s="51" t="s">
        <v>789</v>
      </c>
      <c r="D6" s="51" t="s">
        <v>790</v>
      </c>
      <c r="E6" s="113" t="s">
        <v>10</v>
      </c>
      <c r="F6" s="114">
        <f>gemuurtarief1</f>
        <v>0</v>
      </c>
      <c r="G6" s="66">
        <f>SUMPRODUCT(taakfreqtabel1,uurfactortabel1,kengetaltabel1,object1_opptabel1)*(1/VLOOKUP(E6,dagsoorttabel1,2,FALSE))</f>
        <v>0</v>
      </c>
      <c r="H6" s="66">
        <f>SUMPRODUCT(dagwerktabel1,taakfreqtabel1,uurfactortabel1,kengetaltabel1,object1_opptabel1)*(1/VLOOKUP(E6,dagsoorttabel1,2,FALSE))</f>
        <v>0</v>
      </c>
      <c r="I6" s="53"/>
      <c r="J6" s="66">
        <f>H6+I6</f>
        <v>0</v>
      </c>
      <c r="K6" s="66">
        <f>G6+I6</f>
        <v>0</v>
      </c>
      <c r="L6" s="55">
        <f>SUMPRODUCT(taakfreqtabel1,kengetaltabel1,tarieftabel1,object1_opptabel1)*(1/VLOOKUP(E6,dagsoorttabel1,2,FALSE))</f>
        <v>0</v>
      </c>
      <c r="M6" s="55">
        <f>F6*I6</f>
        <v>0</v>
      </c>
      <c r="N6" s="55">
        <f>SUM(L6:M6)</f>
        <v>0</v>
      </c>
      <c r="O6" s="66">
        <f>J6*dagenperjaar1*VLOOKUP(E6,dagsoorttabel1,2,FALSE)</f>
        <v>0</v>
      </c>
      <c r="P6" s="66">
        <f>K6*dagenperjaar1*VLOOKUP(E6,dagsoorttabel1,2,FALSE)</f>
        <v>0</v>
      </c>
      <c r="Q6" s="55">
        <f>N6*dagenperjaar1*VLOOKUP(E6,dagsoorttabel1,2,FALSE)</f>
        <v>0</v>
      </c>
      <c r="R6" s="55">
        <f>Q6/12</f>
        <v>0</v>
      </c>
    </row>
    <row r="7" spans="1:18" x14ac:dyDescent="0.2">
      <c r="A7" s="61" t="s">
        <v>629</v>
      </c>
      <c r="B7" s="61" t="s">
        <v>788</v>
      </c>
      <c r="C7" s="61" t="s">
        <v>791</v>
      </c>
      <c r="D7" s="61" t="s">
        <v>790</v>
      </c>
      <c r="E7" s="115" t="s">
        <v>10</v>
      </c>
      <c r="F7" s="116">
        <f>gemuurtarief1</f>
        <v>0</v>
      </c>
      <c r="G7" s="72">
        <f>SUMPRODUCT(taakfreqtabel1,uurfactortabel1,kengetaltabel1,object2_opptabel1)*(1/VLOOKUP(E7,dagsoorttabel1,2,FALSE))</f>
        <v>0</v>
      </c>
      <c r="H7" s="72">
        <f>SUMPRODUCT(dagwerktabel1,taakfreqtabel1,uurfactortabel1,kengetaltabel1,object2_opptabel1)*(1/VLOOKUP(E7,dagsoorttabel1,2,FALSE))</f>
        <v>0</v>
      </c>
      <c r="I7" s="63"/>
      <c r="J7" s="72">
        <f>H7+I7</f>
        <v>0</v>
      </c>
      <c r="K7" s="72">
        <f>G7+I7</f>
        <v>0</v>
      </c>
      <c r="L7" s="65">
        <f>SUMPRODUCT(taakfreqtabel1,kengetaltabel1,tarieftabel1,object2_opptabel1)*(1/VLOOKUP(E7,dagsoorttabel1,2,FALSE))</f>
        <v>0</v>
      </c>
      <c r="M7" s="65">
        <f>F7*I7</f>
        <v>0</v>
      </c>
      <c r="N7" s="65">
        <f>SUM(L7:M7)</f>
        <v>0</v>
      </c>
      <c r="O7" s="72">
        <f>J7*dagenperjaar1*VLOOKUP(E7,dagsoorttabel1,2,FALSE)</f>
        <v>0</v>
      </c>
      <c r="P7" s="72">
        <f>K7*dagenperjaar1*VLOOKUP(E7,dagsoorttabel1,2,FALSE)</f>
        <v>0</v>
      </c>
      <c r="Q7" s="65">
        <f>N7*dagenperjaar1*VLOOKUP(E7,dagsoorttabel1,2,FALSE)</f>
        <v>0</v>
      </c>
      <c r="R7" s="65">
        <f>Q7/12</f>
        <v>0</v>
      </c>
    </row>
    <row r="8" spans="1:18" x14ac:dyDescent="0.2">
      <c r="A8" s="75" t="s">
        <v>231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7">
        <f>SUM(O6:O7)</f>
        <v>0</v>
      </c>
      <c r="P8" s="77">
        <f>SUM(P6:P7)</f>
        <v>0</v>
      </c>
      <c r="Q8" s="78">
        <f>SUM(Q6:Q7)</f>
        <v>0</v>
      </c>
      <c r="R8" s="79">
        <f>SUM(R6:R7)</f>
        <v>0</v>
      </c>
    </row>
    <row r="9" spans="1:18" x14ac:dyDescent="0.2">
      <c r="A9" s="80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81"/>
    </row>
    <row r="11" spans="1:18" x14ac:dyDescent="0.2">
      <c r="A11" s="75" t="s">
        <v>792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>
        <f>urenjaartotaalhf1</f>
        <v>0</v>
      </c>
      <c r="P11" s="77">
        <f>urenjaartotaal1</f>
        <v>0</v>
      </c>
      <c r="Q11" s="78">
        <f>prijsjaartotaal1</f>
        <v>0</v>
      </c>
      <c r="R11" s="78">
        <f>prijsmaandtotaal1</f>
        <v>0</v>
      </c>
    </row>
    <row r="13" spans="1:18" x14ac:dyDescent="0.2">
      <c r="A13" s="75" t="s">
        <v>793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8">
        <f>Q11*1.21</f>
        <v>0</v>
      </c>
      <c r="R13" s="78">
        <f>R11*1.21</f>
        <v>0</v>
      </c>
    </row>
  </sheetData>
  <sheetProtection algorithmName="SHA-512" hashValue="H/ObTt1rgrsduTCaudQVqJE+GAJvKYIQaYiskhRAuXJNhEEul1gi2A4QL+dLrXmwecc/zuEyUylQxZ6wBk9grw==" saltValue="HWHZGT8zCyOyavwGWwnFxg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88DE-6EB2-4EBD-AA11-B261BA0FB138}">
  <dimension ref="A1:I7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7" width="14.625" customWidth="1"/>
    <col min="8" max="9" width="13.625" customWidth="1"/>
  </cols>
  <sheetData>
    <row r="1" spans="1:9" x14ac:dyDescent="0.2">
      <c r="A1" s="1" t="str">
        <f>CONCATENATE("Bijlage G.5: ",tabeltype," totaalblad objecten")</f>
        <v>Bijlage G.5: Invultabel totaalblad objecten</v>
      </c>
    </row>
    <row r="3" spans="1:9" ht="38.25" x14ac:dyDescent="0.2">
      <c r="A3" s="44" t="s">
        <v>234</v>
      </c>
      <c r="B3" s="44" t="s">
        <v>774</v>
      </c>
      <c r="C3" s="44" t="s">
        <v>775</v>
      </c>
      <c r="D3" s="44" t="s">
        <v>776</v>
      </c>
      <c r="E3" s="44" t="s">
        <v>786</v>
      </c>
      <c r="F3" s="44" t="s">
        <v>188</v>
      </c>
      <c r="G3" s="44" t="s">
        <v>189</v>
      </c>
      <c r="H3" s="44" t="s">
        <v>794</v>
      </c>
      <c r="I3" s="44" t="s">
        <v>795</v>
      </c>
    </row>
    <row r="4" spans="1:9" x14ac:dyDescent="0.2">
      <c r="A4" s="51" t="s">
        <v>244</v>
      </c>
      <c r="B4" s="51" t="s">
        <v>788</v>
      </c>
      <c r="C4" s="51" t="s">
        <v>789</v>
      </c>
      <c r="D4" s="51" t="s">
        <v>790</v>
      </c>
      <c r="E4" s="66">
        <f>objecturenhf1_1</f>
        <v>0</v>
      </c>
      <c r="F4" s="66">
        <f>objecturen1_1</f>
        <v>0</v>
      </c>
      <c r="G4" s="55">
        <f>objectprijs1_1</f>
        <v>0</v>
      </c>
      <c r="H4" s="55">
        <f>G4/12</f>
        <v>0</v>
      </c>
      <c r="I4" s="55">
        <f>H4*1.21</f>
        <v>0</v>
      </c>
    </row>
    <row r="5" spans="1:9" x14ac:dyDescent="0.2">
      <c r="A5" s="61" t="s">
        <v>629</v>
      </c>
      <c r="B5" s="61" t="s">
        <v>788</v>
      </c>
      <c r="C5" s="61" t="s">
        <v>791</v>
      </c>
      <c r="D5" s="61" t="s">
        <v>790</v>
      </c>
      <c r="E5" s="72">
        <f>objecturenhf2_1</f>
        <v>0</v>
      </c>
      <c r="F5" s="72">
        <f>objecturen2_1</f>
        <v>0</v>
      </c>
      <c r="G5" s="65">
        <f>objectprijs2_1</f>
        <v>0</v>
      </c>
      <c r="H5" s="65">
        <f>G5/12</f>
        <v>0</v>
      </c>
      <c r="I5" s="65">
        <f>H5*1.21</f>
        <v>0</v>
      </c>
    </row>
    <row r="7" spans="1:9" x14ac:dyDescent="0.2">
      <c r="A7" s="75" t="s">
        <v>796</v>
      </c>
      <c r="B7" s="76"/>
      <c r="C7" s="76"/>
      <c r="D7" s="76"/>
      <c r="E7" s="77">
        <f>SUM(E4:E5)</f>
        <v>0</v>
      </c>
      <c r="F7" s="77">
        <f>SUM(F4:F5)</f>
        <v>0</v>
      </c>
      <c r="G7" s="78">
        <f>SUM(G4:G5)</f>
        <v>0</v>
      </c>
      <c r="H7" s="78">
        <f>SUM(H4:H5)</f>
        <v>0</v>
      </c>
      <c r="I7" s="78">
        <f>SUM(I4:I5)</f>
        <v>0</v>
      </c>
    </row>
  </sheetData>
  <sheetProtection algorithmName="SHA-512" hashValue="6s++pBadrPF5Sgh8LQiMTerQrW0ij7ieh5VWCqVGs6KJBtu7HaOXZ7VXdeb0o62KyeJFvRveuFvZNEfnOcTeSw==" saltValue="Ov9zyx6+EglfDG7pTXLvCw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4726-59D6-4738-9484-15D252873186}">
  <dimension ref="A1:L1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G.6: ",tabeltype," additioneel werk")</f>
        <v>Bijlage G.6: Invultabel additioneel werk</v>
      </c>
    </row>
    <row r="3" spans="1:12" ht="38.25" x14ac:dyDescent="0.2">
      <c r="A3" s="44" t="s">
        <v>797</v>
      </c>
      <c r="B3" s="44" t="s">
        <v>7</v>
      </c>
      <c r="C3" s="44" t="s">
        <v>798</v>
      </c>
      <c r="D3" s="44" t="s">
        <v>99</v>
      </c>
      <c r="E3" s="44" t="s">
        <v>102</v>
      </c>
      <c r="F3" s="44" t="s">
        <v>799</v>
      </c>
      <c r="G3" s="44" t="s">
        <v>800</v>
      </c>
      <c r="H3" s="44" t="s">
        <v>801</v>
      </c>
      <c r="I3" s="44" t="s">
        <v>802</v>
      </c>
      <c r="J3" s="44" t="s">
        <v>803</v>
      </c>
      <c r="K3" s="44" t="s">
        <v>189</v>
      </c>
      <c r="L3" s="44" t="s">
        <v>787</v>
      </c>
    </row>
    <row r="4" spans="1:12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2">
      <c r="A5" s="48" t="s">
        <v>104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2">
      <c r="A6" s="51" t="s">
        <v>804</v>
      </c>
      <c r="B6" s="51" t="s">
        <v>24</v>
      </c>
      <c r="C6" s="52">
        <f>IF(ISBLANK(B6),0,IF(ISERROR(VALUE(B6)),VLOOKUP(B6,dagsoorttabel1,2,FALSE)*dagenperjaar1,VALUE(B6)))</f>
        <v>1</v>
      </c>
      <c r="D6" s="51" t="s">
        <v>805</v>
      </c>
      <c r="E6" s="51" t="s">
        <v>806</v>
      </c>
      <c r="F6" s="117">
        <v>380</v>
      </c>
      <c r="G6" s="118">
        <f>Tariefopbouw4</f>
        <v>0</v>
      </c>
      <c r="H6" s="53"/>
      <c r="I6" s="119"/>
      <c r="J6" s="55">
        <f>IF(ISBLANK(H6),0,F6 / ROUND(H6,4) * ROUND(G6,2))</f>
        <v>0</v>
      </c>
      <c r="K6" s="55">
        <f>C6*J6</f>
        <v>0</v>
      </c>
      <c r="L6" s="55">
        <f>K6/12</f>
        <v>0</v>
      </c>
    </row>
    <row r="7" spans="1:12" x14ac:dyDescent="0.2">
      <c r="A7" s="61" t="s">
        <v>804</v>
      </c>
      <c r="B7" s="61" t="s">
        <v>21</v>
      </c>
      <c r="C7" s="62">
        <f>IF(ISBLANK(B7),0,IF(ISERROR(VALUE(B7)),VLOOKUP(B7,dagsoorttabel1,2,FALSE)*dagenperjaar1,VALUE(B7)))</f>
        <v>4</v>
      </c>
      <c r="D7" s="61" t="s">
        <v>807</v>
      </c>
      <c r="E7" s="61" t="s">
        <v>808</v>
      </c>
      <c r="F7" s="120">
        <v>10</v>
      </c>
      <c r="G7" s="121">
        <f>Tariefopbouw5</f>
        <v>0</v>
      </c>
      <c r="H7" s="122"/>
      <c r="I7" s="121">
        <f>G7</f>
        <v>0</v>
      </c>
      <c r="J7" s="65">
        <f>IF(ISBLANK(F7),0,F7)*ROUND(I7,2)</f>
        <v>0</v>
      </c>
      <c r="K7" s="65">
        <f>C7*J7</f>
        <v>0</v>
      </c>
      <c r="L7" s="65">
        <f>K7/12</f>
        <v>0</v>
      </c>
    </row>
    <row r="8" spans="1:12" x14ac:dyDescent="0.2">
      <c r="A8" s="75" t="s">
        <v>231</v>
      </c>
      <c r="B8" s="76"/>
      <c r="C8" s="76"/>
      <c r="D8" s="76"/>
      <c r="E8" s="76"/>
      <c r="F8" s="76"/>
      <c r="G8" s="76"/>
      <c r="H8" s="76"/>
      <c r="I8" s="76"/>
      <c r="J8" s="76"/>
      <c r="K8" s="78">
        <f>SUM(K6:K7)</f>
        <v>0</v>
      </c>
      <c r="L8" s="123">
        <f>K8/12</f>
        <v>0</v>
      </c>
    </row>
    <row r="10" spans="1:12" x14ac:dyDescent="0.2">
      <c r="A10" s="75" t="s">
        <v>809</v>
      </c>
      <c r="B10" s="76"/>
      <c r="C10" s="76"/>
      <c r="D10" s="76"/>
      <c r="E10" s="76"/>
      <c r="F10" s="76"/>
      <c r="G10" s="76"/>
      <c r="H10" s="76"/>
      <c r="I10" s="76"/>
      <c r="J10" s="76"/>
      <c r="K10" s="78">
        <f>prijsjaaradditioneel1</f>
        <v>0</v>
      </c>
      <c r="L10" s="123">
        <f>K10/12</f>
        <v>0</v>
      </c>
    </row>
  </sheetData>
  <sheetProtection algorithmName="SHA-512" hashValue="mK3gSYdNZdshzO3XnwSf2EJhtXH8klxvV/WsL5ajpanusYF5wmAWMn97k7sAbIhL6yPmbTZ9Bp5x/Pd8ANrgXg==" saltValue="dpBUVDkJlLd0AcwVSC4vPQ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2026                             &amp;ROpmaakdatum: 25-03-2026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443</vt:i4>
      </vt:variant>
    </vt:vector>
  </HeadingPairs>
  <TitlesOfParts>
    <vt:vector size="457" baseType="lpstr">
      <vt:lpstr>Omreken</vt:lpstr>
      <vt:lpstr>Tariefopbouw</vt:lpstr>
      <vt:lpstr>Categorienormen</vt:lpstr>
      <vt:lpstr>Regulier werk</vt:lpstr>
      <vt:lpstr>Ruimten werkdag</vt:lpstr>
      <vt:lpstr>Objectinformatie</vt:lpstr>
      <vt:lpstr>Objecten</vt:lpstr>
      <vt:lpstr>Totaalblad Objecten</vt:lpstr>
      <vt:lpstr>Additioneel werk</vt:lpstr>
      <vt:lpstr>Afroep incidenteel</vt:lpstr>
      <vt:lpstr>Regiewerk</vt:lpstr>
      <vt:lpstr>Glas</vt:lpstr>
      <vt:lpstr>Glas per locatie</vt:lpstr>
      <vt:lpstr>Totaal</vt:lpstr>
      <vt:lpstr>'Additioneel werk'!Afdruktitels</vt:lpstr>
      <vt:lpstr>'Afroep incidenteel'!Afdruktitels</vt:lpstr>
      <vt:lpstr>Categorienormen!Afdruktitels</vt:lpstr>
      <vt:lpstr>Glas!Afdruktitels</vt:lpstr>
      <vt:lpstr>'Glas per locatie'!Afdruktitels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Tariefopbouw!Afdruktitels</vt:lpstr>
      <vt:lpstr>Totaal!Afdruktitels</vt:lpstr>
      <vt:lpstr>'Totaalblad Objecten'!Afdruktitels</vt:lpstr>
      <vt:lpstr>catdw_1_AHB_1</vt:lpstr>
      <vt:lpstr>catdw_1_AHV_40</vt:lpstr>
      <vt:lpstr>catdw_1_BHB_1</vt:lpstr>
      <vt:lpstr>catdw_1_BHV_40</vt:lpstr>
      <vt:lpstr>catdw_1_BZB_1</vt:lpstr>
      <vt:lpstr>catdw_1_BZV_40</vt:lpstr>
      <vt:lpstr>catdw_1_DHB_1</vt:lpstr>
      <vt:lpstr>catdw_1_DHV_40</vt:lpstr>
      <vt:lpstr>catdw_1_EZB_1</vt:lpstr>
      <vt:lpstr>catdw_1_EZV_40</vt:lpstr>
      <vt:lpstr>catdw_1_FHB_1</vt:lpstr>
      <vt:lpstr>catdw_1_FHV_40</vt:lpstr>
      <vt:lpstr>catdw_1_GHB_1</vt:lpstr>
      <vt:lpstr>catdw_1_GHV_40</vt:lpstr>
      <vt:lpstr>catdw_1_KHB_1</vt:lpstr>
      <vt:lpstr>catdw_1_KHV_40</vt:lpstr>
      <vt:lpstr>catdw_1_LHB_1</vt:lpstr>
      <vt:lpstr>catdw_1_LHV_40</vt:lpstr>
      <vt:lpstr>catdw_1_LZB_1</vt:lpstr>
      <vt:lpstr>catdw_1_LZV_40</vt:lpstr>
      <vt:lpstr>catdw_1_MHB_1</vt:lpstr>
      <vt:lpstr>catdw_1_MHV_40</vt:lpstr>
      <vt:lpstr>catdw_1_PHB_1</vt:lpstr>
      <vt:lpstr>catdw_1_PHV_40</vt:lpstr>
      <vt:lpstr>catdw_1_PMHB_1</vt:lpstr>
      <vt:lpstr>catdw_1_PMHV_40</vt:lpstr>
      <vt:lpstr>catdw_1_PUHB_1</vt:lpstr>
      <vt:lpstr>catdw_1_PUHV_40</vt:lpstr>
      <vt:lpstr>catdw_1_SHB_1</vt:lpstr>
      <vt:lpstr>catdw_1_SHV_40</vt:lpstr>
      <vt:lpstr>catdw_1_THB_1</vt:lpstr>
      <vt:lpstr>catdw_1_THV_40</vt:lpstr>
      <vt:lpstr>catdw_1_VHB_1</vt:lpstr>
      <vt:lpstr>catdw_1_VHV_40</vt:lpstr>
      <vt:lpstr>catdw_1_XBB_1</vt:lpstr>
      <vt:lpstr>catfd_1_AHB_1</vt:lpstr>
      <vt:lpstr>catfd_1_AHV_40</vt:lpstr>
      <vt:lpstr>catfd_1_BHB_1</vt:lpstr>
      <vt:lpstr>catfd_1_BHV_40</vt:lpstr>
      <vt:lpstr>catfd_1_BZB_1</vt:lpstr>
      <vt:lpstr>catfd_1_BZV_40</vt:lpstr>
      <vt:lpstr>catfd_1_DHB_1</vt:lpstr>
      <vt:lpstr>catfd_1_DHV_40</vt:lpstr>
      <vt:lpstr>catfd_1_EZB_1</vt:lpstr>
      <vt:lpstr>catfd_1_EZV_40</vt:lpstr>
      <vt:lpstr>catfd_1_FHB_1</vt:lpstr>
      <vt:lpstr>catfd_1_FHV_40</vt:lpstr>
      <vt:lpstr>catfd_1_GHB_1</vt:lpstr>
      <vt:lpstr>catfd_1_GHV_40</vt:lpstr>
      <vt:lpstr>catfd_1_KHB_1</vt:lpstr>
      <vt:lpstr>catfd_1_KHV_40</vt:lpstr>
      <vt:lpstr>catfd_1_LHB_1</vt:lpstr>
      <vt:lpstr>catfd_1_LHV_40</vt:lpstr>
      <vt:lpstr>catfd_1_LZB_1</vt:lpstr>
      <vt:lpstr>catfd_1_LZV_40</vt:lpstr>
      <vt:lpstr>catfd_1_MHB_1</vt:lpstr>
      <vt:lpstr>catfd_1_MHV_40</vt:lpstr>
      <vt:lpstr>catfd_1_PHB_1</vt:lpstr>
      <vt:lpstr>catfd_1_PHV_40</vt:lpstr>
      <vt:lpstr>catfd_1_PMHB_1</vt:lpstr>
      <vt:lpstr>catfd_1_PMHV_40</vt:lpstr>
      <vt:lpstr>catfd_1_PUHB_1</vt:lpstr>
      <vt:lpstr>catfd_1_PUHV_40</vt:lpstr>
      <vt:lpstr>catfd_1_SHB_1</vt:lpstr>
      <vt:lpstr>catfd_1_SHV_40</vt:lpstr>
      <vt:lpstr>catfd_1_THB_1</vt:lpstr>
      <vt:lpstr>catfd_1_THV_40</vt:lpstr>
      <vt:lpstr>catfd_1_VHB_1</vt:lpstr>
      <vt:lpstr>catfd_1_VHV_40</vt:lpstr>
      <vt:lpstr>catfd_1_XBB_1</vt:lpstr>
      <vt:lpstr>catpn_1_AHB_1</vt:lpstr>
      <vt:lpstr>catpn_1_AHV_40</vt:lpstr>
      <vt:lpstr>catpn_1_BHB_1</vt:lpstr>
      <vt:lpstr>catpn_1_BHV_40</vt:lpstr>
      <vt:lpstr>catpn_1_BZB_1</vt:lpstr>
      <vt:lpstr>catpn_1_BZV_40</vt:lpstr>
      <vt:lpstr>catpn_1_DHB_1</vt:lpstr>
      <vt:lpstr>catpn_1_DHV_40</vt:lpstr>
      <vt:lpstr>catpn_1_EZB_1</vt:lpstr>
      <vt:lpstr>catpn_1_EZV_40</vt:lpstr>
      <vt:lpstr>catpn_1_FHB_1</vt:lpstr>
      <vt:lpstr>catpn_1_FHV_40</vt:lpstr>
      <vt:lpstr>catpn_1_GHB_1</vt:lpstr>
      <vt:lpstr>catpn_1_GHV_40</vt:lpstr>
      <vt:lpstr>catpn_1_KHB_1</vt:lpstr>
      <vt:lpstr>catpn_1_KHV_40</vt:lpstr>
      <vt:lpstr>catpn_1_LHB_1</vt:lpstr>
      <vt:lpstr>catpn_1_LHV_40</vt:lpstr>
      <vt:lpstr>catpn_1_LZB_1</vt:lpstr>
      <vt:lpstr>catpn_1_LZV_40</vt:lpstr>
      <vt:lpstr>catpn_1_MHB_1</vt:lpstr>
      <vt:lpstr>catpn_1_MHV_40</vt:lpstr>
      <vt:lpstr>catpn_1_PHB_1</vt:lpstr>
      <vt:lpstr>catpn_1_PHV_40</vt:lpstr>
      <vt:lpstr>catpn_1_PMHB_1</vt:lpstr>
      <vt:lpstr>catpn_1_PMHV_40</vt:lpstr>
      <vt:lpstr>catpn_1_PUHB_1</vt:lpstr>
      <vt:lpstr>catpn_1_PUHV_40</vt:lpstr>
      <vt:lpstr>catpn_1_SHB_1</vt:lpstr>
      <vt:lpstr>catpn_1_SHV_40</vt:lpstr>
      <vt:lpstr>catpn_1_THB_1</vt:lpstr>
      <vt:lpstr>catpn_1_THV_40</vt:lpstr>
      <vt:lpstr>catpn_1_VHB_1</vt:lpstr>
      <vt:lpstr>catpn_1_VHV_40</vt:lpstr>
      <vt:lpstr>catpn_1_XBB_1</vt:lpstr>
      <vt:lpstr>cattf_1_AHB_1</vt:lpstr>
      <vt:lpstr>cattf_1_AHV_40</vt:lpstr>
      <vt:lpstr>cattf_1_BHB_1</vt:lpstr>
      <vt:lpstr>cattf_1_BHV_40</vt:lpstr>
      <vt:lpstr>cattf_1_BZB_1</vt:lpstr>
      <vt:lpstr>cattf_1_BZV_40</vt:lpstr>
      <vt:lpstr>cattf_1_DHB_1</vt:lpstr>
      <vt:lpstr>cattf_1_DHV_40</vt:lpstr>
      <vt:lpstr>cattf_1_EZB_1</vt:lpstr>
      <vt:lpstr>cattf_1_EZV_40</vt:lpstr>
      <vt:lpstr>cattf_1_FHB_1</vt:lpstr>
      <vt:lpstr>cattf_1_FHV_40</vt:lpstr>
      <vt:lpstr>cattf_1_GHB_1</vt:lpstr>
      <vt:lpstr>cattf_1_GHV_40</vt:lpstr>
      <vt:lpstr>cattf_1_KHB_1</vt:lpstr>
      <vt:lpstr>cattf_1_KHV_40</vt:lpstr>
      <vt:lpstr>cattf_1_LHB_1</vt:lpstr>
      <vt:lpstr>cattf_1_LHV_40</vt:lpstr>
      <vt:lpstr>cattf_1_LZB_1</vt:lpstr>
      <vt:lpstr>cattf_1_LZV_40</vt:lpstr>
      <vt:lpstr>cattf_1_MHB_1</vt:lpstr>
      <vt:lpstr>cattf_1_MHV_40</vt:lpstr>
      <vt:lpstr>cattf_1_PHB_1</vt:lpstr>
      <vt:lpstr>cattf_1_PHV_40</vt:lpstr>
      <vt:lpstr>cattf_1_PMHB_1</vt:lpstr>
      <vt:lpstr>cattf_1_PMHV_40</vt:lpstr>
      <vt:lpstr>cattf_1_PUHB_1</vt:lpstr>
      <vt:lpstr>cattf_1_PUHV_40</vt:lpstr>
      <vt:lpstr>cattf_1_SHB_1</vt:lpstr>
      <vt:lpstr>cattf_1_SHV_40</vt:lpstr>
      <vt:lpstr>cattf_1_THB_1</vt:lpstr>
      <vt:lpstr>cattf_1_THV_40</vt:lpstr>
      <vt:lpstr>cattf_1_VHB_1</vt:lpstr>
      <vt:lpstr>cattf_1_VHV_40</vt:lpstr>
      <vt:lpstr>cattf_1_XBB_1</vt:lpstr>
      <vt:lpstr>dagenperjaar1</vt:lpstr>
      <vt:lpstr>dagenperjaar2</vt:lpstr>
      <vt:lpstr>dagenperjaar3</vt:lpstr>
      <vt:lpstr>dagenperjaar4</vt:lpstr>
      <vt:lpstr>dagenperjaar5</vt:lpstr>
      <vt:lpstr>dagenperweek1</vt:lpstr>
      <vt:lpstr>dagenperweek2</vt:lpstr>
      <vt:lpstr>dagenperweek3</vt:lpstr>
      <vt:lpstr>dagenperweek4</vt:lpstr>
      <vt:lpstr>dagenperweek5</vt:lpstr>
      <vt:lpstr>dagsoorttabel1</vt:lpstr>
      <vt:lpstr>dagsoorttabel2</vt:lpstr>
      <vt:lpstr>dagsoorttabel3</vt:lpstr>
      <vt:lpstr>dagsoorttabel4</vt:lpstr>
      <vt:lpstr>dagsoorttabel5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object1_urendaghf1</vt:lpstr>
      <vt:lpstr>object1_urenjaar1</vt:lpstr>
      <vt:lpstr>object2_gemuurtarief1</vt:lpstr>
      <vt:lpstr>object2_opptabel1</vt:lpstr>
      <vt:lpstr>object2_prijsdag1</vt:lpstr>
      <vt:lpstr>object2_prijsjaar1</vt:lpstr>
      <vt:lpstr>object2_urendag1</vt:lpstr>
      <vt:lpstr>object2_urendaghf1</vt:lpstr>
      <vt:lpstr>object2_urenjaar1</vt:lpstr>
      <vt:lpstr>objectprijs1_1</vt:lpstr>
      <vt:lpstr>objectprijs2_1</vt:lpstr>
      <vt:lpstr>objecturen1_1</vt:lpstr>
      <vt:lpstr>objecturen2_1</vt:lpstr>
      <vt:lpstr>objecturenhf1_1</vt:lpstr>
      <vt:lpstr>objecturenhf2_1</vt:lpstr>
      <vt:lpstr>prijsdag1</vt:lpstr>
      <vt:lpstr>prijsjaar</vt:lpstr>
      <vt:lpstr>prijsjaar1</vt:lpstr>
      <vt:lpstr>prijsjaaradditioneel</vt:lpstr>
      <vt:lpstr>prijsjaaradditioneel1</vt:lpstr>
      <vt:lpstr>prijsjaarglas</vt:lpstr>
      <vt:lpstr>prijsjaarglas1</vt:lpstr>
      <vt:lpstr>prijsjaarregie</vt:lpstr>
      <vt:lpstr>prijsjaarregie1</vt:lpstr>
      <vt:lpstr>prijsjaartotaal</vt:lpstr>
      <vt:lpstr>prijsjaartotaal1</vt:lpstr>
      <vt:lpstr>prijsjaartotaaloverzicht</vt:lpstr>
      <vt:lpstr>prijsmaandtotaal1</vt:lpstr>
      <vt:lpstr>prodnorm0</vt:lpstr>
      <vt:lpstr>prodnorm1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prodnorm4</vt:lpstr>
      <vt:lpstr>prodnorm5</vt:lpstr>
      <vt:lpstr>prodnorm6</vt:lpstr>
      <vt:lpstr>prodnorm7</vt:lpstr>
      <vt:lpstr>prodnorm8</vt:lpstr>
      <vt:lpstr>prodnorm9</vt:lpstr>
      <vt:lpstr>taakfreqtabel1</vt:lpstr>
      <vt:lpstr>tabeltype</vt:lpstr>
      <vt:lpstr>Tariefopbouw1</vt:lpstr>
      <vt:lpstr>Tariefopbouw2</vt:lpstr>
      <vt:lpstr>Tariefopbouw3</vt:lpstr>
      <vt:lpstr>Tariefopbouw4</vt:lpstr>
      <vt:lpstr>Tariefopbouw5</vt:lpstr>
      <vt:lpstr>Tariefopbouw6</vt:lpstr>
      <vt:lpstr>Tariefopbouw7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TariefOpbouwBasisloon8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TariefOpbouwDirecteKosten8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TariefOpbouwErvaring8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TariefOpbouwIndirecteKosten8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TariefOpbouwNaam8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TariefOpbouwRisicoWinst8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TariefOpbouwRisicoWinstPercentage8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TariefOpbouwTarief8</vt:lpstr>
      <vt:lpstr>TariefOpbouwTarief8DN</vt:lpstr>
      <vt:lpstr>TariefOpbouwTarief8W</vt:lpstr>
      <vt:lpstr>TariefOpbouwTarief8X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TariefOpbouwTotaalLoonkosten8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TariefOpbouwUurloon8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TariefOpbouwUurloonkosten8</vt:lpstr>
      <vt:lpstr>tarieftabel1</vt:lpstr>
      <vt:lpstr>TariefUitvoering1</vt:lpstr>
      <vt:lpstr>TariefUitvoering2</vt:lpstr>
      <vt:lpstr>TariefUitvoering3</vt:lpstr>
      <vt:lpstr>TariefUitvoering4</vt:lpstr>
      <vt:lpstr>TariefUitvoering5</vt:lpstr>
      <vt:lpstr>TariefUitvoering6</vt:lpstr>
      <vt:lpstr>TariefUitvoering7</vt:lpstr>
      <vt:lpstr>urendag1</vt:lpstr>
      <vt:lpstr>urenjaar</vt:lpstr>
      <vt:lpstr>urenjaar1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uurtarief0</vt:lpstr>
      <vt:lpstr>uurtarief1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uurtarief4</vt:lpstr>
      <vt:lpstr>uurtarief5</vt:lpstr>
      <vt:lpstr>uurtarief6</vt:lpstr>
      <vt:lpstr>uurtarief7</vt:lpstr>
      <vt:lpstr>uurtarief8</vt:lpstr>
      <vt:lpstr>uurtarief9</vt:lpstr>
      <vt:lpstr>vp_additioneel</vt:lpstr>
      <vt:lpstr>vp_regie</vt:lpstr>
      <vt:lpstr>vp_variant</vt:lpstr>
      <vt:lpstr>vu_regulier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2026-03-25T14:36:57Z</dcterms:created>
  <dcterms:modified xsi:type="dcterms:W3CDTF">2026-03-25T14:50:40Z</dcterms:modified>
</cp:coreProperties>
</file>