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DATA\EXTERN\Centraal Museum Utrecht\Aanbesteding 2026\Uitlever\"/>
    </mc:Choice>
  </mc:AlternateContent>
  <xr:revisionPtr revIDLastSave="0" documentId="8_{2219A035-E44C-4F42-A0EE-DBB9887BB6ED}" xr6:coauthVersionLast="47" xr6:coauthVersionMax="47" xr10:uidLastSave="{00000000-0000-0000-0000-000000000000}"/>
  <bookViews>
    <workbookView xWindow="28680" yWindow="-120" windowWidth="29040" windowHeight="15720" firstSheet="2" activeTab="15" xr2:uid="{BCA45860-4358-4EFC-8C74-A14DEA0D1376}"/>
  </bookViews>
  <sheets>
    <sheet name="Omreken" sheetId="1" r:id="rId1"/>
    <sheet name="Tariefopbouw" sheetId="2" r:id="rId2"/>
    <sheet name="Categorienormen" sheetId="3" r:id="rId3"/>
    <sheet name="Regulier werk" sheetId="4" r:id="rId4"/>
    <sheet name="Ruimten werkdag" sheetId="5" r:id="rId5"/>
    <sheet name="Ruimten feestdag" sheetId="6" r:id="rId6"/>
    <sheet name="Ruimten weekenddag" sheetId="7" r:id="rId7"/>
    <sheet name="Objectinformatie" sheetId="8" r:id="rId8"/>
    <sheet name="Objecten" sheetId="9" r:id="rId9"/>
    <sheet name="Totaalblad Objecten" sheetId="10" r:id="rId10"/>
    <sheet name="Additioneel werk" sheetId="11" r:id="rId11"/>
    <sheet name="Additioneel werk per locatie" sheetId="12" r:id="rId12"/>
    <sheet name="Afroep incidenteel" sheetId="13" r:id="rId13"/>
    <sheet name="Regiewerk" sheetId="14" r:id="rId14"/>
    <sheet name="Glas" sheetId="15" r:id="rId15"/>
    <sheet name="Totaal" sheetId="16" r:id="rId16"/>
  </sheets>
  <definedNames>
    <definedName name="_xlnm._FilterDatabase" localSheetId="5" hidden="1">'Ruimten feestdag'!$A$3:$S$216</definedName>
    <definedName name="_xlnm._FilterDatabase" localSheetId="6" hidden="1">'Ruimten weekenddag'!$A$3:$S$217</definedName>
    <definedName name="_xlnm._FilterDatabase" localSheetId="4" hidden="1">'Ruimten werkdag'!$A$3:$S$416</definedName>
    <definedName name="_xlnm.Print_Titles" localSheetId="10">'Additioneel werk'!$1:$3</definedName>
    <definedName name="_xlnm.Print_Titles" localSheetId="11">'Additioneel werk per locatie'!$1:$3</definedName>
    <definedName name="_xlnm.Print_Titles" localSheetId="12">'Afroep incidenteel'!$1:$3</definedName>
    <definedName name="_xlnm.Print_Titles" localSheetId="2">Categorienormen!$1:$3</definedName>
    <definedName name="_xlnm.Print_Titles" localSheetId="14">Glas!$1:$3</definedName>
    <definedName name="_xlnm.Print_Titles" localSheetId="8">Objecten!$1:$3</definedName>
    <definedName name="_xlnm.Print_Titles" localSheetId="7">Objectinformatie!$A:$D,Objectinformatie!$1:$4</definedName>
    <definedName name="_xlnm.Print_Titles" localSheetId="13">Regiewerk!$1:$3</definedName>
    <definedName name="_xlnm.Print_Titles" localSheetId="3">'Regulier werk'!$1:$3</definedName>
    <definedName name="_xlnm.Print_Titles" localSheetId="5">'Ruimten feestdag'!$1:$3</definedName>
    <definedName name="_xlnm.Print_Titles" localSheetId="6">'Ruimten weekenddag'!$1:$3</definedName>
    <definedName name="_xlnm.Print_Titles" localSheetId="4">'Ruimten werkdag'!$1:$3</definedName>
    <definedName name="_xlnm.Print_Titles" localSheetId="1">Tariefopbouw!$A:$A,Tariefopbouw!$1:$2</definedName>
    <definedName name="_xlnm.Print_Titles" localSheetId="15">Totaal!$1:$3</definedName>
    <definedName name="_xlnm.Print_Titles" localSheetId="9">'Totaalblad Objecten'!$1:$3</definedName>
    <definedName name="catdw_1_BKHB_1">Categorienormen!$F$42</definedName>
    <definedName name="catdw_1_BKHV_51">Categorienormen!$F$43</definedName>
    <definedName name="catdw_1_BKZB_1">Categorienormen!$F$44</definedName>
    <definedName name="catdw_1_BKZV_51">Categorienormen!$F$45</definedName>
    <definedName name="catdw_1_BVHB_1">Categorienormen!$F$46</definedName>
    <definedName name="catdw_1_BVHV_51">Categorienormen!$F$47</definedName>
    <definedName name="catdw_1_KPHB_1">Categorienormen!$F$19</definedName>
    <definedName name="catdw_1_KPHV_51">Categorienormen!$F$20</definedName>
    <definedName name="catdw_1_KRHB_1">Categorienormen!$F$21</definedName>
    <definedName name="catdw_1_KRHV_51">Categorienormen!$F$22</definedName>
    <definedName name="catdw_1_LAHB_1">Categorienormen!$F$10</definedName>
    <definedName name="catdw_1_LAHV_51">Categorienormen!$F$11</definedName>
    <definedName name="catdw_1_MEHB_1">Categorienormen!$F$12</definedName>
    <definedName name="catdw_1_MEHV_12">Categorienormen!$F$13</definedName>
    <definedName name="catdw_1_MEHV_51">Categorienormen!$F$14</definedName>
    <definedName name="catdw_1_MEZB_1">Categorienormen!$F$15</definedName>
    <definedName name="catdw_1_MEZV_51">Categorienormen!$F$16</definedName>
    <definedName name="catdw_1_NMEHB_1">Categorienormen!$F$17</definedName>
    <definedName name="catdw_1_NMEHV_51">Categorienormen!$F$18</definedName>
    <definedName name="catdw_1_OAHB_1">Categorienormen!$F$23</definedName>
    <definedName name="catdw_1_OAHV_1">Categorienormen!$F$24</definedName>
    <definedName name="catdw_1_OAHV_51">Categorienormen!$F$25</definedName>
    <definedName name="catdw_1_SKHB_1">Categorienormen!$F$6</definedName>
    <definedName name="catdw_1_SKHV_51">Categorienormen!$F$7</definedName>
    <definedName name="catdw_1_STHB_1">Categorienormen!$F$8</definedName>
    <definedName name="catdw_1_STHV_51">Categorienormen!$F$9</definedName>
    <definedName name="catdw_1_VAHB_1">Categorienormen!$F$26</definedName>
    <definedName name="catdw_1_VAHV_51">Categorienormen!$F$27</definedName>
    <definedName name="catdw_1_VAZB_1">Categorienormen!$F$28</definedName>
    <definedName name="catdw_1_VAZV_51">Categorienormen!$F$29</definedName>
    <definedName name="catdw_1_VEHB_1">Categorienormen!$F$30</definedName>
    <definedName name="catdw_1_VEHV_51">Categorienormen!$F$31</definedName>
    <definedName name="catdw_1_VEZB_1">Categorienormen!$F$32</definedName>
    <definedName name="catdw_1_VEZV_51">Categorienormen!$F$33</definedName>
    <definedName name="catdw_1_VLHB_1">Categorienormen!$F$34</definedName>
    <definedName name="catdw_1_VLHV_51">Categorienormen!$F$35</definedName>
    <definedName name="catdw_1_VTHB_1">Categorienormen!$F$36</definedName>
    <definedName name="catdw_1_VTHV_12">Categorienormen!$F$38</definedName>
    <definedName name="catdw_1_VTHV_2">Categorienormen!$F$37</definedName>
    <definedName name="catdw_1_VTHV_51">Categorienormen!$F$39</definedName>
    <definedName name="catdw_1_VTZB_1">Categorienormen!$F$40</definedName>
    <definedName name="catdw_1_VTZV_51">Categorienormen!$F$41</definedName>
    <definedName name="catdw_1_WIHB_1">Categorienormen!$F$48</definedName>
    <definedName name="catdw_1_WIHV_51">Categorienormen!$F$49</definedName>
    <definedName name="catdw_2_XBKHB_1">Categorienormen!$F$65</definedName>
    <definedName name="catdw_2_XBVHB_1">Categorienormen!$F$66</definedName>
    <definedName name="catdw_2_XKPHB_1">Categorienormen!$F$58</definedName>
    <definedName name="catdw_2_XKRHB_1">Categorienormen!$F$59</definedName>
    <definedName name="catdw_2_XLAHB_1">Categorienormen!$F$54</definedName>
    <definedName name="catdw_2_XMEHB_1">Categorienormen!$F$55</definedName>
    <definedName name="catdw_2_XMEZB_1">Categorienormen!$F$56</definedName>
    <definedName name="catdw_2_XNMHB_1">Categorienormen!$F$57</definedName>
    <definedName name="catdw_2_XSKHB_1">Categorienormen!$F$52</definedName>
    <definedName name="catdw_2_XSTHB_1">Categorienormen!$F$53</definedName>
    <definedName name="catdw_2_XVAHB_1">Categorienormen!$F$60</definedName>
    <definedName name="catdw_2_XVEHB_1">Categorienormen!$F$61</definedName>
    <definedName name="catdw_2_XVEZB_1">Categorienormen!$F$62</definedName>
    <definedName name="catdw_2_XVLHB_1">Categorienormen!$F$63</definedName>
    <definedName name="catdw_2_XVTHB_1">Categorienormen!$F$64</definedName>
    <definedName name="catdw_2_XWINB_1">Categorienormen!$F$67</definedName>
    <definedName name="catdw_3_WKBHB_1">Categorienormen!$F$83</definedName>
    <definedName name="catdw_3_WKPHB_1">Categorienormen!$F$76</definedName>
    <definedName name="catdw_3_WKRHB_1">Categorienormen!$F$77</definedName>
    <definedName name="catdw_3_WLAHB_1">Categorienormen!$F$72</definedName>
    <definedName name="catdw_3_WMEHB_1">Categorienormen!$F$73</definedName>
    <definedName name="catdw_3_WMEZB_1">Categorienormen!$F$74</definedName>
    <definedName name="catdw_3_WNMHB_1">Categorienormen!$F$75</definedName>
    <definedName name="catdw_3_WSKHB_1">Categorienormen!$F$70</definedName>
    <definedName name="catdw_3_WSTHB_1">Categorienormen!$F$71</definedName>
    <definedName name="catdw_3_WVAHB_1">Categorienormen!$F$78</definedName>
    <definedName name="catdw_3_WVBHB_1">Categorienormen!$F$84</definedName>
    <definedName name="catdw_3_WVEHB_1">Categorienormen!$F$79</definedName>
    <definedName name="catdw_3_WVEZB_1">Categorienormen!$F$80</definedName>
    <definedName name="catdw_3_WVLHB_1">Categorienormen!$F$81</definedName>
    <definedName name="catdw_3_WVTHB_1">Categorienormen!$F$82</definedName>
    <definedName name="catdw_3_WWIHB_1">Categorienormen!$F$85</definedName>
    <definedName name="catfd_1_BKHB_1">Categorienormen!$C$42</definedName>
    <definedName name="catfd_1_BKHV_51">Categorienormen!$C$43</definedName>
    <definedName name="catfd_1_BKZB_1">Categorienormen!$C$44</definedName>
    <definedName name="catfd_1_BKZV_51">Categorienormen!$C$45</definedName>
    <definedName name="catfd_1_BVHB_1">Categorienormen!$C$46</definedName>
    <definedName name="catfd_1_BVHV_51">Categorienormen!$C$47</definedName>
    <definedName name="catfd_1_KPHB_1">Categorienormen!$C$19</definedName>
    <definedName name="catfd_1_KPHV_51">Categorienormen!$C$20</definedName>
    <definedName name="catfd_1_KRHB_1">Categorienormen!$C$21</definedName>
    <definedName name="catfd_1_KRHV_51">Categorienormen!$C$22</definedName>
    <definedName name="catfd_1_LAHB_1">Categorienormen!$C$10</definedName>
    <definedName name="catfd_1_LAHV_51">Categorienormen!$C$11</definedName>
    <definedName name="catfd_1_MEHB_1">Categorienormen!$C$12</definedName>
    <definedName name="catfd_1_MEHV_12">Categorienormen!$C$13</definedName>
    <definedName name="catfd_1_MEHV_51">Categorienormen!$C$14</definedName>
    <definedName name="catfd_1_MEZB_1">Categorienormen!$C$15</definedName>
    <definedName name="catfd_1_MEZV_51">Categorienormen!$C$16</definedName>
    <definedName name="catfd_1_NMEHB_1">Categorienormen!$C$17</definedName>
    <definedName name="catfd_1_NMEHV_51">Categorienormen!$C$18</definedName>
    <definedName name="catfd_1_OAHB_1">Categorienormen!$C$23</definedName>
    <definedName name="catfd_1_OAHV_1">Categorienormen!$C$24</definedName>
    <definedName name="catfd_1_OAHV_51">Categorienormen!$C$25</definedName>
    <definedName name="catfd_1_SKHB_1">Categorienormen!$C$6</definedName>
    <definedName name="catfd_1_SKHV_51">Categorienormen!$C$7</definedName>
    <definedName name="catfd_1_STHB_1">Categorienormen!$C$8</definedName>
    <definedName name="catfd_1_STHV_51">Categorienormen!$C$9</definedName>
    <definedName name="catfd_1_VAHB_1">Categorienormen!$C$26</definedName>
    <definedName name="catfd_1_VAHV_51">Categorienormen!$C$27</definedName>
    <definedName name="catfd_1_VAZB_1">Categorienormen!$C$28</definedName>
    <definedName name="catfd_1_VAZV_51">Categorienormen!$C$29</definedName>
    <definedName name="catfd_1_VEHB_1">Categorienormen!$C$30</definedName>
    <definedName name="catfd_1_VEHV_51">Categorienormen!$C$31</definedName>
    <definedName name="catfd_1_VEZB_1">Categorienormen!$C$32</definedName>
    <definedName name="catfd_1_VEZV_51">Categorienormen!$C$33</definedName>
    <definedName name="catfd_1_VLHB_1">Categorienormen!$C$34</definedName>
    <definedName name="catfd_1_VLHV_51">Categorienormen!$C$35</definedName>
    <definedName name="catfd_1_VTHB_1">Categorienormen!$C$36</definedName>
    <definedName name="catfd_1_VTHV_12">Categorienormen!$C$38</definedName>
    <definedName name="catfd_1_VTHV_2">Categorienormen!$C$37</definedName>
    <definedName name="catfd_1_VTHV_51">Categorienormen!$C$39</definedName>
    <definedName name="catfd_1_VTZB_1">Categorienormen!$C$40</definedName>
    <definedName name="catfd_1_VTZV_51">Categorienormen!$C$41</definedName>
    <definedName name="catfd_1_WIHB_1">Categorienormen!$C$48</definedName>
    <definedName name="catfd_1_WIHV_51">Categorienormen!$C$49</definedName>
    <definedName name="catfd_2_XBKHB_1">Categorienormen!$C$65</definedName>
    <definedName name="catfd_2_XBVHB_1">Categorienormen!$C$66</definedName>
    <definedName name="catfd_2_XKPHB_1">Categorienormen!$C$58</definedName>
    <definedName name="catfd_2_XKRHB_1">Categorienormen!$C$59</definedName>
    <definedName name="catfd_2_XLAHB_1">Categorienormen!$C$54</definedName>
    <definedName name="catfd_2_XMEHB_1">Categorienormen!$C$55</definedName>
    <definedName name="catfd_2_XMEZB_1">Categorienormen!$C$56</definedName>
    <definedName name="catfd_2_XNMHB_1">Categorienormen!$C$57</definedName>
    <definedName name="catfd_2_XSKHB_1">Categorienormen!$C$52</definedName>
    <definedName name="catfd_2_XSTHB_1">Categorienormen!$C$53</definedName>
    <definedName name="catfd_2_XVAHB_1">Categorienormen!$C$60</definedName>
    <definedName name="catfd_2_XVEHB_1">Categorienormen!$C$61</definedName>
    <definedName name="catfd_2_XVEZB_1">Categorienormen!$C$62</definedName>
    <definedName name="catfd_2_XVLHB_1">Categorienormen!$C$63</definedName>
    <definedName name="catfd_2_XVTHB_1">Categorienormen!$C$64</definedName>
    <definedName name="catfd_2_XWINB_1">Categorienormen!$C$67</definedName>
    <definedName name="catfd_3_WKBHB_1">Categorienormen!$C$83</definedName>
    <definedName name="catfd_3_WKPHB_1">Categorienormen!$C$76</definedName>
    <definedName name="catfd_3_WKRHB_1">Categorienormen!$C$77</definedName>
    <definedName name="catfd_3_WLAHB_1">Categorienormen!$C$72</definedName>
    <definedName name="catfd_3_WMEHB_1">Categorienormen!$C$73</definedName>
    <definedName name="catfd_3_WMEZB_1">Categorienormen!$C$74</definedName>
    <definedName name="catfd_3_WNMHB_1">Categorienormen!$C$75</definedName>
    <definedName name="catfd_3_WSKHB_1">Categorienormen!$C$70</definedName>
    <definedName name="catfd_3_WSTHB_1">Categorienormen!$C$71</definedName>
    <definedName name="catfd_3_WVAHB_1">Categorienormen!$C$78</definedName>
    <definedName name="catfd_3_WVBHB_1">Categorienormen!$C$84</definedName>
    <definedName name="catfd_3_WVEHB_1">Categorienormen!$C$79</definedName>
    <definedName name="catfd_3_WVEZB_1">Categorienormen!$C$80</definedName>
    <definedName name="catfd_3_WVLHB_1">Categorienormen!$C$81</definedName>
    <definedName name="catfd_3_WVTHB_1">Categorienormen!$C$82</definedName>
    <definedName name="catfd_3_WWIHB_1">Categorienormen!$C$85</definedName>
    <definedName name="catpn_1_BKHB_1">Categorienormen!$E$42</definedName>
    <definedName name="catpn_1_BKHV_51">Categorienormen!$E$43</definedName>
    <definedName name="catpn_1_BKZB_1">Categorienormen!$E$44</definedName>
    <definedName name="catpn_1_BKZV_51">Categorienormen!$E$45</definedName>
    <definedName name="catpn_1_BVHB_1">Categorienormen!$E$46</definedName>
    <definedName name="catpn_1_BVHV_51">Categorienormen!$E$47</definedName>
    <definedName name="catpn_1_KPHB_1">Categorienormen!$E$19</definedName>
    <definedName name="catpn_1_KPHV_51">Categorienormen!$E$20</definedName>
    <definedName name="catpn_1_KRHB_1">Categorienormen!$E$21</definedName>
    <definedName name="catpn_1_KRHV_51">Categorienormen!$E$22</definedName>
    <definedName name="catpn_1_LAHB_1">Categorienormen!$E$10</definedName>
    <definedName name="catpn_1_LAHV_51">Categorienormen!$E$11</definedName>
    <definedName name="catpn_1_MEHB_1">Categorienormen!$E$12</definedName>
    <definedName name="catpn_1_MEHV_12">Categorienormen!$E$13</definedName>
    <definedName name="catpn_1_MEHV_51">Categorienormen!$E$14</definedName>
    <definedName name="catpn_1_MEZB_1">Categorienormen!$E$15</definedName>
    <definedName name="catpn_1_MEZV_51">Categorienormen!$E$16</definedName>
    <definedName name="catpn_1_NMEHB_1">Categorienormen!$E$17</definedName>
    <definedName name="catpn_1_NMEHV_51">Categorienormen!$E$18</definedName>
    <definedName name="catpn_1_OAHB_1">Categorienormen!$E$23</definedName>
    <definedName name="catpn_1_OAHV_1">Categorienormen!$E$24</definedName>
    <definedName name="catpn_1_OAHV_51">Categorienormen!$E$25</definedName>
    <definedName name="catpn_1_SKHB_1">Categorienormen!$E$6</definedName>
    <definedName name="catpn_1_SKHV_51">Categorienormen!$E$7</definedName>
    <definedName name="catpn_1_STHB_1">Categorienormen!$E$8</definedName>
    <definedName name="catpn_1_STHV_51">Categorienormen!$E$9</definedName>
    <definedName name="catpn_1_VAHB_1">Categorienormen!$E$26</definedName>
    <definedName name="catpn_1_VAHV_51">Categorienormen!$E$27</definedName>
    <definedName name="catpn_1_VAZB_1">Categorienormen!$E$28</definedName>
    <definedName name="catpn_1_VAZV_51">Categorienormen!$E$29</definedName>
    <definedName name="catpn_1_VEHB_1">Categorienormen!$E$30</definedName>
    <definedName name="catpn_1_VEHV_51">Categorienormen!$E$31</definedName>
    <definedName name="catpn_1_VEZB_1">Categorienormen!$E$32</definedName>
    <definedName name="catpn_1_VEZV_51">Categorienormen!$E$33</definedName>
    <definedName name="catpn_1_VLHB_1">Categorienormen!$E$34</definedName>
    <definedName name="catpn_1_VLHV_51">Categorienormen!$E$35</definedName>
    <definedName name="catpn_1_VTHB_1">Categorienormen!$E$36</definedName>
    <definedName name="catpn_1_VTHV_12">Categorienormen!$E$38</definedName>
    <definedName name="catpn_1_VTHV_2">Categorienormen!$E$37</definedName>
    <definedName name="catpn_1_VTHV_51">Categorienormen!$E$39</definedName>
    <definedName name="catpn_1_VTZB_1">Categorienormen!$E$40</definedName>
    <definedName name="catpn_1_VTZV_51">Categorienormen!$E$41</definedName>
    <definedName name="catpn_1_WIHB_1">Categorienormen!$E$48</definedName>
    <definedName name="catpn_1_WIHV_51">Categorienormen!$E$49</definedName>
    <definedName name="catpn_2_XBKHB_1">Categorienormen!$E$65</definedName>
    <definedName name="catpn_2_XBVHB_1">Categorienormen!$E$66</definedName>
    <definedName name="catpn_2_XKPHB_1">Categorienormen!$E$58</definedName>
    <definedName name="catpn_2_XKRHB_1">Categorienormen!$E$59</definedName>
    <definedName name="catpn_2_XLAHB_1">Categorienormen!$E$54</definedName>
    <definedName name="catpn_2_XMEHB_1">Categorienormen!$E$55</definedName>
    <definedName name="catpn_2_XMEZB_1">Categorienormen!$E$56</definedName>
    <definedName name="catpn_2_XNMHB_1">Categorienormen!$E$57</definedName>
    <definedName name="catpn_2_XSKHB_1">Categorienormen!$E$52</definedName>
    <definedName name="catpn_2_XSTHB_1">Categorienormen!$E$53</definedName>
    <definedName name="catpn_2_XVAHB_1">Categorienormen!$E$60</definedName>
    <definedName name="catpn_2_XVEHB_1">Categorienormen!$E$61</definedName>
    <definedName name="catpn_2_XVEZB_1">Categorienormen!$E$62</definedName>
    <definedName name="catpn_2_XVLHB_1">Categorienormen!$E$63</definedName>
    <definedName name="catpn_2_XVTHB_1">Categorienormen!$E$64</definedName>
    <definedName name="catpn_2_XWINB_1">Categorienormen!$E$67</definedName>
    <definedName name="catpn_3_WKBHB_1">Categorienormen!$E$83</definedName>
    <definedName name="catpn_3_WKPHB_1">Categorienormen!$E$76</definedName>
    <definedName name="catpn_3_WKRHB_1">Categorienormen!$E$77</definedName>
    <definedName name="catpn_3_WLAHB_1">Categorienormen!$E$72</definedName>
    <definedName name="catpn_3_WMEHB_1">Categorienormen!$E$73</definedName>
    <definedName name="catpn_3_WMEZB_1">Categorienormen!$E$74</definedName>
    <definedName name="catpn_3_WNMHB_1">Categorienormen!$E$75</definedName>
    <definedName name="catpn_3_WSKHB_1">Categorienormen!$E$70</definedName>
    <definedName name="catpn_3_WSTHB_1">Categorienormen!$E$71</definedName>
    <definedName name="catpn_3_WVAHB_1">Categorienormen!$E$78</definedName>
    <definedName name="catpn_3_WVBHB_1">Categorienormen!$E$84</definedName>
    <definedName name="catpn_3_WVEHB_1">Categorienormen!$E$79</definedName>
    <definedName name="catpn_3_WVEZB_1">Categorienormen!$E$80</definedName>
    <definedName name="catpn_3_WVLHB_1">Categorienormen!$E$81</definedName>
    <definedName name="catpn_3_WVTHB_1">Categorienormen!$E$82</definedName>
    <definedName name="catpn_3_WWIHB_1">Categorienormen!$E$85</definedName>
    <definedName name="cattf_1_BKHB_1">Categorienormen!$H$42</definedName>
    <definedName name="cattf_1_BKHV_51">Categorienormen!$H$43</definedName>
    <definedName name="cattf_1_BKZB_1">Categorienormen!$H$44</definedName>
    <definedName name="cattf_1_BKZV_51">Categorienormen!$H$45</definedName>
    <definedName name="cattf_1_BVHB_1">Categorienormen!$H$46</definedName>
    <definedName name="cattf_1_BVHV_51">Categorienormen!$H$47</definedName>
    <definedName name="cattf_1_KPHB_1">Categorienormen!$H$19</definedName>
    <definedName name="cattf_1_KPHV_51">Categorienormen!$H$20</definedName>
    <definedName name="cattf_1_KRHB_1">Categorienormen!$H$21</definedName>
    <definedName name="cattf_1_KRHV_51">Categorienormen!$H$22</definedName>
    <definedName name="cattf_1_LAHB_1">Categorienormen!$H$10</definedName>
    <definedName name="cattf_1_LAHV_51">Categorienormen!$H$11</definedName>
    <definedName name="cattf_1_MEHB_1">Categorienormen!$H$12</definedName>
    <definedName name="cattf_1_MEHV_12">Categorienormen!$H$13</definedName>
    <definedName name="cattf_1_MEHV_51">Categorienormen!$H$14</definedName>
    <definedName name="cattf_1_MEZB_1">Categorienormen!$H$15</definedName>
    <definedName name="cattf_1_MEZV_51">Categorienormen!$H$16</definedName>
    <definedName name="cattf_1_NMEHB_1">Categorienormen!$H$17</definedName>
    <definedName name="cattf_1_NMEHV_51">Categorienormen!$H$18</definedName>
    <definedName name="cattf_1_OAHB_1">Categorienormen!$H$23</definedName>
    <definedName name="cattf_1_OAHV_1">Categorienormen!$H$24</definedName>
    <definedName name="cattf_1_OAHV_51">Categorienormen!$H$25</definedName>
    <definedName name="cattf_1_SKHB_1">Categorienormen!$H$6</definedName>
    <definedName name="cattf_1_SKHV_51">Categorienormen!$H$7</definedName>
    <definedName name="cattf_1_STHB_1">Categorienormen!$H$8</definedName>
    <definedName name="cattf_1_STHV_51">Categorienormen!$H$9</definedName>
    <definedName name="cattf_1_VAHB_1">Categorienormen!$H$26</definedName>
    <definedName name="cattf_1_VAHV_51">Categorienormen!$H$27</definedName>
    <definedName name="cattf_1_VAZB_1">Categorienormen!$H$28</definedName>
    <definedName name="cattf_1_VAZV_51">Categorienormen!$H$29</definedName>
    <definedName name="cattf_1_VEHB_1">Categorienormen!$H$30</definedName>
    <definedName name="cattf_1_VEHV_51">Categorienormen!$H$31</definedName>
    <definedName name="cattf_1_VEZB_1">Categorienormen!$H$32</definedName>
    <definedName name="cattf_1_VEZV_51">Categorienormen!$H$33</definedName>
    <definedName name="cattf_1_VLHB_1">Categorienormen!$H$34</definedName>
    <definedName name="cattf_1_VLHV_51">Categorienormen!$H$35</definedName>
    <definedName name="cattf_1_VTHB_1">Categorienormen!$H$36</definedName>
    <definedName name="cattf_1_VTHV_12">Categorienormen!$H$38</definedName>
    <definedName name="cattf_1_VTHV_2">Categorienormen!$H$37</definedName>
    <definedName name="cattf_1_VTHV_51">Categorienormen!$H$39</definedName>
    <definedName name="cattf_1_VTZB_1">Categorienormen!$H$40</definedName>
    <definedName name="cattf_1_VTZV_51">Categorienormen!$H$41</definedName>
    <definedName name="cattf_1_WIHB_1">Categorienormen!$H$48</definedName>
    <definedName name="cattf_1_WIHV_51">Categorienormen!$H$49</definedName>
    <definedName name="cattf_2_XBKHB_1">Categorienormen!$H$65</definedName>
    <definedName name="cattf_2_XBVHB_1">Categorienormen!$H$66</definedName>
    <definedName name="cattf_2_XKPHB_1">Categorienormen!$H$58</definedName>
    <definedName name="cattf_2_XKRHB_1">Categorienormen!$H$59</definedName>
    <definedName name="cattf_2_XLAHB_1">Categorienormen!$H$54</definedName>
    <definedName name="cattf_2_XMEHB_1">Categorienormen!$H$55</definedName>
    <definedName name="cattf_2_XMEZB_1">Categorienormen!$H$56</definedName>
    <definedName name="cattf_2_XNMHB_1">Categorienormen!$H$57</definedName>
    <definedName name="cattf_2_XSKHB_1">Categorienormen!$H$52</definedName>
    <definedName name="cattf_2_XSTHB_1">Categorienormen!$H$53</definedName>
    <definedName name="cattf_2_XVAHB_1">Categorienormen!$H$60</definedName>
    <definedName name="cattf_2_XVEHB_1">Categorienormen!$H$61</definedName>
    <definedName name="cattf_2_XVEZB_1">Categorienormen!$H$62</definedName>
    <definedName name="cattf_2_XVLHB_1">Categorienormen!$H$63</definedName>
    <definedName name="cattf_2_XVTHB_1">Categorienormen!$H$64</definedName>
    <definedName name="cattf_2_XWINB_1">Categorienormen!$H$67</definedName>
    <definedName name="cattf_3_WKBHB_1">Categorienormen!$H$83</definedName>
    <definedName name="cattf_3_WKPHB_1">Categorienormen!$H$76</definedName>
    <definedName name="cattf_3_WKRHB_1">Categorienormen!$H$77</definedName>
    <definedName name="cattf_3_WLAHB_1">Categorienormen!$H$72</definedName>
    <definedName name="cattf_3_WMEHB_1">Categorienormen!$H$73</definedName>
    <definedName name="cattf_3_WMEZB_1">Categorienormen!$H$74</definedName>
    <definedName name="cattf_3_WNMHB_1">Categorienormen!$H$75</definedName>
    <definedName name="cattf_3_WSKHB_1">Categorienormen!$H$70</definedName>
    <definedName name="cattf_3_WSTHB_1">Categorienormen!$H$71</definedName>
    <definedName name="cattf_3_WVAHB_1">Categorienormen!$H$78</definedName>
    <definedName name="cattf_3_WVBHB_1">Categorienormen!$H$84</definedName>
    <definedName name="cattf_3_WVEHB_1">Categorienormen!$H$79</definedName>
    <definedName name="cattf_3_WVEZB_1">Categorienormen!$H$80</definedName>
    <definedName name="cattf_3_WVLHB_1">Categorienormen!$H$81</definedName>
    <definedName name="cattf_3_WVTHB_1">Categorienormen!$H$82</definedName>
    <definedName name="cattf_3_WWIHB_1">Categorienormen!$H$85</definedName>
    <definedName name="dagenperjaar1">Omreken!$B$9</definedName>
    <definedName name="dagenperweek1">Omreken!$B$10</definedName>
    <definedName name="dagsoorttabel1">Omreken!$A$13:$B$26</definedName>
    <definedName name="gemuurtarief1">'Regulier werk'!$I$51</definedName>
    <definedName name="gemuurtarief2">'Regulier werk'!$I$75</definedName>
    <definedName name="gemuurtarief3">'Regulier werk'!$I$99</definedName>
    <definedName name="kengetaltabel1">Objectinformatie!$G$5:$G$47</definedName>
    <definedName name="kengetaltabel2">Objectinformatie!$G$50:$G$67</definedName>
    <definedName name="kengetaltabel3">Objectinformatie!$G$70:$G$87</definedName>
    <definedName name="object1_gemuurtarief1">'Ruimten werkdag'!$O$161</definedName>
    <definedName name="object1_gemuurtarief2">'Ruimten feestdag'!$O$99</definedName>
    <definedName name="object1_gemuurtarief3">'Ruimten weekenddag'!$O$100</definedName>
    <definedName name="object1_opptabel1">Objectinformatie!$I$5:$I$47</definedName>
    <definedName name="object1_opptabel2">Objectinformatie!$I$50:$I$67</definedName>
    <definedName name="object1_opptabel3">Objectinformatie!$I$70:$I$87</definedName>
    <definedName name="object1_prijsdag1">'Ruimten werkdag'!$Q$161</definedName>
    <definedName name="object1_prijsdag2">'Ruimten feestdag'!$Q$99</definedName>
    <definedName name="object1_prijsdag3">'Ruimten weekenddag'!$Q$100</definedName>
    <definedName name="object1_prijsjaar1">'Ruimten werkdag'!$S$161</definedName>
    <definedName name="object1_prijsjaar2">'Ruimten feestdag'!$S$99</definedName>
    <definedName name="object1_prijsjaar3">'Ruimten weekenddag'!$S$100</definedName>
    <definedName name="object1_urendag1">'Ruimten werkdag'!$P$161</definedName>
    <definedName name="object1_urendag2">'Ruimten feestdag'!$P$99</definedName>
    <definedName name="object1_urendag3">'Ruimten weekenddag'!$P$100</definedName>
    <definedName name="object1_urenjaar1">'Ruimten werkdag'!$R$161</definedName>
    <definedName name="object1_urenjaar2">'Ruimten feestdag'!$R$99</definedName>
    <definedName name="object1_urenjaar3">'Ruimten weekenddag'!$R$100</definedName>
    <definedName name="object2_gemuurtarief1">'Ruimten werkdag'!$O$272</definedName>
    <definedName name="object2_gemuurtarief2">'Ruimten feestdag'!$O$128</definedName>
    <definedName name="object2_gemuurtarief3">'Ruimten weekenddag'!$O$129</definedName>
    <definedName name="object2_opptabel1">Objectinformatie!$J$5:$J$47</definedName>
    <definedName name="object2_opptabel2">Objectinformatie!$J$50:$J$67</definedName>
    <definedName name="object2_opptabel3">Objectinformatie!$J$70:$J$87</definedName>
    <definedName name="object2_prijsdag1">'Ruimten werkdag'!$Q$272</definedName>
    <definedName name="object2_prijsdag2">'Ruimten feestdag'!$Q$128</definedName>
    <definedName name="object2_prijsdag3">'Ruimten weekenddag'!$Q$129</definedName>
    <definedName name="object2_prijsjaar1">'Ruimten werkdag'!$S$272</definedName>
    <definedName name="object2_prijsjaar2">'Ruimten feestdag'!$S$128</definedName>
    <definedName name="object2_prijsjaar3">'Ruimten weekenddag'!$S$129</definedName>
    <definedName name="object2_urendag1">'Ruimten werkdag'!$P$272</definedName>
    <definedName name="object2_urendag2">'Ruimten feestdag'!$P$128</definedName>
    <definedName name="object2_urendag3">'Ruimten weekenddag'!$P$129</definedName>
    <definedName name="object2_urenjaar1">'Ruimten werkdag'!$R$272</definedName>
    <definedName name="object2_urenjaar2">'Ruimten feestdag'!$R$128</definedName>
    <definedName name="object2_urenjaar3">'Ruimten weekenddag'!$R$129</definedName>
    <definedName name="object3_gemuurtarief1">'Ruimten werkdag'!$O$333</definedName>
    <definedName name="object3_gemuurtarief2">'Ruimten feestdag'!$O$179</definedName>
    <definedName name="object3_gemuurtarief3">'Ruimten weekenddag'!$O$180</definedName>
    <definedName name="object3_opptabel1">Objectinformatie!$K$5:$K$47</definedName>
    <definedName name="object3_opptabel2">Objectinformatie!$K$50:$K$67</definedName>
    <definedName name="object3_opptabel3">Objectinformatie!$K$70:$K$87</definedName>
    <definedName name="object3_prijsdag1">'Ruimten werkdag'!$Q$333</definedName>
    <definedName name="object3_prijsdag2">'Ruimten feestdag'!$Q$179</definedName>
    <definedName name="object3_prijsdag3">'Ruimten weekenddag'!$Q$180</definedName>
    <definedName name="object3_prijsjaar1">'Ruimten werkdag'!$S$333</definedName>
    <definedName name="object3_prijsjaar2">'Ruimten feestdag'!$S$179</definedName>
    <definedName name="object3_prijsjaar3">'Ruimten weekenddag'!$S$180</definedName>
    <definedName name="object3_urendag1">'Ruimten werkdag'!$P$333</definedName>
    <definedName name="object3_urendag2">'Ruimten feestdag'!$P$179</definedName>
    <definedName name="object3_urendag3">'Ruimten weekenddag'!$P$180</definedName>
    <definedName name="object3_urenjaar1">'Ruimten werkdag'!$R$333</definedName>
    <definedName name="object3_urenjaar2">'Ruimten feestdag'!$R$179</definedName>
    <definedName name="object3_urenjaar3">'Ruimten weekenddag'!$R$180</definedName>
    <definedName name="object4_gemuurtarief1">'Ruimten werkdag'!$O$375</definedName>
    <definedName name="object4_gemuurtarief2">'Ruimten feestdag'!$O$207</definedName>
    <definedName name="object4_gemuurtarief3">'Ruimten weekenddag'!$O$208</definedName>
    <definedName name="object4_opptabel1">Objectinformatie!$L$5:$L$47</definedName>
    <definedName name="object4_opptabel2">Objectinformatie!$L$50:$L$67</definedName>
    <definedName name="object4_opptabel3">Objectinformatie!$L$70:$L$87</definedName>
    <definedName name="object4_prijsdag1">'Ruimten werkdag'!$Q$375</definedName>
    <definedName name="object4_prijsdag2">'Ruimten feestdag'!$Q$207</definedName>
    <definedName name="object4_prijsdag3">'Ruimten weekenddag'!$Q$208</definedName>
    <definedName name="object4_prijsjaar1">'Ruimten werkdag'!$S$375</definedName>
    <definedName name="object4_prijsjaar2">'Ruimten feestdag'!$S$207</definedName>
    <definedName name="object4_prijsjaar3">'Ruimten weekenddag'!$S$208</definedName>
    <definedName name="object4_urendag1">'Ruimten werkdag'!$P$375</definedName>
    <definedName name="object4_urendag2">'Ruimten feestdag'!$P$207</definedName>
    <definedName name="object4_urendag3">'Ruimten weekenddag'!$P$208</definedName>
    <definedName name="object4_urenjaar1">'Ruimten werkdag'!$R$375</definedName>
    <definedName name="object4_urenjaar2">'Ruimten feestdag'!$R$207</definedName>
    <definedName name="object4_urenjaar3">'Ruimten weekenddag'!$R$208</definedName>
    <definedName name="object5_gemuurtarief1">'Ruimten werkdag'!$O$392</definedName>
    <definedName name="object5_opptabel1">Objectinformatie!$M$5:$M$47</definedName>
    <definedName name="object5_opptabel2">Objectinformatie!$M$50:$M$67</definedName>
    <definedName name="object5_opptabel3">Objectinformatie!$M$70:$M$87</definedName>
    <definedName name="object5_prijsdag1">'Ruimten werkdag'!$Q$392</definedName>
    <definedName name="object5_prijsjaar1">'Ruimten werkdag'!$S$392</definedName>
    <definedName name="object5_urendag1">'Ruimten werkdag'!$P$392</definedName>
    <definedName name="object5_urenjaar1">'Ruimten werkdag'!$R$392</definedName>
    <definedName name="object6_gemuurtarief1">'Ruimten werkdag'!$O$416</definedName>
    <definedName name="object6_gemuurtarief2">'Ruimten feestdag'!$O$216</definedName>
    <definedName name="object6_gemuurtarief3">'Ruimten weekenddag'!$O$217</definedName>
    <definedName name="object6_opptabel1">Objectinformatie!$N$5:$N$47</definedName>
    <definedName name="object6_opptabel2">Objectinformatie!$N$50:$N$67</definedName>
    <definedName name="object6_opptabel3">Objectinformatie!$N$70:$N$87</definedName>
    <definedName name="object6_prijsdag1">'Ruimten werkdag'!$Q$416</definedName>
    <definedName name="object6_prijsdag2">'Ruimten feestdag'!$Q$216</definedName>
    <definedName name="object6_prijsdag3">'Ruimten weekenddag'!$Q$217</definedName>
    <definedName name="object6_prijsjaar1">'Ruimten werkdag'!$S$416</definedName>
    <definedName name="object6_prijsjaar2">'Ruimten feestdag'!$S$216</definedName>
    <definedName name="object6_prijsjaar3">'Ruimten weekenddag'!$S$217</definedName>
    <definedName name="object6_urendag1">'Ruimten werkdag'!$P$416</definedName>
    <definedName name="object6_urendag2">'Ruimten feestdag'!$P$216</definedName>
    <definedName name="object6_urendag3">'Ruimten weekenddag'!$P$217</definedName>
    <definedName name="object6_urenjaar1">'Ruimten werkdag'!$R$416</definedName>
    <definedName name="object6_urenjaar2">'Ruimten feestdag'!$R$216</definedName>
    <definedName name="object6_urenjaar3">'Ruimten weekenddag'!$R$217</definedName>
    <definedName name="objectprijs1_1">Objecten!$N$6</definedName>
    <definedName name="objectprijs1_2">Objecten!$N$16</definedName>
    <definedName name="objectprijs1_3">Objecten!$N$25</definedName>
    <definedName name="objectprijs2_1">Objecten!$N$7</definedName>
    <definedName name="objectprijs2_2">Objecten!$N$17</definedName>
    <definedName name="objectprijs2_3">Objecten!$N$26</definedName>
    <definedName name="objectprijs3_1">Objecten!$N$8</definedName>
    <definedName name="objectprijs3_2">Objecten!$N$18</definedName>
    <definedName name="objectprijs3_3">Objecten!$N$27</definedName>
    <definedName name="objectprijs4_1">Objecten!$N$9</definedName>
    <definedName name="objectprijs4_2">Objecten!$N$19</definedName>
    <definedName name="objectprijs4_3">Objecten!$N$28</definedName>
    <definedName name="objectprijs5_1">Objecten!$N$10</definedName>
    <definedName name="objectprijs6_1">Objecten!$N$11</definedName>
    <definedName name="objectprijs6_2">Objecten!$N$20</definedName>
    <definedName name="objectprijs6_3">Objecten!$N$29</definedName>
    <definedName name="objecturen1_1">Objecten!$M$6</definedName>
    <definedName name="objecturen1_2">Objecten!$M$16</definedName>
    <definedName name="objecturen1_3">Objecten!$M$25</definedName>
    <definedName name="objecturen2_1">Objecten!$M$7</definedName>
    <definedName name="objecturen2_2">Objecten!$M$17</definedName>
    <definedName name="objecturen2_3">Objecten!$M$26</definedName>
    <definedName name="objecturen3_1">Objecten!$M$8</definedName>
    <definedName name="objecturen3_2">Objecten!$M$18</definedName>
    <definedName name="objecturen3_3">Objecten!$M$27</definedName>
    <definedName name="objecturen4_1">Objecten!$M$9</definedName>
    <definedName name="objecturen4_2">Objecten!$M$19</definedName>
    <definedName name="objecturen4_3">Objecten!$M$28</definedName>
    <definedName name="objecturen5_1">Objecten!$M$10</definedName>
    <definedName name="objecturen6_1">Objecten!$M$11</definedName>
    <definedName name="objecturen6_2">Objecten!$M$20</definedName>
    <definedName name="objecturen6_3">Objecten!$M$29</definedName>
    <definedName name="prijsdag1">'Regulier werk'!$K$49</definedName>
    <definedName name="prijsdag2">'Regulier werk'!$K$73</definedName>
    <definedName name="prijsdag3">'Regulier werk'!$K$97</definedName>
    <definedName name="prijsjaar">'Regulier werk'!$M$102</definedName>
    <definedName name="prijsjaar1">'Regulier werk'!$M$49</definedName>
    <definedName name="prijsjaar2">'Regulier werk'!$M$73</definedName>
    <definedName name="prijsjaar3">'Regulier werk'!$M$97</definedName>
    <definedName name="prijsjaaradditioneel">'Additioneel werk'!$K$17</definedName>
    <definedName name="prijsjaaradditioneel1">'Additioneel werk'!$K$9</definedName>
    <definedName name="prijsjaaradditioneel3">'Additioneel werk'!$K$15</definedName>
    <definedName name="prijsjaarglas">Glas!$K$17</definedName>
    <definedName name="prijsjaarglas1">Glas!$K$15</definedName>
    <definedName name="prijsjaarregie">Regiewerk!$K$20</definedName>
    <definedName name="prijsjaarregie1">Regiewerk!$K$8</definedName>
    <definedName name="prijsjaarregie2">Regiewerk!$K$13</definedName>
    <definedName name="prijsjaarregie3">Regiewerk!$K$18</definedName>
    <definedName name="prijsjaartotaal">Objecten!$N$33</definedName>
    <definedName name="prijsjaartotaal1">Objecten!$N$12</definedName>
    <definedName name="prijsjaartotaal2">Objecten!$N$21</definedName>
    <definedName name="prijsjaartotaal3">Objecten!$N$30</definedName>
    <definedName name="prijsjaartotaaloverzicht">'Totaalblad Objecten'!$F$11</definedName>
    <definedName name="prijsmaandtotaal1">Objecten!$O$12</definedName>
    <definedName name="prijsmaandtotaal2">Objecten!$O$21</definedName>
    <definedName name="prijsmaandtotaal3">Objecten!$O$30</definedName>
    <definedName name="prodnorm0">Glas!$H$11</definedName>
    <definedName name="prodnorm1">Glas!$H$6</definedName>
    <definedName name="prodnorm10">'Additioneel werk per locatie'!$I$7</definedName>
    <definedName name="prodnorm11">'Additioneel werk per locatie'!$I$8</definedName>
    <definedName name="prodnorm12">'Regulier werk'!$G$48</definedName>
    <definedName name="prodnorm13">'Regulier werk'!$G$6</definedName>
    <definedName name="prodnorm14">'Regulier werk'!$G$7</definedName>
    <definedName name="prodnorm15">'Regulier werk'!$G$8</definedName>
    <definedName name="prodnorm16">'Regulier werk'!$G$9</definedName>
    <definedName name="prodnorm17">'Regulier werk'!$G$10</definedName>
    <definedName name="prodnorm18">'Regulier werk'!$G$11</definedName>
    <definedName name="prodnorm19">'Regulier werk'!$G$12</definedName>
    <definedName name="prodnorm2">Glas!$H$7</definedName>
    <definedName name="prodnorm20">'Regulier werk'!$G$13</definedName>
    <definedName name="prodnorm21">'Regulier werk'!$G$14</definedName>
    <definedName name="prodnorm22">'Regulier werk'!$G$15</definedName>
    <definedName name="prodnorm23">'Regulier werk'!$G$16</definedName>
    <definedName name="prodnorm24">'Regulier werk'!$G$17</definedName>
    <definedName name="prodnorm25">'Regulier werk'!$G$18</definedName>
    <definedName name="prodnorm26">'Regulier werk'!$G$19</definedName>
    <definedName name="prodnorm27">'Regulier werk'!$G$20</definedName>
    <definedName name="prodnorm28">'Regulier werk'!$G$21</definedName>
    <definedName name="prodnorm29">'Regulier werk'!$G$22</definedName>
    <definedName name="prodnorm3">Glas!$H$8</definedName>
    <definedName name="prodnorm30">'Regulier werk'!$G$23</definedName>
    <definedName name="prodnorm31">'Regulier werk'!$G$24</definedName>
    <definedName name="prodnorm32">'Regulier werk'!$G$25</definedName>
    <definedName name="prodnorm33">'Regulier werk'!$G$26</definedName>
    <definedName name="prodnorm34">'Regulier werk'!$G$27</definedName>
    <definedName name="prodnorm35">'Regulier werk'!$G$28</definedName>
    <definedName name="prodnorm36">'Regulier werk'!$G$29</definedName>
    <definedName name="prodnorm37">'Regulier werk'!$G$30</definedName>
    <definedName name="prodnorm38">'Regulier werk'!$G$31</definedName>
    <definedName name="prodnorm39">'Regulier werk'!$G$32</definedName>
    <definedName name="prodnorm4">Glas!$H$9</definedName>
    <definedName name="prodnorm40">'Regulier werk'!$G$33</definedName>
    <definedName name="prodnorm41">'Regulier werk'!$G$34</definedName>
    <definedName name="prodnorm42">'Regulier werk'!$G$35</definedName>
    <definedName name="prodnorm43">'Regulier werk'!$G$36</definedName>
    <definedName name="prodnorm44">'Regulier werk'!$G$37</definedName>
    <definedName name="prodnorm45">'Regulier werk'!$G$38</definedName>
    <definedName name="prodnorm46">'Regulier werk'!$G$39</definedName>
    <definedName name="prodnorm47">'Regulier werk'!$G$40</definedName>
    <definedName name="prodnorm48">'Regulier werk'!$G$41</definedName>
    <definedName name="prodnorm49">'Regulier werk'!$G$42</definedName>
    <definedName name="prodnorm5">Glas!$H$10</definedName>
    <definedName name="prodnorm50">'Regulier werk'!$G$43</definedName>
    <definedName name="prodnorm51">'Regulier werk'!$G$44</definedName>
    <definedName name="prodnorm52">'Regulier werk'!$G$45</definedName>
    <definedName name="prodnorm53">'Regulier werk'!$G$46</definedName>
    <definedName name="prodnorm54">'Regulier werk'!$G$47</definedName>
    <definedName name="prodnorm55">'Regulier werk'!$G$72</definedName>
    <definedName name="prodnorm56">'Regulier werk'!$G$55</definedName>
    <definedName name="prodnorm57">'Regulier werk'!$G$56</definedName>
    <definedName name="prodnorm58">'Regulier werk'!$G$57</definedName>
    <definedName name="prodnorm59">'Regulier werk'!$G$58</definedName>
    <definedName name="prodnorm6">Glas!$H$12</definedName>
    <definedName name="prodnorm60">'Regulier werk'!$G$59</definedName>
    <definedName name="prodnorm61">'Regulier werk'!$G$60</definedName>
    <definedName name="prodnorm62">'Regulier werk'!$G$61</definedName>
    <definedName name="prodnorm63">'Regulier werk'!$G$62</definedName>
    <definedName name="prodnorm64">'Regulier werk'!$G$63</definedName>
    <definedName name="prodnorm65">'Regulier werk'!$G$64</definedName>
    <definedName name="prodnorm66">'Regulier werk'!$G$65</definedName>
    <definedName name="prodnorm67">'Regulier werk'!$G$66</definedName>
    <definedName name="prodnorm68">'Regulier werk'!$G$67</definedName>
    <definedName name="prodnorm69">'Regulier werk'!$G$68</definedName>
    <definedName name="prodnorm7">Glas!$H$13</definedName>
    <definedName name="prodnorm70">'Regulier werk'!$G$69</definedName>
    <definedName name="prodnorm71">'Regulier werk'!$G$70</definedName>
    <definedName name="prodnorm72">'Regulier werk'!$G$71</definedName>
    <definedName name="prodnorm73">'Additioneel werk per locatie'!$I$9</definedName>
    <definedName name="prodnorm74">'Additioneel werk per locatie'!$I$10</definedName>
    <definedName name="prodnorm75">'Additioneel werk per locatie'!$I$11</definedName>
    <definedName name="prodnorm76">'Regulier werk'!$G$96</definedName>
    <definedName name="prodnorm77">'Regulier werk'!$G$79</definedName>
    <definedName name="prodnorm78">'Regulier werk'!$G$80</definedName>
    <definedName name="prodnorm79">'Regulier werk'!$G$81</definedName>
    <definedName name="prodnorm8">Glas!$H$14</definedName>
    <definedName name="prodnorm80">'Regulier werk'!$G$82</definedName>
    <definedName name="prodnorm81">'Regulier werk'!$G$83</definedName>
    <definedName name="prodnorm82">'Regulier werk'!$G$84</definedName>
    <definedName name="prodnorm83">'Regulier werk'!$G$85</definedName>
    <definedName name="prodnorm84">'Regulier werk'!$G$86</definedName>
    <definedName name="prodnorm85">'Regulier werk'!$G$87</definedName>
    <definedName name="prodnorm86">'Regulier werk'!$G$88</definedName>
    <definedName name="prodnorm87">'Regulier werk'!$G$89</definedName>
    <definedName name="prodnorm88">'Regulier werk'!$G$90</definedName>
    <definedName name="prodnorm89">'Regulier werk'!$G$91</definedName>
    <definedName name="prodnorm9">'Additioneel werk per locatie'!$I$6</definedName>
    <definedName name="prodnorm90">'Regulier werk'!$G$92</definedName>
    <definedName name="prodnorm91">'Regulier werk'!$G$93</definedName>
    <definedName name="prodnorm92">'Regulier werk'!$G$94</definedName>
    <definedName name="prodnorm93">'Regulier werk'!$G$95</definedName>
    <definedName name="taakfreqtabel1">Objectinformatie!$E$5:$E$47</definedName>
    <definedName name="taakfreqtabel2">Objectinformatie!$E$50:$E$67</definedName>
    <definedName name="taakfreqtabel3">Objectinformatie!$E$70:$E$87</definedName>
    <definedName name="tabeltype">Omreken!$B$5:$B$5</definedName>
    <definedName name="Tariefopbouw1">Tariefopbouw!$B$53</definedName>
    <definedName name="Tariefopbouw2">Tariefopbouw!$B$61</definedName>
    <definedName name="Tariefopbouw3">Tariefopbouw!$D$61</definedName>
    <definedName name="Tariefopbouw4">Tariefopbouw!$F$61</definedName>
    <definedName name="Tariefopbouw5">Tariefopbouw!$D$53</definedName>
    <definedName name="Tariefopbouw6">Tariefopbouw!$F$53</definedName>
    <definedName name="TariefOpbouwBasisloon1">Tariefopbouw!$B$9</definedName>
    <definedName name="TariefOpbouwBasisloon2">Tariefopbouw!$D$9</definedName>
    <definedName name="TariefOpbouwBasisloon3">Tariefopbouw!$F$9</definedName>
    <definedName name="TariefOpbouwBasisloon4">Tariefopbouw!$H$9</definedName>
    <definedName name="TariefOpbouwBasisloon5">Tariefopbouw!$J$9</definedName>
    <definedName name="TariefOpbouwBasisloon6">Tariefopbouw!$L$9</definedName>
    <definedName name="TariefOpbouwBasisloon7">Tariefopbouw!$N$9</definedName>
    <definedName name="TariefOpbouwBasisloon8">Tariefopbouw!$P$9</definedName>
    <definedName name="TariefOpbouwDirecteKosten1">Tariefopbouw!$B$26</definedName>
    <definedName name="TariefOpbouwDirecteKosten2">Tariefopbouw!$D$26</definedName>
    <definedName name="TariefOpbouwDirecteKosten3">Tariefopbouw!$F$26</definedName>
    <definedName name="TariefOpbouwDirecteKosten4">Tariefopbouw!$H$26</definedName>
    <definedName name="TariefOpbouwDirecteKosten5">Tariefopbouw!$J$26</definedName>
    <definedName name="TariefOpbouwDirecteKosten6">Tariefopbouw!$L$26</definedName>
    <definedName name="TariefOpbouwDirecteKosten7">Tariefopbouw!$N$26</definedName>
    <definedName name="TariefOpbouwDirecteKosten8">Tariefopbouw!$P$26</definedName>
    <definedName name="TariefOpbouwErvaring1">Tariefopbouw!$B$6</definedName>
    <definedName name="TariefOpbouwErvaring2">Tariefopbouw!$D$6</definedName>
    <definedName name="TariefOpbouwErvaring3">Tariefopbouw!$F$6</definedName>
    <definedName name="TariefOpbouwErvaring4">Tariefopbouw!$H$6</definedName>
    <definedName name="TariefOpbouwErvaring5">Tariefopbouw!$J$6</definedName>
    <definedName name="TariefOpbouwErvaring6">Tariefopbouw!$L$6</definedName>
    <definedName name="TariefOpbouwErvaring7">Tariefopbouw!$N$6</definedName>
    <definedName name="TariefOpbouwErvaring8">Tariefopbouw!$P$6</definedName>
    <definedName name="TariefOpbouwIndirecteKosten1">Tariefopbouw!$B$35</definedName>
    <definedName name="TariefOpbouwIndirecteKosten2">Tariefopbouw!$D$35</definedName>
    <definedName name="TariefOpbouwIndirecteKosten3">Tariefopbouw!$F$35</definedName>
    <definedName name="TariefOpbouwIndirecteKosten4">Tariefopbouw!$H$35</definedName>
    <definedName name="TariefOpbouwIndirecteKosten5">Tariefopbouw!$J$35</definedName>
    <definedName name="TariefOpbouwIndirecteKosten6">Tariefopbouw!$L$35</definedName>
    <definedName name="TariefOpbouwIndirecteKosten7">Tariefopbouw!$N$35</definedName>
    <definedName name="TariefOpbouwIndirecteKosten8">Tariefopbouw!$P$35</definedName>
    <definedName name="TariefOpbouwNaam1">Tariefopbouw!$B$5</definedName>
    <definedName name="TariefOpbouwNaam2">Tariefopbouw!$D$5</definedName>
    <definedName name="TariefOpbouwNaam3">Tariefopbouw!$F$5</definedName>
    <definedName name="TariefOpbouwNaam4">Tariefopbouw!$H$5</definedName>
    <definedName name="TariefOpbouwNaam5">Tariefopbouw!$J$5</definedName>
    <definedName name="TariefOpbouwNaam6">Tariefopbouw!$L$5</definedName>
    <definedName name="TariefOpbouwNaam7">Tariefopbouw!$N$5</definedName>
    <definedName name="TariefOpbouwNaam8">Tariefopbouw!$P$5</definedName>
    <definedName name="TariefOpbouwRisicoWinst1">Tariefopbouw!$C$37</definedName>
    <definedName name="TariefOpbouwRisicoWinst2">Tariefopbouw!$E$37</definedName>
    <definedName name="TariefOpbouwRisicoWinst3">Tariefopbouw!$G$37</definedName>
    <definedName name="TariefOpbouwRisicoWinst4">Tariefopbouw!$I$37</definedName>
    <definedName name="TariefOpbouwRisicoWinst5">Tariefopbouw!$K$37</definedName>
    <definedName name="TariefOpbouwRisicoWinst6">Tariefopbouw!$M$37</definedName>
    <definedName name="TariefOpbouwRisicoWinst7">Tariefopbouw!$O$37</definedName>
    <definedName name="TariefOpbouwRisicoWinst8">Tariefopbouw!$Q$37</definedName>
    <definedName name="TariefOpbouwRisicoWinstPercentage1">Tariefopbouw!$B$37</definedName>
    <definedName name="TariefOpbouwRisicoWinstPercentage2">Tariefopbouw!$D$37</definedName>
    <definedName name="TariefOpbouwRisicoWinstPercentage3">Tariefopbouw!$F$37</definedName>
    <definedName name="TariefOpbouwRisicoWinstPercentage4">Tariefopbouw!$H$37</definedName>
    <definedName name="TariefOpbouwRisicoWinstPercentage5">Tariefopbouw!$J$37</definedName>
    <definedName name="TariefOpbouwRisicoWinstPercentage6">Tariefopbouw!$L$37</definedName>
    <definedName name="TariefOpbouwRisicoWinstPercentage7">Tariefopbouw!$N$37</definedName>
    <definedName name="TariefOpbouwRisicoWinstPercentage8">Tariefopbouw!$P$37</definedName>
    <definedName name="TariefOpbouwTarief1">Tariefopbouw!$B$39</definedName>
    <definedName name="TariefOpbouwTarief1DN">Tariefopbouw!$C$41</definedName>
    <definedName name="TariefOpbouwTarief1W">Tariefopbouw!$C$42</definedName>
    <definedName name="TariefOpbouwTarief1X">Tariefopbouw!$C$43</definedName>
    <definedName name="TariefOpbouwTarief2">Tariefopbouw!$D$39</definedName>
    <definedName name="TariefOpbouwTarief2DN">Tariefopbouw!$E$41</definedName>
    <definedName name="TariefOpbouwTarief2W">Tariefopbouw!$E$42</definedName>
    <definedName name="TariefOpbouwTarief2X">Tariefopbouw!$E$43</definedName>
    <definedName name="TariefOpbouwTarief3">Tariefopbouw!$F$39</definedName>
    <definedName name="TariefOpbouwTarief3DN">Tariefopbouw!$G$41</definedName>
    <definedName name="TariefOpbouwTarief3W">Tariefopbouw!$G$42</definedName>
    <definedName name="TariefOpbouwTarief3X">Tariefopbouw!$G$43</definedName>
    <definedName name="TariefOpbouwTarief4">Tariefopbouw!$H$39</definedName>
    <definedName name="TariefOpbouwTarief4DN">Tariefopbouw!$I$41</definedName>
    <definedName name="TariefOpbouwTarief4W">Tariefopbouw!$I$42</definedName>
    <definedName name="TariefOpbouwTarief4X">Tariefopbouw!$I$43</definedName>
    <definedName name="TariefOpbouwTarief5">Tariefopbouw!$J$39</definedName>
    <definedName name="TariefOpbouwTarief5DN">Tariefopbouw!$K$41</definedName>
    <definedName name="TariefOpbouwTarief5W">Tariefopbouw!$K$42</definedName>
    <definedName name="TariefOpbouwTarief5X">Tariefopbouw!$K$43</definedName>
    <definedName name="TariefOpbouwTarief6">Tariefopbouw!$L$39</definedName>
    <definedName name="TariefOpbouwTarief6DN">Tariefopbouw!$M$41</definedName>
    <definedName name="TariefOpbouwTarief6W">Tariefopbouw!$M$42</definedName>
    <definedName name="TariefOpbouwTarief6X">Tariefopbouw!$M$43</definedName>
    <definedName name="TariefOpbouwTarief7">Tariefopbouw!$N$39</definedName>
    <definedName name="TariefOpbouwTarief7DN">Tariefopbouw!$O$41</definedName>
    <definedName name="TariefOpbouwTarief7W">Tariefopbouw!$O$42</definedName>
    <definedName name="TariefOpbouwTarief7X">Tariefopbouw!$O$43</definedName>
    <definedName name="TariefOpbouwTarief8">Tariefopbouw!$P$39</definedName>
    <definedName name="TariefOpbouwTarief8DN">Tariefopbouw!$Q$41</definedName>
    <definedName name="TariefOpbouwTarief8W">Tariefopbouw!$Q$42</definedName>
    <definedName name="TariefOpbouwTarief8X">Tariefopbouw!$Q$43</definedName>
    <definedName name="TariefOpbouwTotaalLoonkosten1">Tariefopbouw!$B$19</definedName>
    <definedName name="TariefOpbouwTotaalLoonkosten2">Tariefopbouw!$D$19</definedName>
    <definedName name="TariefOpbouwTotaalLoonkosten3">Tariefopbouw!$F$19</definedName>
    <definedName name="TariefOpbouwTotaalLoonkosten4">Tariefopbouw!$H$19</definedName>
    <definedName name="TariefOpbouwTotaalLoonkosten5">Tariefopbouw!$J$19</definedName>
    <definedName name="TariefOpbouwTotaalLoonkosten6">Tariefopbouw!$L$19</definedName>
    <definedName name="TariefOpbouwTotaalLoonkosten7">Tariefopbouw!$N$19</definedName>
    <definedName name="TariefOpbouwTotaalLoonkosten8">Tariefopbouw!$P$19</definedName>
    <definedName name="TariefOpbouwUurloon1">Tariefopbouw!$B$12</definedName>
    <definedName name="TariefOpbouwUurloon2">Tariefopbouw!$D$12</definedName>
    <definedName name="TariefOpbouwUurloon3">Tariefopbouw!$F$12</definedName>
    <definedName name="TariefOpbouwUurloon4">Tariefopbouw!$H$12</definedName>
    <definedName name="TariefOpbouwUurloon5">Tariefopbouw!$J$12</definedName>
    <definedName name="TariefOpbouwUurloon6">Tariefopbouw!$L$12</definedName>
    <definedName name="TariefOpbouwUurloon7">Tariefopbouw!$N$12</definedName>
    <definedName name="TariefOpbouwUurloon8">Tariefopbouw!$P$12</definedName>
    <definedName name="TariefOpbouwUurloonkosten1">Tariefopbouw!$B$14</definedName>
    <definedName name="TariefOpbouwUurloonkosten2">Tariefopbouw!$D$14</definedName>
    <definedName name="TariefOpbouwUurloonkosten3">Tariefopbouw!$F$14</definedName>
    <definedName name="TariefOpbouwUurloonkosten4">Tariefopbouw!$H$14</definedName>
    <definedName name="TariefOpbouwUurloonkosten5">Tariefopbouw!$J$14</definedName>
    <definedName name="TariefOpbouwUurloonkosten6">Tariefopbouw!$L$14</definedName>
    <definedName name="TariefOpbouwUurloonkosten7">Tariefopbouw!$N$14</definedName>
    <definedName name="TariefOpbouwUurloonkosten8">Tariefopbouw!$P$14</definedName>
    <definedName name="tarieftabel1">Objectinformatie!$H$5:$H$47</definedName>
    <definedName name="tarieftabel2">Objectinformatie!$H$50:$H$67</definedName>
    <definedName name="tarieftabel3">Objectinformatie!$H$70:$H$87</definedName>
    <definedName name="TariefUitvoering1">Tariefopbouw!$C$50</definedName>
    <definedName name="TariefUitvoering2">Tariefopbouw!$C$59</definedName>
    <definedName name="TariefUitvoering3">Tariefopbouw!$E$59</definedName>
    <definedName name="TariefUitvoering4">Tariefopbouw!$G$59</definedName>
    <definedName name="TariefUitvoering5">Tariefopbouw!$E$50</definedName>
    <definedName name="TariefUitvoering6">Tariefopbouw!$G$50</definedName>
    <definedName name="urendag1">'Regulier werk'!$J$49</definedName>
    <definedName name="urendag2">'Regulier werk'!$J$73</definedName>
    <definedName name="urendag3">'Regulier werk'!$J$97</definedName>
    <definedName name="urenjaar">'Regulier werk'!$L$102</definedName>
    <definedName name="urenjaar1">'Regulier werk'!$L$49</definedName>
    <definedName name="urenjaar2">'Regulier werk'!$L$73</definedName>
    <definedName name="urenjaar3">'Regulier werk'!$L$97</definedName>
    <definedName name="urenjaartotaal">Objecten!$M$33</definedName>
    <definedName name="urenjaartotaal1">Objecten!$M$12</definedName>
    <definedName name="urenjaartotaal2">Objecten!$M$21</definedName>
    <definedName name="urenjaartotaal3">Objecten!$M$30</definedName>
    <definedName name="urenjaartotaaloverzicht">'Totaalblad Objecten'!$E$11</definedName>
    <definedName name="uurfactortabel1">Objectinformatie!$F$5:$F$47</definedName>
    <definedName name="uurfactortabel2">Objectinformatie!$F$50:$F$67</definedName>
    <definedName name="uurfactortabel3">Objectinformatie!$F$70:$F$87</definedName>
    <definedName name="uurtarief0">Glas!$I$11</definedName>
    <definedName name="uurtarief1">Glas!$I$6</definedName>
    <definedName name="uurtarief10">'Additioneel werk per locatie'!$H$7</definedName>
    <definedName name="uurtarief11">'Additioneel werk per locatie'!$H$8</definedName>
    <definedName name="uurtarief12">'Regulier werk'!$I$48</definedName>
    <definedName name="uurtarief13">'Regulier werk'!$I$6</definedName>
    <definedName name="uurtarief14">'Regulier werk'!$I$7</definedName>
    <definedName name="uurtarief15">'Regulier werk'!$I$8</definedName>
    <definedName name="uurtarief16">'Regulier werk'!$I$9</definedName>
    <definedName name="uurtarief17">'Regulier werk'!$I$10</definedName>
    <definedName name="uurtarief18">'Regulier werk'!$I$11</definedName>
    <definedName name="uurtarief19">'Regulier werk'!$I$12</definedName>
    <definedName name="uurtarief2">Glas!$I$7</definedName>
    <definedName name="uurtarief20">'Regulier werk'!$I$13</definedName>
    <definedName name="uurtarief21">'Regulier werk'!$I$14</definedName>
    <definedName name="uurtarief22">'Regulier werk'!$I$15</definedName>
    <definedName name="uurtarief23">'Regulier werk'!$I$16</definedName>
    <definedName name="uurtarief24">'Regulier werk'!$I$17</definedName>
    <definedName name="uurtarief25">'Regulier werk'!$I$18</definedName>
    <definedName name="uurtarief26">'Regulier werk'!$I$19</definedName>
    <definedName name="uurtarief27">'Regulier werk'!$I$20</definedName>
    <definedName name="uurtarief28">'Regulier werk'!$I$21</definedName>
    <definedName name="uurtarief29">'Regulier werk'!$I$22</definedName>
    <definedName name="uurtarief3">Glas!$I$8</definedName>
    <definedName name="uurtarief30">'Regulier werk'!$I$23</definedName>
    <definedName name="uurtarief31">'Regulier werk'!$I$24</definedName>
    <definedName name="uurtarief32">'Regulier werk'!$I$25</definedName>
    <definedName name="uurtarief33">'Regulier werk'!$I$26</definedName>
    <definedName name="uurtarief34">'Regulier werk'!$I$27</definedName>
    <definedName name="uurtarief35">'Regulier werk'!$I$28</definedName>
    <definedName name="uurtarief36">'Regulier werk'!$I$29</definedName>
    <definedName name="uurtarief37">'Regulier werk'!$I$30</definedName>
    <definedName name="uurtarief38">'Regulier werk'!$I$31</definedName>
    <definedName name="uurtarief39">'Regulier werk'!$I$32</definedName>
    <definedName name="uurtarief4">Glas!$I$9</definedName>
    <definedName name="uurtarief40">'Regulier werk'!$I$33</definedName>
    <definedName name="uurtarief41">'Regulier werk'!$I$34</definedName>
    <definedName name="uurtarief42">'Regulier werk'!$I$35</definedName>
    <definedName name="uurtarief43">'Regulier werk'!$I$36</definedName>
    <definedName name="uurtarief44">'Regulier werk'!$I$37</definedName>
    <definedName name="uurtarief45">'Regulier werk'!$I$38</definedName>
    <definedName name="uurtarief46">'Regulier werk'!$I$39</definedName>
    <definedName name="uurtarief47">'Regulier werk'!$I$40</definedName>
    <definedName name="uurtarief48">'Regulier werk'!$I$41</definedName>
    <definedName name="uurtarief49">'Regulier werk'!$I$42</definedName>
    <definedName name="uurtarief5">Glas!$I$10</definedName>
    <definedName name="uurtarief50">'Regulier werk'!$I$43</definedName>
    <definedName name="uurtarief51">'Regulier werk'!$I$44</definedName>
    <definedName name="uurtarief52">'Regulier werk'!$I$45</definedName>
    <definedName name="uurtarief53">'Regulier werk'!$I$46</definedName>
    <definedName name="uurtarief54">'Regulier werk'!$I$47</definedName>
    <definedName name="uurtarief55">'Regulier werk'!$I$72</definedName>
    <definedName name="uurtarief56">'Regulier werk'!$I$55</definedName>
    <definedName name="uurtarief57">'Regulier werk'!$I$56</definedName>
    <definedName name="uurtarief58">'Regulier werk'!$I$57</definedName>
    <definedName name="uurtarief59">'Regulier werk'!$I$58</definedName>
    <definedName name="uurtarief6">Glas!$I$12</definedName>
    <definedName name="uurtarief60">'Regulier werk'!$I$59</definedName>
    <definedName name="uurtarief61">'Regulier werk'!$I$60</definedName>
    <definedName name="uurtarief62">'Regulier werk'!$I$61</definedName>
    <definedName name="uurtarief63">'Regulier werk'!$I$62</definedName>
    <definedName name="uurtarief64">'Regulier werk'!$I$63</definedName>
    <definedName name="uurtarief65">'Regulier werk'!$I$64</definedName>
    <definedName name="uurtarief66">'Regulier werk'!$I$65</definedName>
    <definedName name="uurtarief67">'Regulier werk'!$I$66</definedName>
    <definedName name="uurtarief68">'Regulier werk'!$I$67</definedName>
    <definedName name="uurtarief69">'Regulier werk'!$I$68</definedName>
    <definedName name="uurtarief7">Glas!$I$13</definedName>
    <definedName name="uurtarief70">'Regulier werk'!$I$69</definedName>
    <definedName name="uurtarief71">'Regulier werk'!$I$70</definedName>
    <definedName name="uurtarief72">'Regulier werk'!$I$71</definedName>
    <definedName name="uurtarief73">'Additioneel werk per locatie'!$H$9</definedName>
    <definedName name="uurtarief74">'Additioneel werk per locatie'!$H$10</definedName>
    <definedName name="uurtarief75">'Additioneel werk per locatie'!$H$11</definedName>
    <definedName name="uurtarief76">'Regulier werk'!$I$96</definedName>
    <definedName name="uurtarief77">'Regulier werk'!$I$79</definedName>
    <definedName name="uurtarief78">'Regulier werk'!$I$80</definedName>
    <definedName name="uurtarief79">'Regulier werk'!$I$81</definedName>
    <definedName name="uurtarief8">Glas!$I$14</definedName>
    <definedName name="uurtarief80">'Regulier werk'!$I$82</definedName>
    <definedName name="uurtarief81">'Regulier werk'!$I$83</definedName>
    <definedName name="uurtarief82">'Regulier werk'!$I$84</definedName>
    <definedName name="uurtarief83">'Regulier werk'!$I$85</definedName>
    <definedName name="uurtarief84">'Regulier werk'!$I$86</definedName>
    <definedName name="uurtarief85">'Regulier werk'!$I$87</definedName>
    <definedName name="uurtarief86">'Regulier werk'!$I$88</definedName>
    <definedName name="uurtarief87">'Regulier werk'!$I$89</definedName>
    <definedName name="uurtarief88">'Regulier werk'!$I$90</definedName>
    <definedName name="uurtarief89">'Regulier werk'!$I$91</definedName>
    <definedName name="uurtarief9">'Additioneel werk per locatie'!$H$6</definedName>
    <definedName name="uurtarief90">'Regulier werk'!$I$92</definedName>
    <definedName name="uurtarief91">'Regulier werk'!$I$93</definedName>
    <definedName name="uurtarief92">'Regulier werk'!$I$94</definedName>
    <definedName name="uurtarief93">'Regulier werk'!$I$95</definedName>
    <definedName name="vu_variant">Totaal!$B$9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6" l="1"/>
  <c r="J14" i="15"/>
  <c r="J13" i="15"/>
  <c r="J12" i="15"/>
  <c r="J11" i="15"/>
  <c r="J10" i="15"/>
  <c r="J9" i="15"/>
  <c r="J8" i="15"/>
  <c r="J7" i="15"/>
  <c r="J6" i="15"/>
  <c r="A1" i="15"/>
  <c r="A1" i="14"/>
  <c r="A1" i="13"/>
  <c r="I11" i="12"/>
  <c r="I10" i="12"/>
  <c r="I9" i="12"/>
  <c r="I8" i="12"/>
  <c r="I7" i="12"/>
  <c r="I6" i="12"/>
  <c r="A1" i="12"/>
  <c r="J14" i="11"/>
  <c r="J13" i="11"/>
  <c r="J12" i="11"/>
  <c r="J8" i="11"/>
  <c r="J7" i="11"/>
  <c r="J6" i="11"/>
  <c r="A1" i="11"/>
  <c r="A1" i="10"/>
  <c r="A1" i="9"/>
  <c r="G87" i="8"/>
  <c r="G67" i="8"/>
  <c r="G47" i="8"/>
  <c r="M102" i="7"/>
  <c r="P66" i="7"/>
  <c r="A1" i="7"/>
  <c r="M101" i="6"/>
  <c r="A1" i="6"/>
  <c r="M166" i="5"/>
  <c r="P90" i="5"/>
  <c r="A1" i="5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I47" i="4"/>
  <c r="G47" i="4"/>
  <c r="I46" i="4"/>
  <c r="G46" i="4"/>
  <c r="G45" i="4"/>
  <c r="I44" i="4"/>
  <c r="G44" i="4"/>
  <c r="I43" i="4"/>
  <c r="G43" i="4"/>
  <c r="G42" i="4"/>
  <c r="I41" i="4"/>
  <c r="G41" i="4"/>
  <c r="G40" i="4"/>
  <c r="I39" i="4"/>
  <c r="G39" i="4"/>
  <c r="I38" i="4"/>
  <c r="G38" i="4"/>
  <c r="I37" i="4"/>
  <c r="G37" i="4"/>
  <c r="I36" i="4"/>
  <c r="G36" i="4"/>
  <c r="I35" i="4"/>
  <c r="G35" i="4"/>
  <c r="G34" i="4"/>
  <c r="I33" i="4"/>
  <c r="G33" i="4"/>
  <c r="I32" i="4"/>
  <c r="G32" i="4"/>
  <c r="I31" i="4"/>
  <c r="G31" i="4"/>
  <c r="G30" i="4"/>
  <c r="I29" i="4"/>
  <c r="G29" i="4"/>
  <c r="I28" i="4"/>
  <c r="G28" i="4"/>
  <c r="G27" i="4"/>
  <c r="I26" i="4"/>
  <c r="G26" i="4"/>
  <c r="G25" i="4"/>
  <c r="I24" i="4"/>
  <c r="G24" i="4"/>
  <c r="G23" i="4"/>
  <c r="I22" i="4"/>
  <c r="G22" i="4"/>
  <c r="I21" i="4"/>
  <c r="G21" i="4"/>
  <c r="I20" i="4"/>
  <c r="G20" i="4"/>
  <c r="G19" i="4"/>
  <c r="I18" i="4"/>
  <c r="G18" i="4"/>
  <c r="I17" i="4"/>
  <c r="G17" i="4"/>
  <c r="I16" i="4"/>
  <c r="G16" i="4"/>
  <c r="I15" i="4"/>
  <c r="G15" i="4"/>
  <c r="I14" i="4"/>
  <c r="G14" i="4"/>
  <c r="G13" i="4"/>
  <c r="I12" i="4"/>
  <c r="G12" i="4"/>
  <c r="I11" i="4"/>
  <c r="G11" i="4"/>
  <c r="I10" i="4"/>
  <c r="G10" i="4"/>
  <c r="I9" i="4"/>
  <c r="G9" i="4"/>
  <c r="I8" i="4"/>
  <c r="G8" i="4"/>
  <c r="I7" i="4"/>
  <c r="G7" i="4"/>
  <c r="G6" i="4"/>
  <c r="A1" i="4"/>
  <c r="A1" i="3"/>
  <c r="A60" i="2"/>
  <c r="F59" i="2"/>
  <c r="D59" i="2"/>
  <c r="B59" i="2"/>
  <c r="A58" i="2"/>
  <c r="A57" i="2"/>
  <c r="A52" i="2"/>
  <c r="A51" i="2"/>
  <c r="F50" i="2"/>
  <c r="D50" i="2"/>
  <c r="B50" i="2"/>
  <c r="A49" i="2"/>
  <c r="A48" i="2"/>
  <c r="A47" i="2"/>
  <c r="P9" i="2"/>
  <c r="N9" i="2"/>
  <c r="L9" i="2"/>
  <c r="J9" i="2"/>
  <c r="H9" i="2"/>
  <c r="F9" i="2"/>
  <c r="D9" i="2"/>
  <c r="B9" i="2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E47" i="8" l="1"/>
  <c r="E45" i="8"/>
  <c r="E43" i="8"/>
  <c r="E38" i="8"/>
  <c r="E36" i="8"/>
  <c r="E34" i="8"/>
  <c r="E32" i="8"/>
  <c r="E28" i="8"/>
  <c r="E25" i="8"/>
  <c r="E21" i="8"/>
  <c r="E20" i="8"/>
  <c r="E17" i="8"/>
  <c r="E16" i="8"/>
  <c r="E14" i="8"/>
  <c r="E8" i="8"/>
  <c r="L361" i="5"/>
  <c r="L359" i="5"/>
  <c r="L352" i="5"/>
  <c r="L350" i="5"/>
  <c r="L348" i="5"/>
  <c r="L346" i="5"/>
  <c r="L344" i="5"/>
  <c r="L342" i="5"/>
  <c r="L332" i="5"/>
  <c r="L330" i="5"/>
  <c r="L329" i="5"/>
  <c r="L328" i="5"/>
  <c r="L325" i="5"/>
  <c r="L324" i="5"/>
  <c r="L323" i="5"/>
  <c r="L321" i="5"/>
  <c r="L320" i="5"/>
  <c r="L319" i="5"/>
  <c r="L318" i="5"/>
  <c r="L317" i="5"/>
  <c r="L315" i="5"/>
  <c r="L314" i="5"/>
  <c r="L313" i="5"/>
  <c r="L312" i="5"/>
  <c r="L311" i="5"/>
  <c r="L310" i="5"/>
  <c r="L309" i="5"/>
  <c r="L307" i="5"/>
  <c r="L305" i="5"/>
  <c r="L304" i="5"/>
  <c r="L302" i="5"/>
  <c r="L301" i="5"/>
  <c r="L299" i="5"/>
  <c r="L298" i="5"/>
  <c r="L297" i="5"/>
  <c r="L296" i="5"/>
  <c r="L294" i="5"/>
  <c r="L293" i="5"/>
  <c r="L292" i="5"/>
  <c r="L291" i="5"/>
  <c r="L290" i="5"/>
  <c r="L288" i="5"/>
  <c r="L286" i="5"/>
  <c r="L284" i="5"/>
  <c r="L282" i="5"/>
  <c r="L280" i="5"/>
  <c r="L278" i="5"/>
  <c r="L277" i="5"/>
  <c r="L271" i="5"/>
  <c r="L270" i="5"/>
  <c r="L269" i="5"/>
  <c r="L268" i="5"/>
  <c r="L267" i="5"/>
  <c r="L257" i="5"/>
  <c r="L255" i="5"/>
  <c r="L248" i="5"/>
  <c r="L247" i="5"/>
  <c r="L246" i="5"/>
  <c r="L245" i="5"/>
  <c r="L244" i="5"/>
  <c r="L240" i="5"/>
  <c r="L239" i="5"/>
  <c r="L236" i="5"/>
  <c r="L235" i="5"/>
  <c r="L234" i="5"/>
  <c r="L223" i="5"/>
  <c r="L222" i="5"/>
  <c r="L218" i="5"/>
  <c r="L217" i="5"/>
  <c r="L216" i="5"/>
  <c r="L213" i="5"/>
  <c r="L211" i="5"/>
  <c r="L209" i="5"/>
  <c r="L207" i="5"/>
  <c r="L205" i="5"/>
  <c r="L203" i="5"/>
  <c r="L201" i="5"/>
  <c r="L200" i="5"/>
  <c r="L199" i="5"/>
  <c r="L193" i="5"/>
  <c r="L192" i="5"/>
  <c r="L191" i="5"/>
  <c r="L188" i="5"/>
  <c r="L185" i="5"/>
  <c r="L184" i="5"/>
  <c r="L182" i="5"/>
  <c r="L181" i="5"/>
  <c r="L179" i="5"/>
  <c r="L178" i="5"/>
  <c r="L177" i="5"/>
  <c r="L175" i="5"/>
  <c r="L173" i="5"/>
  <c r="L172" i="5"/>
  <c r="L167" i="5"/>
  <c r="L166" i="5"/>
  <c r="P166" i="5" s="1"/>
  <c r="R166" i="5" s="1"/>
  <c r="L165" i="5"/>
  <c r="L164" i="5"/>
  <c r="L149" i="5"/>
  <c r="L144" i="5"/>
  <c r="L136" i="5"/>
  <c r="L135" i="5"/>
  <c r="L133" i="5"/>
  <c r="L128" i="5"/>
  <c r="L127" i="5"/>
  <c r="L126" i="5"/>
  <c r="L123" i="5"/>
  <c r="L80" i="5"/>
  <c r="L40" i="5"/>
  <c r="L35" i="5"/>
  <c r="L33" i="5"/>
  <c r="L23" i="5"/>
  <c r="L21" i="5"/>
  <c r="L19" i="5"/>
  <c r="L17" i="5"/>
  <c r="L15" i="5"/>
  <c r="L13" i="5"/>
  <c r="L11" i="5"/>
  <c r="L9" i="5"/>
  <c r="L7" i="5"/>
  <c r="F48" i="4"/>
  <c r="J48" i="4" s="1"/>
  <c r="L48" i="4" s="1"/>
  <c r="F46" i="4"/>
  <c r="F44" i="4"/>
  <c r="F39" i="4"/>
  <c r="F37" i="4"/>
  <c r="F35" i="4"/>
  <c r="F33" i="4"/>
  <c r="F29" i="4"/>
  <c r="F26" i="4"/>
  <c r="F22" i="4"/>
  <c r="F21" i="4"/>
  <c r="F18" i="4"/>
  <c r="F17" i="4"/>
  <c r="F15" i="4"/>
  <c r="F9" i="4"/>
  <c r="E46" i="8"/>
  <c r="E42" i="8"/>
  <c r="E37" i="8"/>
  <c r="E35" i="8"/>
  <c r="E31" i="8"/>
  <c r="E29" i="8"/>
  <c r="E27" i="8"/>
  <c r="E19" i="8"/>
  <c r="E15" i="8"/>
  <c r="E13" i="8"/>
  <c r="E11" i="8"/>
  <c r="E7" i="8"/>
  <c r="L415" i="5"/>
  <c r="L414" i="5"/>
  <c r="L413" i="5"/>
  <c r="L412" i="5"/>
  <c r="L411" i="5"/>
  <c r="L410" i="5"/>
  <c r="L409" i="5"/>
  <c r="L370" i="5"/>
  <c r="L369" i="5"/>
  <c r="L368" i="5"/>
  <c r="L367" i="5"/>
  <c r="L366" i="5"/>
  <c r="L365" i="5"/>
  <c r="L364" i="5"/>
  <c r="L362" i="5"/>
  <c r="L360" i="5"/>
  <c r="L358" i="5"/>
  <c r="L357" i="5"/>
  <c r="L356" i="5"/>
  <c r="L353" i="5"/>
  <c r="L351" i="5"/>
  <c r="L349" i="5"/>
  <c r="L347" i="5"/>
  <c r="L345" i="5"/>
  <c r="L343" i="5"/>
  <c r="L331" i="5"/>
  <c r="L308" i="5"/>
  <c r="L306" i="5"/>
  <c r="L295" i="5"/>
  <c r="L289" i="5"/>
  <c r="L287" i="5"/>
  <c r="L285" i="5"/>
  <c r="L283" i="5"/>
  <c r="L281" i="5"/>
  <c r="L279" i="5"/>
  <c r="L262" i="5"/>
  <c r="L261" i="5"/>
  <c r="L214" i="5"/>
  <c r="L212" i="5"/>
  <c r="L210" i="5"/>
  <c r="L208" i="5"/>
  <c r="L206" i="5"/>
  <c r="L204" i="5"/>
  <c r="L202" i="5"/>
  <c r="L183" i="5"/>
  <c r="L141" i="5"/>
  <c r="L138" i="5"/>
  <c r="L137" i="5"/>
  <c r="L132" i="5"/>
  <c r="L125" i="5"/>
  <c r="L124" i="5"/>
  <c r="L114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5" i="5"/>
  <c r="L91" i="5"/>
  <c r="L90" i="5"/>
  <c r="L81" i="5"/>
  <c r="L79" i="5"/>
  <c r="L78" i="5"/>
  <c r="L77" i="5"/>
  <c r="L76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4" i="5"/>
  <c r="L42" i="5"/>
  <c r="L41" i="5"/>
  <c r="L36" i="5"/>
  <c r="L34" i="5"/>
  <c r="L27" i="5"/>
  <c r="L24" i="5"/>
  <c r="L22" i="5"/>
  <c r="L20" i="5"/>
  <c r="L18" i="5"/>
  <c r="L16" i="5"/>
  <c r="L14" i="5"/>
  <c r="L12" i="5"/>
  <c r="L10" i="5"/>
  <c r="L8" i="5"/>
  <c r="L6" i="5"/>
  <c r="F47" i="4"/>
  <c r="F43" i="4"/>
  <c r="F38" i="4"/>
  <c r="F36" i="4"/>
  <c r="F32" i="4"/>
  <c r="F30" i="4"/>
  <c r="F28" i="4"/>
  <c r="F20" i="4"/>
  <c r="F16" i="4"/>
  <c r="F14" i="4"/>
  <c r="F12" i="4"/>
  <c r="F8" i="4"/>
  <c r="C8" i="12"/>
  <c r="C7" i="12"/>
  <c r="C6" i="12"/>
  <c r="C8" i="11"/>
  <c r="K8" i="11" s="1"/>
  <c r="L8" i="11" s="1"/>
  <c r="C7" i="11"/>
  <c r="K7" i="11" s="1"/>
  <c r="L7" i="11" s="1"/>
  <c r="C6" i="11"/>
  <c r="K6" i="11" s="1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10" i="8"/>
  <c r="E9" i="8"/>
  <c r="E6" i="8"/>
  <c r="L216" i="7"/>
  <c r="L215" i="7"/>
  <c r="L214" i="7"/>
  <c r="L213" i="7"/>
  <c r="L212" i="7"/>
  <c r="L211" i="7"/>
  <c r="L210" i="7"/>
  <c r="L207" i="7"/>
  <c r="L206" i="7"/>
  <c r="L205" i="7"/>
  <c r="L204" i="7"/>
  <c r="L203" i="7"/>
  <c r="L202" i="7"/>
  <c r="L201" i="7"/>
  <c r="L200" i="7"/>
  <c r="L199" i="7"/>
  <c r="L198" i="7"/>
  <c r="L197" i="7"/>
  <c r="L196" i="7"/>
  <c r="L195" i="7"/>
  <c r="L194" i="7"/>
  <c r="L193" i="7"/>
  <c r="L192" i="7"/>
  <c r="L191" i="7"/>
  <c r="L190" i="7"/>
  <c r="L189" i="7"/>
  <c r="L188" i="7"/>
  <c r="L187" i="7"/>
  <c r="L186" i="7"/>
  <c r="L185" i="7"/>
  <c r="L184" i="7"/>
  <c r="L183" i="7"/>
  <c r="L182" i="7"/>
  <c r="L179" i="7"/>
  <c r="L178" i="7"/>
  <c r="L177" i="7"/>
  <c r="L176" i="7"/>
  <c r="L175" i="7"/>
  <c r="L174" i="7"/>
  <c r="L173" i="7"/>
  <c r="L172" i="7"/>
  <c r="L171" i="7"/>
  <c r="L170" i="7"/>
  <c r="L169" i="7"/>
  <c r="L168" i="7"/>
  <c r="L167" i="7"/>
  <c r="L166" i="7"/>
  <c r="L165" i="7"/>
  <c r="L164" i="7"/>
  <c r="L163" i="7"/>
  <c r="L162" i="7"/>
  <c r="L161" i="7"/>
  <c r="L160" i="7"/>
  <c r="L159" i="7"/>
  <c r="L158" i="7"/>
  <c r="L157" i="7"/>
  <c r="L156" i="7"/>
  <c r="L155" i="7"/>
  <c r="L154" i="7"/>
  <c r="L153" i="7"/>
  <c r="L152" i="7"/>
  <c r="L151" i="7"/>
  <c r="L150" i="7"/>
  <c r="L149" i="7"/>
  <c r="L148" i="7"/>
  <c r="L147" i="7"/>
  <c r="L146" i="7"/>
  <c r="L145" i="7"/>
  <c r="L144" i="7"/>
  <c r="L143" i="7"/>
  <c r="L142" i="7"/>
  <c r="L141" i="7"/>
  <c r="L140" i="7"/>
  <c r="L139" i="7"/>
  <c r="L138" i="7"/>
  <c r="L137" i="7"/>
  <c r="L136" i="7"/>
  <c r="L135" i="7"/>
  <c r="L134" i="7"/>
  <c r="L133" i="7"/>
  <c r="L132" i="7"/>
  <c r="L131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P102" i="7" s="1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260" i="5"/>
  <c r="L259" i="5"/>
  <c r="L256" i="5"/>
  <c r="L254" i="5"/>
  <c r="L253" i="5"/>
  <c r="L252" i="5"/>
  <c r="L251" i="5"/>
  <c r="L250" i="5"/>
  <c r="L249" i="5"/>
  <c r="L243" i="5"/>
  <c r="L242" i="5"/>
  <c r="L241" i="5"/>
  <c r="L231" i="5"/>
  <c r="L230" i="5"/>
  <c r="L229" i="5"/>
  <c r="L228" i="5"/>
  <c r="L227" i="5"/>
  <c r="L226" i="5"/>
  <c r="L225" i="5"/>
  <c r="L224" i="5"/>
  <c r="L221" i="5"/>
  <c r="L220" i="5"/>
  <c r="L219" i="5"/>
  <c r="L198" i="5"/>
  <c r="L197" i="5"/>
  <c r="L196" i="5"/>
  <c r="L195" i="5"/>
  <c r="L194" i="5"/>
  <c r="L190" i="5"/>
  <c r="L189" i="5"/>
  <c r="L170" i="5"/>
  <c r="L74" i="5"/>
  <c r="F96" i="4"/>
  <c r="J96" i="4" s="1"/>
  <c r="L96" i="4" s="1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11" i="4"/>
  <c r="F10" i="4"/>
  <c r="F7" i="4"/>
  <c r="E40" i="8"/>
  <c r="E30" i="8"/>
  <c r="E23" i="8"/>
  <c r="L326" i="5"/>
  <c r="L322" i="5"/>
  <c r="L316" i="5"/>
  <c r="L238" i="5"/>
  <c r="L237" i="5"/>
  <c r="L115" i="5"/>
  <c r="L92" i="5"/>
  <c r="F41" i="4"/>
  <c r="F31" i="4"/>
  <c r="F24" i="4"/>
  <c r="E41" i="8"/>
  <c r="E33" i="8"/>
  <c r="E26" i="8"/>
  <c r="E12" i="8"/>
  <c r="E5" i="8"/>
  <c r="L383" i="5"/>
  <c r="L382" i="5"/>
  <c r="L381" i="5"/>
  <c r="L380" i="5"/>
  <c r="L379" i="5"/>
  <c r="L378" i="5"/>
  <c r="L377" i="5"/>
  <c r="F42" i="4"/>
  <c r="F34" i="4"/>
  <c r="F27" i="4"/>
  <c r="F13" i="4"/>
  <c r="F6" i="4"/>
  <c r="E39" i="8"/>
  <c r="E18" i="8"/>
  <c r="L116" i="5"/>
  <c r="L94" i="5"/>
  <c r="F40" i="4"/>
  <c r="F19" i="4"/>
  <c r="E44" i="8"/>
  <c r="E24" i="8"/>
  <c r="L266" i="5"/>
  <c r="L265" i="5"/>
  <c r="L264" i="5"/>
  <c r="L263" i="5"/>
  <c r="F45" i="4"/>
  <c r="F25" i="4"/>
  <c r="C11" i="12"/>
  <c r="C10" i="12"/>
  <c r="C9" i="12"/>
  <c r="C14" i="11"/>
  <c r="K14" i="11" s="1"/>
  <c r="L14" i="11" s="1"/>
  <c r="C13" i="11"/>
  <c r="K13" i="11" s="1"/>
  <c r="L13" i="11" s="1"/>
  <c r="C12" i="11"/>
  <c r="K12" i="11" s="1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L215" i="6"/>
  <c r="L214" i="6"/>
  <c r="L213" i="6"/>
  <c r="L212" i="6"/>
  <c r="L211" i="6"/>
  <c r="L210" i="6"/>
  <c r="L209" i="6"/>
  <c r="L206" i="6"/>
  <c r="L205" i="6"/>
  <c r="L204" i="6"/>
  <c r="L203" i="6"/>
  <c r="L202" i="6"/>
  <c r="L201" i="6"/>
  <c r="L200" i="6"/>
  <c r="L199" i="6"/>
  <c r="L198" i="6"/>
  <c r="L197" i="6"/>
  <c r="L196" i="6"/>
  <c r="L195" i="6"/>
  <c r="L194" i="6"/>
  <c r="L193" i="6"/>
  <c r="L192" i="6"/>
  <c r="L191" i="6"/>
  <c r="L190" i="6"/>
  <c r="L189" i="6"/>
  <c r="L188" i="6"/>
  <c r="L187" i="6"/>
  <c r="L186" i="6"/>
  <c r="L185" i="6"/>
  <c r="L184" i="6"/>
  <c r="L183" i="6"/>
  <c r="L182" i="6"/>
  <c r="L181" i="6"/>
  <c r="L178" i="6"/>
  <c r="L177" i="6"/>
  <c r="L176" i="6"/>
  <c r="L175" i="6"/>
  <c r="L174" i="6"/>
  <c r="L173" i="6"/>
  <c r="L172" i="6"/>
  <c r="L171" i="6"/>
  <c r="L170" i="6"/>
  <c r="L169" i="6"/>
  <c r="L168" i="6"/>
  <c r="L167" i="6"/>
  <c r="L166" i="6"/>
  <c r="L165" i="6"/>
  <c r="L164" i="6"/>
  <c r="L163" i="6"/>
  <c r="L162" i="6"/>
  <c r="L161" i="6"/>
  <c r="L160" i="6"/>
  <c r="L159" i="6"/>
  <c r="L158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P101" i="6" s="1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F72" i="4"/>
  <c r="J72" i="4" s="1"/>
  <c r="L72" i="4" s="1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C14" i="15"/>
  <c r="K14" i="15" s="1"/>
  <c r="L14" i="15" s="1"/>
  <c r="C13" i="15"/>
  <c r="K13" i="15" s="1"/>
  <c r="L13" i="15" s="1"/>
  <c r="C12" i="15"/>
  <c r="K12" i="15" s="1"/>
  <c r="L12" i="15" s="1"/>
  <c r="C11" i="15"/>
  <c r="K11" i="15" s="1"/>
  <c r="L11" i="15" s="1"/>
  <c r="C10" i="15"/>
  <c r="K10" i="15" s="1"/>
  <c r="L10" i="15" s="1"/>
  <c r="C9" i="15"/>
  <c r="K9" i="15" s="1"/>
  <c r="L9" i="15" s="1"/>
  <c r="C8" i="15"/>
  <c r="K8" i="15" s="1"/>
  <c r="L8" i="15" s="1"/>
  <c r="C7" i="15"/>
  <c r="K7" i="15" s="1"/>
  <c r="L7" i="15" s="1"/>
  <c r="C6" i="15"/>
  <c r="K6" i="15" s="1"/>
  <c r="C17" i="14"/>
  <c r="C16" i="14"/>
  <c r="C12" i="14"/>
  <c r="C11" i="14"/>
  <c r="C7" i="14"/>
  <c r="C6" i="14"/>
  <c r="E22" i="8"/>
  <c r="L39" i="5"/>
  <c r="L38" i="5"/>
  <c r="F23" i="4"/>
  <c r="C11" i="2"/>
  <c r="C10" i="2"/>
  <c r="B12" i="2" s="1"/>
  <c r="E11" i="2"/>
  <c r="E10" i="2"/>
  <c r="D12" i="2" s="1"/>
  <c r="G11" i="2"/>
  <c r="G10" i="2"/>
  <c r="F12" i="2" s="1"/>
  <c r="I11" i="2"/>
  <c r="I10" i="2"/>
  <c r="H12" i="2" s="1"/>
  <c r="K11" i="2"/>
  <c r="K10" i="2"/>
  <c r="J12" i="2" s="1"/>
  <c r="M11" i="2"/>
  <c r="M10" i="2"/>
  <c r="L12" i="2" s="1"/>
  <c r="O11" i="2"/>
  <c r="O10" i="2"/>
  <c r="N12" i="2" s="1"/>
  <c r="Q11" i="2"/>
  <c r="Q10" i="2"/>
  <c r="P12" i="2" s="1"/>
  <c r="G5" i="8"/>
  <c r="M381" i="5"/>
  <c r="P381" i="5" s="1"/>
  <c r="R381" i="5" s="1"/>
  <c r="J6" i="4"/>
  <c r="G6" i="8"/>
  <c r="M260" i="5"/>
  <c r="P260" i="5" s="1"/>
  <c r="R260" i="5" s="1"/>
  <c r="M259" i="5"/>
  <c r="P259" i="5" s="1"/>
  <c r="R259" i="5" s="1"/>
  <c r="M256" i="5"/>
  <c r="P256" i="5" s="1"/>
  <c r="R256" i="5" s="1"/>
  <c r="M170" i="5"/>
  <c r="P170" i="5" s="1"/>
  <c r="R170" i="5" s="1"/>
  <c r="J7" i="4"/>
  <c r="L7" i="4" s="1"/>
  <c r="M7" i="4" s="1"/>
  <c r="H6" i="8"/>
  <c r="O260" i="5"/>
  <c r="Q260" i="5" s="1"/>
  <c r="O259" i="5"/>
  <c r="Q259" i="5" s="1"/>
  <c r="O256" i="5"/>
  <c r="Q256" i="5" s="1"/>
  <c r="O170" i="5"/>
  <c r="Q170" i="5" s="1"/>
  <c r="K7" i="4"/>
  <c r="G7" i="8"/>
  <c r="M409" i="5"/>
  <c r="P409" i="5" s="1"/>
  <c r="J8" i="4"/>
  <c r="L8" i="4" s="1"/>
  <c r="M8" i="4" s="1"/>
  <c r="H7" i="8"/>
  <c r="O409" i="5"/>
  <c r="Q409" i="5" s="1"/>
  <c r="Q416" i="5" s="1"/>
  <c r="K8" i="4"/>
  <c r="G8" i="8"/>
  <c r="M269" i="5"/>
  <c r="P269" i="5" s="1"/>
  <c r="R269" i="5" s="1"/>
  <c r="M193" i="5"/>
  <c r="P193" i="5" s="1"/>
  <c r="R193" i="5" s="1"/>
  <c r="J9" i="4"/>
  <c r="L9" i="4" s="1"/>
  <c r="M9" i="4" s="1"/>
  <c r="H8" i="8"/>
  <c r="O269" i="5"/>
  <c r="Q269" i="5" s="1"/>
  <c r="O193" i="5"/>
  <c r="Q193" i="5" s="1"/>
  <c r="K9" i="4"/>
  <c r="G9" i="8"/>
  <c r="M254" i="5"/>
  <c r="P254" i="5" s="1"/>
  <c r="R254" i="5" s="1"/>
  <c r="M253" i="5"/>
  <c r="P253" i="5" s="1"/>
  <c r="R253" i="5" s="1"/>
  <c r="M252" i="5"/>
  <c r="P252" i="5" s="1"/>
  <c r="R252" i="5" s="1"/>
  <c r="M251" i="5"/>
  <c r="P251" i="5" s="1"/>
  <c r="R251" i="5" s="1"/>
  <c r="M250" i="5"/>
  <c r="P250" i="5" s="1"/>
  <c r="R250" i="5" s="1"/>
  <c r="M249" i="5"/>
  <c r="P249" i="5" s="1"/>
  <c r="R249" i="5" s="1"/>
  <c r="M243" i="5"/>
  <c r="P243" i="5" s="1"/>
  <c r="R243" i="5" s="1"/>
  <c r="M242" i="5"/>
  <c r="P242" i="5" s="1"/>
  <c r="R242" i="5" s="1"/>
  <c r="M241" i="5"/>
  <c r="P241" i="5" s="1"/>
  <c r="R241" i="5" s="1"/>
  <c r="M231" i="5"/>
  <c r="P231" i="5" s="1"/>
  <c r="R231" i="5" s="1"/>
  <c r="M230" i="5"/>
  <c r="P230" i="5" s="1"/>
  <c r="R230" i="5" s="1"/>
  <c r="M229" i="5"/>
  <c r="P229" i="5" s="1"/>
  <c r="R229" i="5" s="1"/>
  <c r="M228" i="5"/>
  <c r="P228" i="5" s="1"/>
  <c r="R228" i="5" s="1"/>
  <c r="M227" i="5"/>
  <c r="P227" i="5" s="1"/>
  <c r="R227" i="5" s="1"/>
  <c r="M226" i="5"/>
  <c r="P226" i="5" s="1"/>
  <c r="R226" i="5" s="1"/>
  <c r="M225" i="5"/>
  <c r="P225" i="5" s="1"/>
  <c r="R225" i="5" s="1"/>
  <c r="M224" i="5"/>
  <c r="P224" i="5" s="1"/>
  <c r="R224" i="5" s="1"/>
  <c r="M221" i="5"/>
  <c r="P221" i="5" s="1"/>
  <c r="R221" i="5" s="1"/>
  <c r="M220" i="5"/>
  <c r="P220" i="5" s="1"/>
  <c r="R220" i="5" s="1"/>
  <c r="M219" i="5"/>
  <c r="P219" i="5" s="1"/>
  <c r="R219" i="5" s="1"/>
  <c r="M198" i="5"/>
  <c r="P198" i="5" s="1"/>
  <c r="R198" i="5" s="1"/>
  <c r="M197" i="5"/>
  <c r="P197" i="5" s="1"/>
  <c r="R197" i="5" s="1"/>
  <c r="M196" i="5"/>
  <c r="P196" i="5" s="1"/>
  <c r="R196" i="5" s="1"/>
  <c r="M195" i="5"/>
  <c r="P195" i="5" s="1"/>
  <c r="R195" i="5" s="1"/>
  <c r="M194" i="5"/>
  <c r="P194" i="5" s="1"/>
  <c r="R194" i="5" s="1"/>
  <c r="M190" i="5"/>
  <c r="P190" i="5" s="1"/>
  <c r="R190" i="5" s="1"/>
  <c r="M189" i="5"/>
  <c r="P189" i="5" s="1"/>
  <c r="R189" i="5" s="1"/>
  <c r="J10" i="4"/>
  <c r="L10" i="4" s="1"/>
  <c r="M10" i="4" s="1"/>
  <c r="H9" i="8"/>
  <c r="O254" i="5"/>
  <c r="Q254" i="5" s="1"/>
  <c r="O253" i="5"/>
  <c r="Q253" i="5" s="1"/>
  <c r="O252" i="5"/>
  <c r="Q252" i="5" s="1"/>
  <c r="O251" i="5"/>
  <c r="Q251" i="5" s="1"/>
  <c r="O250" i="5"/>
  <c r="Q250" i="5" s="1"/>
  <c r="O249" i="5"/>
  <c r="Q249" i="5" s="1"/>
  <c r="O243" i="5"/>
  <c r="Q243" i="5" s="1"/>
  <c r="O242" i="5"/>
  <c r="Q242" i="5" s="1"/>
  <c r="O241" i="5"/>
  <c r="Q241" i="5" s="1"/>
  <c r="O231" i="5"/>
  <c r="Q231" i="5" s="1"/>
  <c r="O230" i="5"/>
  <c r="Q230" i="5" s="1"/>
  <c r="O229" i="5"/>
  <c r="Q229" i="5" s="1"/>
  <c r="O228" i="5"/>
  <c r="Q228" i="5" s="1"/>
  <c r="O227" i="5"/>
  <c r="Q227" i="5" s="1"/>
  <c r="O226" i="5"/>
  <c r="Q226" i="5" s="1"/>
  <c r="O225" i="5"/>
  <c r="Q225" i="5" s="1"/>
  <c r="O224" i="5"/>
  <c r="Q224" i="5" s="1"/>
  <c r="O221" i="5"/>
  <c r="Q221" i="5" s="1"/>
  <c r="O220" i="5"/>
  <c r="Q220" i="5" s="1"/>
  <c r="O219" i="5"/>
  <c r="Q219" i="5" s="1"/>
  <c r="O198" i="5"/>
  <c r="Q198" i="5" s="1"/>
  <c r="O197" i="5"/>
  <c r="Q197" i="5" s="1"/>
  <c r="O196" i="5"/>
  <c r="Q196" i="5" s="1"/>
  <c r="O195" i="5"/>
  <c r="Q195" i="5" s="1"/>
  <c r="O194" i="5"/>
  <c r="Q194" i="5" s="1"/>
  <c r="O190" i="5"/>
  <c r="Q190" i="5" s="1"/>
  <c r="O189" i="5"/>
  <c r="Q189" i="5" s="1"/>
  <c r="K10" i="4"/>
  <c r="G10" i="8"/>
  <c r="M74" i="5"/>
  <c r="P74" i="5" s="1"/>
  <c r="R74" i="5" s="1"/>
  <c r="J11" i="4"/>
  <c r="L11" i="4" s="1"/>
  <c r="M11" i="4" s="1"/>
  <c r="H10" i="8"/>
  <c r="O74" i="5"/>
  <c r="Q74" i="5" s="1"/>
  <c r="K11" i="4"/>
  <c r="G11" i="8"/>
  <c r="M414" i="5"/>
  <c r="P414" i="5" s="1"/>
  <c r="R414" i="5" s="1"/>
  <c r="J12" i="4"/>
  <c r="L12" i="4" s="1"/>
  <c r="M12" i="4" s="1"/>
  <c r="H11" i="8"/>
  <c r="O414" i="5"/>
  <c r="Q414" i="5" s="1"/>
  <c r="K12" i="4"/>
  <c r="G12" i="8"/>
  <c r="M382" i="5"/>
  <c r="P382" i="5" s="1"/>
  <c r="R382" i="5" s="1"/>
  <c r="J13" i="4"/>
  <c r="L13" i="4" s="1"/>
  <c r="G13" i="8"/>
  <c r="M413" i="5"/>
  <c r="P413" i="5" s="1"/>
  <c r="R413" i="5" s="1"/>
  <c r="J14" i="4"/>
  <c r="L14" i="4" s="1"/>
  <c r="M14" i="4" s="1"/>
  <c r="H13" i="8"/>
  <c r="O413" i="5"/>
  <c r="Q413" i="5" s="1"/>
  <c r="K14" i="4"/>
  <c r="G14" i="8"/>
  <c r="M318" i="5"/>
  <c r="P318" i="5" s="1"/>
  <c r="R318" i="5" s="1"/>
  <c r="M312" i="5"/>
  <c r="P312" i="5" s="1"/>
  <c r="R312" i="5" s="1"/>
  <c r="M268" i="5"/>
  <c r="P268" i="5" s="1"/>
  <c r="R268" i="5" s="1"/>
  <c r="J15" i="4"/>
  <c r="L15" i="4" s="1"/>
  <c r="M15" i="4" s="1"/>
  <c r="H14" i="8"/>
  <c r="O318" i="5"/>
  <c r="Q318" i="5" s="1"/>
  <c r="O312" i="5"/>
  <c r="Q312" i="5" s="1"/>
  <c r="O268" i="5"/>
  <c r="Q268" i="5" s="1"/>
  <c r="K15" i="4"/>
  <c r="G15" i="8"/>
  <c r="M367" i="5"/>
  <c r="P367" i="5" s="1"/>
  <c r="R367" i="5" s="1"/>
  <c r="J16" i="4"/>
  <c r="L16" i="4" s="1"/>
  <c r="M16" i="4" s="1"/>
  <c r="H15" i="8"/>
  <c r="O367" i="5"/>
  <c r="Q367" i="5" s="1"/>
  <c r="K16" i="4"/>
  <c r="G16" i="8"/>
  <c r="M319" i="5"/>
  <c r="P319" i="5" s="1"/>
  <c r="R319" i="5" s="1"/>
  <c r="M167" i="5"/>
  <c r="P167" i="5" s="1"/>
  <c r="R167" i="5" s="1"/>
  <c r="J17" i="4"/>
  <c r="L17" i="4" s="1"/>
  <c r="M17" i="4" s="1"/>
  <c r="H16" i="8"/>
  <c r="O319" i="5"/>
  <c r="Q319" i="5" s="1"/>
  <c r="O167" i="5"/>
  <c r="Q167" i="5" s="1"/>
  <c r="K17" i="4"/>
  <c r="G17" i="8"/>
  <c r="M325" i="5"/>
  <c r="P325" i="5" s="1"/>
  <c r="R325" i="5" s="1"/>
  <c r="M216" i="5"/>
  <c r="P216" i="5" s="1"/>
  <c r="R216" i="5" s="1"/>
  <c r="J18" i="4"/>
  <c r="L18" i="4" s="1"/>
  <c r="M18" i="4" s="1"/>
  <c r="H17" i="8"/>
  <c r="O325" i="5"/>
  <c r="Q325" i="5" s="1"/>
  <c r="O216" i="5"/>
  <c r="Q216" i="5" s="1"/>
  <c r="K18" i="4"/>
  <c r="G18" i="8"/>
  <c r="M94" i="5"/>
  <c r="P94" i="5" s="1"/>
  <c r="R94" i="5" s="1"/>
  <c r="J19" i="4"/>
  <c r="L19" i="4" s="1"/>
  <c r="G19" i="8"/>
  <c r="M114" i="5"/>
  <c r="P114" i="5" s="1"/>
  <c r="R114" i="5" s="1"/>
  <c r="M108" i="5"/>
  <c r="P108" i="5" s="1"/>
  <c r="R108" i="5" s="1"/>
  <c r="M104" i="5"/>
  <c r="P104" i="5" s="1"/>
  <c r="R104" i="5" s="1"/>
  <c r="M100" i="5"/>
  <c r="P100" i="5" s="1"/>
  <c r="R100" i="5" s="1"/>
  <c r="M78" i="5"/>
  <c r="P78" i="5" s="1"/>
  <c r="R78" i="5" s="1"/>
  <c r="M77" i="5"/>
  <c r="P77" i="5" s="1"/>
  <c r="R77" i="5" s="1"/>
  <c r="M76" i="5"/>
  <c r="P76" i="5" s="1"/>
  <c r="R76" i="5" s="1"/>
  <c r="M73" i="5"/>
  <c r="P73" i="5" s="1"/>
  <c r="R73" i="5" s="1"/>
  <c r="M72" i="5"/>
  <c r="P72" i="5" s="1"/>
  <c r="R72" i="5" s="1"/>
  <c r="M67" i="5"/>
  <c r="P67" i="5" s="1"/>
  <c r="R67" i="5" s="1"/>
  <c r="M66" i="5"/>
  <c r="P66" i="5" s="1"/>
  <c r="R66" i="5" s="1"/>
  <c r="M65" i="5"/>
  <c r="P65" i="5" s="1"/>
  <c r="R65" i="5" s="1"/>
  <c r="M64" i="5"/>
  <c r="P64" i="5" s="1"/>
  <c r="R64" i="5" s="1"/>
  <c r="M63" i="5"/>
  <c r="P63" i="5" s="1"/>
  <c r="R63" i="5" s="1"/>
  <c r="M62" i="5"/>
  <c r="P62" i="5" s="1"/>
  <c r="R62" i="5" s="1"/>
  <c r="M61" i="5"/>
  <c r="P61" i="5" s="1"/>
  <c r="R61" i="5" s="1"/>
  <c r="M60" i="5"/>
  <c r="P60" i="5" s="1"/>
  <c r="R60" i="5" s="1"/>
  <c r="M59" i="5"/>
  <c r="P59" i="5" s="1"/>
  <c r="R59" i="5" s="1"/>
  <c r="M58" i="5"/>
  <c r="P58" i="5" s="1"/>
  <c r="R58" i="5" s="1"/>
  <c r="M55" i="5"/>
  <c r="P55" i="5" s="1"/>
  <c r="R55" i="5" s="1"/>
  <c r="M54" i="5"/>
  <c r="P54" i="5" s="1"/>
  <c r="R54" i="5" s="1"/>
  <c r="M53" i="5"/>
  <c r="P53" i="5" s="1"/>
  <c r="R53" i="5" s="1"/>
  <c r="M52" i="5"/>
  <c r="P52" i="5" s="1"/>
  <c r="R52" i="5" s="1"/>
  <c r="M51" i="5"/>
  <c r="P51" i="5" s="1"/>
  <c r="R51" i="5" s="1"/>
  <c r="M50" i="5"/>
  <c r="P50" i="5" s="1"/>
  <c r="R50" i="5" s="1"/>
  <c r="M49" i="5"/>
  <c r="P49" i="5" s="1"/>
  <c r="R49" i="5" s="1"/>
  <c r="M48" i="5"/>
  <c r="P48" i="5" s="1"/>
  <c r="R48" i="5" s="1"/>
  <c r="J20" i="4"/>
  <c r="L20" i="4" s="1"/>
  <c r="M20" i="4" s="1"/>
  <c r="H19" i="8"/>
  <c r="O114" i="5"/>
  <c r="Q114" i="5" s="1"/>
  <c r="O108" i="5"/>
  <c r="Q108" i="5" s="1"/>
  <c r="O104" i="5"/>
  <c r="Q104" i="5" s="1"/>
  <c r="O100" i="5"/>
  <c r="Q100" i="5" s="1"/>
  <c r="O78" i="5"/>
  <c r="Q78" i="5" s="1"/>
  <c r="O77" i="5"/>
  <c r="Q77" i="5" s="1"/>
  <c r="O76" i="5"/>
  <c r="Q76" i="5" s="1"/>
  <c r="O73" i="5"/>
  <c r="Q73" i="5" s="1"/>
  <c r="O72" i="5"/>
  <c r="Q72" i="5" s="1"/>
  <c r="O67" i="5"/>
  <c r="Q67" i="5" s="1"/>
  <c r="O66" i="5"/>
  <c r="Q66" i="5" s="1"/>
  <c r="O65" i="5"/>
  <c r="Q65" i="5" s="1"/>
  <c r="O64" i="5"/>
  <c r="Q64" i="5" s="1"/>
  <c r="O63" i="5"/>
  <c r="Q63" i="5" s="1"/>
  <c r="O62" i="5"/>
  <c r="Q62" i="5" s="1"/>
  <c r="O61" i="5"/>
  <c r="Q61" i="5" s="1"/>
  <c r="O60" i="5"/>
  <c r="Q60" i="5" s="1"/>
  <c r="O59" i="5"/>
  <c r="Q59" i="5" s="1"/>
  <c r="O58" i="5"/>
  <c r="Q58" i="5" s="1"/>
  <c r="O55" i="5"/>
  <c r="Q55" i="5" s="1"/>
  <c r="O54" i="5"/>
  <c r="Q54" i="5" s="1"/>
  <c r="O53" i="5"/>
  <c r="Q53" i="5" s="1"/>
  <c r="O52" i="5"/>
  <c r="Q52" i="5" s="1"/>
  <c r="O51" i="5"/>
  <c r="Q51" i="5" s="1"/>
  <c r="O50" i="5"/>
  <c r="Q50" i="5" s="1"/>
  <c r="O49" i="5"/>
  <c r="Q49" i="5" s="1"/>
  <c r="O48" i="5"/>
  <c r="Q48" i="5" s="1"/>
  <c r="K20" i="4"/>
  <c r="G20" i="8"/>
  <c r="M149" i="5"/>
  <c r="P149" i="5" s="1"/>
  <c r="R149" i="5" s="1"/>
  <c r="M144" i="5"/>
  <c r="P144" i="5" s="1"/>
  <c r="R144" i="5" s="1"/>
  <c r="M136" i="5"/>
  <c r="P136" i="5" s="1"/>
  <c r="R136" i="5" s="1"/>
  <c r="M135" i="5"/>
  <c r="P135" i="5" s="1"/>
  <c r="R135" i="5" s="1"/>
  <c r="M128" i="5"/>
  <c r="P128" i="5" s="1"/>
  <c r="R128" i="5" s="1"/>
  <c r="M127" i="5"/>
  <c r="P127" i="5" s="1"/>
  <c r="R127" i="5" s="1"/>
  <c r="M126" i="5"/>
  <c r="P126" i="5" s="1"/>
  <c r="R126" i="5" s="1"/>
  <c r="M123" i="5"/>
  <c r="P123" i="5" s="1"/>
  <c r="R123" i="5" s="1"/>
  <c r="J21" i="4"/>
  <c r="L21" i="4" s="1"/>
  <c r="M21" i="4" s="1"/>
  <c r="H20" i="8"/>
  <c r="O149" i="5"/>
  <c r="Q149" i="5" s="1"/>
  <c r="O144" i="5"/>
  <c r="Q144" i="5" s="1"/>
  <c r="O136" i="5"/>
  <c r="Q136" i="5" s="1"/>
  <c r="O135" i="5"/>
  <c r="Q135" i="5" s="1"/>
  <c r="O128" i="5"/>
  <c r="Q128" i="5" s="1"/>
  <c r="O127" i="5"/>
  <c r="Q127" i="5" s="1"/>
  <c r="O126" i="5"/>
  <c r="Q126" i="5" s="1"/>
  <c r="O123" i="5"/>
  <c r="Q123" i="5" s="1"/>
  <c r="K21" i="4"/>
  <c r="G21" i="8"/>
  <c r="M323" i="5"/>
  <c r="P323" i="5" s="1"/>
  <c r="R323" i="5" s="1"/>
  <c r="M315" i="5"/>
  <c r="P315" i="5" s="1"/>
  <c r="R315" i="5" s="1"/>
  <c r="M310" i="5"/>
  <c r="P310" i="5" s="1"/>
  <c r="R310" i="5" s="1"/>
  <c r="M309" i="5"/>
  <c r="P309" i="5" s="1"/>
  <c r="R309" i="5" s="1"/>
  <c r="M304" i="5"/>
  <c r="P304" i="5" s="1"/>
  <c r="R304" i="5" s="1"/>
  <c r="M301" i="5"/>
  <c r="P301" i="5" s="1"/>
  <c r="R301" i="5" s="1"/>
  <c r="M299" i="5"/>
  <c r="P299" i="5" s="1"/>
  <c r="R299" i="5" s="1"/>
  <c r="M298" i="5"/>
  <c r="P298" i="5" s="1"/>
  <c r="R298" i="5" s="1"/>
  <c r="M291" i="5"/>
  <c r="P291" i="5" s="1"/>
  <c r="R291" i="5" s="1"/>
  <c r="M290" i="5"/>
  <c r="P290" i="5" s="1"/>
  <c r="R290" i="5" s="1"/>
  <c r="J22" i="4"/>
  <c r="L22" i="4" s="1"/>
  <c r="M22" i="4" s="1"/>
  <c r="H21" i="8"/>
  <c r="O323" i="5"/>
  <c r="Q323" i="5" s="1"/>
  <c r="O315" i="5"/>
  <c r="Q315" i="5" s="1"/>
  <c r="O310" i="5"/>
  <c r="Q310" i="5" s="1"/>
  <c r="O309" i="5"/>
  <c r="Q309" i="5" s="1"/>
  <c r="O304" i="5"/>
  <c r="Q304" i="5" s="1"/>
  <c r="O301" i="5"/>
  <c r="Q301" i="5" s="1"/>
  <c r="O299" i="5"/>
  <c r="Q299" i="5" s="1"/>
  <c r="O298" i="5"/>
  <c r="Q298" i="5" s="1"/>
  <c r="O291" i="5"/>
  <c r="Q291" i="5" s="1"/>
  <c r="O290" i="5"/>
  <c r="Q290" i="5" s="1"/>
  <c r="K22" i="4"/>
  <c r="G22" i="8"/>
  <c r="M39" i="5"/>
  <c r="P39" i="5" s="1"/>
  <c r="R39" i="5" s="1"/>
  <c r="M38" i="5"/>
  <c r="P38" i="5" s="1"/>
  <c r="R38" i="5" s="1"/>
  <c r="J23" i="4"/>
  <c r="L23" i="4" s="1"/>
  <c r="G23" i="8"/>
  <c r="M326" i="5"/>
  <c r="P326" i="5" s="1"/>
  <c r="R326" i="5" s="1"/>
  <c r="M322" i="5"/>
  <c r="P322" i="5" s="1"/>
  <c r="R322" i="5" s="1"/>
  <c r="M238" i="5"/>
  <c r="P238" i="5" s="1"/>
  <c r="R238" i="5" s="1"/>
  <c r="M237" i="5"/>
  <c r="P237" i="5" s="1"/>
  <c r="R237" i="5" s="1"/>
  <c r="M92" i="5"/>
  <c r="P92" i="5" s="1"/>
  <c r="R92" i="5" s="1"/>
  <c r="J24" i="4"/>
  <c r="L24" i="4" s="1"/>
  <c r="M24" i="4" s="1"/>
  <c r="H23" i="8"/>
  <c r="O326" i="5"/>
  <c r="Q326" i="5" s="1"/>
  <c r="O322" i="5"/>
  <c r="Q322" i="5" s="1"/>
  <c r="O238" i="5"/>
  <c r="Q238" i="5" s="1"/>
  <c r="O237" i="5"/>
  <c r="Q237" i="5" s="1"/>
  <c r="O92" i="5"/>
  <c r="Q92" i="5" s="1"/>
  <c r="K24" i="4"/>
  <c r="G24" i="8"/>
  <c r="M265" i="5"/>
  <c r="P265" i="5" s="1"/>
  <c r="R265" i="5" s="1"/>
  <c r="M264" i="5"/>
  <c r="P264" i="5" s="1"/>
  <c r="R264" i="5" s="1"/>
  <c r="M263" i="5"/>
  <c r="P263" i="5" s="1"/>
  <c r="R263" i="5" s="1"/>
  <c r="J25" i="4"/>
  <c r="L25" i="4" s="1"/>
  <c r="G25" i="8"/>
  <c r="M270" i="5"/>
  <c r="P270" i="5" s="1"/>
  <c r="R270" i="5" s="1"/>
  <c r="M185" i="5"/>
  <c r="P185" i="5" s="1"/>
  <c r="R185" i="5" s="1"/>
  <c r="M177" i="5"/>
  <c r="P177" i="5" s="1"/>
  <c r="R177" i="5" s="1"/>
  <c r="J26" i="4"/>
  <c r="L26" i="4" s="1"/>
  <c r="M26" i="4" s="1"/>
  <c r="H25" i="8"/>
  <c r="O270" i="5"/>
  <c r="Q270" i="5" s="1"/>
  <c r="O185" i="5"/>
  <c r="Q185" i="5" s="1"/>
  <c r="O177" i="5"/>
  <c r="Q177" i="5" s="1"/>
  <c r="K26" i="4"/>
  <c r="G26" i="8"/>
  <c r="M380" i="5"/>
  <c r="P380" i="5" s="1"/>
  <c r="R380" i="5" s="1"/>
  <c r="M379" i="5"/>
  <c r="P379" i="5" s="1"/>
  <c r="R379" i="5" s="1"/>
  <c r="M377" i="5"/>
  <c r="P377" i="5" s="1"/>
  <c r="J27" i="4"/>
  <c r="L27" i="4" s="1"/>
  <c r="G27" i="8"/>
  <c r="M412" i="5"/>
  <c r="P412" i="5" s="1"/>
  <c r="R412" i="5" s="1"/>
  <c r="M410" i="5"/>
  <c r="P410" i="5" s="1"/>
  <c r="R410" i="5" s="1"/>
  <c r="J28" i="4"/>
  <c r="L28" i="4" s="1"/>
  <c r="M28" i="4" s="1"/>
  <c r="H27" i="8"/>
  <c r="O412" i="5"/>
  <c r="Q412" i="5" s="1"/>
  <c r="O410" i="5"/>
  <c r="Q410" i="5" s="1"/>
  <c r="K28" i="4"/>
  <c r="G28" i="8"/>
  <c r="M361" i="5"/>
  <c r="P361" i="5" s="1"/>
  <c r="R361" i="5" s="1"/>
  <c r="M359" i="5"/>
  <c r="P359" i="5" s="1"/>
  <c r="R359" i="5" s="1"/>
  <c r="M352" i="5"/>
  <c r="P352" i="5" s="1"/>
  <c r="R352" i="5" s="1"/>
  <c r="M350" i="5"/>
  <c r="P350" i="5" s="1"/>
  <c r="R350" i="5" s="1"/>
  <c r="M348" i="5"/>
  <c r="P348" i="5" s="1"/>
  <c r="R348" i="5" s="1"/>
  <c r="M346" i="5"/>
  <c r="P346" i="5" s="1"/>
  <c r="R346" i="5" s="1"/>
  <c r="M344" i="5"/>
  <c r="P344" i="5" s="1"/>
  <c r="R344" i="5" s="1"/>
  <c r="M342" i="5"/>
  <c r="P342" i="5" s="1"/>
  <c r="M332" i="5"/>
  <c r="P332" i="5" s="1"/>
  <c r="R332" i="5" s="1"/>
  <c r="M330" i="5"/>
  <c r="P330" i="5" s="1"/>
  <c r="R330" i="5" s="1"/>
  <c r="M307" i="5"/>
  <c r="P307" i="5" s="1"/>
  <c r="R307" i="5" s="1"/>
  <c r="M305" i="5"/>
  <c r="P305" i="5" s="1"/>
  <c r="R305" i="5" s="1"/>
  <c r="M294" i="5"/>
  <c r="P294" i="5" s="1"/>
  <c r="R294" i="5" s="1"/>
  <c r="M288" i="5"/>
  <c r="P288" i="5" s="1"/>
  <c r="R288" i="5" s="1"/>
  <c r="M286" i="5"/>
  <c r="P286" i="5" s="1"/>
  <c r="R286" i="5" s="1"/>
  <c r="M284" i="5"/>
  <c r="P284" i="5" s="1"/>
  <c r="R284" i="5" s="1"/>
  <c r="M282" i="5"/>
  <c r="P282" i="5" s="1"/>
  <c r="R282" i="5" s="1"/>
  <c r="M280" i="5"/>
  <c r="P280" i="5" s="1"/>
  <c r="R280" i="5" s="1"/>
  <c r="M278" i="5"/>
  <c r="P278" i="5" s="1"/>
  <c r="R278" i="5" s="1"/>
  <c r="M248" i="5"/>
  <c r="P248" i="5" s="1"/>
  <c r="R248" i="5" s="1"/>
  <c r="M247" i="5"/>
  <c r="P247" i="5" s="1"/>
  <c r="R247" i="5" s="1"/>
  <c r="M246" i="5"/>
  <c r="P246" i="5" s="1"/>
  <c r="R246" i="5" s="1"/>
  <c r="M240" i="5"/>
  <c r="P240" i="5" s="1"/>
  <c r="R240" i="5" s="1"/>
  <c r="M239" i="5"/>
  <c r="P239" i="5" s="1"/>
  <c r="R239" i="5" s="1"/>
  <c r="M236" i="5"/>
  <c r="P236" i="5" s="1"/>
  <c r="R236" i="5" s="1"/>
  <c r="M235" i="5"/>
  <c r="P235" i="5" s="1"/>
  <c r="R235" i="5" s="1"/>
  <c r="M213" i="5"/>
  <c r="P213" i="5" s="1"/>
  <c r="R213" i="5" s="1"/>
  <c r="M211" i="5"/>
  <c r="P211" i="5" s="1"/>
  <c r="R211" i="5" s="1"/>
  <c r="M209" i="5"/>
  <c r="P209" i="5" s="1"/>
  <c r="R209" i="5" s="1"/>
  <c r="M207" i="5"/>
  <c r="P207" i="5" s="1"/>
  <c r="R207" i="5" s="1"/>
  <c r="M205" i="5"/>
  <c r="P205" i="5" s="1"/>
  <c r="R205" i="5" s="1"/>
  <c r="M203" i="5"/>
  <c r="P203" i="5" s="1"/>
  <c r="R203" i="5" s="1"/>
  <c r="M201" i="5"/>
  <c r="P201" i="5" s="1"/>
  <c r="R201" i="5" s="1"/>
  <c r="M184" i="5"/>
  <c r="P184" i="5" s="1"/>
  <c r="R184" i="5" s="1"/>
  <c r="M182" i="5"/>
  <c r="P182" i="5" s="1"/>
  <c r="R182" i="5" s="1"/>
  <c r="M181" i="5"/>
  <c r="P181" i="5" s="1"/>
  <c r="R181" i="5" s="1"/>
  <c r="M179" i="5"/>
  <c r="P179" i="5" s="1"/>
  <c r="R179" i="5" s="1"/>
  <c r="M178" i="5"/>
  <c r="P178" i="5" s="1"/>
  <c r="R178" i="5" s="1"/>
  <c r="M133" i="5"/>
  <c r="P133" i="5" s="1"/>
  <c r="R133" i="5" s="1"/>
  <c r="M80" i="5"/>
  <c r="P80" i="5" s="1"/>
  <c r="R80" i="5" s="1"/>
  <c r="M40" i="5"/>
  <c r="P40" i="5" s="1"/>
  <c r="R40" i="5" s="1"/>
  <c r="M35" i="5"/>
  <c r="P35" i="5" s="1"/>
  <c r="R35" i="5" s="1"/>
  <c r="M33" i="5"/>
  <c r="P33" i="5" s="1"/>
  <c r="R33" i="5" s="1"/>
  <c r="M23" i="5"/>
  <c r="P23" i="5" s="1"/>
  <c r="R23" i="5" s="1"/>
  <c r="M21" i="5"/>
  <c r="P21" i="5" s="1"/>
  <c r="R21" i="5" s="1"/>
  <c r="M19" i="5"/>
  <c r="P19" i="5" s="1"/>
  <c r="R19" i="5" s="1"/>
  <c r="M17" i="5"/>
  <c r="P17" i="5" s="1"/>
  <c r="R17" i="5" s="1"/>
  <c r="M15" i="5"/>
  <c r="P15" i="5" s="1"/>
  <c r="R15" i="5" s="1"/>
  <c r="M13" i="5"/>
  <c r="P13" i="5" s="1"/>
  <c r="R13" i="5" s="1"/>
  <c r="M11" i="5"/>
  <c r="P11" i="5" s="1"/>
  <c r="R11" i="5" s="1"/>
  <c r="M9" i="5"/>
  <c r="P9" i="5" s="1"/>
  <c r="R9" i="5" s="1"/>
  <c r="M7" i="5"/>
  <c r="P7" i="5" s="1"/>
  <c r="R7" i="5" s="1"/>
  <c r="J29" i="4"/>
  <c r="L29" i="4" s="1"/>
  <c r="M29" i="4" s="1"/>
  <c r="H28" i="8"/>
  <c r="O361" i="5"/>
  <c r="Q361" i="5" s="1"/>
  <c r="O359" i="5"/>
  <c r="Q359" i="5" s="1"/>
  <c r="O352" i="5"/>
  <c r="Q352" i="5" s="1"/>
  <c r="O350" i="5"/>
  <c r="Q350" i="5" s="1"/>
  <c r="O348" i="5"/>
  <c r="Q348" i="5" s="1"/>
  <c r="O346" i="5"/>
  <c r="Q346" i="5" s="1"/>
  <c r="O344" i="5"/>
  <c r="Q344" i="5" s="1"/>
  <c r="O342" i="5"/>
  <c r="Q342" i="5" s="1"/>
  <c r="Q375" i="5" s="1"/>
  <c r="O332" i="5"/>
  <c r="Q332" i="5" s="1"/>
  <c r="O330" i="5"/>
  <c r="Q330" i="5" s="1"/>
  <c r="O307" i="5"/>
  <c r="Q307" i="5" s="1"/>
  <c r="O305" i="5"/>
  <c r="Q305" i="5" s="1"/>
  <c r="O294" i="5"/>
  <c r="Q294" i="5" s="1"/>
  <c r="O288" i="5"/>
  <c r="Q288" i="5" s="1"/>
  <c r="O286" i="5"/>
  <c r="Q286" i="5" s="1"/>
  <c r="O284" i="5"/>
  <c r="Q284" i="5" s="1"/>
  <c r="O282" i="5"/>
  <c r="Q282" i="5" s="1"/>
  <c r="O280" i="5"/>
  <c r="Q280" i="5" s="1"/>
  <c r="O278" i="5"/>
  <c r="Q278" i="5" s="1"/>
  <c r="O248" i="5"/>
  <c r="Q248" i="5" s="1"/>
  <c r="O247" i="5"/>
  <c r="Q247" i="5" s="1"/>
  <c r="O246" i="5"/>
  <c r="Q246" i="5" s="1"/>
  <c r="O240" i="5"/>
  <c r="Q240" i="5" s="1"/>
  <c r="O239" i="5"/>
  <c r="Q239" i="5" s="1"/>
  <c r="O236" i="5"/>
  <c r="Q236" i="5" s="1"/>
  <c r="O235" i="5"/>
  <c r="Q235" i="5" s="1"/>
  <c r="O213" i="5"/>
  <c r="Q213" i="5" s="1"/>
  <c r="O211" i="5"/>
  <c r="Q211" i="5" s="1"/>
  <c r="O209" i="5"/>
  <c r="Q209" i="5" s="1"/>
  <c r="O207" i="5"/>
  <c r="Q207" i="5" s="1"/>
  <c r="O205" i="5"/>
  <c r="Q205" i="5" s="1"/>
  <c r="O203" i="5"/>
  <c r="Q203" i="5" s="1"/>
  <c r="O201" i="5"/>
  <c r="Q201" i="5" s="1"/>
  <c r="O184" i="5"/>
  <c r="Q184" i="5" s="1"/>
  <c r="O182" i="5"/>
  <c r="Q182" i="5" s="1"/>
  <c r="O181" i="5"/>
  <c r="Q181" i="5" s="1"/>
  <c r="O179" i="5"/>
  <c r="Q179" i="5" s="1"/>
  <c r="O178" i="5"/>
  <c r="Q178" i="5" s="1"/>
  <c r="O133" i="5"/>
  <c r="Q133" i="5" s="1"/>
  <c r="O80" i="5"/>
  <c r="Q80" i="5" s="1"/>
  <c r="O40" i="5"/>
  <c r="Q40" i="5" s="1"/>
  <c r="O35" i="5"/>
  <c r="Q35" i="5" s="1"/>
  <c r="O33" i="5"/>
  <c r="Q33" i="5" s="1"/>
  <c r="O23" i="5"/>
  <c r="Q23" i="5" s="1"/>
  <c r="O21" i="5"/>
  <c r="Q21" i="5" s="1"/>
  <c r="O19" i="5"/>
  <c r="Q19" i="5" s="1"/>
  <c r="O17" i="5"/>
  <c r="Q17" i="5" s="1"/>
  <c r="O15" i="5"/>
  <c r="Q15" i="5" s="1"/>
  <c r="O13" i="5"/>
  <c r="Q13" i="5" s="1"/>
  <c r="O11" i="5"/>
  <c r="Q11" i="5" s="1"/>
  <c r="O9" i="5"/>
  <c r="Q9" i="5" s="1"/>
  <c r="O7" i="5"/>
  <c r="Q7" i="5" s="1"/>
  <c r="K29" i="4"/>
  <c r="G29" i="8"/>
  <c r="M362" i="5"/>
  <c r="P362" i="5" s="1"/>
  <c r="R362" i="5" s="1"/>
  <c r="M360" i="5"/>
  <c r="P360" i="5" s="1"/>
  <c r="R360" i="5" s="1"/>
  <c r="M353" i="5"/>
  <c r="P353" i="5" s="1"/>
  <c r="R353" i="5" s="1"/>
  <c r="M351" i="5"/>
  <c r="P351" i="5" s="1"/>
  <c r="R351" i="5" s="1"/>
  <c r="M349" i="5"/>
  <c r="P349" i="5" s="1"/>
  <c r="R349" i="5" s="1"/>
  <c r="M347" i="5"/>
  <c r="P347" i="5" s="1"/>
  <c r="R347" i="5" s="1"/>
  <c r="M345" i="5"/>
  <c r="P345" i="5" s="1"/>
  <c r="R345" i="5" s="1"/>
  <c r="M343" i="5"/>
  <c r="P343" i="5" s="1"/>
  <c r="R343" i="5" s="1"/>
  <c r="M331" i="5"/>
  <c r="P331" i="5" s="1"/>
  <c r="R331" i="5" s="1"/>
  <c r="M308" i="5"/>
  <c r="P308" i="5" s="1"/>
  <c r="R308" i="5" s="1"/>
  <c r="M306" i="5"/>
  <c r="P306" i="5" s="1"/>
  <c r="R306" i="5" s="1"/>
  <c r="M295" i="5"/>
  <c r="P295" i="5" s="1"/>
  <c r="R295" i="5" s="1"/>
  <c r="M289" i="5"/>
  <c r="P289" i="5" s="1"/>
  <c r="R289" i="5" s="1"/>
  <c r="M287" i="5"/>
  <c r="P287" i="5" s="1"/>
  <c r="R287" i="5" s="1"/>
  <c r="M285" i="5"/>
  <c r="P285" i="5" s="1"/>
  <c r="R285" i="5" s="1"/>
  <c r="M283" i="5"/>
  <c r="P283" i="5" s="1"/>
  <c r="R283" i="5" s="1"/>
  <c r="M281" i="5"/>
  <c r="P281" i="5" s="1"/>
  <c r="R281" i="5" s="1"/>
  <c r="M279" i="5"/>
  <c r="P279" i="5" s="1"/>
  <c r="R279" i="5" s="1"/>
  <c r="M214" i="5"/>
  <c r="P214" i="5" s="1"/>
  <c r="R214" i="5" s="1"/>
  <c r="M212" i="5"/>
  <c r="P212" i="5" s="1"/>
  <c r="R212" i="5" s="1"/>
  <c r="M210" i="5"/>
  <c r="P210" i="5" s="1"/>
  <c r="R210" i="5" s="1"/>
  <c r="M208" i="5"/>
  <c r="P208" i="5" s="1"/>
  <c r="R208" i="5" s="1"/>
  <c r="M206" i="5"/>
  <c r="P206" i="5" s="1"/>
  <c r="R206" i="5" s="1"/>
  <c r="M204" i="5"/>
  <c r="P204" i="5" s="1"/>
  <c r="R204" i="5" s="1"/>
  <c r="M202" i="5"/>
  <c r="P202" i="5" s="1"/>
  <c r="R202" i="5" s="1"/>
  <c r="M183" i="5"/>
  <c r="P183" i="5" s="1"/>
  <c r="R183" i="5" s="1"/>
  <c r="M81" i="5"/>
  <c r="P81" i="5" s="1"/>
  <c r="R81" i="5" s="1"/>
  <c r="M41" i="5"/>
  <c r="P41" i="5" s="1"/>
  <c r="R41" i="5" s="1"/>
  <c r="M36" i="5"/>
  <c r="P36" i="5" s="1"/>
  <c r="R36" i="5" s="1"/>
  <c r="M34" i="5"/>
  <c r="P34" i="5" s="1"/>
  <c r="R34" i="5" s="1"/>
  <c r="M24" i="5"/>
  <c r="P24" i="5" s="1"/>
  <c r="R24" i="5" s="1"/>
  <c r="M22" i="5"/>
  <c r="P22" i="5" s="1"/>
  <c r="R22" i="5" s="1"/>
  <c r="M20" i="5"/>
  <c r="P20" i="5" s="1"/>
  <c r="R20" i="5" s="1"/>
  <c r="M18" i="5"/>
  <c r="P18" i="5" s="1"/>
  <c r="R18" i="5" s="1"/>
  <c r="M16" i="5"/>
  <c r="P16" i="5" s="1"/>
  <c r="R16" i="5" s="1"/>
  <c r="M14" i="5"/>
  <c r="P14" i="5" s="1"/>
  <c r="R14" i="5" s="1"/>
  <c r="M12" i="5"/>
  <c r="P12" i="5" s="1"/>
  <c r="R12" i="5" s="1"/>
  <c r="M10" i="5"/>
  <c r="P10" i="5" s="1"/>
  <c r="R10" i="5" s="1"/>
  <c r="M8" i="5"/>
  <c r="P8" i="5" s="1"/>
  <c r="R8" i="5" s="1"/>
  <c r="J30" i="4"/>
  <c r="L30" i="4" s="1"/>
  <c r="G30" i="8"/>
  <c r="M316" i="5"/>
  <c r="P316" i="5" s="1"/>
  <c r="R316" i="5" s="1"/>
  <c r="J31" i="4"/>
  <c r="L31" i="4" s="1"/>
  <c r="M31" i="4" s="1"/>
  <c r="H30" i="8"/>
  <c r="O316" i="5"/>
  <c r="Q316" i="5" s="1"/>
  <c r="K31" i="4"/>
  <c r="G31" i="8"/>
  <c r="M415" i="5"/>
  <c r="P415" i="5" s="1"/>
  <c r="R415" i="5" s="1"/>
  <c r="M366" i="5"/>
  <c r="P366" i="5" s="1"/>
  <c r="R366" i="5" s="1"/>
  <c r="M358" i="5"/>
  <c r="P358" i="5" s="1"/>
  <c r="R358" i="5" s="1"/>
  <c r="M261" i="5"/>
  <c r="P261" i="5" s="1"/>
  <c r="R261" i="5" s="1"/>
  <c r="M141" i="5"/>
  <c r="P141" i="5" s="1"/>
  <c r="R141" i="5" s="1"/>
  <c r="M132" i="5"/>
  <c r="P132" i="5" s="1"/>
  <c r="R132" i="5" s="1"/>
  <c r="M111" i="5"/>
  <c r="P111" i="5" s="1"/>
  <c r="R111" i="5" s="1"/>
  <c r="M110" i="5"/>
  <c r="P110" i="5" s="1"/>
  <c r="R110" i="5" s="1"/>
  <c r="M106" i="5"/>
  <c r="P106" i="5" s="1"/>
  <c r="R106" i="5" s="1"/>
  <c r="M105" i="5"/>
  <c r="P105" i="5" s="1"/>
  <c r="R105" i="5" s="1"/>
  <c r="M95" i="5"/>
  <c r="P95" i="5" s="1"/>
  <c r="R95" i="5" s="1"/>
  <c r="M79" i="5"/>
  <c r="P79" i="5" s="1"/>
  <c r="R79" i="5" s="1"/>
  <c r="M71" i="5"/>
  <c r="P71" i="5" s="1"/>
  <c r="R71" i="5" s="1"/>
  <c r="M68" i="5"/>
  <c r="P68" i="5" s="1"/>
  <c r="R68" i="5" s="1"/>
  <c r="M56" i="5"/>
  <c r="P56" i="5" s="1"/>
  <c r="R56" i="5" s="1"/>
  <c r="M47" i="5"/>
  <c r="P47" i="5" s="1"/>
  <c r="R47" i="5" s="1"/>
  <c r="M42" i="5"/>
  <c r="P42" i="5" s="1"/>
  <c r="R42" i="5" s="1"/>
  <c r="M27" i="5"/>
  <c r="P27" i="5" s="1"/>
  <c r="R27" i="5" s="1"/>
  <c r="M6" i="5"/>
  <c r="P6" i="5" s="1"/>
  <c r="J32" i="4"/>
  <c r="L32" i="4" s="1"/>
  <c r="M32" i="4" s="1"/>
  <c r="H31" i="8"/>
  <c r="O415" i="5"/>
  <c r="Q415" i="5" s="1"/>
  <c r="O366" i="5"/>
  <c r="Q366" i="5" s="1"/>
  <c r="O358" i="5"/>
  <c r="Q358" i="5" s="1"/>
  <c r="O261" i="5"/>
  <c r="Q261" i="5" s="1"/>
  <c r="O141" i="5"/>
  <c r="Q141" i="5" s="1"/>
  <c r="O132" i="5"/>
  <c r="Q132" i="5" s="1"/>
  <c r="O111" i="5"/>
  <c r="Q111" i="5" s="1"/>
  <c r="O110" i="5"/>
  <c r="Q110" i="5" s="1"/>
  <c r="O106" i="5"/>
  <c r="Q106" i="5" s="1"/>
  <c r="O105" i="5"/>
  <c r="Q105" i="5" s="1"/>
  <c r="O95" i="5"/>
  <c r="Q95" i="5" s="1"/>
  <c r="O79" i="5"/>
  <c r="Q79" i="5" s="1"/>
  <c r="O71" i="5"/>
  <c r="Q71" i="5" s="1"/>
  <c r="O68" i="5"/>
  <c r="Q68" i="5" s="1"/>
  <c r="O56" i="5"/>
  <c r="Q56" i="5" s="1"/>
  <c r="O47" i="5"/>
  <c r="Q47" i="5" s="1"/>
  <c r="O42" i="5"/>
  <c r="Q42" i="5" s="1"/>
  <c r="O27" i="5"/>
  <c r="Q27" i="5" s="1"/>
  <c r="O6" i="5"/>
  <c r="Q6" i="5" s="1"/>
  <c r="Q161" i="5" s="1"/>
  <c r="K32" i="4"/>
  <c r="G32" i="8"/>
  <c r="M329" i="5"/>
  <c r="P329" i="5" s="1"/>
  <c r="R329" i="5" s="1"/>
  <c r="M328" i="5"/>
  <c r="P328" i="5" s="1"/>
  <c r="R328" i="5" s="1"/>
  <c r="M324" i="5"/>
  <c r="P324" i="5" s="1"/>
  <c r="R324" i="5" s="1"/>
  <c r="M321" i="5"/>
  <c r="P321" i="5" s="1"/>
  <c r="R321" i="5" s="1"/>
  <c r="M320" i="5"/>
  <c r="P320" i="5" s="1"/>
  <c r="R320" i="5" s="1"/>
  <c r="M317" i="5"/>
  <c r="P317" i="5" s="1"/>
  <c r="R317" i="5" s="1"/>
  <c r="M313" i="5"/>
  <c r="P313" i="5" s="1"/>
  <c r="R313" i="5" s="1"/>
  <c r="M311" i="5"/>
  <c r="P311" i="5" s="1"/>
  <c r="R311" i="5" s="1"/>
  <c r="M296" i="5"/>
  <c r="P296" i="5" s="1"/>
  <c r="R296" i="5" s="1"/>
  <c r="M293" i="5"/>
  <c r="P293" i="5" s="1"/>
  <c r="R293" i="5" s="1"/>
  <c r="M277" i="5"/>
  <c r="P277" i="5" s="1"/>
  <c r="M271" i="5"/>
  <c r="P271" i="5" s="1"/>
  <c r="R271" i="5" s="1"/>
  <c r="M234" i="5"/>
  <c r="P234" i="5" s="1"/>
  <c r="R234" i="5" s="1"/>
  <c r="M218" i="5"/>
  <c r="P218" i="5" s="1"/>
  <c r="R218" i="5" s="1"/>
  <c r="M217" i="5"/>
  <c r="P217" i="5" s="1"/>
  <c r="R217" i="5" s="1"/>
  <c r="M200" i="5"/>
  <c r="P200" i="5" s="1"/>
  <c r="R200" i="5" s="1"/>
  <c r="M191" i="5"/>
  <c r="P191" i="5" s="1"/>
  <c r="R191" i="5" s="1"/>
  <c r="M188" i="5"/>
  <c r="P188" i="5" s="1"/>
  <c r="R188" i="5" s="1"/>
  <c r="M175" i="5"/>
  <c r="P175" i="5" s="1"/>
  <c r="R175" i="5" s="1"/>
  <c r="M173" i="5"/>
  <c r="P173" i="5" s="1"/>
  <c r="R173" i="5" s="1"/>
  <c r="J33" i="4"/>
  <c r="L33" i="4" s="1"/>
  <c r="M33" i="4" s="1"/>
  <c r="H32" i="8"/>
  <c r="O329" i="5"/>
  <c r="Q329" i="5" s="1"/>
  <c r="O328" i="5"/>
  <c r="Q328" i="5" s="1"/>
  <c r="O324" i="5"/>
  <c r="Q324" i="5" s="1"/>
  <c r="O321" i="5"/>
  <c r="Q321" i="5" s="1"/>
  <c r="O320" i="5"/>
  <c r="Q320" i="5" s="1"/>
  <c r="O317" i="5"/>
  <c r="Q317" i="5" s="1"/>
  <c r="O313" i="5"/>
  <c r="Q313" i="5" s="1"/>
  <c r="O311" i="5"/>
  <c r="Q311" i="5" s="1"/>
  <c r="O296" i="5"/>
  <c r="Q296" i="5" s="1"/>
  <c r="O293" i="5"/>
  <c r="Q293" i="5" s="1"/>
  <c r="O277" i="5"/>
  <c r="Q277" i="5" s="1"/>
  <c r="Q333" i="5" s="1"/>
  <c r="O271" i="5"/>
  <c r="Q271" i="5" s="1"/>
  <c r="O234" i="5"/>
  <c r="Q234" i="5" s="1"/>
  <c r="O218" i="5"/>
  <c r="Q218" i="5" s="1"/>
  <c r="O217" i="5"/>
  <c r="Q217" i="5" s="1"/>
  <c r="O200" i="5"/>
  <c r="Q200" i="5" s="1"/>
  <c r="O191" i="5"/>
  <c r="Q191" i="5" s="1"/>
  <c r="O188" i="5"/>
  <c r="Q188" i="5" s="1"/>
  <c r="O175" i="5"/>
  <c r="Q175" i="5" s="1"/>
  <c r="O173" i="5"/>
  <c r="Q173" i="5" s="1"/>
  <c r="K33" i="4"/>
  <c r="G33" i="8"/>
  <c r="M383" i="5"/>
  <c r="P383" i="5" s="1"/>
  <c r="R383" i="5" s="1"/>
  <c r="J34" i="4"/>
  <c r="L34" i="4" s="1"/>
  <c r="G34" i="8"/>
  <c r="M255" i="5"/>
  <c r="P255" i="5" s="1"/>
  <c r="R255" i="5" s="1"/>
  <c r="M244" i="5"/>
  <c r="P244" i="5" s="1"/>
  <c r="R244" i="5" s="1"/>
  <c r="M222" i="5"/>
  <c r="P222" i="5" s="1"/>
  <c r="R222" i="5" s="1"/>
  <c r="J35" i="4"/>
  <c r="L35" i="4" s="1"/>
  <c r="M35" i="4" s="1"/>
  <c r="H34" i="8"/>
  <c r="O255" i="5"/>
  <c r="Q255" i="5" s="1"/>
  <c r="O244" i="5"/>
  <c r="Q244" i="5" s="1"/>
  <c r="O222" i="5"/>
  <c r="Q222" i="5" s="1"/>
  <c r="K35" i="4"/>
  <c r="G35" i="8"/>
  <c r="M411" i="5"/>
  <c r="P411" i="5" s="1"/>
  <c r="R411" i="5" s="1"/>
  <c r="M102" i="5"/>
  <c r="P102" i="5" s="1"/>
  <c r="R102" i="5" s="1"/>
  <c r="J36" i="4"/>
  <c r="L36" i="4" s="1"/>
  <c r="M36" i="4" s="1"/>
  <c r="H35" i="8"/>
  <c r="O411" i="5"/>
  <c r="Q411" i="5" s="1"/>
  <c r="O102" i="5"/>
  <c r="Q102" i="5" s="1"/>
  <c r="K36" i="4"/>
  <c r="G36" i="8"/>
  <c r="M292" i="5"/>
  <c r="P292" i="5" s="1"/>
  <c r="R292" i="5" s="1"/>
  <c r="J37" i="4"/>
  <c r="L37" i="4" s="1"/>
  <c r="M37" i="4" s="1"/>
  <c r="H36" i="8"/>
  <c r="O292" i="5"/>
  <c r="Q292" i="5" s="1"/>
  <c r="K37" i="4"/>
  <c r="G37" i="8"/>
  <c r="M356" i="5"/>
  <c r="P356" i="5" s="1"/>
  <c r="R356" i="5" s="1"/>
  <c r="M98" i="5"/>
  <c r="P98" i="5" s="1"/>
  <c r="R98" i="5" s="1"/>
  <c r="J38" i="4"/>
  <c r="L38" i="4" s="1"/>
  <c r="M38" i="4" s="1"/>
  <c r="H37" i="8"/>
  <c r="O356" i="5"/>
  <c r="Q356" i="5" s="1"/>
  <c r="O98" i="5"/>
  <c r="Q98" i="5" s="1"/>
  <c r="K38" i="4"/>
  <c r="G38" i="8"/>
  <c r="M165" i="5"/>
  <c r="P165" i="5" s="1"/>
  <c r="R165" i="5" s="1"/>
  <c r="J39" i="4"/>
  <c r="L39" i="4" s="1"/>
  <c r="M39" i="4" s="1"/>
  <c r="H38" i="8"/>
  <c r="O165" i="5"/>
  <c r="Q165" i="5" s="1"/>
  <c r="K39" i="4"/>
  <c r="G39" i="8"/>
  <c r="M116" i="5"/>
  <c r="P116" i="5" s="1"/>
  <c r="R116" i="5" s="1"/>
  <c r="J40" i="4"/>
  <c r="L40" i="4" s="1"/>
  <c r="G40" i="8"/>
  <c r="M115" i="5"/>
  <c r="P115" i="5" s="1"/>
  <c r="R115" i="5" s="1"/>
  <c r="J41" i="4"/>
  <c r="L41" i="4" s="1"/>
  <c r="M41" i="4" s="1"/>
  <c r="H40" i="8"/>
  <c r="O115" i="5"/>
  <c r="Q115" i="5" s="1"/>
  <c r="K41" i="4"/>
  <c r="G41" i="8"/>
  <c r="M378" i="5"/>
  <c r="P378" i="5" s="1"/>
  <c r="R378" i="5" s="1"/>
  <c r="J42" i="4"/>
  <c r="L42" i="4" s="1"/>
  <c r="G42" i="8"/>
  <c r="M370" i="5"/>
  <c r="P370" i="5" s="1"/>
  <c r="R370" i="5" s="1"/>
  <c r="M369" i="5"/>
  <c r="P369" i="5" s="1"/>
  <c r="R369" i="5" s="1"/>
  <c r="M368" i="5"/>
  <c r="P368" i="5" s="1"/>
  <c r="R368" i="5" s="1"/>
  <c r="M365" i="5"/>
  <c r="P365" i="5" s="1"/>
  <c r="R365" i="5" s="1"/>
  <c r="M364" i="5"/>
  <c r="P364" i="5" s="1"/>
  <c r="R364" i="5" s="1"/>
  <c r="M357" i="5"/>
  <c r="P357" i="5" s="1"/>
  <c r="R357" i="5" s="1"/>
  <c r="M262" i="5"/>
  <c r="P262" i="5" s="1"/>
  <c r="R262" i="5" s="1"/>
  <c r="M138" i="5"/>
  <c r="P138" i="5" s="1"/>
  <c r="R138" i="5" s="1"/>
  <c r="M137" i="5"/>
  <c r="P137" i="5" s="1"/>
  <c r="R137" i="5" s="1"/>
  <c r="M125" i="5"/>
  <c r="P125" i="5" s="1"/>
  <c r="R125" i="5" s="1"/>
  <c r="M124" i="5"/>
  <c r="P124" i="5" s="1"/>
  <c r="R124" i="5" s="1"/>
  <c r="M112" i="5"/>
  <c r="P112" i="5" s="1"/>
  <c r="R112" i="5" s="1"/>
  <c r="M109" i="5"/>
  <c r="P109" i="5" s="1"/>
  <c r="R109" i="5" s="1"/>
  <c r="M107" i="5"/>
  <c r="P107" i="5" s="1"/>
  <c r="R107" i="5" s="1"/>
  <c r="M103" i="5"/>
  <c r="P103" i="5" s="1"/>
  <c r="R103" i="5" s="1"/>
  <c r="M101" i="5"/>
  <c r="P101" i="5" s="1"/>
  <c r="R101" i="5" s="1"/>
  <c r="M99" i="5"/>
  <c r="P99" i="5" s="1"/>
  <c r="R99" i="5" s="1"/>
  <c r="M70" i="5"/>
  <c r="P70" i="5" s="1"/>
  <c r="R70" i="5" s="1"/>
  <c r="M69" i="5"/>
  <c r="P69" i="5" s="1"/>
  <c r="R69" i="5" s="1"/>
  <c r="M57" i="5"/>
  <c r="P57" i="5" s="1"/>
  <c r="R57" i="5" s="1"/>
  <c r="M44" i="5"/>
  <c r="P44" i="5" s="1"/>
  <c r="R44" i="5" s="1"/>
  <c r="J43" i="4"/>
  <c r="L43" i="4" s="1"/>
  <c r="M43" i="4" s="1"/>
  <c r="H42" i="8"/>
  <c r="O370" i="5"/>
  <c r="Q370" i="5" s="1"/>
  <c r="O369" i="5"/>
  <c r="Q369" i="5" s="1"/>
  <c r="O368" i="5"/>
  <c r="Q368" i="5" s="1"/>
  <c r="O365" i="5"/>
  <c r="Q365" i="5" s="1"/>
  <c r="O364" i="5"/>
  <c r="Q364" i="5" s="1"/>
  <c r="O357" i="5"/>
  <c r="Q357" i="5" s="1"/>
  <c r="O262" i="5"/>
  <c r="Q262" i="5" s="1"/>
  <c r="O138" i="5"/>
  <c r="Q138" i="5" s="1"/>
  <c r="O137" i="5"/>
  <c r="Q137" i="5" s="1"/>
  <c r="O125" i="5"/>
  <c r="Q125" i="5" s="1"/>
  <c r="O124" i="5"/>
  <c r="Q124" i="5" s="1"/>
  <c r="O112" i="5"/>
  <c r="Q112" i="5" s="1"/>
  <c r="O109" i="5"/>
  <c r="Q109" i="5" s="1"/>
  <c r="O107" i="5"/>
  <c r="Q107" i="5" s="1"/>
  <c r="O103" i="5"/>
  <c r="Q103" i="5" s="1"/>
  <c r="O101" i="5"/>
  <c r="Q101" i="5" s="1"/>
  <c r="O99" i="5"/>
  <c r="Q99" i="5" s="1"/>
  <c r="O70" i="5"/>
  <c r="Q70" i="5" s="1"/>
  <c r="O69" i="5"/>
  <c r="Q69" i="5" s="1"/>
  <c r="O57" i="5"/>
  <c r="Q57" i="5" s="1"/>
  <c r="O44" i="5"/>
  <c r="Q44" i="5" s="1"/>
  <c r="K43" i="4"/>
  <c r="G43" i="8"/>
  <c r="M314" i="5"/>
  <c r="P314" i="5" s="1"/>
  <c r="R314" i="5" s="1"/>
  <c r="M302" i="5"/>
  <c r="P302" i="5" s="1"/>
  <c r="R302" i="5" s="1"/>
  <c r="M297" i="5"/>
  <c r="P297" i="5" s="1"/>
  <c r="R297" i="5" s="1"/>
  <c r="M267" i="5"/>
  <c r="P267" i="5" s="1"/>
  <c r="R267" i="5" s="1"/>
  <c r="M257" i="5"/>
  <c r="P257" i="5" s="1"/>
  <c r="R257" i="5" s="1"/>
  <c r="M223" i="5"/>
  <c r="P223" i="5" s="1"/>
  <c r="R223" i="5" s="1"/>
  <c r="M199" i="5"/>
  <c r="P199" i="5" s="1"/>
  <c r="R199" i="5" s="1"/>
  <c r="M192" i="5"/>
  <c r="P192" i="5" s="1"/>
  <c r="R192" i="5" s="1"/>
  <c r="M172" i="5"/>
  <c r="P172" i="5" s="1"/>
  <c r="R172" i="5" s="1"/>
  <c r="M164" i="5"/>
  <c r="P164" i="5" s="1"/>
  <c r="J44" i="4"/>
  <c r="L44" i="4" s="1"/>
  <c r="M44" i="4" s="1"/>
  <c r="H43" i="8"/>
  <c r="O314" i="5"/>
  <c r="Q314" i="5" s="1"/>
  <c r="O302" i="5"/>
  <c r="Q302" i="5" s="1"/>
  <c r="O297" i="5"/>
  <c r="Q297" i="5" s="1"/>
  <c r="O267" i="5"/>
  <c r="Q267" i="5" s="1"/>
  <c r="O257" i="5"/>
  <c r="Q257" i="5" s="1"/>
  <c r="O223" i="5"/>
  <c r="Q223" i="5" s="1"/>
  <c r="O199" i="5"/>
  <c r="Q199" i="5" s="1"/>
  <c r="O192" i="5"/>
  <c r="Q192" i="5" s="1"/>
  <c r="O172" i="5"/>
  <c r="Q172" i="5" s="1"/>
  <c r="O164" i="5"/>
  <c r="Q164" i="5" s="1"/>
  <c r="Q272" i="5" s="1"/>
  <c r="K44" i="4"/>
  <c r="G44" i="8"/>
  <c r="M266" i="5"/>
  <c r="P266" i="5" s="1"/>
  <c r="R266" i="5" s="1"/>
  <c r="J45" i="4"/>
  <c r="L45" i="4" s="1"/>
  <c r="G45" i="8"/>
  <c r="M245" i="5"/>
  <c r="P245" i="5" s="1"/>
  <c r="R245" i="5" s="1"/>
  <c r="J46" i="4"/>
  <c r="L46" i="4" s="1"/>
  <c r="M46" i="4" s="1"/>
  <c r="H45" i="8"/>
  <c r="O245" i="5"/>
  <c r="Q245" i="5" s="1"/>
  <c r="K46" i="4"/>
  <c r="G46" i="8"/>
  <c r="M91" i="5"/>
  <c r="P91" i="5" s="1"/>
  <c r="R91" i="5" s="1"/>
  <c r="J47" i="4"/>
  <c r="L47" i="4" s="1"/>
  <c r="M47" i="4" s="1"/>
  <c r="H46" i="8"/>
  <c r="O91" i="5"/>
  <c r="Q91" i="5" s="1"/>
  <c r="K47" i="4"/>
  <c r="G50" i="8"/>
  <c r="M209" i="6"/>
  <c r="P209" i="6" s="1"/>
  <c r="J55" i="4"/>
  <c r="G51" i="8"/>
  <c r="M214" i="6"/>
  <c r="P214" i="6" s="1"/>
  <c r="R214" i="6" s="1"/>
  <c r="J56" i="4"/>
  <c r="L56" i="4" s="1"/>
  <c r="G52" i="8"/>
  <c r="M213" i="6"/>
  <c r="P213" i="6" s="1"/>
  <c r="R213" i="6" s="1"/>
  <c r="M168" i="6"/>
  <c r="P168" i="6" s="1"/>
  <c r="R168" i="6" s="1"/>
  <c r="M163" i="6"/>
  <c r="P163" i="6" s="1"/>
  <c r="R163" i="6" s="1"/>
  <c r="J57" i="4"/>
  <c r="L57" i="4" s="1"/>
  <c r="G53" i="8"/>
  <c r="M203" i="6"/>
  <c r="P203" i="6" s="1"/>
  <c r="R203" i="6" s="1"/>
  <c r="M169" i="6"/>
  <c r="P169" i="6" s="1"/>
  <c r="R169" i="6" s="1"/>
  <c r="M102" i="6"/>
  <c r="P102" i="6" s="1"/>
  <c r="R102" i="6" s="1"/>
  <c r="J58" i="4"/>
  <c r="L58" i="4" s="1"/>
  <c r="G54" i="8"/>
  <c r="M174" i="6"/>
  <c r="P174" i="6" s="1"/>
  <c r="R174" i="6" s="1"/>
  <c r="J59" i="4"/>
  <c r="L59" i="4" s="1"/>
  <c r="G55" i="8"/>
  <c r="M83" i="6"/>
  <c r="P83" i="6" s="1"/>
  <c r="R83" i="6" s="1"/>
  <c r="M78" i="6"/>
  <c r="P78" i="6" s="1"/>
  <c r="R78" i="6" s="1"/>
  <c r="M74" i="6"/>
  <c r="P74" i="6" s="1"/>
  <c r="R74" i="6" s="1"/>
  <c r="M70" i="6"/>
  <c r="P70" i="6" s="1"/>
  <c r="R70" i="6" s="1"/>
  <c r="M62" i="6"/>
  <c r="P62" i="6" s="1"/>
  <c r="R62" i="6" s="1"/>
  <c r="M61" i="6"/>
  <c r="P61" i="6" s="1"/>
  <c r="R61" i="6" s="1"/>
  <c r="M60" i="6"/>
  <c r="P60" i="6" s="1"/>
  <c r="R60" i="6" s="1"/>
  <c r="M59" i="6"/>
  <c r="P59" i="6" s="1"/>
  <c r="R59" i="6" s="1"/>
  <c r="M58" i="6"/>
  <c r="P58" i="6" s="1"/>
  <c r="R58" i="6" s="1"/>
  <c r="M53" i="6"/>
  <c r="P53" i="6" s="1"/>
  <c r="R53" i="6" s="1"/>
  <c r="M52" i="6"/>
  <c r="P52" i="6" s="1"/>
  <c r="R52" i="6" s="1"/>
  <c r="M51" i="6"/>
  <c r="P51" i="6" s="1"/>
  <c r="R51" i="6" s="1"/>
  <c r="M50" i="6"/>
  <c r="P50" i="6" s="1"/>
  <c r="R50" i="6" s="1"/>
  <c r="M49" i="6"/>
  <c r="P49" i="6" s="1"/>
  <c r="R49" i="6" s="1"/>
  <c r="M48" i="6"/>
  <c r="P48" i="6" s="1"/>
  <c r="R48" i="6" s="1"/>
  <c r="M47" i="6"/>
  <c r="P47" i="6" s="1"/>
  <c r="R47" i="6" s="1"/>
  <c r="M46" i="6"/>
  <c r="P46" i="6" s="1"/>
  <c r="R46" i="6" s="1"/>
  <c r="M45" i="6"/>
  <c r="P45" i="6" s="1"/>
  <c r="R45" i="6" s="1"/>
  <c r="M44" i="6"/>
  <c r="P44" i="6" s="1"/>
  <c r="R44" i="6" s="1"/>
  <c r="M41" i="6"/>
  <c r="P41" i="6" s="1"/>
  <c r="R41" i="6" s="1"/>
  <c r="M40" i="6"/>
  <c r="P40" i="6" s="1"/>
  <c r="R40" i="6" s="1"/>
  <c r="M39" i="6"/>
  <c r="P39" i="6" s="1"/>
  <c r="R39" i="6" s="1"/>
  <c r="M38" i="6"/>
  <c r="P38" i="6" s="1"/>
  <c r="R38" i="6" s="1"/>
  <c r="M37" i="6"/>
  <c r="P37" i="6" s="1"/>
  <c r="R37" i="6" s="1"/>
  <c r="M36" i="6"/>
  <c r="P36" i="6" s="1"/>
  <c r="R36" i="6" s="1"/>
  <c r="M35" i="6"/>
  <c r="P35" i="6" s="1"/>
  <c r="R35" i="6" s="1"/>
  <c r="M34" i="6"/>
  <c r="P34" i="6" s="1"/>
  <c r="R34" i="6" s="1"/>
  <c r="J60" i="4"/>
  <c r="L60" i="4" s="1"/>
  <c r="G56" i="8"/>
  <c r="M98" i="6"/>
  <c r="P98" i="6" s="1"/>
  <c r="R98" i="6" s="1"/>
  <c r="M97" i="6"/>
  <c r="P97" i="6" s="1"/>
  <c r="R97" i="6" s="1"/>
  <c r="M93" i="6"/>
  <c r="P93" i="6" s="1"/>
  <c r="R93" i="6" s="1"/>
  <c r="M92" i="6"/>
  <c r="P92" i="6" s="1"/>
  <c r="R92" i="6" s="1"/>
  <c r="M89" i="6"/>
  <c r="P89" i="6" s="1"/>
  <c r="R89" i="6" s="1"/>
  <c r="M88" i="6"/>
  <c r="P88" i="6" s="1"/>
  <c r="R88" i="6" s="1"/>
  <c r="M87" i="6"/>
  <c r="P87" i="6" s="1"/>
  <c r="R87" i="6" s="1"/>
  <c r="M84" i="6"/>
  <c r="P84" i="6" s="1"/>
  <c r="R84" i="6" s="1"/>
  <c r="J61" i="4"/>
  <c r="L61" i="4" s="1"/>
  <c r="G57" i="8"/>
  <c r="M172" i="6"/>
  <c r="P172" i="6" s="1"/>
  <c r="R172" i="6" s="1"/>
  <c r="M166" i="6"/>
  <c r="P166" i="6" s="1"/>
  <c r="R166" i="6" s="1"/>
  <c r="M161" i="6"/>
  <c r="P161" i="6" s="1"/>
  <c r="R161" i="6" s="1"/>
  <c r="M160" i="6"/>
  <c r="P160" i="6" s="1"/>
  <c r="R160" i="6" s="1"/>
  <c r="M155" i="6"/>
  <c r="P155" i="6" s="1"/>
  <c r="R155" i="6" s="1"/>
  <c r="M153" i="6"/>
  <c r="P153" i="6" s="1"/>
  <c r="R153" i="6" s="1"/>
  <c r="M152" i="6"/>
  <c r="P152" i="6" s="1"/>
  <c r="R152" i="6" s="1"/>
  <c r="M151" i="6"/>
  <c r="P151" i="6" s="1"/>
  <c r="R151" i="6" s="1"/>
  <c r="M144" i="6"/>
  <c r="P144" i="6" s="1"/>
  <c r="R144" i="6" s="1"/>
  <c r="M143" i="6"/>
  <c r="P143" i="6" s="1"/>
  <c r="R143" i="6" s="1"/>
  <c r="J62" i="4"/>
  <c r="L62" i="4" s="1"/>
  <c r="G58" i="8"/>
  <c r="M127" i="6"/>
  <c r="P127" i="6" s="1"/>
  <c r="R127" i="6" s="1"/>
  <c r="M110" i="6"/>
  <c r="P110" i="6" s="1"/>
  <c r="R110" i="6" s="1"/>
  <c r="M103" i="6"/>
  <c r="P103" i="6" s="1"/>
  <c r="R103" i="6" s="1"/>
  <c r="J63" i="4"/>
  <c r="L63" i="4" s="1"/>
  <c r="G59" i="8"/>
  <c r="M212" i="6"/>
  <c r="P212" i="6" s="1"/>
  <c r="R212" i="6" s="1"/>
  <c r="M210" i="6"/>
  <c r="P210" i="6" s="1"/>
  <c r="R210" i="6" s="1"/>
  <c r="M198" i="6"/>
  <c r="P198" i="6" s="1"/>
  <c r="R198" i="6" s="1"/>
  <c r="M196" i="6"/>
  <c r="P196" i="6" s="1"/>
  <c r="R196" i="6" s="1"/>
  <c r="M191" i="6"/>
  <c r="P191" i="6" s="1"/>
  <c r="R191" i="6" s="1"/>
  <c r="M189" i="6"/>
  <c r="P189" i="6" s="1"/>
  <c r="R189" i="6" s="1"/>
  <c r="M187" i="6"/>
  <c r="P187" i="6" s="1"/>
  <c r="R187" i="6" s="1"/>
  <c r="M185" i="6"/>
  <c r="P185" i="6" s="1"/>
  <c r="R185" i="6" s="1"/>
  <c r="M183" i="6"/>
  <c r="P183" i="6" s="1"/>
  <c r="R183" i="6" s="1"/>
  <c r="M181" i="6"/>
  <c r="P181" i="6" s="1"/>
  <c r="M177" i="6"/>
  <c r="P177" i="6" s="1"/>
  <c r="R177" i="6" s="1"/>
  <c r="M158" i="6"/>
  <c r="P158" i="6" s="1"/>
  <c r="R158" i="6" s="1"/>
  <c r="M156" i="6"/>
  <c r="P156" i="6" s="1"/>
  <c r="R156" i="6" s="1"/>
  <c r="M147" i="6"/>
  <c r="P147" i="6" s="1"/>
  <c r="R147" i="6" s="1"/>
  <c r="M141" i="6"/>
  <c r="P141" i="6" s="1"/>
  <c r="R141" i="6" s="1"/>
  <c r="M139" i="6"/>
  <c r="P139" i="6" s="1"/>
  <c r="R139" i="6" s="1"/>
  <c r="M137" i="6"/>
  <c r="P137" i="6" s="1"/>
  <c r="R137" i="6" s="1"/>
  <c r="M135" i="6"/>
  <c r="P135" i="6" s="1"/>
  <c r="R135" i="6" s="1"/>
  <c r="M133" i="6"/>
  <c r="P133" i="6" s="1"/>
  <c r="R133" i="6" s="1"/>
  <c r="M131" i="6"/>
  <c r="P131" i="6" s="1"/>
  <c r="R131" i="6" s="1"/>
  <c r="M123" i="6"/>
  <c r="P123" i="6" s="1"/>
  <c r="R123" i="6" s="1"/>
  <c r="M121" i="6"/>
  <c r="P121" i="6" s="1"/>
  <c r="R121" i="6" s="1"/>
  <c r="M119" i="6"/>
  <c r="P119" i="6" s="1"/>
  <c r="R119" i="6" s="1"/>
  <c r="M117" i="6"/>
  <c r="P117" i="6" s="1"/>
  <c r="R117" i="6" s="1"/>
  <c r="M115" i="6"/>
  <c r="P115" i="6" s="1"/>
  <c r="R115" i="6" s="1"/>
  <c r="M113" i="6"/>
  <c r="P113" i="6" s="1"/>
  <c r="R113" i="6" s="1"/>
  <c r="M111" i="6"/>
  <c r="P111" i="6" s="1"/>
  <c r="R111" i="6" s="1"/>
  <c r="M109" i="6"/>
  <c r="P109" i="6" s="1"/>
  <c r="R109" i="6" s="1"/>
  <c r="M107" i="6"/>
  <c r="P107" i="6" s="1"/>
  <c r="R107" i="6" s="1"/>
  <c r="M106" i="6"/>
  <c r="P106" i="6" s="1"/>
  <c r="R106" i="6" s="1"/>
  <c r="M105" i="6"/>
  <c r="P105" i="6" s="1"/>
  <c r="R105" i="6" s="1"/>
  <c r="M104" i="6"/>
  <c r="P104" i="6" s="1"/>
  <c r="R104" i="6" s="1"/>
  <c r="M91" i="6"/>
  <c r="P91" i="6" s="1"/>
  <c r="R91" i="6" s="1"/>
  <c r="M64" i="6"/>
  <c r="P64" i="6" s="1"/>
  <c r="R64" i="6" s="1"/>
  <c r="M29" i="6"/>
  <c r="P29" i="6" s="1"/>
  <c r="R29" i="6" s="1"/>
  <c r="M27" i="6"/>
  <c r="P27" i="6" s="1"/>
  <c r="R27" i="6" s="1"/>
  <c r="M25" i="6"/>
  <c r="P25" i="6" s="1"/>
  <c r="R25" i="6" s="1"/>
  <c r="M22" i="6"/>
  <c r="P22" i="6" s="1"/>
  <c r="R22" i="6" s="1"/>
  <c r="M20" i="6"/>
  <c r="P20" i="6" s="1"/>
  <c r="R20" i="6" s="1"/>
  <c r="M18" i="6"/>
  <c r="P18" i="6" s="1"/>
  <c r="R18" i="6" s="1"/>
  <c r="M16" i="6"/>
  <c r="P16" i="6" s="1"/>
  <c r="R16" i="6" s="1"/>
  <c r="M14" i="6"/>
  <c r="P14" i="6" s="1"/>
  <c r="R14" i="6" s="1"/>
  <c r="M12" i="6"/>
  <c r="P12" i="6" s="1"/>
  <c r="R12" i="6" s="1"/>
  <c r="M10" i="6"/>
  <c r="P10" i="6" s="1"/>
  <c r="R10" i="6" s="1"/>
  <c r="M8" i="6"/>
  <c r="P8" i="6" s="1"/>
  <c r="R8" i="6" s="1"/>
  <c r="M6" i="6"/>
  <c r="P6" i="6" s="1"/>
  <c r="R6" i="6" s="1"/>
  <c r="J64" i="4"/>
  <c r="L64" i="4" s="1"/>
  <c r="G60" i="8"/>
  <c r="M199" i="6"/>
  <c r="P199" i="6" s="1"/>
  <c r="R199" i="6" s="1"/>
  <c r="M197" i="6"/>
  <c r="P197" i="6" s="1"/>
  <c r="R197" i="6" s="1"/>
  <c r="M192" i="6"/>
  <c r="P192" i="6" s="1"/>
  <c r="R192" i="6" s="1"/>
  <c r="M190" i="6"/>
  <c r="P190" i="6" s="1"/>
  <c r="R190" i="6" s="1"/>
  <c r="M188" i="6"/>
  <c r="P188" i="6" s="1"/>
  <c r="R188" i="6" s="1"/>
  <c r="M186" i="6"/>
  <c r="P186" i="6" s="1"/>
  <c r="R186" i="6" s="1"/>
  <c r="M184" i="6"/>
  <c r="P184" i="6" s="1"/>
  <c r="R184" i="6" s="1"/>
  <c r="M182" i="6"/>
  <c r="P182" i="6" s="1"/>
  <c r="R182" i="6" s="1"/>
  <c r="M178" i="6"/>
  <c r="P178" i="6" s="1"/>
  <c r="R178" i="6" s="1"/>
  <c r="M159" i="6"/>
  <c r="P159" i="6" s="1"/>
  <c r="R159" i="6" s="1"/>
  <c r="M157" i="6"/>
  <c r="P157" i="6" s="1"/>
  <c r="R157" i="6" s="1"/>
  <c r="M148" i="6"/>
  <c r="P148" i="6" s="1"/>
  <c r="R148" i="6" s="1"/>
  <c r="M142" i="6"/>
  <c r="P142" i="6" s="1"/>
  <c r="R142" i="6" s="1"/>
  <c r="M140" i="6"/>
  <c r="P140" i="6" s="1"/>
  <c r="R140" i="6" s="1"/>
  <c r="M138" i="6"/>
  <c r="P138" i="6" s="1"/>
  <c r="R138" i="6" s="1"/>
  <c r="M136" i="6"/>
  <c r="P136" i="6" s="1"/>
  <c r="R136" i="6" s="1"/>
  <c r="M134" i="6"/>
  <c r="P134" i="6" s="1"/>
  <c r="R134" i="6" s="1"/>
  <c r="M132" i="6"/>
  <c r="P132" i="6" s="1"/>
  <c r="R132" i="6" s="1"/>
  <c r="M124" i="6"/>
  <c r="P124" i="6" s="1"/>
  <c r="R124" i="6" s="1"/>
  <c r="M122" i="6"/>
  <c r="P122" i="6" s="1"/>
  <c r="R122" i="6" s="1"/>
  <c r="M120" i="6"/>
  <c r="P120" i="6" s="1"/>
  <c r="R120" i="6" s="1"/>
  <c r="M118" i="6"/>
  <c r="P118" i="6" s="1"/>
  <c r="R118" i="6" s="1"/>
  <c r="M116" i="6"/>
  <c r="P116" i="6" s="1"/>
  <c r="R116" i="6" s="1"/>
  <c r="M114" i="6"/>
  <c r="P114" i="6" s="1"/>
  <c r="R114" i="6" s="1"/>
  <c r="M112" i="6"/>
  <c r="P112" i="6" s="1"/>
  <c r="R112" i="6" s="1"/>
  <c r="M108" i="6"/>
  <c r="P108" i="6" s="1"/>
  <c r="R108" i="6" s="1"/>
  <c r="M65" i="6"/>
  <c r="P65" i="6" s="1"/>
  <c r="R65" i="6" s="1"/>
  <c r="M30" i="6"/>
  <c r="P30" i="6" s="1"/>
  <c r="R30" i="6" s="1"/>
  <c r="M28" i="6"/>
  <c r="P28" i="6" s="1"/>
  <c r="R28" i="6" s="1"/>
  <c r="M26" i="6"/>
  <c r="P26" i="6" s="1"/>
  <c r="R26" i="6" s="1"/>
  <c r="M23" i="6"/>
  <c r="P23" i="6" s="1"/>
  <c r="R23" i="6" s="1"/>
  <c r="M21" i="6"/>
  <c r="P21" i="6" s="1"/>
  <c r="R21" i="6" s="1"/>
  <c r="M19" i="6"/>
  <c r="P19" i="6" s="1"/>
  <c r="R19" i="6" s="1"/>
  <c r="M17" i="6"/>
  <c r="P17" i="6" s="1"/>
  <c r="R17" i="6" s="1"/>
  <c r="M15" i="6"/>
  <c r="P15" i="6" s="1"/>
  <c r="R15" i="6" s="1"/>
  <c r="M13" i="6"/>
  <c r="P13" i="6" s="1"/>
  <c r="R13" i="6" s="1"/>
  <c r="M11" i="6"/>
  <c r="P11" i="6" s="1"/>
  <c r="R11" i="6" s="1"/>
  <c r="M9" i="6"/>
  <c r="P9" i="6" s="1"/>
  <c r="R9" i="6" s="1"/>
  <c r="M7" i="6"/>
  <c r="P7" i="6" s="1"/>
  <c r="R7" i="6" s="1"/>
  <c r="J65" i="4"/>
  <c r="L65" i="4" s="1"/>
  <c r="G61" i="8"/>
  <c r="M215" i="6"/>
  <c r="P215" i="6" s="1"/>
  <c r="R215" i="6" s="1"/>
  <c r="M202" i="6"/>
  <c r="P202" i="6" s="1"/>
  <c r="R202" i="6" s="1"/>
  <c r="M195" i="6"/>
  <c r="P195" i="6" s="1"/>
  <c r="R195" i="6" s="1"/>
  <c r="M176" i="6"/>
  <c r="P176" i="6" s="1"/>
  <c r="R176" i="6" s="1"/>
  <c r="M175" i="6"/>
  <c r="P175" i="6" s="1"/>
  <c r="R175" i="6" s="1"/>
  <c r="M173" i="6"/>
  <c r="P173" i="6" s="1"/>
  <c r="R173" i="6" s="1"/>
  <c r="M171" i="6"/>
  <c r="P171" i="6" s="1"/>
  <c r="R171" i="6" s="1"/>
  <c r="M170" i="6"/>
  <c r="P170" i="6" s="1"/>
  <c r="R170" i="6" s="1"/>
  <c r="M167" i="6"/>
  <c r="P167" i="6" s="1"/>
  <c r="R167" i="6" s="1"/>
  <c r="M164" i="6"/>
  <c r="P164" i="6" s="1"/>
  <c r="R164" i="6" s="1"/>
  <c r="M162" i="6"/>
  <c r="P162" i="6" s="1"/>
  <c r="R162" i="6" s="1"/>
  <c r="M149" i="6"/>
  <c r="P149" i="6" s="1"/>
  <c r="R149" i="6" s="1"/>
  <c r="M146" i="6"/>
  <c r="P146" i="6" s="1"/>
  <c r="R146" i="6" s="1"/>
  <c r="M130" i="6"/>
  <c r="P130" i="6" s="1"/>
  <c r="M125" i="6"/>
  <c r="P125" i="6" s="1"/>
  <c r="R125" i="6" s="1"/>
  <c r="M96" i="6"/>
  <c r="P96" i="6" s="1"/>
  <c r="R96" i="6" s="1"/>
  <c r="M90" i="6"/>
  <c r="P90" i="6" s="1"/>
  <c r="R90" i="6" s="1"/>
  <c r="M81" i="6"/>
  <c r="P81" i="6" s="1"/>
  <c r="R81" i="6" s="1"/>
  <c r="M80" i="6"/>
  <c r="P80" i="6" s="1"/>
  <c r="R80" i="6" s="1"/>
  <c r="M76" i="6"/>
  <c r="P76" i="6" s="1"/>
  <c r="R76" i="6" s="1"/>
  <c r="M75" i="6"/>
  <c r="P75" i="6" s="1"/>
  <c r="R75" i="6" s="1"/>
  <c r="M67" i="6"/>
  <c r="P67" i="6" s="1"/>
  <c r="R67" i="6" s="1"/>
  <c r="M63" i="6"/>
  <c r="P63" i="6" s="1"/>
  <c r="R63" i="6" s="1"/>
  <c r="M57" i="6"/>
  <c r="P57" i="6" s="1"/>
  <c r="R57" i="6" s="1"/>
  <c r="M54" i="6"/>
  <c r="P54" i="6" s="1"/>
  <c r="R54" i="6" s="1"/>
  <c r="M42" i="6"/>
  <c r="P42" i="6" s="1"/>
  <c r="R42" i="6" s="1"/>
  <c r="M33" i="6"/>
  <c r="P33" i="6" s="1"/>
  <c r="R33" i="6" s="1"/>
  <c r="M31" i="6"/>
  <c r="P31" i="6" s="1"/>
  <c r="R31" i="6" s="1"/>
  <c r="M24" i="6"/>
  <c r="P24" i="6" s="1"/>
  <c r="R24" i="6" s="1"/>
  <c r="M5" i="6"/>
  <c r="P5" i="6" s="1"/>
  <c r="J66" i="4"/>
  <c r="L66" i="4" s="1"/>
  <c r="G62" i="8"/>
  <c r="M211" i="6"/>
  <c r="P211" i="6" s="1"/>
  <c r="R211" i="6" s="1"/>
  <c r="M72" i="6"/>
  <c r="P72" i="6" s="1"/>
  <c r="R72" i="6" s="1"/>
  <c r="J67" i="4"/>
  <c r="L67" i="4" s="1"/>
  <c r="G63" i="8"/>
  <c r="M145" i="6"/>
  <c r="P145" i="6" s="1"/>
  <c r="R145" i="6" s="1"/>
  <c r="J68" i="4"/>
  <c r="L68" i="4" s="1"/>
  <c r="G64" i="8"/>
  <c r="M193" i="6"/>
  <c r="P193" i="6" s="1"/>
  <c r="R193" i="6" s="1"/>
  <c r="M68" i="6"/>
  <c r="P68" i="6" s="1"/>
  <c r="R68" i="6" s="1"/>
  <c r="J69" i="4"/>
  <c r="L69" i="4" s="1"/>
  <c r="G65" i="8"/>
  <c r="M206" i="6"/>
  <c r="P206" i="6" s="1"/>
  <c r="R206" i="6" s="1"/>
  <c r="M205" i="6"/>
  <c r="P205" i="6" s="1"/>
  <c r="R205" i="6" s="1"/>
  <c r="M204" i="6"/>
  <c r="P204" i="6" s="1"/>
  <c r="R204" i="6" s="1"/>
  <c r="M201" i="6"/>
  <c r="P201" i="6" s="1"/>
  <c r="R201" i="6" s="1"/>
  <c r="M200" i="6"/>
  <c r="P200" i="6" s="1"/>
  <c r="R200" i="6" s="1"/>
  <c r="M194" i="6"/>
  <c r="P194" i="6" s="1"/>
  <c r="R194" i="6" s="1"/>
  <c r="M165" i="6"/>
  <c r="P165" i="6" s="1"/>
  <c r="R165" i="6" s="1"/>
  <c r="M154" i="6"/>
  <c r="P154" i="6" s="1"/>
  <c r="R154" i="6" s="1"/>
  <c r="M150" i="6"/>
  <c r="P150" i="6" s="1"/>
  <c r="R150" i="6" s="1"/>
  <c r="M126" i="6"/>
  <c r="P126" i="6" s="1"/>
  <c r="R126" i="6" s="1"/>
  <c r="M95" i="6"/>
  <c r="P95" i="6" s="1"/>
  <c r="R95" i="6" s="1"/>
  <c r="M94" i="6"/>
  <c r="P94" i="6" s="1"/>
  <c r="R94" i="6" s="1"/>
  <c r="M86" i="6"/>
  <c r="P86" i="6" s="1"/>
  <c r="R86" i="6" s="1"/>
  <c r="M85" i="6"/>
  <c r="P85" i="6" s="1"/>
  <c r="R85" i="6" s="1"/>
  <c r="M82" i="6"/>
  <c r="P82" i="6" s="1"/>
  <c r="R82" i="6" s="1"/>
  <c r="M79" i="6"/>
  <c r="P79" i="6" s="1"/>
  <c r="R79" i="6" s="1"/>
  <c r="M77" i="6"/>
  <c r="P77" i="6" s="1"/>
  <c r="R77" i="6" s="1"/>
  <c r="M73" i="6"/>
  <c r="P73" i="6" s="1"/>
  <c r="R73" i="6" s="1"/>
  <c r="M71" i="6"/>
  <c r="P71" i="6" s="1"/>
  <c r="R71" i="6" s="1"/>
  <c r="M69" i="6"/>
  <c r="P69" i="6" s="1"/>
  <c r="R69" i="6" s="1"/>
  <c r="M56" i="6"/>
  <c r="P56" i="6" s="1"/>
  <c r="R56" i="6" s="1"/>
  <c r="M55" i="6"/>
  <c r="P55" i="6" s="1"/>
  <c r="R55" i="6" s="1"/>
  <c r="M43" i="6"/>
  <c r="P43" i="6" s="1"/>
  <c r="R43" i="6" s="1"/>
  <c r="M32" i="6"/>
  <c r="P32" i="6" s="1"/>
  <c r="R32" i="6" s="1"/>
  <c r="J70" i="4"/>
  <c r="L70" i="4" s="1"/>
  <c r="G66" i="8"/>
  <c r="M66" i="6"/>
  <c r="P66" i="6" s="1"/>
  <c r="R66" i="6" s="1"/>
  <c r="J71" i="4"/>
  <c r="L71" i="4" s="1"/>
  <c r="G70" i="8"/>
  <c r="M210" i="7"/>
  <c r="P210" i="7" s="1"/>
  <c r="J79" i="4"/>
  <c r="G71" i="8"/>
  <c r="M215" i="7"/>
  <c r="P215" i="7" s="1"/>
  <c r="R215" i="7" s="1"/>
  <c r="J80" i="4"/>
  <c r="L80" i="4" s="1"/>
  <c r="G72" i="8"/>
  <c r="M214" i="7"/>
  <c r="P214" i="7" s="1"/>
  <c r="R214" i="7" s="1"/>
  <c r="M169" i="7"/>
  <c r="P169" i="7" s="1"/>
  <c r="R169" i="7" s="1"/>
  <c r="M164" i="7"/>
  <c r="P164" i="7" s="1"/>
  <c r="R164" i="7" s="1"/>
  <c r="J81" i="4"/>
  <c r="L81" i="4" s="1"/>
  <c r="G73" i="8"/>
  <c r="M204" i="7"/>
  <c r="P204" i="7" s="1"/>
  <c r="R204" i="7" s="1"/>
  <c r="M170" i="7"/>
  <c r="P170" i="7" s="1"/>
  <c r="R170" i="7" s="1"/>
  <c r="M103" i="7"/>
  <c r="P103" i="7" s="1"/>
  <c r="R103" i="7" s="1"/>
  <c r="J82" i="4"/>
  <c r="L82" i="4" s="1"/>
  <c r="G74" i="8"/>
  <c r="M175" i="7"/>
  <c r="P175" i="7" s="1"/>
  <c r="R175" i="7" s="1"/>
  <c r="J83" i="4"/>
  <c r="L83" i="4" s="1"/>
  <c r="G75" i="8"/>
  <c r="M84" i="7"/>
  <c r="P84" i="7" s="1"/>
  <c r="R84" i="7" s="1"/>
  <c r="M79" i="7"/>
  <c r="P79" i="7" s="1"/>
  <c r="R79" i="7" s="1"/>
  <c r="M75" i="7"/>
  <c r="P75" i="7" s="1"/>
  <c r="R75" i="7" s="1"/>
  <c r="M71" i="7"/>
  <c r="P71" i="7" s="1"/>
  <c r="R71" i="7" s="1"/>
  <c r="M62" i="7"/>
  <c r="P62" i="7" s="1"/>
  <c r="R62" i="7" s="1"/>
  <c r="M61" i="7"/>
  <c r="P61" i="7" s="1"/>
  <c r="R61" i="7" s="1"/>
  <c r="M60" i="7"/>
  <c r="P60" i="7" s="1"/>
  <c r="R60" i="7" s="1"/>
  <c r="M59" i="7"/>
  <c r="P59" i="7" s="1"/>
  <c r="R59" i="7" s="1"/>
  <c r="M58" i="7"/>
  <c r="P58" i="7" s="1"/>
  <c r="R58" i="7" s="1"/>
  <c r="M53" i="7"/>
  <c r="P53" i="7" s="1"/>
  <c r="R53" i="7" s="1"/>
  <c r="M52" i="7"/>
  <c r="P52" i="7" s="1"/>
  <c r="R52" i="7" s="1"/>
  <c r="M51" i="7"/>
  <c r="P51" i="7" s="1"/>
  <c r="R51" i="7" s="1"/>
  <c r="M50" i="7"/>
  <c r="P50" i="7" s="1"/>
  <c r="R50" i="7" s="1"/>
  <c r="M49" i="7"/>
  <c r="P49" i="7" s="1"/>
  <c r="R49" i="7" s="1"/>
  <c r="M48" i="7"/>
  <c r="P48" i="7" s="1"/>
  <c r="R48" i="7" s="1"/>
  <c r="M47" i="7"/>
  <c r="P47" i="7" s="1"/>
  <c r="R47" i="7" s="1"/>
  <c r="M46" i="7"/>
  <c r="P46" i="7" s="1"/>
  <c r="R46" i="7" s="1"/>
  <c r="M45" i="7"/>
  <c r="P45" i="7" s="1"/>
  <c r="R45" i="7" s="1"/>
  <c r="M44" i="7"/>
  <c r="P44" i="7" s="1"/>
  <c r="R44" i="7" s="1"/>
  <c r="M41" i="7"/>
  <c r="P41" i="7" s="1"/>
  <c r="R41" i="7" s="1"/>
  <c r="M40" i="7"/>
  <c r="P40" i="7" s="1"/>
  <c r="R40" i="7" s="1"/>
  <c r="M39" i="7"/>
  <c r="P39" i="7" s="1"/>
  <c r="R39" i="7" s="1"/>
  <c r="M38" i="7"/>
  <c r="P38" i="7" s="1"/>
  <c r="R38" i="7" s="1"/>
  <c r="M37" i="7"/>
  <c r="P37" i="7" s="1"/>
  <c r="R37" i="7" s="1"/>
  <c r="M36" i="7"/>
  <c r="P36" i="7" s="1"/>
  <c r="R36" i="7" s="1"/>
  <c r="M35" i="7"/>
  <c r="P35" i="7" s="1"/>
  <c r="R35" i="7" s="1"/>
  <c r="M34" i="7"/>
  <c r="P34" i="7" s="1"/>
  <c r="R34" i="7" s="1"/>
  <c r="J84" i="4"/>
  <c r="L84" i="4" s="1"/>
  <c r="G76" i="8"/>
  <c r="M99" i="7"/>
  <c r="P99" i="7" s="1"/>
  <c r="R99" i="7" s="1"/>
  <c r="M98" i="7"/>
  <c r="P98" i="7" s="1"/>
  <c r="R98" i="7" s="1"/>
  <c r="M94" i="7"/>
  <c r="P94" i="7" s="1"/>
  <c r="R94" i="7" s="1"/>
  <c r="M93" i="7"/>
  <c r="P93" i="7" s="1"/>
  <c r="R93" i="7" s="1"/>
  <c r="M90" i="7"/>
  <c r="P90" i="7" s="1"/>
  <c r="R90" i="7" s="1"/>
  <c r="M89" i="7"/>
  <c r="P89" i="7" s="1"/>
  <c r="R89" i="7" s="1"/>
  <c r="M88" i="7"/>
  <c r="P88" i="7" s="1"/>
  <c r="R88" i="7" s="1"/>
  <c r="M85" i="7"/>
  <c r="P85" i="7" s="1"/>
  <c r="R85" i="7" s="1"/>
  <c r="J85" i="4"/>
  <c r="L85" i="4" s="1"/>
  <c r="G77" i="8"/>
  <c r="M173" i="7"/>
  <c r="P173" i="7" s="1"/>
  <c r="R173" i="7" s="1"/>
  <c r="M167" i="7"/>
  <c r="P167" i="7" s="1"/>
  <c r="R167" i="7" s="1"/>
  <c r="M162" i="7"/>
  <c r="P162" i="7" s="1"/>
  <c r="R162" i="7" s="1"/>
  <c r="M161" i="7"/>
  <c r="P161" i="7" s="1"/>
  <c r="R161" i="7" s="1"/>
  <c r="M156" i="7"/>
  <c r="P156" i="7" s="1"/>
  <c r="R156" i="7" s="1"/>
  <c r="M154" i="7"/>
  <c r="P154" i="7" s="1"/>
  <c r="R154" i="7" s="1"/>
  <c r="M153" i="7"/>
  <c r="P153" i="7" s="1"/>
  <c r="R153" i="7" s="1"/>
  <c r="M152" i="7"/>
  <c r="P152" i="7" s="1"/>
  <c r="R152" i="7" s="1"/>
  <c r="M145" i="7"/>
  <c r="P145" i="7" s="1"/>
  <c r="R145" i="7" s="1"/>
  <c r="M144" i="7"/>
  <c r="P144" i="7" s="1"/>
  <c r="R144" i="7" s="1"/>
  <c r="J86" i="4"/>
  <c r="L86" i="4" s="1"/>
  <c r="G78" i="8"/>
  <c r="M128" i="7"/>
  <c r="P128" i="7" s="1"/>
  <c r="R128" i="7" s="1"/>
  <c r="M111" i="7"/>
  <c r="P111" i="7" s="1"/>
  <c r="R111" i="7" s="1"/>
  <c r="M104" i="7"/>
  <c r="P104" i="7" s="1"/>
  <c r="R104" i="7" s="1"/>
  <c r="J87" i="4"/>
  <c r="L87" i="4" s="1"/>
  <c r="G79" i="8"/>
  <c r="M213" i="7"/>
  <c r="P213" i="7" s="1"/>
  <c r="R213" i="7" s="1"/>
  <c r="M211" i="7"/>
  <c r="P211" i="7" s="1"/>
  <c r="R211" i="7" s="1"/>
  <c r="M199" i="7"/>
  <c r="P199" i="7" s="1"/>
  <c r="R199" i="7" s="1"/>
  <c r="M197" i="7"/>
  <c r="P197" i="7" s="1"/>
  <c r="R197" i="7" s="1"/>
  <c r="M192" i="7"/>
  <c r="P192" i="7" s="1"/>
  <c r="R192" i="7" s="1"/>
  <c r="M190" i="7"/>
  <c r="P190" i="7" s="1"/>
  <c r="R190" i="7" s="1"/>
  <c r="M188" i="7"/>
  <c r="P188" i="7" s="1"/>
  <c r="R188" i="7" s="1"/>
  <c r="M186" i="7"/>
  <c r="P186" i="7" s="1"/>
  <c r="R186" i="7" s="1"/>
  <c r="M184" i="7"/>
  <c r="P184" i="7" s="1"/>
  <c r="R184" i="7" s="1"/>
  <c r="M182" i="7"/>
  <c r="P182" i="7" s="1"/>
  <c r="M178" i="7"/>
  <c r="P178" i="7" s="1"/>
  <c r="R178" i="7" s="1"/>
  <c r="M159" i="7"/>
  <c r="P159" i="7" s="1"/>
  <c r="R159" i="7" s="1"/>
  <c r="M157" i="7"/>
  <c r="P157" i="7" s="1"/>
  <c r="R157" i="7" s="1"/>
  <c r="M148" i="7"/>
  <c r="P148" i="7" s="1"/>
  <c r="R148" i="7" s="1"/>
  <c r="M142" i="7"/>
  <c r="P142" i="7" s="1"/>
  <c r="R142" i="7" s="1"/>
  <c r="M140" i="7"/>
  <c r="P140" i="7" s="1"/>
  <c r="R140" i="7" s="1"/>
  <c r="M138" i="7"/>
  <c r="P138" i="7" s="1"/>
  <c r="R138" i="7" s="1"/>
  <c r="M136" i="7"/>
  <c r="P136" i="7" s="1"/>
  <c r="R136" i="7" s="1"/>
  <c r="M134" i="7"/>
  <c r="P134" i="7" s="1"/>
  <c r="R134" i="7" s="1"/>
  <c r="M132" i="7"/>
  <c r="P132" i="7" s="1"/>
  <c r="R132" i="7" s="1"/>
  <c r="M124" i="7"/>
  <c r="P124" i="7" s="1"/>
  <c r="R124" i="7" s="1"/>
  <c r="M122" i="7"/>
  <c r="P122" i="7" s="1"/>
  <c r="R122" i="7" s="1"/>
  <c r="M120" i="7"/>
  <c r="P120" i="7" s="1"/>
  <c r="R120" i="7" s="1"/>
  <c r="M118" i="7"/>
  <c r="P118" i="7" s="1"/>
  <c r="R118" i="7" s="1"/>
  <c r="M116" i="7"/>
  <c r="P116" i="7" s="1"/>
  <c r="R116" i="7" s="1"/>
  <c r="M114" i="7"/>
  <c r="P114" i="7" s="1"/>
  <c r="R114" i="7" s="1"/>
  <c r="M112" i="7"/>
  <c r="P112" i="7" s="1"/>
  <c r="R112" i="7" s="1"/>
  <c r="M110" i="7"/>
  <c r="P110" i="7" s="1"/>
  <c r="R110" i="7" s="1"/>
  <c r="M108" i="7"/>
  <c r="P108" i="7" s="1"/>
  <c r="R108" i="7" s="1"/>
  <c r="M107" i="7"/>
  <c r="P107" i="7" s="1"/>
  <c r="R107" i="7" s="1"/>
  <c r="M106" i="7"/>
  <c r="P106" i="7" s="1"/>
  <c r="R106" i="7" s="1"/>
  <c r="M105" i="7"/>
  <c r="P105" i="7" s="1"/>
  <c r="R105" i="7" s="1"/>
  <c r="M92" i="7"/>
  <c r="P92" i="7" s="1"/>
  <c r="R92" i="7" s="1"/>
  <c r="M64" i="7"/>
  <c r="P64" i="7" s="1"/>
  <c r="R64" i="7" s="1"/>
  <c r="M29" i="7"/>
  <c r="P29" i="7" s="1"/>
  <c r="R29" i="7" s="1"/>
  <c r="M27" i="7"/>
  <c r="P27" i="7" s="1"/>
  <c r="R27" i="7" s="1"/>
  <c r="M25" i="7"/>
  <c r="P25" i="7" s="1"/>
  <c r="R25" i="7" s="1"/>
  <c r="M22" i="7"/>
  <c r="P22" i="7" s="1"/>
  <c r="R22" i="7" s="1"/>
  <c r="M20" i="7"/>
  <c r="P20" i="7" s="1"/>
  <c r="R20" i="7" s="1"/>
  <c r="M18" i="7"/>
  <c r="P18" i="7" s="1"/>
  <c r="R18" i="7" s="1"/>
  <c r="M16" i="7"/>
  <c r="P16" i="7" s="1"/>
  <c r="R16" i="7" s="1"/>
  <c r="M14" i="7"/>
  <c r="P14" i="7" s="1"/>
  <c r="R14" i="7" s="1"/>
  <c r="M12" i="7"/>
  <c r="P12" i="7" s="1"/>
  <c r="R12" i="7" s="1"/>
  <c r="M10" i="7"/>
  <c r="P10" i="7" s="1"/>
  <c r="R10" i="7" s="1"/>
  <c r="M8" i="7"/>
  <c r="P8" i="7" s="1"/>
  <c r="R8" i="7" s="1"/>
  <c r="M6" i="7"/>
  <c r="P6" i="7" s="1"/>
  <c r="R6" i="7" s="1"/>
  <c r="J88" i="4"/>
  <c r="L88" i="4" s="1"/>
  <c r="G80" i="8"/>
  <c r="M200" i="7"/>
  <c r="P200" i="7" s="1"/>
  <c r="R200" i="7" s="1"/>
  <c r="M198" i="7"/>
  <c r="P198" i="7" s="1"/>
  <c r="R198" i="7" s="1"/>
  <c r="M193" i="7"/>
  <c r="P193" i="7" s="1"/>
  <c r="R193" i="7" s="1"/>
  <c r="M191" i="7"/>
  <c r="P191" i="7" s="1"/>
  <c r="R191" i="7" s="1"/>
  <c r="M189" i="7"/>
  <c r="P189" i="7" s="1"/>
  <c r="R189" i="7" s="1"/>
  <c r="M187" i="7"/>
  <c r="P187" i="7" s="1"/>
  <c r="R187" i="7" s="1"/>
  <c r="M185" i="7"/>
  <c r="P185" i="7" s="1"/>
  <c r="R185" i="7" s="1"/>
  <c r="M183" i="7"/>
  <c r="P183" i="7" s="1"/>
  <c r="R183" i="7" s="1"/>
  <c r="M179" i="7"/>
  <c r="P179" i="7" s="1"/>
  <c r="R179" i="7" s="1"/>
  <c r="M160" i="7"/>
  <c r="P160" i="7" s="1"/>
  <c r="R160" i="7" s="1"/>
  <c r="M158" i="7"/>
  <c r="P158" i="7" s="1"/>
  <c r="R158" i="7" s="1"/>
  <c r="M149" i="7"/>
  <c r="P149" i="7" s="1"/>
  <c r="R149" i="7" s="1"/>
  <c r="M143" i="7"/>
  <c r="P143" i="7" s="1"/>
  <c r="R143" i="7" s="1"/>
  <c r="M141" i="7"/>
  <c r="P141" i="7" s="1"/>
  <c r="R141" i="7" s="1"/>
  <c r="M139" i="7"/>
  <c r="P139" i="7" s="1"/>
  <c r="R139" i="7" s="1"/>
  <c r="M137" i="7"/>
  <c r="P137" i="7" s="1"/>
  <c r="R137" i="7" s="1"/>
  <c r="M135" i="7"/>
  <c r="P135" i="7" s="1"/>
  <c r="R135" i="7" s="1"/>
  <c r="M133" i="7"/>
  <c r="P133" i="7" s="1"/>
  <c r="R133" i="7" s="1"/>
  <c r="M125" i="7"/>
  <c r="P125" i="7" s="1"/>
  <c r="R125" i="7" s="1"/>
  <c r="M123" i="7"/>
  <c r="P123" i="7" s="1"/>
  <c r="R123" i="7" s="1"/>
  <c r="M121" i="7"/>
  <c r="P121" i="7" s="1"/>
  <c r="R121" i="7" s="1"/>
  <c r="M119" i="7"/>
  <c r="P119" i="7" s="1"/>
  <c r="R119" i="7" s="1"/>
  <c r="M117" i="7"/>
  <c r="P117" i="7" s="1"/>
  <c r="R117" i="7" s="1"/>
  <c r="M115" i="7"/>
  <c r="P115" i="7" s="1"/>
  <c r="R115" i="7" s="1"/>
  <c r="M113" i="7"/>
  <c r="P113" i="7" s="1"/>
  <c r="R113" i="7" s="1"/>
  <c r="M109" i="7"/>
  <c r="P109" i="7" s="1"/>
  <c r="R109" i="7" s="1"/>
  <c r="M65" i="7"/>
  <c r="P65" i="7" s="1"/>
  <c r="R65" i="7" s="1"/>
  <c r="M30" i="7"/>
  <c r="P30" i="7" s="1"/>
  <c r="R30" i="7" s="1"/>
  <c r="M28" i="7"/>
  <c r="P28" i="7" s="1"/>
  <c r="R28" i="7" s="1"/>
  <c r="M26" i="7"/>
  <c r="P26" i="7" s="1"/>
  <c r="R26" i="7" s="1"/>
  <c r="M23" i="7"/>
  <c r="P23" i="7" s="1"/>
  <c r="R23" i="7" s="1"/>
  <c r="M21" i="7"/>
  <c r="P21" i="7" s="1"/>
  <c r="R21" i="7" s="1"/>
  <c r="M19" i="7"/>
  <c r="P19" i="7" s="1"/>
  <c r="R19" i="7" s="1"/>
  <c r="M17" i="7"/>
  <c r="P17" i="7" s="1"/>
  <c r="R17" i="7" s="1"/>
  <c r="M15" i="7"/>
  <c r="P15" i="7" s="1"/>
  <c r="R15" i="7" s="1"/>
  <c r="M13" i="7"/>
  <c r="P13" i="7" s="1"/>
  <c r="R13" i="7" s="1"/>
  <c r="M11" i="7"/>
  <c r="P11" i="7" s="1"/>
  <c r="R11" i="7" s="1"/>
  <c r="M9" i="7"/>
  <c r="P9" i="7" s="1"/>
  <c r="R9" i="7" s="1"/>
  <c r="M7" i="7"/>
  <c r="P7" i="7" s="1"/>
  <c r="R7" i="7" s="1"/>
  <c r="J89" i="4"/>
  <c r="L89" i="4" s="1"/>
  <c r="G81" i="8"/>
  <c r="M216" i="7"/>
  <c r="P216" i="7" s="1"/>
  <c r="R216" i="7" s="1"/>
  <c r="M203" i="7"/>
  <c r="P203" i="7" s="1"/>
  <c r="R203" i="7" s="1"/>
  <c r="M196" i="7"/>
  <c r="P196" i="7" s="1"/>
  <c r="R196" i="7" s="1"/>
  <c r="M177" i="7"/>
  <c r="P177" i="7" s="1"/>
  <c r="R177" i="7" s="1"/>
  <c r="M176" i="7"/>
  <c r="P176" i="7" s="1"/>
  <c r="R176" i="7" s="1"/>
  <c r="M174" i="7"/>
  <c r="P174" i="7" s="1"/>
  <c r="R174" i="7" s="1"/>
  <c r="M172" i="7"/>
  <c r="P172" i="7" s="1"/>
  <c r="R172" i="7" s="1"/>
  <c r="M171" i="7"/>
  <c r="P171" i="7" s="1"/>
  <c r="R171" i="7" s="1"/>
  <c r="M168" i="7"/>
  <c r="P168" i="7" s="1"/>
  <c r="R168" i="7" s="1"/>
  <c r="M165" i="7"/>
  <c r="P165" i="7" s="1"/>
  <c r="R165" i="7" s="1"/>
  <c r="M163" i="7"/>
  <c r="P163" i="7" s="1"/>
  <c r="R163" i="7" s="1"/>
  <c r="M150" i="7"/>
  <c r="P150" i="7" s="1"/>
  <c r="R150" i="7" s="1"/>
  <c r="M147" i="7"/>
  <c r="P147" i="7" s="1"/>
  <c r="R147" i="7" s="1"/>
  <c r="M131" i="7"/>
  <c r="P131" i="7" s="1"/>
  <c r="M126" i="7"/>
  <c r="P126" i="7" s="1"/>
  <c r="R126" i="7" s="1"/>
  <c r="M97" i="7"/>
  <c r="P97" i="7" s="1"/>
  <c r="R97" i="7" s="1"/>
  <c r="M91" i="7"/>
  <c r="P91" i="7" s="1"/>
  <c r="R91" i="7" s="1"/>
  <c r="M82" i="7"/>
  <c r="P82" i="7" s="1"/>
  <c r="R82" i="7" s="1"/>
  <c r="M81" i="7"/>
  <c r="P81" i="7" s="1"/>
  <c r="R81" i="7" s="1"/>
  <c r="M77" i="7"/>
  <c r="P77" i="7" s="1"/>
  <c r="R77" i="7" s="1"/>
  <c r="M76" i="7"/>
  <c r="P76" i="7" s="1"/>
  <c r="R76" i="7" s="1"/>
  <c r="M68" i="7"/>
  <c r="P68" i="7" s="1"/>
  <c r="R68" i="7" s="1"/>
  <c r="M63" i="7"/>
  <c r="P63" i="7" s="1"/>
  <c r="R63" i="7" s="1"/>
  <c r="M57" i="7"/>
  <c r="P57" i="7" s="1"/>
  <c r="R57" i="7" s="1"/>
  <c r="M54" i="7"/>
  <c r="P54" i="7" s="1"/>
  <c r="R54" i="7" s="1"/>
  <c r="M42" i="7"/>
  <c r="P42" i="7" s="1"/>
  <c r="R42" i="7" s="1"/>
  <c r="M33" i="7"/>
  <c r="P33" i="7" s="1"/>
  <c r="R33" i="7" s="1"/>
  <c r="M31" i="7"/>
  <c r="P31" i="7" s="1"/>
  <c r="R31" i="7" s="1"/>
  <c r="M24" i="7"/>
  <c r="P24" i="7" s="1"/>
  <c r="R24" i="7" s="1"/>
  <c r="M5" i="7"/>
  <c r="P5" i="7" s="1"/>
  <c r="J90" i="4"/>
  <c r="L90" i="4" s="1"/>
  <c r="G82" i="8"/>
  <c r="M212" i="7"/>
  <c r="P212" i="7" s="1"/>
  <c r="R212" i="7" s="1"/>
  <c r="M73" i="7"/>
  <c r="P73" i="7" s="1"/>
  <c r="R73" i="7" s="1"/>
  <c r="J91" i="4"/>
  <c r="L91" i="4" s="1"/>
  <c r="G83" i="8"/>
  <c r="M146" i="7"/>
  <c r="P146" i="7" s="1"/>
  <c r="R146" i="7" s="1"/>
  <c r="J92" i="4"/>
  <c r="L92" i="4" s="1"/>
  <c r="G84" i="8"/>
  <c r="M194" i="7"/>
  <c r="P194" i="7" s="1"/>
  <c r="R194" i="7" s="1"/>
  <c r="M69" i="7"/>
  <c r="P69" i="7" s="1"/>
  <c r="R69" i="7" s="1"/>
  <c r="J93" i="4"/>
  <c r="L93" i="4" s="1"/>
  <c r="G85" i="8"/>
  <c r="M207" i="7"/>
  <c r="P207" i="7" s="1"/>
  <c r="R207" i="7" s="1"/>
  <c r="M206" i="7"/>
  <c r="P206" i="7" s="1"/>
  <c r="R206" i="7" s="1"/>
  <c r="M205" i="7"/>
  <c r="P205" i="7" s="1"/>
  <c r="R205" i="7" s="1"/>
  <c r="M202" i="7"/>
  <c r="P202" i="7" s="1"/>
  <c r="R202" i="7" s="1"/>
  <c r="M201" i="7"/>
  <c r="P201" i="7" s="1"/>
  <c r="R201" i="7" s="1"/>
  <c r="M195" i="7"/>
  <c r="P195" i="7" s="1"/>
  <c r="R195" i="7" s="1"/>
  <c r="M166" i="7"/>
  <c r="P166" i="7" s="1"/>
  <c r="R166" i="7" s="1"/>
  <c r="M155" i="7"/>
  <c r="P155" i="7" s="1"/>
  <c r="R155" i="7" s="1"/>
  <c r="M151" i="7"/>
  <c r="P151" i="7" s="1"/>
  <c r="R151" i="7" s="1"/>
  <c r="M127" i="7"/>
  <c r="P127" i="7" s="1"/>
  <c r="R127" i="7" s="1"/>
  <c r="M96" i="7"/>
  <c r="P96" i="7" s="1"/>
  <c r="R96" i="7" s="1"/>
  <c r="M95" i="7"/>
  <c r="P95" i="7" s="1"/>
  <c r="R95" i="7" s="1"/>
  <c r="M87" i="7"/>
  <c r="P87" i="7" s="1"/>
  <c r="R87" i="7" s="1"/>
  <c r="M86" i="7"/>
  <c r="P86" i="7" s="1"/>
  <c r="R86" i="7" s="1"/>
  <c r="M83" i="7"/>
  <c r="P83" i="7" s="1"/>
  <c r="R83" i="7" s="1"/>
  <c r="M80" i="7"/>
  <c r="P80" i="7" s="1"/>
  <c r="R80" i="7" s="1"/>
  <c r="M78" i="7"/>
  <c r="P78" i="7" s="1"/>
  <c r="R78" i="7" s="1"/>
  <c r="M74" i="7"/>
  <c r="P74" i="7" s="1"/>
  <c r="R74" i="7" s="1"/>
  <c r="M72" i="7"/>
  <c r="P72" i="7" s="1"/>
  <c r="R72" i="7" s="1"/>
  <c r="M70" i="7"/>
  <c r="P70" i="7" s="1"/>
  <c r="R70" i="7" s="1"/>
  <c r="M56" i="7"/>
  <c r="P56" i="7" s="1"/>
  <c r="R56" i="7" s="1"/>
  <c r="M55" i="7"/>
  <c r="P55" i="7" s="1"/>
  <c r="R55" i="7" s="1"/>
  <c r="M43" i="7"/>
  <c r="P43" i="7" s="1"/>
  <c r="R43" i="7" s="1"/>
  <c r="M32" i="7"/>
  <c r="P32" i="7" s="1"/>
  <c r="R32" i="7" s="1"/>
  <c r="J94" i="4"/>
  <c r="L94" i="4" s="1"/>
  <c r="G86" i="8"/>
  <c r="M67" i="7"/>
  <c r="P67" i="7" s="1"/>
  <c r="R67" i="7" s="1"/>
  <c r="J95" i="4"/>
  <c r="L95" i="4" s="1"/>
  <c r="R90" i="5"/>
  <c r="S90" i="5" s="1"/>
  <c r="Q90" i="5"/>
  <c r="R66" i="7"/>
  <c r="S66" i="7" s="1"/>
  <c r="Q66" i="7"/>
  <c r="P100" i="7" l="1"/>
  <c r="R5" i="7"/>
  <c r="P180" i="7"/>
  <c r="R131" i="7"/>
  <c r="P208" i="7"/>
  <c r="R182" i="7"/>
  <c r="J97" i="4"/>
  <c r="L79" i="4"/>
  <c r="P217" i="7"/>
  <c r="R210" i="7"/>
  <c r="P99" i="6"/>
  <c r="R5" i="6"/>
  <c r="P179" i="6"/>
  <c r="R130" i="6"/>
  <c r="P207" i="6"/>
  <c r="R181" i="6"/>
  <c r="J73" i="4"/>
  <c r="L55" i="4"/>
  <c r="P216" i="6"/>
  <c r="R209" i="6"/>
  <c r="S91" i="5"/>
  <c r="S245" i="5"/>
  <c r="P272" i="5"/>
  <c r="R164" i="5"/>
  <c r="S172" i="5"/>
  <c r="S192" i="5"/>
  <c r="S199" i="5"/>
  <c r="S223" i="5"/>
  <c r="S257" i="5"/>
  <c r="S267" i="5"/>
  <c r="S297" i="5"/>
  <c r="S302" i="5"/>
  <c r="S314" i="5"/>
  <c r="S44" i="5"/>
  <c r="S57" i="5"/>
  <c r="S69" i="5"/>
  <c r="S70" i="5"/>
  <c r="S99" i="5"/>
  <c r="S101" i="5"/>
  <c r="S103" i="5"/>
  <c r="S107" i="5"/>
  <c r="S109" i="5"/>
  <c r="S112" i="5"/>
  <c r="S124" i="5"/>
  <c r="S125" i="5"/>
  <c r="S137" i="5"/>
  <c r="S138" i="5"/>
  <c r="S262" i="5"/>
  <c r="S357" i="5"/>
  <c r="S364" i="5"/>
  <c r="S365" i="5"/>
  <c r="S368" i="5"/>
  <c r="S369" i="5"/>
  <c r="S370" i="5"/>
  <c r="S115" i="5"/>
  <c r="S165" i="5"/>
  <c r="S98" i="5"/>
  <c r="S356" i="5"/>
  <c r="S292" i="5"/>
  <c r="S102" i="5"/>
  <c r="S411" i="5"/>
  <c r="S222" i="5"/>
  <c r="S244" i="5"/>
  <c r="S255" i="5"/>
  <c r="S173" i="5"/>
  <c r="S175" i="5"/>
  <c r="S188" i="5"/>
  <c r="S191" i="5"/>
  <c r="S200" i="5"/>
  <c r="S217" i="5"/>
  <c r="S218" i="5"/>
  <c r="S234" i="5"/>
  <c r="S271" i="5"/>
  <c r="P333" i="5"/>
  <c r="R277" i="5"/>
  <c r="S293" i="5"/>
  <c r="S296" i="5"/>
  <c r="S311" i="5"/>
  <c r="S313" i="5"/>
  <c r="S317" i="5"/>
  <c r="S320" i="5"/>
  <c r="S321" i="5"/>
  <c r="S324" i="5"/>
  <c r="S328" i="5"/>
  <c r="S329" i="5"/>
  <c r="P161" i="5"/>
  <c r="R6" i="5"/>
  <c r="S27" i="5"/>
  <c r="S42" i="5"/>
  <c r="S47" i="5"/>
  <c r="S56" i="5"/>
  <c r="S68" i="5"/>
  <c r="S71" i="5"/>
  <c r="S79" i="5"/>
  <c r="S95" i="5"/>
  <c r="S105" i="5"/>
  <c r="S106" i="5"/>
  <c r="S110" i="5"/>
  <c r="S111" i="5"/>
  <c r="S132" i="5"/>
  <c r="S141" i="5"/>
  <c r="S261" i="5"/>
  <c r="S358" i="5"/>
  <c r="S366" i="5"/>
  <c r="S415" i="5"/>
  <c r="S316" i="5"/>
  <c r="S7" i="5"/>
  <c r="S9" i="5"/>
  <c r="S11" i="5"/>
  <c r="S13" i="5"/>
  <c r="S15" i="5"/>
  <c r="S17" i="5"/>
  <c r="S19" i="5"/>
  <c r="S21" i="5"/>
  <c r="S23" i="5"/>
  <c r="S33" i="5"/>
  <c r="S35" i="5"/>
  <c r="S40" i="5"/>
  <c r="S80" i="5"/>
  <c r="S133" i="5"/>
  <c r="S178" i="5"/>
  <c r="S179" i="5"/>
  <c r="S181" i="5"/>
  <c r="S182" i="5"/>
  <c r="S184" i="5"/>
  <c r="S201" i="5"/>
  <c r="S203" i="5"/>
  <c r="S205" i="5"/>
  <c r="S207" i="5"/>
  <c r="S209" i="5"/>
  <c r="S211" i="5"/>
  <c r="S213" i="5"/>
  <c r="S235" i="5"/>
  <c r="S236" i="5"/>
  <c r="S239" i="5"/>
  <c r="S240" i="5"/>
  <c r="S246" i="5"/>
  <c r="S247" i="5"/>
  <c r="S248" i="5"/>
  <c r="S278" i="5"/>
  <c r="S280" i="5"/>
  <c r="S282" i="5"/>
  <c r="S284" i="5"/>
  <c r="S286" i="5"/>
  <c r="S288" i="5"/>
  <c r="S294" i="5"/>
  <c r="S305" i="5"/>
  <c r="S307" i="5"/>
  <c r="S330" i="5"/>
  <c r="S332" i="5"/>
  <c r="P375" i="5"/>
  <c r="R342" i="5"/>
  <c r="S344" i="5"/>
  <c r="S346" i="5"/>
  <c r="S348" i="5"/>
  <c r="S350" i="5"/>
  <c r="S352" i="5"/>
  <c r="S359" i="5"/>
  <c r="S361" i="5"/>
  <c r="S410" i="5"/>
  <c r="S412" i="5"/>
  <c r="P392" i="5"/>
  <c r="R377" i="5"/>
  <c r="S177" i="5"/>
  <c r="S185" i="5"/>
  <c r="S270" i="5"/>
  <c r="S92" i="5"/>
  <c r="S237" i="5"/>
  <c r="S238" i="5"/>
  <c r="S322" i="5"/>
  <c r="S326" i="5"/>
  <c r="S290" i="5"/>
  <c r="S291" i="5"/>
  <c r="S298" i="5"/>
  <c r="S299" i="5"/>
  <c r="S301" i="5"/>
  <c r="S304" i="5"/>
  <c r="S309" i="5"/>
  <c r="S310" i="5"/>
  <c r="S315" i="5"/>
  <c r="S323" i="5"/>
  <c r="S123" i="5"/>
  <c r="S126" i="5"/>
  <c r="S127" i="5"/>
  <c r="S128" i="5"/>
  <c r="S135" i="5"/>
  <c r="S136" i="5"/>
  <c r="S144" i="5"/>
  <c r="S149" i="5"/>
  <c r="S48" i="5"/>
  <c r="S49" i="5"/>
  <c r="S50" i="5"/>
  <c r="S51" i="5"/>
  <c r="S52" i="5"/>
  <c r="S53" i="5"/>
  <c r="S54" i="5"/>
  <c r="S55" i="5"/>
  <c r="S58" i="5"/>
  <c r="S59" i="5"/>
  <c r="S60" i="5"/>
  <c r="S61" i="5"/>
  <c r="S62" i="5"/>
  <c r="S63" i="5"/>
  <c r="S64" i="5"/>
  <c r="S65" i="5"/>
  <c r="S66" i="5"/>
  <c r="S67" i="5"/>
  <c r="S72" i="5"/>
  <c r="S73" i="5"/>
  <c r="S76" i="5"/>
  <c r="S77" i="5"/>
  <c r="S78" i="5"/>
  <c r="S100" i="5"/>
  <c r="S104" i="5"/>
  <c r="S108" i="5"/>
  <c r="S114" i="5"/>
  <c r="S216" i="5"/>
  <c r="S325" i="5"/>
  <c r="S167" i="5"/>
  <c r="S319" i="5"/>
  <c r="S367" i="5"/>
  <c r="S268" i="5"/>
  <c r="S312" i="5"/>
  <c r="S318" i="5"/>
  <c r="S413" i="5"/>
  <c r="S414" i="5"/>
  <c r="S74" i="5"/>
  <c r="S189" i="5"/>
  <c r="S190" i="5"/>
  <c r="S194" i="5"/>
  <c r="S195" i="5"/>
  <c r="S196" i="5"/>
  <c r="S197" i="5"/>
  <c r="S198" i="5"/>
  <c r="S219" i="5"/>
  <c r="S220" i="5"/>
  <c r="S221" i="5"/>
  <c r="S224" i="5"/>
  <c r="S225" i="5"/>
  <c r="S226" i="5"/>
  <c r="S227" i="5"/>
  <c r="S228" i="5"/>
  <c r="S229" i="5"/>
  <c r="S230" i="5"/>
  <c r="S231" i="5"/>
  <c r="S241" i="5"/>
  <c r="S242" i="5"/>
  <c r="S243" i="5"/>
  <c r="S249" i="5"/>
  <c r="S250" i="5"/>
  <c r="S251" i="5"/>
  <c r="S252" i="5"/>
  <c r="S253" i="5"/>
  <c r="S254" i="5"/>
  <c r="S193" i="5"/>
  <c r="S269" i="5"/>
  <c r="P416" i="5"/>
  <c r="R409" i="5"/>
  <c r="S170" i="5"/>
  <c r="S256" i="5"/>
  <c r="S259" i="5"/>
  <c r="S260" i="5"/>
  <c r="J49" i="4"/>
  <c r="L6" i="4"/>
  <c r="Q13" i="2"/>
  <c r="P14" i="2" s="1"/>
  <c r="O13" i="2"/>
  <c r="N14" i="2" s="1"/>
  <c r="M13" i="2"/>
  <c r="L14" i="2" s="1"/>
  <c r="K13" i="2"/>
  <c r="J14" i="2" s="1"/>
  <c r="I13" i="2"/>
  <c r="H14" i="2" s="1"/>
  <c r="G13" i="2"/>
  <c r="F14" i="2" s="1"/>
  <c r="E13" i="2"/>
  <c r="D14" i="2" s="1"/>
  <c r="C13" i="2"/>
  <c r="B14" i="2" s="1"/>
  <c r="K15" i="15"/>
  <c r="L6" i="15"/>
  <c r="P128" i="6"/>
  <c r="R101" i="6"/>
  <c r="K15" i="11"/>
  <c r="L15" i="11" s="1"/>
  <c r="L12" i="11"/>
  <c r="P129" i="7"/>
  <c r="R102" i="7"/>
  <c r="K9" i="11"/>
  <c r="L6" i="11"/>
  <c r="K17" i="11" l="1"/>
  <c r="L9" i="11"/>
  <c r="R129" i="7"/>
  <c r="O129" i="7" s="1"/>
  <c r="R128" i="6"/>
  <c r="O128" i="6" s="1"/>
  <c r="K17" i="15"/>
  <c r="L15" i="15"/>
  <c r="C18" i="2"/>
  <c r="C17" i="2"/>
  <c r="C16" i="2"/>
  <c r="C15" i="2"/>
  <c r="B19" i="2" s="1"/>
  <c r="E18" i="2"/>
  <c r="E17" i="2"/>
  <c r="E16" i="2"/>
  <c r="E15" i="2"/>
  <c r="D19" i="2" s="1"/>
  <c r="G18" i="2"/>
  <c r="G17" i="2"/>
  <c r="G16" i="2"/>
  <c r="G15" i="2"/>
  <c r="F19" i="2" s="1"/>
  <c r="I18" i="2"/>
  <c r="I17" i="2"/>
  <c r="I16" i="2"/>
  <c r="I15" i="2"/>
  <c r="H19" i="2" s="1"/>
  <c r="K18" i="2"/>
  <c r="K17" i="2"/>
  <c r="K16" i="2"/>
  <c r="K15" i="2"/>
  <c r="J19" i="2" s="1"/>
  <c r="M18" i="2"/>
  <c r="M17" i="2"/>
  <c r="M16" i="2"/>
  <c r="M15" i="2"/>
  <c r="L19" i="2" s="1"/>
  <c r="O18" i="2"/>
  <c r="O17" i="2"/>
  <c r="O16" i="2"/>
  <c r="O15" i="2"/>
  <c r="N19" i="2" s="1"/>
  <c r="Q18" i="2"/>
  <c r="Q17" i="2"/>
  <c r="Q16" i="2"/>
  <c r="Q15" i="2"/>
  <c r="P19" i="2" s="1"/>
  <c r="L49" i="4"/>
  <c r="R416" i="5"/>
  <c r="O416" i="5" s="1"/>
  <c r="S409" i="5"/>
  <c r="S416" i="5" s="1"/>
  <c r="R392" i="5"/>
  <c r="O392" i="5" s="1"/>
  <c r="R375" i="5"/>
  <c r="O375" i="5" s="1"/>
  <c r="S342" i="5"/>
  <c r="S375" i="5" s="1"/>
  <c r="R161" i="5"/>
  <c r="O161" i="5" s="1"/>
  <c r="S6" i="5"/>
  <c r="S161" i="5" s="1"/>
  <c r="R333" i="5"/>
  <c r="O333" i="5" s="1"/>
  <c r="S277" i="5"/>
  <c r="S333" i="5" s="1"/>
  <c r="R272" i="5"/>
  <c r="O272" i="5" s="1"/>
  <c r="S164" i="5"/>
  <c r="S272" i="5" s="1"/>
  <c r="R216" i="6"/>
  <c r="O216" i="6" s="1"/>
  <c r="L73" i="4"/>
  <c r="I75" i="4" s="1"/>
  <c r="R207" i="6"/>
  <c r="O207" i="6" s="1"/>
  <c r="R179" i="6"/>
  <c r="O179" i="6" s="1"/>
  <c r="R99" i="6"/>
  <c r="O99" i="6" s="1"/>
  <c r="R217" i="7"/>
  <c r="O217" i="7" s="1"/>
  <c r="L97" i="4"/>
  <c r="I99" i="4" s="1"/>
  <c r="R208" i="7"/>
  <c r="O208" i="7" s="1"/>
  <c r="R180" i="7"/>
  <c r="O180" i="7" s="1"/>
  <c r="R100" i="7"/>
  <c r="O100" i="7" s="1"/>
  <c r="F29" i="9" l="1"/>
  <c r="K29" i="9" s="1"/>
  <c r="F28" i="9"/>
  <c r="K28" i="9" s="1"/>
  <c r="F27" i="9"/>
  <c r="K27" i="9" s="1"/>
  <c r="F26" i="9"/>
  <c r="K26" i="9" s="1"/>
  <c r="F25" i="9"/>
  <c r="K25" i="9" s="1"/>
  <c r="F20" i="9"/>
  <c r="K20" i="9" s="1"/>
  <c r="F19" i="9"/>
  <c r="K19" i="9" s="1"/>
  <c r="F18" i="9"/>
  <c r="K18" i="9" s="1"/>
  <c r="F17" i="9"/>
  <c r="K17" i="9" s="1"/>
  <c r="F16" i="9"/>
  <c r="K16" i="9" s="1"/>
  <c r="L102" i="4"/>
  <c r="I51" i="4"/>
  <c r="Q25" i="2"/>
  <c r="Q24" i="2"/>
  <c r="Q23" i="2"/>
  <c r="Q22" i="2"/>
  <c r="Q21" i="2"/>
  <c r="Q20" i="2"/>
  <c r="P26" i="2" s="1"/>
  <c r="O25" i="2"/>
  <c r="O24" i="2"/>
  <c r="O23" i="2"/>
  <c r="O22" i="2"/>
  <c r="O21" i="2"/>
  <c r="O20" i="2"/>
  <c r="N26" i="2" s="1"/>
  <c r="M25" i="2"/>
  <c r="M24" i="2"/>
  <c r="M23" i="2"/>
  <c r="M22" i="2"/>
  <c r="M21" i="2"/>
  <c r="M20" i="2"/>
  <c r="L26" i="2" s="1"/>
  <c r="K25" i="2"/>
  <c r="K24" i="2"/>
  <c r="K23" i="2"/>
  <c r="K22" i="2"/>
  <c r="K21" i="2"/>
  <c r="K20" i="2"/>
  <c r="J26" i="2" s="1"/>
  <c r="I25" i="2"/>
  <c r="I24" i="2"/>
  <c r="I23" i="2"/>
  <c r="I22" i="2"/>
  <c r="I21" i="2"/>
  <c r="I20" i="2"/>
  <c r="H26" i="2" s="1"/>
  <c r="G25" i="2"/>
  <c r="G24" i="2"/>
  <c r="G23" i="2"/>
  <c r="G22" i="2"/>
  <c r="G21" i="2"/>
  <c r="G20" i="2"/>
  <c r="F26" i="2" s="1"/>
  <c r="E25" i="2"/>
  <c r="E24" i="2"/>
  <c r="E23" i="2"/>
  <c r="E22" i="2"/>
  <c r="E21" i="2"/>
  <c r="E20" i="2"/>
  <c r="D26" i="2" s="1"/>
  <c r="C25" i="2"/>
  <c r="C24" i="2"/>
  <c r="C23" i="2"/>
  <c r="C22" i="2"/>
  <c r="C21" i="2"/>
  <c r="C20" i="2"/>
  <c r="B26" i="2" s="1"/>
  <c r="C7" i="16"/>
  <c r="D7" i="16" s="1"/>
  <c r="L17" i="15"/>
  <c r="C5" i="16"/>
  <c r="D5" i="16" s="1"/>
  <c r="L17" i="11"/>
  <c r="C34" i="2" l="1"/>
  <c r="C33" i="2"/>
  <c r="C32" i="2"/>
  <c r="C31" i="2"/>
  <c r="C30" i="2"/>
  <c r="C29" i="2"/>
  <c r="C28" i="2"/>
  <c r="B35" i="2" s="1"/>
  <c r="C43" i="2"/>
  <c r="G47" i="2" s="1"/>
  <c r="C42" i="2"/>
  <c r="E47" i="2" s="1"/>
  <c r="C41" i="2"/>
  <c r="E34" i="2"/>
  <c r="E33" i="2"/>
  <c r="E32" i="2"/>
  <c r="E31" i="2"/>
  <c r="E30" i="2"/>
  <c r="E29" i="2"/>
  <c r="E28" i="2"/>
  <c r="D35" i="2" s="1"/>
  <c r="E43" i="2"/>
  <c r="G48" i="2" s="1"/>
  <c r="E42" i="2"/>
  <c r="E48" i="2" s="1"/>
  <c r="E41" i="2"/>
  <c r="G34" i="2"/>
  <c r="G33" i="2"/>
  <c r="G32" i="2"/>
  <c r="G31" i="2"/>
  <c r="G30" i="2"/>
  <c r="G29" i="2"/>
  <c r="G28" i="2"/>
  <c r="F35" i="2" s="1"/>
  <c r="G43" i="2"/>
  <c r="G49" i="2" s="1"/>
  <c r="G42" i="2"/>
  <c r="E49" i="2" s="1"/>
  <c r="G41" i="2"/>
  <c r="I34" i="2"/>
  <c r="I33" i="2"/>
  <c r="I32" i="2"/>
  <c r="I31" i="2"/>
  <c r="I30" i="2"/>
  <c r="I29" i="2"/>
  <c r="I28" i="2"/>
  <c r="H35" i="2" s="1"/>
  <c r="I43" i="2"/>
  <c r="G51" i="2" s="1"/>
  <c r="I42" i="2"/>
  <c r="E51" i="2" s="1"/>
  <c r="I41" i="2"/>
  <c r="K34" i="2"/>
  <c r="K33" i="2"/>
  <c r="K32" i="2"/>
  <c r="K31" i="2"/>
  <c r="K30" i="2"/>
  <c r="K29" i="2"/>
  <c r="K28" i="2"/>
  <c r="J35" i="2" s="1"/>
  <c r="K43" i="2"/>
  <c r="G52" i="2" s="1"/>
  <c r="K42" i="2"/>
  <c r="E52" i="2" s="1"/>
  <c r="K41" i="2"/>
  <c r="M34" i="2"/>
  <c r="M33" i="2"/>
  <c r="M32" i="2"/>
  <c r="M31" i="2"/>
  <c r="M30" i="2"/>
  <c r="M29" i="2"/>
  <c r="M28" i="2"/>
  <c r="L35" i="2" s="1"/>
  <c r="M43" i="2"/>
  <c r="M42" i="2"/>
  <c r="M41" i="2"/>
  <c r="O34" i="2"/>
  <c r="O33" i="2"/>
  <c r="O32" i="2"/>
  <c r="O31" i="2"/>
  <c r="O30" i="2"/>
  <c r="O29" i="2"/>
  <c r="O28" i="2"/>
  <c r="N35" i="2" s="1"/>
  <c r="O43" i="2"/>
  <c r="O42" i="2"/>
  <c r="O41" i="2"/>
  <c r="Q34" i="2"/>
  <c r="Q33" i="2"/>
  <c r="Q32" i="2"/>
  <c r="Q31" i="2"/>
  <c r="Q30" i="2"/>
  <c r="Q29" i="2"/>
  <c r="Q28" i="2"/>
  <c r="P35" i="2" s="1"/>
  <c r="Q43" i="2"/>
  <c r="Q42" i="2"/>
  <c r="Q41" i="2"/>
  <c r="F11" i="9"/>
  <c r="K11" i="9" s="1"/>
  <c r="F10" i="9"/>
  <c r="K10" i="9" s="1"/>
  <c r="F9" i="9"/>
  <c r="K9" i="9" s="1"/>
  <c r="F8" i="9"/>
  <c r="K8" i="9" s="1"/>
  <c r="F7" i="9"/>
  <c r="K7" i="9" s="1"/>
  <c r="F6" i="9"/>
  <c r="K6" i="9" s="1"/>
  <c r="Q37" i="2" l="1"/>
  <c r="P39" i="2" s="1"/>
  <c r="O37" i="2"/>
  <c r="N39" i="2" s="1"/>
  <c r="M37" i="2"/>
  <c r="L39" i="2" s="1"/>
  <c r="K37" i="2"/>
  <c r="J39" i="2" s="1"/>
  <c r="C52" i="2" s="1"/>
  <c r="I37" i="2"/>
  <c r="H39" i="2" s="1"/>
  <c r="C51" i="2" s="1"/>
  <c r="G37" i="2"/>
  <c r="F39" i="2" s="1"/>
  <c r="C49" i="2" s="1"/>
  <c r="E37" i="2"/>
  <c r="D39" i="2" s="1"/>
  <c r="C48" i="2" s="1"/>
  <c r="C37" i="2"/>
  <c r="B39" i="2" s="1"/>
  <c r="C47" i="2" s="1"/>
  <c r="G57" i="2" l="1"/>
  <c r="E57" i="2"/>
  <c r="C57" i="2"/>
  <c r="G58" i="2"/>
  <c r="E58" i="2"/>
  <c r="C58" i="2"/>
  <c r="G60" i="2"/>
  <c r="E60" i="2"/>
  <c r="C60" i="2"/>
  <c r="G29" i="9"/>
  <c r="I29" i="9"/>
  <c r="M29" i="9"/>
  <c r="G28" i="9"/>
  <c r="I28" i="9"/>
  <c r="M28" i="9"/>
  <c r="G27" i="9"/>
  <c r="I27" i="9"/>
  <c r="M27" i="9"/>
  <c r="G26" i="9"/>
  <c r="I26" i="9"/>
  <c r="M26" i="9"/>
  <c r="G25" i="9"/>
  <c r="I25" i="9"/>
  <c r="M25" i="9"/>
  <c r="M30" i="9"/>
  <c r="G20" i="9"/>
  <c r="I20" i="9"/>
  <c r="M20" i="9"/>
  <c r="G19" i="9"/>
  <c r="I19" i="9"/>
  <c r="M19" i="9"/>
  <c r="G18" i="9"/>
  <c r="I18" i="9"/>
  <c r="M18" i="9"/>
  <c r="G17" i="9"/>
  <c r="I17" i="9"/>
  <c r="M17" i="9"/>
  <c r="G16" i="9"/>
  <c r="I16" i="9"/>
  <c r="M16" i="9"/>
  <c r="M21" i="9"/>
  <c r="C50" i="2"/>
  <c r="B53" i="2"/>
  <c r="H43" i="3"/>
  <c r="I6" i="4"/>
  <c r="H5" i="8"/>
  <c r="H20" i="3"/>
  <c r="I13" i="4"/>
  <c r="H12" i="8"/>
  <c r="H13" i="3"/>
  <c r="I19" i="4"/>
  <c r="H18" i="8"/>
  <c r="H24" i="3"/>
  <c r="I23" i="4"/>
  <c r="H22" i="8"/>
  <c r="I25" i="4"/>
  <c r="H24" i="8"/>
  <c r="H9" i="3"/>
  <c r="I27" i="4"/>
  <c r="H26" i="8"/>
  <c r="H8" i="3"/>
  <c r="I30" i="4"/>
  <c r="H29" i="8"/>
  <c r="H29" i="3"/>
  <c r="I34" i="4"/>
  <c r="H33" i="8"/>
  <c r="H38" i="3"/>
  <c r="I40" i="4"/>
  <c r="H39" i="8"/>
  <c r="I42" i="4"/>
  <c r="H41" i="8"/>
  <c r="H37" i="3"/>
  <c r="I45" i="4"/>
  <c r="H44" i="8"/>
  <c r="I48" i="4"/>
  <c r="H47" i="8"/>
  <c r="J11" i="9"/>
  <c r="L11" i="9"/>
  <c r="N11" i="9"/>
  <c r="O11" i="9"/>
  <c r="G11" i="9"/>
  <c r="I11" i="9"/>
  <c r="M11" i="9"/>
  <c r="E9" i="10"/>
  <c r="J10" i="9"/>
  <c r="L10" i="9"/>
  <c r="N10" i="9"/>
  <c r="O10" i="9"/>
  <c r="F8" i="10"/>
  <c r="G8" i="10"/>
  <c r="H8" i="10"/>
  <c r="G10" i="9"/>
  <c r="I10" i="9"/>
  <c r="M10" i="9"/>
  <c r="E8" i="10"/>
  <c r="J9" i="9"/>
  <c r="L9" i="9"/>
  <c r="N9" i="9"/>
  <c r="O9" i="9"/>
  <c r="G9" i="9"/>
  <c r="I9" i="9"/>
  <c r="M9" i="9"/>
  <c r="E7" i="10"/>
  <c r="J8" i="9"/>
  <c r="L8" i="9"/>
  <c r="N8" i="9"/>
  <c r="O8" i="9"/>
  <c r="G8" i="9"/>
  <c r="I8" i="9"/>
  <c r="M8" i="9"/>
  <c r="E6" i="10"/>
  <c r="J7" i="9"/>
  <c r="L7" i="9"/>
  <c r="N7" i="9"/>
  <c r="O7" i="9"/>
  <c r="G7" i="9"/>
  <c r="I7" i="9"/>
  <c r="M7" i="9"/>
  <c r="E5" i="10"/>
  <c r="J6" i="9"/>
  <c r="L6" i="9"/>
  <c r="N6" i="9"/>
  <c r="O6" i="9"/>
  <c r="O12" i="9"/>
  <c r="N12" i="9"/>
  <c r="G6" i="9"/>
  <c r="I6" i="9"/>
  <c r="M6" i="9"/>
  <c r="M12" i="9"/>
  <c r="M33" i="9"/>
  <c r="E4" i="10"/>
  <c r="E11" i="10"/>
  <c r="B4" i="16"/>
  <c r="B9" i="16"/>
  <c r="G59" i="2"/>
  <c r="F61" i="2"/>
  <c r="G6" i="15"/>
  <c r="G7" i="15"/>
  <c r="G8" i="15"/>
  <c r="G9" i="15"/>
  <c r="G10" i="15"/>
  <c r="G11" i="15"/>
  <c r="G12" i="15"/>
  <c r="G13" i="15"/>
  <c r="G14" i="15"/>
  <c r="E59" i="2"/>
  <c r="D61" i="2"/>
  <c r="G7" i="14"/>
  <c r="I7" i="14"/>
  <c r="J7" i="14"/>
  <c r="G12" i="14"/>
  <c r="I12" i="14"/>
  <c r="J12" i="14"/>
  <c r="G17" i="14"/>
  <c r="I17" i="14"/>
  <c r="J17" i="14"/>
  <c r="C59" i="2"/>
  <c r="B61" i="2"/>
  <c r="G6" i="14"/>
  <c r="I6" i="14"/>
  <c r="J6" i="14"/>
  <c r="G11" i="14"/>
  <c r="I11" i="14"/>
  <c r="J11" i="14"/>
  <c r="G16" i="14"/>
  <c r="I16" i="14"/>
  <c r="J16" i="14"/>
  <c r="G50" i="2"/>
  <c r="F53" i="2"/>
  <c r="H52" i="3"/>
  <c r="I63" i="4"/>
  <c r="K63" i="4"/>
  <c r="O103" i="6"/>
  <c r="Q103" i="6"/>
  <c r="O110" i="6"/>
  <c r="Q110" i="6"/>
  <c r="O127" i="6"/>
  <c r="Q127" i="6"/>
  <c r="H58" i="8"/>
  <c r="H53" i="3"/>
  <c r="I64" i="4"/>
  <c r="K64" i="4"/>
  <c r="O6" i="6"/>
  <c r="Q6" i="6"/>
  <c r="O8" i="6"/>
  <c r="Q8" i="6"/>
  <c r="O10" i="6"/>
  <c r="Q10" i="6"/>
  <c r="O12" i="6"/>
  <c r="Q12" i="6"/>
  <c r="O14" i="6"/>
  <c r="Q14" i="6"/>
  <c r="O16" i="6"/>
  <c r="Q16" i="6"/>
  <c r="O18" i="6"/>
  <c r="Q18" i="6"/>
  <c r="O20" i="6"/>
  <c r="Q20" i="6"/>
  <c r="O22" i="6"/>
  <c r="Q22" i="6"/>
  <c r="O25" i="6"/>
  <c r="Q25" i="6"/>
  <c r="O27" i="6"/>
  <c r="Q27" i="6"/>
  <c r="O29" i="6"/>
  <c r="Q29" i="6"/>
  <c r="O64" i="6"/>
  <c r="Q64" i="6"/>
  <c r="O91" i="6"/>
  <c r="Q91" i="6"/>
  <c r="O104" i="6"/>
  <c r="Q104" i="6"/>
  <c r="O105" i="6"/>
  <c r="Q105" i="6"/>
  <c r="O106" i="6"/>
  <c r="Q106" i="6"/>
  <c r="O107" i="6"/>
  <c r="Q107" i="6"/>
  <c r="O109" i="6"/>
  <c r="Q109" i="6"/>
  <c r="O111" i="6"/>
  <c r="Q111" i="6"/>
  <c r="O113" i="6"/>
  <c r="Q113" i="6"/>
  <c r="O115" i="6"/>
  <c r="Q115" i="6"/>
  <c r="O117" i="6"/>
  <c r="Q117" i="6"/>
  <c r="O119" i="6"/>
  <c r="Q119" i="6"/>
  <c r="O121" i="6"/>
  <c r="Q121" i="6"/>
  <c r="O123" i="6"/>
  <c r="Q123" i="6"/>
  <c r="O131" i="6"/>
  <c r="Q131" i="6"/>
  <c r="O133" i="6"/>
  <c r="Q133" i="6"/>
  <c r="O135" i="6"/>
  <c r="Q135" i="6"/>
  <c r="O137" i="6"/>
  <c r="Q137" i="6"/>
  <c r="O139" i="6"/>
  <c r="Q139" i="6"/>
  <c r="O141" i="6"/>
  <c r="Q141" i="6"/>
  <c r="O147" i="6"/>
  <c r="Q147" i="6"/>
  <c r="O156" i="6"/>
  <c r="Q156" i="6"/>
  <c r="O158" i="6"/>
  <c r="Q158" i="6"/>
  <c r="O177" i="6"/>
  <c r="Q177" i="6"/>
  <c r="O181" i="6"/>
  <c r="Q181" i="6"/>
  <c r="Q207" i="6"/>
  <c r="O183" i="6"/>
  <c r="Q183" i="6"/>
  <c r="O185" i="6"/>
  <c r="Q185" i="6"/>
  <c r="O187" i="6"/>
  <c r="Q187" i="6"/>
  <c r="O189" i="6"/>
  <c r="Q189" i="6"/>
  <c r="O191" i="6"/>
  <c r="Q191" i="6"/>
  <c r="O196" i="6"/>
  <c r="Q196" i="6"/>
  <c r="O198" i="6"/>
  <c r="Q198" i="6"/>
  <c r="O210" i="6"/>
  <c r="Q210" i="6"/>
  <c r="O212" i="6"/>
  <c r="Q212" i="6"/>
  <c r="H59" i="8"/>
  <c r="I65" i="4"/>
  <c r="K65" i="4"/>
  <c r="O7" i="6"/>
  <c r="Q7" i="6"/>
  <c r="O9" i="6"/>
  <c r="Q9" i="6"/>
  <c r="O11" i="6"/>
  <c r="Q11" i="6"/>
  <c r="O13" i="6"/>
  <c r="Q13" i="6"/>
  <c r="O15" i="6"/>
  <c r="Q15" i="6"/>
  <c r="O17" i="6"/>
  <c r="Q17" i="6"/>
  <c r="O19" i="6"/>
  <c r="Q19" i="6"/>
  <c r="O21" i="6"/>
  <c r="Q21" i="6"/>
  <c r="O23" i="6"/>
  <c r="Q23" i="6"/>
  <c r="O26" i="6"/>
  <c r="Q26" i="6"/>
  <c r="O28" i="6"/>
  <c r="Q28" i="6"/>
  <c r="O30" i="6"/>
  <c r="Q30" i="6"/>
  <c r="O65" i="6"/>
  <c r="Q65" i="6"/>
  <c r="O108" i="6"/>
  <c r="Q108" i="6"/>
  <c r="O112" i="6"/>
  <c r="Q112" i="6"/>
  <c r="O114" i="6"/>
  <c r="Q114" i="6"/>
  <c r="O116" i="6"/>
  <c r="Q116" i="6"/>
  <c r="O118" i="6"/>
  <c r="Q118" i="6"/>
  <c r="O120" i="6"/>
  <c r="Q120" i="6"/>
  <c r="O122" i="6"/>
  <c r="Q122" i="6"/>
  <c r="O124" i="6"/>
  <c r="Q124" i="6"/>
  <c r="O132" i="6"/>
  <c r="Q132" i="6"/>
  <c r="O134" i="6"/>
  <c r="Q134" i="6"/>
  <c r="O136" i="6"/>
  <c r="Q136" i="6"/>
  <c r="O138" i="6"/>
  <c r="Q138" i="6"/>
  <c r="O140" i="6"/>
  <c r="Q140" i="6"/>
  <c r="O142" i="6"/>
  <c r="Q142" i="6"/>
  <c r="O148" i="6"/>
  <c r="Q148" i="6"/>
  <c r="O157" i="6"/>
  <c r="Q157" i="6"/>
  <c r="O159" i="6"/>
  <c r="Q159" i="6"/>
  <c r="O178" i="6"/>
  <c r="Q178" i="6"/>
  <c r="O182" i="6"/>
  <c r="Q182" i="6"/>
  <c r="O184" i="6"/>
  <c r="Q184" i="6"/>
  <c r="O186" i="6"/>
  <c r="Q186" i="6"/>
  <c r="O188" i="6"/>
  <c r="Q188" i="6"/>
  <c r="O190" i="6"/>
  <c r="Q190" i="6"/>
  <c r="O192" i="6"/>
  <c r="Q192" i="6"/>
  <c r="O197" i="6"/>
  <c r="Q197" i="6"/>
  <c r="O199" i="6"/>
  <c r="Q199" i="6"/>
  <c r="H60" i="8"/>
  <c r="H54" i="3"/>
  <c r="I59" i="4"/>
  <c r="K59" i="4"/>
  <c r="O174" i="6"/>
  <c r="Q174" i="6"/>
  <c r="H54" i="8"/>
  <c r="H55" i="3"/>
  <c r="I60" i="4"/>
  <c r="K60" i="4"/>
  <c r="O34" i="6"/>
  <c r="Q34" i="6"/>
  <c r="O35" i="6"/>
  <c r="Q35" i="6"/>
  <c r="O36" i="6"/>
  <c r="Q36" i="6"/>
  <c r="O37" i="6"/>
  <c r="Q37" i="6"/>
  <c r="O38" i="6"/>
  <c r="Q38" i="6"/>
  <c r="O39" i="6"/>
  <c r="Q39" i="6"/>
  <c r="O40" i="6"/>
  <c r="Q40" i="6"/>
  <c r="O41" i="6"/>
  <c r="Q41" i="6"/>
  <c r="O44" i="6"/>
  <c r="Q44" i="6"/>
  <c r="O45" i="6"/>
  <c r="Q45" i="6"/>
  <c r="O46" i="6"/>
  <c r="Q46" i="6"/>
  <c r="O47" i="6"/>
  <c r="Q47" i="6"/>
  <c r="O48" i="6"/>
  <c r="Q48" i="6"/>
  <c r="O49" i="6"/>
  <c r="Q49" i="6"/>
  <c r="O50" i="6"/>
  <c r="Q50" i="6"/>
  <c r="O51" i="6"/>
  <c r="Q51" i="6"/>
  <c r="O52" i="6"/>
  <c r="Q52" i="6"/>
  <c r="O53" i="6"/>
  <c r="Q53" i="6"/>
  <c r="O58" i="6"/>
  <c r="Q58" i="6"/>
  <c r="O59" i="6"/>
  <c r="Q59" i="6"/>
  <c r="O60" i="6"/>
  <c r="Q60" i="6"/>
  <c r="O61" i="6"/>
  <c r="Q61" i="6"/>
  <c r="O62" i="6"/>
  <c r="Q62" i="6"/>
  <c r="O70" i="6"/>
  <c r="Q70" i="6"/>
  <c r="O74" i="6"/>
  <c r="Q74" i="6"/>
  <c r="O78" i="6"/>
  <c r="Q78" i="6"/>
  <c r="O83" i="6"/>
  <c r="Q83" i="6"/>
  <c r="H55" i="8"/>
  <c r="H58" i="3"/>
  <c r="I57" i="4"/>
  <c r="K57" i="4"/>
  <c r="O163" i="6"/>
  <c r="Q163" i="6"/>
  <c r="O168" i="6"/>
  <c r="Q168" i="6"/>
  <c r="O213" i="6"/>
  <c r="Q213" i="6"/>
  <c r="H52" i="8"/>
  <c r="H59" i="3"/>
  <c r="I58" i="4"/>
  <c r="K58" i="4"/>
  <c r="O102" i="6"/>
  <c r="Q102" i="6"/>
  <c r="O169" i="6"/>
  <c r="Q169" i="6"/>
  <c r="O203" i="6"/>
  <c r="Q203" i="6"/>
  <c r="H53" i="8"/>
  <c r="H60" i="3"/>
  <c r="I66" i="4"/>
  <c r="K66" i="4"/>
  <c r="O5" i="6"/>
  <c r="Q5" i="6"/>
  <c r="Q99" i="6"/>
  <c r="O24" i="6"/>
  <c r="Q24" i="6"/>
  <c r="O31" i="6"/>
  <c r="Q31" i="6"/>
  <c r="O33" i="6"/>
  <c r="Q33" i="6"/>
  <c r="O42" i="6"/>
  <c r="Q42" i="6"/>
  <c r="O54" i="6"/>
  <c r="Q54" i="6"/>
  <c r="O57" i="6"/>
  <c r="Q57" i="6"/>
  <c r="O63" i="6"/>
  <c r="Q63" i="6"/>
  <c r="O67" i="6"/>
  <c r="Q67" i="6"/>
  <c r="O75" i="6"/>
  <c r="Q75" i="6"/>
  <c r="O76" i="6"/>
  <c r="Q76" i="6"/>
  <c r="O80" i="6"/>
  <c r="Q80" i="6"/>
  <c r="O81" i="6"/>
  <c r="Q81" i="6"/>
  <c r="O90" i="6"/>
  <c r="Q90" i="6"/>
  <c r="O96" i="6"/>
  <c r="Q96" i="6"/>
  <c r="O125" i="6"/>
  <c r="Q125" i="6"/>
  <c r="O130" i="6"/>
  <c r="Q130" i="6"/>
  <c r="Q179" i="6"/>
  <c r="O146" i="6"/>
  <c r="Q146" i="6"/>
  <c r="O149" i="6"/>
  <c r="Q149" i="6"/>
  <c r="O162" i="6"/>
  <c r="Q162" i="6"/>
  <c r="O164" i="6"/>
  <c r="Q164" i="6"/>
  <c r="O167" i="6"/>
  <c r="Q167" i="6"/>
  <c r="O170" i="6"/>
  <c r="Q170" i="6"/>
  <c r="O171" i="6"/>
  <c r="Q171" i="6"/>
  <c r="O173" i="6"/>
  <c r="Q173" i="6"/>
  <c r="O175" i="6"/>
  <c r="Q175" i="6"/>
  <c r="O176" i="6"/>
  <c r="Q176" i="6"/>
  <c r="O195" i="6"/>
  <c r="Q195" i="6"/>
  <c r="O202" i="6"/>
  <c r="Q202" i="6"/>
  <c r="O215" i="6"/>
  <c r="Q215" i="6"/>
  <c r="H61" i="8"/>
  <c r="H61" i="3"/>
  <c r="I67" i="4"/>
  <c r="K67" i="4"/>
  <c r="O72" i="6"/>
  <c r="Q72" i="6"/>
  <c r="O211" i="6"/>
  <c r="Q211" i="6"/>
  <c r="H62" i="8"/>
  <c r="H62" i="3"/>
  <c r="I68" i="4"/>
  <c r="K68" i="4"/>
  <c r="O145" i="6"/>
  <c r="Q145" i="6"/>
  <c r="H63" i="8"/>
  <c r="H63" i="3"/>
  <c r="I69" i="4"/>
  <c r="K69" i="4"/>
  <c r="O68" i="6"/>
  <c r="Q68" i="6"/>
  <c r="O193" i="6"/>
  <c r="Q193" i="6"/>
  <c r="H64" i="8"/>
  <c r="H64" i="3"/>
  <c r="I70" i="4"/>
  <c r="K70" i="4"/>
  <c r="O32" i="6"/>
  <c r="Q32" i="6"/>
  <c r="O43" i="6"/>
  <c r="Q43" i="6"/>
  <c r="O55" i="6"/>
  <c r="Q55" i="6"/>
  <c r="O56" i="6"/>
  <c r="Q56" i="6"/>
  <c r="O69" i="6"/>
  <c r="Q69" i="6"/>
  <c r="O71" i="6"/>
  <c r="Q71" i="6"/>
  <c r="O73" i="6"/>
  <c r="Q73" i="6"/>
  <c r="O77" i="6"/>
  <c r="Q77" i="6"/>
  <c r="O79" i="6"/>
  <c r="Q79" i="6"/>
  <c r="O82" i="6"/>
  <c r="Q82" i="6"/>
  <c r="O85" i="6"/>
  <c r="Q85" i="6"/>
  <c r="O86" i="6"/>
  <c r="Q86" i="6"/>
  <c r="O94" i="6"/>
  <c r="Q94" i="6"/>
  <c r="O95" i="6"/>
  <c r="Q95" i="6"/>
  <c r="O126" i="6"/>
  <c r="Q126" i="6"/>
  <c r="O150" i="6"/>
  <c r="Q150" i="6"/>
  <c r="O154" i="6"/>
  <c r="Q154" i="6"/>
  <c r="O165" i="6"/>
  <c r="Q165" i="6"/>
  <c r="O194" i="6"/>
  <c r="Q194" i="6"/>
  <c r="O200" i="6"/>
  <c r="Q200" i="6"/>
  <c r="O201" i="6"/>
  <c r="Q201" i="6"/>
  <c r="O204" i="6"/>
  <c r="Q204" i="6"/>
  <c r="O205" i="6"/>
  <c r="Q205" i="6"/>
  <c r="O206" i="6"/>
  <c r="Q206" i="6"/>
  <c r="H65" i="8"/>
  <c r="H65" i="3"/>
  <c r="I55" i="4"/>
  <c r="K55" i="4"/>
  <c r="H66" i="3"/>
  <c r="I56" i="4"/>
  <c r="K56" i="4"/>
  <c r="H56" i="3"/>
  <c r="I61" i="4"/>
  <c r="K61" i="4"/>
  <c r="H57" i="3"/>
  <c r="I62" i="4"/>
  <c r="K62" i="4"/>
  <c r="H67" i="3"/>
  <c r="I71" i="4"/>
  <c r="K71" i="4"/>
  <c r="I72" i="4"/>
  <c r="K72" i="4"/>
  <c r="K73" i="4"/>
  <c r="O209" i="6"/>
  <c r="Q209" i="6"/>
  <c r="Q216" i="6"/>
  <c r="H50" i="8"/>
  <c r="E50" i="2"/>
  <c r="D53" i="2"/>
  <c r="H70" i="3"/>
  <c r="I87" i="4"/>
  <c r="K87" i="4"/>
  <c r="O104" i="7"/>
  <c r="Q104" i="7"/>
  <c r="O111" i="7"/>
  <c r="Q111" i="7"/>
  <c r="O128" i="7"/>
  <c r="Q128" i="7"/>
  <c r="H78" i="8"/>
  <c r="H71" i="3"/>
  <c r="I88" i="4"/>
  <c r="K88" i="4"/>
  <c r="O6" i="7"/>
  <c r="Q6" i="7"/>
  <c r="O8" i="7"/>
  <c r="Q8" i="7"/>
  <c r="O10" i="7"/>
  <c r="Q10" i="7"/>
  <c r="O12" i="7"/>
  <c r="Q12" i="7"/>
  <c r="O14" i="7"/>
  <c r="Q14" i="7"/>
  <c r="O16" i="7"/>
  <c r="Q16" i="7"/>
  <c r="O18" i="7"/>
  <c r="Q18" i="7"/>
  <c r="O20" i="7"/>
  <c r="Q20" i="7"/>
  <c r="O22" i="7"/>
  <c r="Q22" i="7"/>
  <c r="O25" i="7"/>
  <c r="Q25" i="7"/>
  <c r="O27" i="7"/>
  <c r="Q27" i="7"/>
  <c r="O29" i="7"/>
  <c r="Q29" i="7"/>
  <c r="O64" i="7"/>
  <c r="Q64" i="7"/>
  <c r="O92" i="7"/>
  <c r="Q92" i="7"/>
  <c r="O105" i="7"/>
  <c r="Q105" i="7"/>
  <c r="O106" i="7"/>
  <c r="Q106" i="7"/>
  <c r="O107" i="7"/>
  <c r="Q107" i="7"/>
  <c r="O108" i="7"/>
  <c r="Q108" i="7"/>
  <c r="O110" i="7"/>
  <c r="Q110" i="7"/>
  <c r="O112" i="7"/>
  <c r="Q112" i="7"/>
  <c r="O114" i="7"/>
  <c r="Q114" i="7"/>
  <c r="O116" i="7"/>
  <c r="Q116" i="7"/>
  <c r="O118" i="7"/>
  <c r="Q118" i="7"/>
  <c r="O120" i="7"/>
  <c r="Q120" i="7"/>
  <c r="O122" i="7"/>
  <c r="Q122" i="7"/>
  <c r="O124" i="7"/>
  <c r="Q124" i="7"/>
  <c r="O132" i="7"/>
  <c r="Q132" i="7"/>
  <c r="O134" i="7"/>
  <c r="Q134" i="7"/>
  <c r="O136" i="7"/>
  <c r="Q136" i="7"/>
  <c r="O138" i="7"/>
  <c r="Q138" i="7"/>
  <c r="O140" i="7"/>
  <c r="Q140" i="7"/>
  <c r="O142" i="7"/>
  <c r="Q142" i="7"/>
  <c r="O148" i="7"/>
  <c r="Q148" i="7"/>
  <c r="O157" i="7"/>
  <c r="Q157" i="7"/>
  <c r="O159" i="7"/>
  <c r="Q159" i="7"/>
  <c r="O178" i="7"/>
  <c r="Q178" i="7"/>
  <c r="O182" i="7"/>
  <c r="Q182" i="7"/>
  <c r="Q208" i="7"/>
  <c r="O184" i="7"/>
  <c r="Q184" i="7"/>
  <c r="O186" i="7"/>
  <c r="Q186" i="7"/>
  <c r="O188" i="7"/>
  <c r="Q188" i="7"/>
  <c r="O190" i="7"/>
  <c r="Q190" i="7"/>
  <c r="O192" i="7"/>
  <c r="Q192" i="7"/>
  <c r="O197" i="7"/>
  <c r="Q197" i="7"/>
  <c r="O199" i="7"/>
  <c r="Q199" i="7"/>
  <c r="O211" i="7"/>
  <c r="Q211" i="7"/>
  <c r="O213" i="7"/>
  <c r="Q213" i="7"/>
  <c r="H79" i="8"/>
  <c r="I89" i="4"/>
  <c r="K89" i="4"/>
  <c r="O7" i="7"/>
  <c r="Q7" i="7"/>
  <c r="O9" i="7"/>
  <c r="Q9" i="7"/>
  <c r="O11" i="7"/>
  <c r="Q11" i="7"/>
  <c r="O13" i="7"/>
  <c r="Q13" i="7"/>
  <c r="O15" i="7"/>
  <c r="Q15" i="7"/>
  <c r="O17" i="7"/>
  <c r="Q17" i="7"/>
  <c r="O19" i="7"/>
  <c r="Q19" i="7"/>
  <c r="O21" i="7"/>
  <c r="Q21" i="7"/>
  <c r="O23" i="7"/>
  <c r="Q23" i="7"/>
  <c r="O26" i="7"/>
  <c r="Q26" i="7"/>
  <c r="O28" i="7"/>
  <c r="Q28" i="7"/>
  <c r="O30" i="7"/>
  <c r="Q30" i="7"/>
  <c r="O65" i="7"/>
  <c r="Q65" i="7"/>
  <c r="O109" i="7"/>
  <c r="Q109" i="7"/>
  <c r="O113" i="7"/>
  <c r="Q113" i="7"/>
  <c r="O115" i="7"/>
  <c r="Q115" i="7"/>
  <c r="O117" i="7"/>
  <c r="Q117" i="7"/>
  <c r="O119" i="7"/>
  <c r="Q119" i="7"/>
  <c r="O121" i="7"/>
  <c r="Q121" i="7"/>
  <c r="O123" i="7"/>
  <c r="Q123" i="7"/>
  <c r="O125" i="7"/>
  <c r="Q125" i="7"/>
  <c r="O133" i="7"/>
  <c r="Q133" i="7"/>
  <c r="O135" i="7"/>
  <c r="Q135" i="7"/>
  <c r="O137" i="7"/>
  <c r="Q137" i="7"/>
  <c r="O139" i="7"/>
  <c r="Q139" i="7"/>
  <c r="O141" i="7"/>
  <c r="Q141" i="7"/>
  <c r="O143" i="7"/>
  <c r="Q143" i="7"/>
  <c r="O149" i="7"/>
  <c r="Q149" i="7"/>
  <c r="O158" i="7"/>
  <c r="Q158" i="7"/>
  <c r="O160" i="7"/>
  <c r="Q160" i="7"/>
  <c r="O179" i="7"/>
  <c r="Q179" i="7"/>
  <c r="O183" i="7"/>
  <c r="Q183" i="7"/>
  <c r="O185" i="7"/>
  <c r="Q185" i="7"/>
  <c r="O187" i="7"/>
  <c r="Q187" i="7"/>
  <c r="O189" i="7"/>
  <c r="Q189" i="7"/>
  <c r="O191" i="7"/>
  <c r="Q191" i="7"/>
  <c r="O193" i="7"/>
  <c r="Q193" i="7"/>
  <c r="O198" i="7"/>
  <c r="Q198" i="7"/>
  <c r="O200" i="7"/>
  <c r="Q200" i="7"/>
  <c r="H80" i="8"/>
  <c r="H72" i="3"/>
  <c r="I83" i="4"/>
  <c r="K83" i="4"/>
  <c r="O175" i="7"/>
  <c r="Q175" i="7"/>
  <c r="H74" i="8"/>
  <c r="H73" i="3"/>
  <c r="I84" i="4"/>
  <c r="K84" i="4"/>
  <c r="O34" i="7"/>
  <c r="Q34" i="7"/>
  <c r="O35" i="7"/>
  <c r="Q35" i="7"/>
  <c r="O36" i="7"/>
  <c r="Q36" i="7"/>
  <c r="O37" i="7"/>
  <c r="Q37" i="7"/>
  <c r="O38" i="7"/>
  <c r="Q38" i="7"/>
  <c r="O39" i="7"/>
  <c r="Q39" i="7"/>
  <c r="O40" i="7"/>
  <c r="Q40" i="7"/>
  <c r="O41" i="7"/>
  <c r="Q41" i="7"/>
  <c r="O44" i="7"/>
  <c r="Q44" i="7"/>
  <c r="O45" i="7"/>
  <c r="Q45" i="7"/>
  <c r="O46" i="7"/>
  <c r="Q46" i="7"/>
  <c r="O47" i="7"/>
  <c r="Q47" i="7"/>
  <c r="O48" i="7"/>
  <c r="Q48" i="7"/>
  <c r="O49" i="7"/>
  <c r="Q49" i="7"/>
  <c r="O50" i="7"/>
  <c r="Q50" i="7"/>
  <c r="O51" i="7"/>
  <c r="Q51" i="7"/>
  <c r="O52" i="7"/>
  <c r="Q52" i="7"/>
  <c r="O53" i="7"/>
  <c r="Q53" i="7"/>
  <c r="O58" i="7"/>
  <c r="Q58" i="7"/>
  <c r="O59" i="7"/>
  <c r="Q59" i="7"/>
  <c r="O60" i="7"/>
  <c r="Q60" i="7"/>
  <c r="O61" i="7"/>
  <c r="Q61" i="7"/>
  <c r="O62" i="7"/>
  <c r="Q62" i="7"/>
  <c r="O71" i="7"/>
  <c r="Q71" i="7"/>
  <c r="O75" i="7"/>
  <c r="Q75" i="7"/>
  <c r="O79" i="7"/>
  <c r="Q79" i="7"/>
  <c r="O84" i="7"/>
  <c r="Q84" i="7"/>
  <c r="H75" i="8"/>
  <c r="H76" i="3"/>
  <c r="I81" i="4"/>
  <c r="K81" i="4"/>
  <c r="O164" i="7"/>
  <c r="Q164" i="7"/>
  <c r="O169" i="7"/>
  <c r="Q169" i="7"/>
  <c r="O214" i="7"/>
  <c r="Q214" i="7"/>
  <c r="H72" i="8"/>
  <c r="H77" i="3"/>
  <c r="I82" i="4"/>
  <c r="K82" i="4"/>
  <c r="O103" i="7"/>
  <c r="Q103" i="7"/>
  <c r="O170" i="7"/>
  <c r="Q170" i="7"/>
  <c r="O204" i="7"/>
  <c r="Q204" i="7"/>
  <c r="H73" i="8"/>
  <c r="H78" i="3"/>
  <c r="I90" i="4"/>
  <c r="K90" i="4"/>
  <c r="O5" i="7"/>
  <c r="Q5" i="7"/>
  <c r="Q100" i="7"/>
  <c r="O24" i="7"/>
  <c r="Q24" i="7"/>
  <c r="O31" i="7"/>
  <c r="Q31" i="7"/>
  <c r="O33" i="7"/>
  <c r="Q33" i="7"/>
  <c r="O42" i="7"/>
  <c r="Q42" i="7"/>
  <c r="O54" i="7"/>
  <c r="Q54" i="7"/>
  <c r="O57" i="7"/>
  <c r="Q57" i="7"/>
  <c r="O63" i="7"/>
  <c r="Q63" i="7"/>
  <c r="O68" i="7"/>
  <c r="Q68" i="7"/>
  <c r="O76" i="7"/>
  <c r="Q76" i="7"/>
  <c r="O77" i="7"/>
  <c r="Q77" i="7"/>
  <c r="O81" i="7"/>
  <c r="Q81" i="7"/>
  <c r="O82" i="7"/>
  <c r="Q82" i="7"/>
  <c r="O91" i="7"/>
  <c r="Q91" i="7"/>
  <c r="O97" i="7"/>
  <c r="Q97" i="7"/>
  <c r="O126" i="7"/>
  <c r="Q126" i="7"/>
  <c r="O131" i="7"/>
  <c r="Q131" i="7"/>
  <c r="Q180" i="7"/>
  <c r="O147" i="7"/>
  <c r="Q147" i="7"/>
  <c r="O150" i="7"/>
  <c r="Q150" i="7"/>
  <c r="O163" i="7"/>
  <c r="Q163" i="7"/>
  <c r="O165" i="7"/>
  <c r="Q165" i="7"/>
  <c r="O168" i="7"/>
  <c r="Q168" i="7"/>
  <c r="O171" i="7"/>
  <c r="Q171" i="7"/>
  <c r="O172" i="7"/>
  <c r="Q172" i="7"/>
  <c r="O174" i="7"/>
  <c r="Q174" i="7"/>
  <c r="O176" i="7"/>
  <c r="Q176" i="7"/>
  <c r="O177" i="7"/>
  <c r="Q177" i="7"/>
  <c r="O196" i="7"/>
  <c r="Q196" i="7"/>
  <c r="O203" i="7"/>
  <c r="Q203" i="7"/>
  <c r="O216" i="7"/>
  <c r="Q216" i="7"/>
  <c r="H81" i="8"/>
  <c r="H79" i="3"/>
  <c r="I91" i="4"/>
  <c r="K91" i="4"/>
  <c r="O73" i="7"/>
  <c r="Q73" i="7"/>
  <c r="O212" i="7"/>
  <c r="Q212" i="7"/>
  <c r="H82" i="8"/>
  <c r="H80" i="3"/>
  <c r="I92" i="4"/>
  <c r="K92" i="4"/>
  <c r="O146" i="7"/>
  <c r="Q146" i="7"/>
  <c r="H83" i="8"/>
  <c r="H81" i="3"/>
  <c r="I93" i="4"/>
  <c r="K93" i="4"/>
  <c r="O69" i="7"/>
  <c r="Q69" i="7"/>
  <c r="O194" i="7"/>
  <c r="Q194" i="7"/>
  <c r="H84" i="8"/>
  <c r="H82" i="3"/>
  <c r="I94" i="4"/>
  <c r="K94" i="4"/>
  <c r="O32" i="7"/>
  <c r="Q32" i="7"/>
  <c r="O43" i="7"/>
  <c r="Q43" i="7"/>
  <c r="O55" i="7"/>
  <c r="Q55" i="7"/>
  <c r="O56" i="7"/>
  <c r="Q56" i="7"/>
  <c r="O70" i="7"/>
  <c r="Q70" i="7"/>
  <c r="O72" i="7"/>
  <c r="Q72" i="7"/>
  <c r="O74" i="7"/>
  <c r="Q74" i="7"/>
  <c r="O78" i="7"/>
  <c r="Q78" i="7"/>
  <c r="O80" i="7"/>
  <c r="Q80" i="7"/>
  <c r="O83" i="7"/>
  <c r="Q83" i="7"/>
  <c r="O86" i="7"/>
  <c r="Q86" i="7"/>
  <c r="O87" i="7"/>
  <c r="Q87" i="7"/>
  <c r="O95" i="7"/>
  <c r="Q95" i="7"/>
  <c r="O96" i="7"/>
  <c r="Q96" i="7"/>
  <c r="O127" i="7"/>
  <c r="Q127" i="7"/>
  <c r="O151" i="7"/>
  <c r="Q151" i="7"/>
  <c r="O155" i="7"/>
  <c r="Q155" i="7"/>
  <c r="O166" i="7"/>
  <c r="Q166" i="7"/>
  <c r="O195" i="7"/>
  <c r="Q195" i="7"/>
  <c r="O201" i="7"/>
  <c r="Q201" i="7"/>
  <c r="O202" i="7"/>
  <c r="Q202" i="7"/>
  <c r="O205" i="7"/>
  <c r="Q205" i="7"/>
  <c r="O206" i="7"/>
  <c r="Q206" i="7"/>
  <c r="O207" i="7"/>
  <c r="Q207" i="7"/>
  <c r="H85" i="8"/>
  <c r="H83" i="3"/>
  <c r="I79" i="4"/>
  <c r="K79" i="4"/>
  <c r="H84" i="3"/>
  <c r="I80" i="4"/>
  <c r="K80" i="4"/>
  <c r="H74" i="3"/>
  <c r="I85" i="4"/>
  <c r="K85" i="4"/>
  <c r="H75" i="3"/>
  <c r="I86" i="4"/>
  <c r="K86" i="4"/>
  <c r="H85" i="3"/>
  <c r="I95" i="4"/>
  <c r="K95" i="4"/>
  <c r="I96" i="4"/>
  <c r="K96" i="4"/>
  <c r="K97" i="4"/>
  <c r="O210" i="7"/>
  <c r="Q210" i="7"/>
  <c r="Q217" i="7"/>
  <c r="H70" i="8"/>
  <c r="G12" i="11"/>
  <c r="H9" i="12"/>
  <c r="G13" i="11"/>
  <c r="H10" i="12"/>
  <c r="G14" i="11"/>
  <c r="H11" i="12"/>
  <c r="H6" i="3"/>
  <c r="H7" i="3"/>
  <c r="K30" i="4"/>
  <c r="O8" i="5"/>
  <c r="Q8" i="5"/>
  <c r="O10" i="5"/>
  <c r="Q10" i="5"/>
  <c r="O12" i="5"/>
  <c r="Q12" i="5"/>
  <c r="O14" i="5"/>
  <c r="Q14" i="5"/>
  <c r="O16" i="5"/>
  <c r="Q16" i="5"/>
  <c r="O18" i="5"/>
  <c r="Q18" i="5"/>
  <c r="O20" i="5"/>
  <c r="Q20" i="5"/>
  <c r="O22" i="5"/>
  <c r="Q22" i="5"/>
  <c r="O24" i="5"/>
  <c r="Q24" i="5"/>
  <c r="O34" i="5"/>
  <c r="Q34" i="5"/>
  <c r="O36" i="5"/>
  <c r="Q36" i="5"/>
  <c r="O41" i="5"/>
  <c r="Q41" i="5"/>
  <c r="O81" i="5"/>
  <c r="Q81" i="5"/>
  <c r="O183" i="5"/>
  <c r="Q183" i="5"/>
  <c r="O202" i="5"/>
  <c r="Q202" i="5"/>
  <c r="O204" i="5"/>
  <c r="Q204" i="5"/>
  <c r="O206" i="5"/>
  <c r="Q206" i="5"/>
  <c r="O208" i="5"/>
  <c r="Q208" i="5"/>
  <c r="O210" i="5"/>
  <c r="Q210" i="5"/>
  <c r="O212" i="5"/>
  <c r="Q212" i="5"/>
  <c r="O214" i="5"/>
  <c r="Q214" i="5"/>
  <c r="O279" i="5"/>
  <c r="Q279" i="5"/>
  <c r="O281" i="5"/>
  <c r="Q281" i="5"/>
  <c r="O283" i="5"/>
  <c r="Q283" i="5"/>
  <c r="O285" i="5"/>
  <c r="Q285" i="5"/>
  <c r="O287" i="5"/>
  <c r="Q287" i="5"/>
  <c r="O289" i="5"/>
  <c r="Q289" i="5"/>
  <c r="O295" i="5"/>
  <c r="Q295" i="5"/>
  <c r="O306" i="5"/>
  <c r="Q306" i="5"/>
  <c r="O308" i="5"/>
  <c r="Q308" i="5"/>
  <c r="O331" i="5"/>
  <c r="Q331" i="5"/>
  <c r="O343" i="5"/>
  <c r="Q343" i="5"/>
  <c r="O345" i="5"/>
  <c r="Q345" i="5"/>
  <c r="O347" i="5"/>
  <c r="Q347" i="5"/>
  <c r="O349" i="5"/>
  <c r="Q349" i="5"/>
  <c r="O351" i="5"/>
  <c r="Q351" i="5"/>
  <c r="O353" i="5"/>
  <c r="Q353" i="5"/>
  <c r="O360" i="5"/>
  <c r="Q360" i="5"/>
  <c r="O362" i="5"/>
  <c r="Q362" i="5"/>
  <c r="K27" i="4"/>
  <c r="O377" i="5"/>
  <c r="Q377" i="5"/>
  <c r="Q392" i="5"/>
  <c r="O379" i="5"/>
  <c r="Q379" i="5"/>
  <c r="O380" i="5"/>
  <c r="Q380" i="5"/>
  <c r="H10" i="3"/>
  <c r="H11" i="3"/>
  <c r="H12" i="3"/>
  <c r="K19" i="4"/>
  <c r="O94" i="5"/>
  <c r="Q94" i="5"/>
  <c r="H14" i="3"/>
  <c r="H15" i="3"/>
  <c r="H16" i="3"/>
  <c r="H17" i="3"/>
  <c r="H18" i="3"/>
  <c r="H19" i="3"/>
  <c r="K13" i="4"/>
  <c r="O382" i="5"/>
  <c r="Q382" i="5"/>
  <c r="H21" i="3"/>
  <c r="H22" i="3"/>
  <c r="H23" i="3"/>
  <c r="K23" i="4"/>
  <c r="O38" i="5"/>
  <c r="Q38" i="5"/>
  <c r="O39" i="5"/>
  <c r="Q39" i="5"/>
  <c r="K25" i="4"/>
  <c r="O263" i="5"/>
  <c r="Q263" i="5"/>
  <c r="O264" i="5"/>
  <c r="Q264" i="5"/>
  <c r="O265" i="5"/>
  <c r="Q265" i="5"/>
  <c r="H25" i="3"/>
  <c r="H26" i="3"/>
  <c r="H27" i="3"/>
  <c r="H28" i="3"/>
  <c r="K34" i="4"/>
  <c r="O383" i="5"/>
  <c r="Q383" i="5"/>
  <c r="H30" i="3"/>
  <c r="H31" i="3"/>
  <c r="H32" i="3"/>
  <c r="H33" i="3"/>
  <c r="H34" i="3"/>
  <c r="H35" i="3"/>
  <c r="H36" i="3"/>
  <c r="K45" i="4"/>
  <c r="O266" i="5"/>
  <c r="Q266" i="5"/>
  <c r="K40" i="4"/>
  <c r="O116" i="5"/>
  <c r="Q116" i="5"/>
  <c r="K42" i="4"/>
  <c r="O378" i="5"/>
  <c r="Q378" i="5"/>
  <c r="H39" i="3"/>
  <c r="H40" i="3"/>
  <c r="H41" i="3"/>
  <c r="H42" i="3"/>
  <c r="K6" i="4"/>
  <c r="K48" i="4"/>
  <c r="K49" i="4"/>
  <c r="O381" i="5"/>
  <c r="Q381" i="5"/>
  <c r="H44" i="3"/>
  <c r="H45" i="3"/>
  <c r="H46" i="3"/>
  <c r="H47" i="3"/>
  <c r="H48" i="3"/>
  <c r="H49" i="3"/>
  <c r="O84" i="6"/>
  <c r="Q84" i="6"/>
  <c r="O87" i="6"/>
  <c r="Q87" i="6"/>
  <c r="O88" i="6"/>
  <c r="Q88" i="6"/>
  <c r="O89" i="6"/>
  <c r="Q89" i="6"/>
  <c r="O92" i="6"/>
  <c r="Q92" i="6"/>
  <c r="O93" i="6"/>
  <c r="Q93" i="6"/>
  <c r="O97" i="6"/>
  <c r="Q97" i="6"/>
  <c r="O98" i="6"/>
  <c r="Q98" i="6"/>
  <c r="H56" i="8"/>
  <c r="O143" i="6"/>
  <c r="Q143" i="6"/>
  <c r="O144" i="6"/>
  <c r="Q144" i="6"/>
  <c r="O151" i="6"/>
  <c r="Q151" i="6"/>
  <c r="O152" i="6"/>
  <c r="Q152" i="6"/>
  <c r="O153" i="6"/>
  <c r="Q153" i="6"/>
  <c r="O155" i="6"/>
  <c r="Q155" i="6"/>
  <c r="O160" i="6"/>
  <c r="Q160" i="6"/>
  <c r="O161" i="6"/>
  <c r="Q161" i="6"/>
  <c r="O166" i="6"/>
  <c r="Q166" i="6"/>
  <c r="O172" i="6"/>
  <c r="Q172" i="6"/>
  <c r="H57" i="8"/>
  <c r="O214" i="6"/>
  <c r="Q214" i="6"/>
  <c r="H51" i="8"/>
  <c r="O66" i="6"/>
  <c r="Q66" i="6"/>
  <c r="H66" i="8"/>
  <c r="O85" i="7"/>
  <c r="Q85" i="7"/>
  <c r="O88" i="7"/>
  <c r="Q88" i="7"/>
  <c r="O89" i="7"/>
  <c r="Q89" i="7"/>
  <c r="O90" i="7"/>
  <c r="Q90" i="7"/>
  <c r="O93" i="7"/>
  <c r="Q93" i="7"/>
  <c r="O94" i="7"/>
  <c r="Q94" i="7"/>
  <c r="O98" i="7"/>
  <c r="Q98" i="7"/>
  <c r="O99" i="7"/>
  <c r="Q99" i="7"/>
  <c r="H76" i="8"/>
  <c r="O144" i="7"/>
  <c r="Q144" i="7"/>
  <c r="O145" i="7"/>
  <c r="Q145" i="7"/>
  <c r="O152" i="7"/>
  <c r="Q152" i="7"/>
  <c r="O153" i="7"/>
  <c r="Q153" i="7"/>
  <c r="O154" i="7"/>
  <c r="Q154" i="7"/>
  <c r="O156" i="7"/>
  <c r="Q156" i="7"/>
  <c r="O161" i="7"/>
  <c r="Q161" i="7"/>
  <c r="O162" i="7"/>
  <c r="Q162" i="7"/>
  <c r="O167" i="7"/>
  <c r="Q167" i="7"/>
  <c r="O173" i="7"/>
  <c r="Q173" i="7"/>
  <c r="H77" i="8"/>
  <c r="O215" i="7"/>
  <c r="Q215" i="7"/>
  <c r="H71" i="8"/>
  <c r="O67" i="7"/>
  <c r="Q67" i="7"/>
  <c r="H86" i="8"/>
  <c r="O166" i="5"/>
  <c r="Q166" i="5"/>
  <c r="O101" i="6"/>
  <c r="Q101" i="6"/>
  <c r="Q128" i="6"/>
  <c r="H67" i="8"/>
  <c r="O102" i="7"/>
  <c r="Q102" i="7"/>
  <c r="Q129" i="7"/>
  <c r="H87" i="8"/>
  <c r="G6" i="11"/>
  <c r="H6" i="12"/>
  <c r="G7" i="11"/>
  <c r="H7" i="12"/>
  <c r="G8" i="11"/>
  <c r="H8" i="12"/>
  <c r="S166" i="5"/>
  <c r="M48" i="4"/>
  <c r="M96" i="4"/>
  <c r="M72" i="4"/>
  <c r="K17" i="14"/>
  <c r="L17" i="14"/>
  <c r="K16" i="14"/>
  <c r="L16" i="14"/>
  <c r="K18" i="14"/>
  <c r="L18" i="14"/>
  <c r="K12" i="14"/>
  <c r="L12" i="14"/>
  <c r="K11" i="14"/>
  <c r="L11" i="14"/>
  <c r="K13" i="14"/>
  <c r="L13" i="14"/>
  <c r="K7" i="14"/>
  <c r="L7" i="14"/>
  <c r="K6" i="14"/>
  <c r="L6" i="14"/>
  <c r="K8" i="14"/>
  <c r="L8" i="14"/>
  <c r="K20" i="14"/>
  <c r="L20" i="14"/>
  <c r="C6" i="16"/>
  <c r="D6" i="16"/>
  <c r="S381" i="5"/>
  <c r="S382" i="5"/>
  <c r="M13" i="4"/>
  <c r="S94" i="5"/>
  <c r="M19" i="4"/>
  <c r="S39" i="5"/>
  <c r="S38" i="5"/>
  <c r="M23" i="4"/>
  <c r="S265" i="5"/>
  <c r="S264" i="5"/>
  <c r="S263" i="5"/>
  <c r="M25" i="4"/>
  <c r="S380" i="5"/>
  <c r="S379" i="5"/>
  <c r="M27" i="4"/>
  <c r="S362" i="5"/>
  <c r="S360" i="5"/>
  <c r="S353" i="5"/>
  <c r="S351" i="5"/>
  <c r="S349" i="5"/>
  <c r="S347" i="5"/>
  <c r="S345" i="5"/>
  <c r="S343" i="5"/>
  <c r="S331" i="5"/>
  <c r="S308" i="5"/>
  <c r="S306" i="5"/>
  <c r="S295" i="5"/>
  <c r="S289" i="5"/>
  <c r="S287" i="5"/>
  <c r="S285" i="5"/>
  <c r="S283" i="5"/>
  <c r="S281" i="5"/>
  <c r="S279" i="5"/>
  <c r="S214" i="5"/>
  <c r="S212" i="5"/>
  <c r="S210" i="5"/>
  <c r="S208" i="5"/>
  <c r="S206" i="5"/>
  <c r="S204" i="5"/>
  <c r="S202" i="5"/>
  <c r="S183" i="5"/>
  <c r="S81" i="5"/>
  <c r="S41" i="5"/>
  <c r="S36" i="5"/>
  <c r="S34" i="5"/>
  <c r="S24" i="5"/>
  <c r="S22" i="5"/>
  <c r="S20" i="5"/>
  <c r="S18" i="5"/>
  <c r="S16" i="5"/>
  <c r="S14" i="5"/>
  <c r="S12" i="5"/>
  <c r="S10" i="5"/>
  <c r="S8" i="5"/>
  <c r="M30" i="4"/>
  <c r="S383" i="5"/>
  <c r="M34" i="4"/>
  <c r="S116" i="5"/>
  <c r="M40" i="4"/>
  <c r="S378" i="5"/>
  <c r="M42" i="4"/>
  <c r="S266" i="5"/>
  <c r="M45" i="4"/>
  <c r="S214" i="6"/>
  <c r="M56" i="4"/>
  <c r="S213" i="6"/>
  <c r="S168" i="6"/>
  <c r="S163" i="6"/>
  <c r="M57" i="4"/>
  <c r="S203" i="6"/>
  <c r="S169" i="6"/>
  <c r="S102" i="6"/>
  <c r="M58" i="4"/>
  <c r="S174" i="6"/>
  <c r="M59" i="4"/>
  <c r="S83" i="6"/>
  <c r="S78" i="6"/>
  <c r="S74" i="6"/>
  <c r="S70" i="6"/>
  <c r="S62" i="6"/>
  <c r="S61" i="6"/>
  <c r="S60" i="6"/>
  <c r="S59" i="6"/>
  <c r="S58" i="6"/>
  <c r="S53" i="6"/>
  <c r="S52" i="6"/>
  <c r="S51" i="6"/>
  <c r="S50" i="6"/>
  <c r="S49" i="6"/>
  <c r="S48" i="6"/>
  <c r="S47" i="6"/>
  <c r="S46" i="6"/>
  <c r="S45" i="6"/>
  <c r="S44" i="6"/>
  <c r="S41" i="6"/>
  <c r="S40" i="6"/>
  <c r="S39" i="6"/>
  <c r="S38" i="6"/>
  <c r="S37" i="6"/>
  <c r="S36" i="6"/>
  <c r="S35" i="6"/>
  <c r="S34" i="6"/>
  <c r="M60" i="4"/>
  <c r="S98" i="6"/>
  <c r="S97" i="6"/>
  <c r="S93" i="6"/>
  <c r="S92" i="6"/>
  <c r="S89" i="6"/>
  <c r="S88" i="6"/>
  <c r="S87" i="6"/>
  <c r="S84" i="6"/>
  <c r="M61" i="4"/>
  <c r="S172" i="6"/>
  <c r="S166" i="6"/>
  <c r="S161" i="6"/>
  <c r="S160" i="6"/>
  <c r="S155" i="6"/>
  <c r="S153" i="6"/>
  <c r="S152" i="6"/>
  <c r="S151" i="6"/>
  <c r="S144" i="6"/>
  <c r="S143" i="6"/>
  <c r="M62" i="4"/>
  <c r="S127" i="6"/>
  <c r="S110" i="6"/>
  <c r="S103" i="6"/>
  <c r="M63" i="4"/>
  <c r="S212" i="6"/>
  <c r="S210" i="6"/>
  <c r="S198" i="6"/>
  <c r="S196" i="6"/>
  <c r="S191" i="6"/>
  <c r="S189" i="6"/>
  <c r="S187" i="6"/>
  <c r="S185" i="6"/>
  <c r="S183" i="6"/>
  <c r="S177" i="6"/>
  <c r="S158" i="6"/>
  <c r="S156" i="6"/>
  <c r="S147" i="6"/>
  <c r="S141" i="6"/>
  <c r="S139" i="6"/>
  <c r="S137" i="6"/>
  <c r="S135" i="6"/>
  <c r="S133" i="6"/>
  <c r="S131" i="6"/>
  <c r="S123" i="6"/>
  <c r="S121" i="6"/>
  <c r="S119" i="6"/>
  <c r="S117" i="6"/>
  <c r="S115" i="6"/>
  <c r="S113" i="6"/>
  <c r="S111" i="6"/>
  <c r="S109" i="6"/>
  <c r="S107" i="6"/>
  <c r="S106" i="6"/>
  <c r="S105" i="6"/>
  <c r="S104" i="6"/>
  <c r="S91" i="6"/>
  <c r="S64" i="6"/>
  <c r="S29" i="6"/>
  <c r="S27" i="6"/>
  <c r="S25" i="6"/>
  <c r="S22" i="6"/>
  <c r="S20" i="6"/>
  <c r="S18" i="6"/>
  <c r="S16" i="6"/>
  <c r="S14" i="6"/>
  <c r="S12" i="6"/>
  <c r="S10" i="6"/>
  <c r="S8" i="6"/>
  <c r="S6" i="6"/>
  <c r="M64" i="4"/>
  <c r="S199" i="6"/>
  <c r="S197" i="6"/>
  <c r="S192" i="6"/>
  <c r="S190" i="6"/>
  <c r="S188" i="6"/>
  <c r="S186" i="6"/>
  <c r="S184" i="6"/>
  <c r="S182" i="6"/>
  <c r="S178" i="6"/>
  <c r="S159" i="6"/>
  <c r="S157" i="6"/>
  <c r="S148" i="6"/>
  <c r="S142" i="6"/>
  <c r="S140" i="6"/>
  <c r="S138" i="6"/>
  <c r="S136" i="6"/>
  <c r="S134" i="6"/>
  <c r="S132" i="6"/>
  <c r="S124" i="6"/>
  <c r="S122" i="6"/>
  <c r="S120" i="6"/>
  <c r="S118" i="6"/>
  <c r="S116" i="6"/>
  <c r="S114" i="6"/>
  <c r="S112" i="6"/>
  <c r="S108" i="6"/>
  <c r="S65" i="6"/>
  <c r="S30" i="6"/>
  <c r="S28" i="6"/>
  <c r="S26" i="6"/>
  <c r="S23" i="6"/>
  <c r="S21" i="6"/>
  <c r="S19" i="6"/>
  <c r="S17" i="6"/>
  <c r="S15" i="6"/>
  <c r="S13" i="6"/>
  <c r="S11" i="6"/>
  <c r="S9" i="6"/>
  <c r="S7" i="6"/>
  <c r="M65" i="4"/>
  <c r="S215" i="6"/>
  <c r="S202" i="6"/>
  <c r="S195" i="6"/>
  <c r="S176" i="6"/>
  <c r="S175" i="6"/>
  <c r="S173" i="6"/>
  <c r="S171" i="6"/>
  <c r="S170" i="6"/>
  <c r="S167" i="6"/>
  <c r="S164" i="6"/>
  <c r="S162" i="6"/>
  <c r="S149" i="6"/>
  <c r="S146" i="6"/>
  <c r="S125" i="6"/>
  <c r="S96" i="6"/>
  <c r="S90" i="6"/>
  <c r="S81" i="6"/>
  <c r="S80" i="6"/>
  <c r="S76" i="6"/>
  <c r="S75" i="6"/>
  <c r="S67" i="6"/>
  <c r="S63" i="6"/>
  <c r="S57" i="6"/>
  <c r="S54" i="6"/>
  <c r="S42" i="6"/>
  <c r="S33" i="6"/>
  <c r="S31" i="6"/>
  <c r="S24" i="6"/>
  <c r="M66" i="4"/>
  <c r="S211" i="6"/>
  <c r="S72" i="6"/>
  <c r="M67" i="4"/>
  <c r="S145" i="6"/>
  <c r="M68" i="4"/>
  <c r="S193" i="6"/>
  <c r="S68" i="6"/>
  <c r="M69" i="4"/>
  <c r="S206" i="6"/>
  <c r="S205" i="6"/>
  <c r="S204" i="6"/>
  <c r="S201" i="6"/>
  <c r="S200" i="6"/>
  <c r="S194" i="6"/>
  <c r="S165" i="6"/>
  <c r="S154" i="6"/>
  <c r="S150" i="6"/>
  <c r="S126" i="6"/>
  <c r="S95" i="6"/>
  <c r="S94" i="6"/>
  <c r="S86" i="6"/>
  <c r="S85" i="6"/>
  <c r="S82" i="6"/>
  <c r="S79" i="6"/>
  <c r="S77" i="6"/>
  <c r="S73" i="6"/>
  <c r="S71" i="6"/>
  <c r="S69" i="6"/>
  <c r="S56" i="6"/>
  <c r="S55" i="6"/>
  <c r="S43" i="6"/>
  <c r="S32" i="6"/>
  <c r="M70" i="4"/>
  <c r="S66" i="6"/>
  <c r="M71" i="4"/>
  <c r="S215" i="7"/>
  <c r="M80" i="4"/>
  <c r="S214" i="7"/>
  <c r="S169" i="7"/>
  <c r="S164" i="7"/>
  <c r="M81" i="4"/>
  <c r="S204" i="7"/>
  <c r="S170" i="7"/>
  <c r="S103" i="7"/>
  <c r="M82" i="4"/>
  <c r="S175" i="7"/>
  <c r="M83" i="4"/>
  <c r="S84" i="7"/>
  <c r="S79" i="7"/>
  <c r="S75" i="7"/>
  <c r="S71" i="7"/>
  <c r="S62" i="7"/>
  <c r="S61" i="7"/>
  <c r="S60" i="7"/>
  <c r="S59" i="7"/>
  <c r="S58" i="7"/>
  <c r="S53" i="7"/>
  <c r="S52" i="7"/>
  <c r="S51" i="7"/>
  <c r="S50" i="7"/>
  <c r="S49" i="7"/>
  <c r="S48" i="7"/>
  <c r="S47" i="7"/>
  <c r="S46" i="7"/>
  <c r="S45" i="7"/>
  <c r="S44" i="7"/>
  <c r="S41" i="7"/>
  <c r="S40" i="7"/>
  <c r="S39" i="7"/>
  <c r="S38" i="7"/>
  <c r="S37" i="7"/>
  <c r="S36" i="7"/>
  <c r="S35" i="7"/>
  <c r="S34" i="7"/>
  <c r="M84" i="4"/>
  <c r="S99" i="7"/>
  <c r="S98" i="7"/>
  <c r="S94" i="7"/>
  <c r="S93" i="7"/>
  <c r="S90" i="7"/>
  <c r="S89" i="7"/>
  <c r="S88" i="7"/>
  <c r="S85" i="7"/>
  <c r="M85" i="4"/>
  <c r="S173" i="7"/>
  <c r="S167" i="7"/>
  <c r="S162" i="7"/>
  <c r="S161" i="7"/>
  <c r="S156" i="7"/>
  <c r="S154" i="7"/>
  <c r="S153" i="7"/>
  <c r="S152" i="7"/>
  <c r="S145" i="7"/>
  <c r="S144" i="7"/>
  <c r="M86" i="4"/>
  <c r="S128" i="7"/>
  <c r="S111" i="7"/>
  <c r="S104" i="7"/>
  <c r="M87" i="4"/>
  <c r="S213" i="7"/>
  <c r="S211" i="7"/>
  <c r="S199" i="7"/>
  <c r="S197" i="7"/>
  <c r="S192" i="7"/>
  <c r="S190" i="7"/>
  <c r="S188" i="7"/>
  <c r="S186" i="7"/>
  <c r="S184" i="7"/>
  <c r="S178" i="7"/>
  <c r="S159" i="7"/>
  <c r="S157" i="7"/>
  <c r="S148" i="7"/>
  <c r="S142" i="7"/>
  <c r="S140" i="7"/>
  <c r="S138" i="7"/>
  <c r="S136" i="7"/>
  <c r="S134" i="7"/>
  <c r="S132" i="7"/>
  <c r="S124" i="7"/>
  <c r="S122" i="7"/>
  <c r="S120" i="7"/>
  <c r="S118" i="7"/>
  <c r="S116" i="7"/>
  <c r="S114" i="7"/>
  <c r="S112" i="7"/>
  <c r="S110" i="7"/>
  <c r="S108" i="7"/>
  <c r="S107" i="7"/>
  <c r="S106" i="7"/>
  <c r="S105" i="7"/>
  <c r="S92" i="7"/>
  <c r="S64" i="7"/>
  <c r="S29" i="7"/>
  <c r="S27" i="7"/>
  <c r="S25" i="7"/>
  <c r="S22" i="7"/>
  <c r="S20" i="7"/>
  <c r="S18" i="7"/>
  <c r="S16" i="7"/>
  <c r="S14" i="7"/>
  <c r="S12" i="7"/>
  <c r="S10" i="7"/>
  <c r="S8" i="7"/>
  <c r="S6" i="7"/>
  <c r="M88" i="4"/>
  <c r="S200" i="7"/>
  <c r="S198" i="7"/>
  <c r="S193" i="7"/>
  <c r="S191" i="7"/>
  <c r="S189" i="7"/>
  <c r="S187" i="7"/>
  <c r="S185" i="7"/>
  <c r="S183" i="7"/>
  <c r="S179" i="7"/>
  <c r="S160" i="7"/>
  <c r="S158" i="7"/>
  <c r="S149" i="7"/>
  <c r="S143" i="7"/>
  <c r="S141" i="7"/>
  <c r="S139" i="7"/>
  <c r="S137" i="7"/>
  <c r="S135" i="7"/>
  <c r="S133" i="7"/>
  <c r="S125" i="7"/>
  <c r="S123" i="7"/>
  <c r="S121" i="7"/>
  <c r="S119" i="7"/>
  <c r="S117" i="7"/>
  <c r="S115" i="7"/>
  <c r="S113" i="7"/>
  <c r="S109" i="7"/>
  <c r="S65" i="7"/>
  <c r="S30" i="7"/>
  <c r="S28" i="7"/>
  <c r="S26" i="7"/>
  <c r="S23" i="7"/>
  <c r="S21" i="7"/>
  <c r="S19" i="7"/>
  <c r="S17" i="7"/>
  <c r="S15" i="7"/>
  <c r="S13" i="7"/>
  <c r="S11" i="7"/>
  <c r="S9" i="7"/>
  <c r="S7" i="7"/>
  <c r="M89" i="4"/>
  <c r="S216" i="7"/>
  <c r="S203" i="7"/>
  <c r="S196" i="7"/>
  <c r="S177" i="7"/>
  <c r="S176" i="7"/>
  <c r="S174" i="7"/>
  <c r="S172" i="7"/>
  <c r="S171" i="7"/>
  <c r="S168" i="7"/>
  <c r="S165" i="7"/>
  <c r="S163" i="7"/>
  <c r="S150" i="7"/>
  <c r="S147" i="7"/>
  <c r="S126" i="7"/>
  <c r="S97" i="7"/>
  <c r="S91" i="7"/>
  <c r="S82" i="7"/>
  <c r="S81" i="7"/>
  <c r="S77" i="7"/>
  <c r="S76" i="7"/>
  <c r="S68" i="7"/>
  <c r="S63" i="7"/>
  <c r="S57" i="7"/>
  <c r="S54" i="7"/>
  <c r="S42" i="7"/>
  <c r="S33" i="7"/>
  <c r="S31" i="7"/>
  <c r="S24" i="7"/>
  <c r="M90" i="4"/>
  <c r="S212" i="7"/>
  <c r="S73" i="7"/>
  <c r="M91" i="4"/>
  <c r="S146" i="7"/>
  <c r="M92" i="4"/>
  <c r="S194" i="7"/>
  <c r="S69" i="7"/>
  <c r="M93" i="4"/>
  <c r="S207" i="7"/>
  <c r="S206" i="7"/>
  <c r="S205" i="7"/>
  <c r="S202" i="7"/>
  <c r="S201" i="7"/>
  <c r="S195" i="7"/>
  <c r="S166" i="7"/>
  <c r="S155" i="7"/>
  <c r="S151" i="7"/>
  <c r="S127" i="7"/>
  <c r="S96" i="7"/>
  <c r="S95" i="7"/>
  <c r="S87" i="7"/>
  <c r="S86" i="7"/>
  <c r="S83" i="7"/>
  <c r="S80" i="7"/>
  <c r="S78" i="7"/>
  <c r="S74" i="7"/>
  <c r="S72" i="7"/>
  <c r="S70" i="7"/>
  <c r="S56" i="7"/>
  <c r="S55" i="7"/>
  <c r="S43" i="7"/>
  <c r="S32" i="7"/>
  <c r="M94" i="4"/>
  <c r="S67" i="7"/>
  <c r="M95" i="4"/>
  <c r="K6" i="12"/>
  <c r="K12" i="12"/>
  <c r="K7" i="12"/>
  <c r="K8" i="12"/>
  <c r="K9" i="12"/>
  <c r="K10" i="12"/>
  <c r="K11" i="12"/>
  <c r="L9" i="12"/>
  <c r="M9" i="12"/>
  <c r="L10" i="12"/>
  <c r="M10" i="12"/>
  <c r="L11" i="12"/>
  <c r="M11" i="12"/>
  <c r="L6" i="12"/>
  <c r="M6" i="12"/>
  <c r="L12" i="12"/>
  <c r="M12" i="12"/>
  <c r="L7" i="12"/>
  <c r="M7" i="12"/>
  <c r="L8" i="12"/>
  <c r="M8" i="12"/>
  <c r="S102" i="7"/>
  <c r="S129" i="7"/>
  <c r="S101" i="6"/>
  <c r="S128" i="6"/>
  <c r="M6" i="4"/>
  <c r="M49" i="4"/>
  <c r="M55" i="4"/>
  <c r="M73" i="4"/>
  <c r="M79" i="4"/>
  <c r="M97" i="4"/>
  <c r="M102" i="4"/>
  <c r="S377" i="5"/>
  <c r="S392" i="5"/>
  <c r="S209" i="6"/>
  <c r="S216" i="6"/>
  <c r="S181" i="6"/>
  <c r="S207" i="6"/>
  <c r="S130" i="6"/>
  <c r="S179" i="6"/>
  <c r="S5" i="6"/>
  <c r="S99" i="6"/>
  <c r="S210" i="7"/>
  <c r="S217" i="7"/>
  <c r="S182" i="7"/>
  <c r="S208" i="7"/>
  <c r="S131" i="7"/>
  <c r="S180" i="7"/>
  <c r="S5" i="7"/>
  <c r="S100" i="7"/>
  <c r="J16" i="9"/>
  <c r="L16" i="9"/>
  <c r="N16" i="9"/>
  <c r="J25" i="9"/>
  <c r="L25" i="9"/>
  <c r="N25" i="9"/>
  <c r="F4" i="10"/>
  <c r="J17" i="9"/>
  <c r="L17" i="9"/>
  <c r="N17" i="9"/>
  <c r="J26" i="9"/>
  <c r="L26" i="9"/>
  <c r="N26" i="9"/>
  <c r="F5" i="10"/>
  <c r="J18" i="9"/>
  <c r="L18" i="9"/>
  <c r="N18" i="9"/>
  <c r="J27" i="9"/>
  <c r="L27" i="9"/>
  <c r="N27" i="9"/>
  <c r="F6" i="10"/>
  <c r="J19" i="9"/>
  <c r="L19" i="9"/>
  <c r="N19" i="9"/>
  <c r="J28" i="9"/>
  <c r="L28" i="9"/>
  <c r="N28" i="9"/>
  <c r="F7" i="10"/>
  <c r="J20" i="9"/>
  <c r="L20" i="9"/>
  <c r="N20" i="9"/>
  <c r="J29" i="9"/>
  <c r="L29" i="9"/>
  <c r="N29" i="9"/>
  <c r="F9" i="10"/>
  <c r="F11" i="10"/>
  <c r="C4" i="16"/>
  <c r="C9" i="16"/>
  <c r="D9" i="16"/>
  <c r="D4" i="16"/>
  <c r="G4" i="10"/>
  <c r="G5" i="10"/>
  <c r="G6" i="10"/>
  <c r="G7" i="10"/>
  <c r="G9" i="10"/>
  <c r="G11" i="10"/>
  <c r="H4" i="10"/>
  <c r="H5" i="10"/>
  <c r="H6" i="10"/>
  <c r="H7" i="10"/>
  <c r="H9" i="10"/>
  <c r="H11" i="10"/>
  <c r="N21" i="9"/>
  <c r="N30" i="9"/>
  <c r="N33" i="9"/>
  <c r="N35" i="9"/>
  <c r="O16" i="9"/>
  <c r="O17" i="9"/>
  <c r="O18" i="9"/>
  <c r="O19" i="9"/>
  <c r="O20" i="9"/>
  <c r="O21" i="9"/>
  <c r="O25" i="9"/>
  <c r="O26" i="9"/>
  <c r="O27" i="9"/>
  <c r="O28" i="9"/>
  <c r="O29" i="9"/>
  <c r="O30" i="9"/>
  <c r="O33" i="9"/>
  <c r="O35" i="9"/>
</calcChain>
</file>

<file path=xl/sharedStrings.xml><?xml version="1.0" encoding="utf-8"?>
<sst xmlns="http://schemas.openxmlformats.org/spreadsheetml/2006/main" count="10381" uniqueCount="1168">
  <si>
    <t>Blad 'Omreken'</t>
  </si>
  <si>
    <t>Dit blad mag niet worden gewijzigd!</t>
  </si>
  <si>
    <t>Type:</t>
  </si>
  <si>
    <t>Invultabel</t>
  </si>
  <si>
    <t>Werkdagen</t>
  </si>
  <si>
    <t xml:space="preserve">per jaar: </t>
  </si>
  <si>
    <t xml:space="preserve">per week: </t>
  </si>
  <si>
    <t>FREQ</t>
  </si>
  <si>
    <t>FACTOR</t>
  </si>
  <si>
    <t>5W</t>
  </si>
  <si>
    <t>4W</t>
  </si>
  <si>
    <t>175J</t>
  </si>
  <si>
    <t>3W</t>
  </si>
  <si>
    <t>2W</t>
  </si>
  <si>
    <t>1W</t>
  </si>
  <si>
    <t>26J</t>
  </si>
  <si>
    <t>12J</t>
  </si>
  <si>
    <t>6J</t>
  </si>
  <si>
    <t>5J</t>
  </si>
  <si>
    <t>4J</t>
  </si>
  <si>
    <t>3J</t>
  </si>
  <si>
    <t>2J</t>
  </si>
  <si>
    <t>1J</t>
  </si>
  <si>
    <t>Opbouw uurtarief</t>
  </si>
  <si>
    <t>Regulier werk</t>
  </si>
  <si>
    <t>Regie werk</t>
  </si>
  <si>
    <t>Uitvoering</t>
  </si>
  <si>
    <t>Directe leiding</t>
  </si>
  <si>
    <t>ONDERDEEL</t>
  </si>
  <si>
    <t>Vakvolwassene</t>
  </si>
  <si>
    <t>Leiding (meewerkend)</t>
  </si>
  <si>
    <t>Leiding (niet-meewerkend)</t>
  </si>
  <si>
    <t>Vakvolwassene regie</t>
  </si>
  <si>
    <t>Leiding regie</t>
  </si>
  <si>
    <t>Loongroep/ervaring</t>
  </si>
  <si>
    <t>&gt;3 dienstjaren</t>
  </si>
  <si>
    <t/>
  </si>
  <si>
    <t>voorman/vrouw</t>
  </si>
  <si>
    <t>objectleider</t>
  </si>
  <si>
    <t>specialist</t>
  </si>
  <si>
    <t>Basis uurloon (CAO)</t>
  </si>
  <si>
    <t>Basis toeslagen</t>
  </si>
  <si>
    <t>Totaal basisloon</t>
  </si>
  <si>
    <t>Vakantietoeslag</t>
  </si>
  <si>
    <t>Overige structurele uitkeringen</t>
  </si>
  <si>
    <t>Totaal uurloon inclusief toeslagen</t>
  </si>
  <si>
    <t>Sociale lasten</t>
  </si>
  <si>
    <t>Totaal uurloon inclusief sociale lasten</t>
  </si>
  <si>
    <t>Vakantiedagen</t>
  </si>
  <si>
    <t>Betaalde feestdagen</t>
  </si>
  <si>
    <t>Ziektedagen</t>
  </si>
  <si>
    <t>Overige niet werkbare dagen</t>
  </si>
  <si>
    <t>TOTAAL LOONKOSTEN PER UUR</t>
  </si>
  <si>
    <t>Materialen en middelen</t>
  </si>
  <si>
    <t>Machinekosten</t>
  </si>
  <si>
    <t>Werkkleding en uitrusting</t>
  </si>
  <si>
    <t>Afvalzakken</t>
  </si>
  <si>
    <t>Reiskosten/vervoerskosten/parkeergelden</t>
  </si>
  <si>
    <t>Overige directe kosten</t>
  </si>
  <si>
    <t>TOTAAL DIRECTE KOSTEN</t>
  </si>
  <si>
    <t>Indirecte leiding</t>
  </si>
  <si>
    <t>Managementkosten</t>
  </si>
  <si>
    <t>P.Z. kosten</t>
  </si>
  <si>
    <t>Opleiding</t>
  </si>
  <si>
    <t>Huisvesting</t>
  </si>
  <si>
    <t>Administratiekosten</t>
  </si>
  <si>
    <t>Overige overhead</t>
  </si>
  <si>
    <t>TOTAAL INDIRECTE KOSTEN</t>
  </si>
  <si>
    <t>RISICO EN WINST</t>
  </si>
  <si>
    <t>TOTAAL UURTARIEF (excl. BTW)</t>
  </si>
  <si>
    <t>Onregelmatigheids tijdstip:</t>
  </si>
  <si>
    <t>toeslag</t>
  </si>
  <si>
    <t>tarief</t>
  </si>
  <si>
    <t>- DN: ma-vr nacht</t>
  </si>
  <si>
    <t>- W: weekend</t>
  </si>
  <si>
    <t>- X: feestdag</t>
  </si>
  <si>
    <t>TARIEVEN REGULIER WERK</t>
  </si>
  <si>
    <t>Werkdag</t>
  </si>
  <si>
    <t>Weekend</t>
  </si>
  <si>
    <t>Feestdag</t>
  </si>
  <si>
    <t>Aandeel</t>
  </si>
  <si>
    <t>Tarief</t>
  </si>
  <si>
    <t>Gewogen tarief uitvoering</t>
  </si>
  <si>
    <t>Tarieven regulier werk</t>
  </si>
  <si>
    <t>TARIEVEN REGIE WERK</t>
  </si>
  <si>
    <t>Regie</t>
  </si>
  <si>
    <t>Regie specialist</t>
  </si>
  <si>
    <t>Glasbewassing</t>
  </si>
  <si>
    <t>Tarieven regie werk</t>
  </si>
  <si>
    <t>NORM-CODE</t>
  </si>
  <si>
    <t>CATEGORIE</t>
  </si>
  <si>
    <t>DAGEN/JAAR</t>
  </si>
  <si>
    <t>OMSCHRIJVING</t>
  </si>
  <si>
    <t>PRODUCTIE-NORM</t>
  </si>
  <si>
    <t>% HOOG-FREQUENT</t>
  </si>
  <si>
    <t>EENHEID</t>
  </si>
  <si>
    <t>TARIEF (EURO)</t>
  </si>
  <si>
    <t xml:space="preserve">WERKDAG                  </t>
  </si>
  <si>
    <t>SKHB</t>
  </si>
  <si>
    <t xml:space="preserve">S    </t>
  </si>
  <si>
    <t>Kleedruimten - harde vloeren (basis)</t>
  </si>
  <si>
    <t>m²/uur</t>
  </si>
  <si>
    <t>SKHV</t>
  </si>
  <si>
    <t>Kleedruimten - harde vloeren (volledig)</t>
  </si>
  <si>
    <t>STHB</t>
  </si>
  <si>
    <t>Toiletten - harde vloeren (basis)</t>
  </si>
  <si>
    <t>STHV</t>
  </si>
  <si>
    <t>Toiletten - harde vloeren (volledig)</t>
  </si>
  <si>
    <t>LAHB</t>
  </si>
  <si>
    <t xml:space="preserve">T    </t>
  </si>
  <si>
    <t>Auditorium - harde vloeren (basis)</t>
  </si>
  <si>
    <t>LAHV</t>
  </si>
  <si>
    <t>Auditorium - harde vloeren (volledig)</t>
  </si>
  <si>
    <t>MEHB</t>
  </si>
  <si>
    <t>Expositieruimte - harde vloeren (basis)</t>
  </si>
  <si>
    <t>MEHV</t>
  </si>
  <si>
    <t>Expositieruimte - harde vloeren (volledig)</t>
  </si>
  <si>
    <t>MEZB</t>
  </si>
  <si>
    <t>Expositieruimte - zachte vloeren (basis)</t>
  </si>
  <si>
    <t>MEZV</t>
  </si>
  <si>
    <t>Expositieruimte - zachte vloeren (volledig)</t>
  </si>
  <si>
    <t>NMEHB</t>
  </si>
  <si>
    <t>Expositieruimte Nijntje harde vloeren (basis)</t>
  </si>
  <si>
    <t>NMEHV</t>
  </si>
  <si>
    <t>Expositieruimte Nijntje harde vloeren (volledig)</t>
  </si>
  <si>
    <t>KPHB</t>
  </si>
  <si>
    <t xml:space="preserve">V    </t>
  </si>
  <si>
    <t>Pantry - harde vloeren (basis)</t>
  </si>
  <si>
    <t>KPHV</t>
  </si>
  <si>
    <t>Pantry - harde vloeren (volledig)</t>
  </si>
  <si>
    <t>KRHB</t>
  </si>
  <si>
    <t>Restaurant/kantine - harde vloeren (basis)</t>
  </si>
  <si>
    <t>KRHV</t>
  </si>
  <si>
    <t>Restaurant/kantine - harde vloeren (volledig)</t>
  </si>
  <si>
    <t>OAHB</t>
  </si>
  <si>
    <t>Opslag/archief/magazijn - harde vloeren (basis)</t>
  </si>
  <si>
    <t>OAHV</t>
  </si>
  <si>
    <t>Opslag/archief/magazijn - harde vloeren (volledig)</t>
  </si>
  <si>
    <t>VAHB</t>
  </si>
  <si>
    <t>Verkeer algemeen - harde vloeren (basis)</t>
  </si>
  <si>
    <t>VAHV</t>
  </si>
  <si>
    <t>Verkeer algemeen - harde vloeren (volledig)</t>
  </si>
  <si>
    <t>VAZB</t>
  </si>
  <si>
    <t>Verkeer algemeen - zachte vloeren (basis)</t>
  </si>
  <si>
    <t>VAZV</t>
  </si>
  <si>
    <t>Verkeer algemeen - zachte vloeren (volledig)</t>
  </si>
  <si>
    <t>VEHB</t>
  </si>
  <si>
    <t>Entree - harde vloeren (basis)</t>
  </si>
  <si>
    <t>VEHV</t>
  </si>
  <si>
    <t>Entree - harde vloeren (volledig)</t>
  </si>
  <si>
    <t>VEZB</t>
  </si>
  <si>
    <t>Entree - zachte vloeren (basis)</t>
  </si>
  <si>
    <t>VEZV</t>
  </si>
  <si>
    <t>Entree - zachte vloeren (volledig)</t>
  </si>
  <si>
    <t>VLHB</t>
  </si>
  <si>
    <t>Liften - harde vloeren (basis)</t>
  </si>
  <si>
    <t>VLHV</t>
  </si>
  <si>
    <t>Liften - harde vloeren (volledig)</t>
  </si>
  <si>
    <t>VTHB</t>
  </si>
  <si>
    <t>Trap - harde vloeren (basis)</t>
  </si>
  <si>
    <t>VTHV</t>
  </si>
  <si>
    <t>Trap - harde vloeren (volledig)</t>
  </si>
  <si>
    <t>VTZB</t>
  </si>
  <si>
    <t>Trap - zachte vloeren (basis)</t>
  </si>
  <si>
    <t>VTZV</t>
  </si>
  <si>
    <t>Trap - zachte vloeren (volledig)</t>
  </si>
  <si>
    <t>BKHB</t>
  </si>
  <si>
    <t xml:space="preserve">W    </t>
  </si>
  <si>
    <t>Bureaukamers - harde vloeren (basis)</t>
  </si>
  <si>
    <t>BKHV</t>
  </si>
  <si>
    <t>Bureaukamers - harde vloeren (volledig)</t>
  </si>
  <si>
    <t>BKZB</t>
  </si>
  <si>
    <t>Bureaukamers - zachte vloeren (basis)</t>
  </si>
  <si>
    <t>BKZV</t>
  </si>
  <si>
    <t>Bureaukamers - zachte vloeren (volledig)</t>
  </si>
  <si>
    <t>BVHB</t>
  </si>
  <si>
    <t>Vergaderruimten - harde vloeren (basis)</t>
  </si>
  <si>
    <t>BVHV</t>
  </si>
  <si>
    <t>Vergaderruimten - harde vloeren (volledig)</t>
  </si>
  <si>
    <t>WIHB</t>
  </si>
  <si>
    <t>Winkel - harde vloeren (basis)</t>
  </si>
  <si>
    <t>WIHV</t>
  </si>
  <si>
    <t>Winkel - harde vloeren (volledig)</t>
  </si>
  <si>
    <t xml:space="preserve">FEESTDAG                 </t>
  </si>
  <si>
    <t>XSKHB</t>
  </si>
  <si>
    <t>Kleedruimte - harde vloeren (basis)</t>
  </si>
  <si>
    <t>XSTHB</t>
  </si>
  <si>
    <t>Toilet - harde vloeren (basis)</t>
  </si>
  <si>
    <t>XLAHB</t>
  </si>
  <si>
    <t>XMEHB</t>
  </si>
  <si>
    <t>XMEZB</t>
  </si>
  <si>
    <t>XNMHB</t>
  </si>
  <si>
    <t>Expositieruimte Nijntje  harde vloeren (basis)</t>
  </si>
  <si>
    <t>XKPHB</t>
  </si>
  <si>
    <t>XKRHB</t>
  </si>
  <si>
    <t>XVAHB</t>
  </si>
  <si>
    <t>XVEHB</t>
  </si>
  <si>
    <t>XVEZB</t>
  </si>
  <si>
    <t>XVLHB</t>
  </si>
  <si>
    <t>XVTHB</t>
  </si>
  <si>
    <t>XBKHB</t>
  </si>
  <si>
    <t>XBVHB</t>
  </si>
  <si>
    <t>Vergaderruimten  - harde vloeren (basis)</t>
  </si>
  <si>
    <t>XWINB</t>
  </si>
  <si>
    <t xml:space="preserve">WEEKENDDAG               </t>
  </si>
  <si>
    <t>WSKHB</t>
  </si>
  <si>
    <t>WSTHB</t>
  </si>
  <si>
    <t>WLAHB</t>
  </si>
  <si>
    <t>WMEHB</t>
  </si>
  <si>
    <t>WMEZB</t>
  </si>
  <si>
    <t>WNMHB</t>
  </si>
  <si>
    <t>WKPHB</t>
  </si>
  <si>
    <t>WKRHB</t>
  </si>
  <si>
    <t>WVAHB</t>
  </si>
  <si>
    <t>WVEHB</t>
  </si>
  <si>
    <t>WVEZB</t>
  </si>
  <si>
    <t>WVLHB</t>
  </si>
  <si>
    <t>WVTHB</t>
  </si>
  <si>
    <t>WKBHB</t>
  </si>
  <si>
    <t>WVBHB</t>
  </si>
  <si>
    <t>WWIHB</t>
  </si>
  <si>
    <t>TAAK</t>
  </si>
  <si>
    <t>WERK- SOORT</t>
  </si>
  <si>
    <t>OPP OF AANTAL</t>
  </si>
  <si>
    <t>OPP OF AANTAL /DAG</t>
  </si>
  <si>
    <t>UREN/ DAG</t>
  </si>
  <si>
    <t>PRIJS/ DAG</t>
  </si>
  <si>
    <t>UREN/ JAAR</t>
  </si>
  <si>
    <t>PRIJS/ JAAR</t>
  </si>
  <si>
    <t>BKH</t>
  </si>
  <si>
    <t>interieur</t>
  </si>
  <si>
    <t>Bureaukamers - harde vloeren</t>
  </si>
  <si>
    <t>BKZ</t>
  </si>
  <si>
    <t>Bureaukamers - zachte vloeren</t>
  </si>
  <si>
    <t>BVH</t>
  </si>
  <si>
    <t>Vergaderruimten - harde vloeren</t>
  </si>
  <si>
    <t>KPH</t>
  </si>
  <si>
    <t>Pantry - harde vloeren</t>
  </si>
  <si>
    <t>KRH</t>
  </si>
  <si>
    <t>Restaurant/kantine - harde vloeren</t>
  </si>
  <si>
    <t>LAH</t>
  </si>
  <si>
    <t>Auditorium - harde vloeren</t>
  </si>
  <si>
    <t>MEH</t>
  </si>
  <si>
    <t>Expositieruimte - harde vloeren</t>
  </si>
  <si>
    <t>MEZ</t>
  </si>
  <si>
    <t>Expositieruimte - zachte vloeren</t>
  </si>
  <si>
    <t>NMEH</t>
  </si>
  <si>
    <t>Expositieruimte Nijntje  harde vloeren</t>
  </si>
  <si>
    <t>OAH</t>
  </si>
  <si>
    <t>Opslag/archief/magazijn - harde vloeren</t>
  </si>
  <si>
    <t>SKH</t>
  </si>
  <si>
    <t>Kleedruimte - harde vloeren</t>
  </si>
  <si>
    <t>STH</t>
  </si>
  <si>
    <t>Toilet - harde vloeren</t>
  </si>
  <si>
    <t>STHN</t>
  </si>
  <si>
    <t>Toilet - harde vloeren - naloop</t>
  </si>
  <si>
    <t>VAH</t>
  </si>
  <si>
    <t>Verkeer algemeen - harde vloeren</t>
  </si>
  <si>
    <t>VAZ</t>
  </si>
  <si>
    <t>Verkeer algemeen - zachte vloeren</t>
  </si>
  <si>
    <t>VEH</t>
  </si>
  <si>
    <t>Entree - harde vloeren</t>
  </si>
  <si>
    <t>VEZ</t>
  </si>
  <si>
    <t>Entree - zachte vloeren</t>
  </si>
  <si>
    <t>VLH</t>
  </si>
  <si>
    <t>Liften - harde vloeren</t>
  </si>
  <si>
    <t>VTH</t>
  </si>
  <si>
    <t>Trap - harde vloeren</t>
  </si>
  <si>
    <t>VTZ</t>
  </si>
  <si>
    <t>Trap - zachte vloeren</t>
  </si>
  <si>
    <t>WIH</t>
  </si>
  <si>
    <t>Winkel harde vloer</t>
  </si>
  <si>
    <t>ZOO1</t>
  </si>
  <si>
    <t>extra</t>
  </si>
  <si>
    <t>Extra stofzuigen personeelskantine</t>
  </si>
  <si>
    <t>min./keer</t>
  </si>
  <si>
    <t xml:space="preserve">Totaal werkdag                  </t>
  </si>
  <si>
    <t xml:space="preserve">Gemiddeld uurtarief werkdag                  </t>
  </si>
  <si>
    <t>XBKH</t>
  </si>
  <si>
    <t>XBVH</t>
  </si>
  <si>
    <t>XKPH</t>
  </si>
  <si>
    <t>XKRH</t>
  </si>
  <si>
    <t>XLAH</t>
  </si>
  <si>
    <t>XMEH</t>
  </si>
  <si>
    <t>XMEZ</t>
  </si>
  <si>
    <t>XNMEH</t>
  </si>
  <si>
    <t>Expositieruimte Nijntje harde vloeren</t>
  </si>
  <si>
    <t>XSKH</t>
  </si>
  <si>
    <t>XSTH</t>
  </si>
  <si>
    <t>XSTHN</t>
  </si>
  <si>
    <t>XVAH</t>
  </si>
  <si>
    <t>XVEH</t>
  </si>
  <si>
    <t>XVEZ</t>
  </si>
  <si>
    <t>XVLH</t>
  </si>
  <si>
    <t>XVTH</t>
  </si>
  <si>
    <t>XWIH</t>
  </si>
  <si>
    <t>Winkel - harde vloeren</t>
  </si>
  <si>
    <t>XZ001</t>
  </si>
  <si>
    <t>Extra stofzuigen personeelskantine feestdag</t>
  </si>
  <si>
    <t xml:space="preserve">Totaal feestdag                 </t>
  </si>
  <si>
    <t xml:space="preserve">Gemiddeld uurtarief feestdag                 </t>
  </si>
  <si>
    <t>WBKH</t>
  </si>
  <si>
    <t>WBVH</t>
  </si>
  <si>
    <t>WKPH</t>
  </si>
  <si>
    <t>WKRH</t>
  </si>
  <si>
    <t>WLAH</t>
  </si>
  <si>
    <t>WMEH</t>
  </si>
  <si>
    <t>WMEZ</t>
  </si>
  <si>
    <t>WNMEH</t>
  </si>
  <si>
    <t>WSKH</t>
  </si>
  <si>
    <t>WSTH</t>
  </si>
  <si>
    <t>WSTHN</t>
  </si>
  <si>
    <t>Toilet - harde vloeren - extra naloop</t>
  </si>
  <si>
    <t>WVAH</t>
  </si>
  <si>
    <t>WVEH</t>
  </si>
  <si>
    <t>WVEZ</t>
  </si>
  <si>
    <t>WVLH</t>
  </si>
  <si>
    <t>WVTH</t>
  </si>
  <si>
    <t>WWIH</t>
  </si>
  <si>
    <t>WZOO1</t>
  </si>
  <si>
    <t>Extra stofzuigen personeelskantine weekend</t>
  </si>
  <si>
    <t xml:space="preserve">Totaal weekenddag               </t>
  </si>
  <si>
    <t xml:space="preserve">Gemiddeld uurtarief weekenddag               </t>
  </si>
  <si>
    <t>Totaal regulier werk excl. BTW</t>
  </si>
  <si>
    <t>OBJECT</t>
  </si>
  <si>
    <t>BOUW-DEEL</t>
  </si>
  <si>
    <t>ETAGE</t>
  </si>
  <si>
    <t>RUIMTENR</t>
  </si>
  <si>
    <t>RUIMTENAAM</t>
  </si>
  <si>
    <t>VLOER</t>
  </si>
  <si>
    <t>WERK-SOORT</t>
  </si>
  <si>
    <t>TAAK OMSCHRIJVING</t>
  </si>
  <si>
    <t>001 - Centraal Museum, Agnietenstraat 1, Utrecht</t>
  </si>
  <si>
    <t>001</t>
  </si>
  <si>
    <t>1920</t>
  </si>
  <si>
    <t>-01</t>
  </si>
  <si>
    <t>1920.-1.01</t>
  </si>
  <si>
    <t>Techniek (server)</t>
  </si>
  <si>
    <t>steen</t>
  </si>
  <si>
    <t>N.I.O.</t>
  </si>
  <si>
    <t>1920.-1.02</t>
  </si>
  <si>
    <t>Gang (naar toiletten)</t>
  </si>
  <si>
    <t>gietvloer</t>
  </si>
  <si>
    <t>1920.-1.03</t>
  </si>
  <si>
    <t>WC (dames, straatzijde)</t>
  </si>
  <si>
    <t>1920.-1.04</t>
  </si>
  <si>
    <t>1920.-1.05</t>
  </si>
  <si>
    <t>1920.-1.06</t>
  </si>
  <si>
    <t>Voorruimte (dames straatzijde)</t>
  </si>
  <si>
    <t>tegels</t>
  </si>
  <si>
    <t>1920.-1.07</t>
  </si>
  <si>
    <t>Voorruimte (heren straatzijde)</t>
  </si>
  <si>
    <t>1920.-1.08</t>
  </si>
  <si>
    <t>WC (heren straatzijde)</t>
  </si>
  <si>
    <t>1920.-1.09</t>
  </si>
  <si>
    <t>1920.-1.10</t>
  </si>
  <si>
    <t>1920.-1.11</t>
  </si>
  <si>
    <t>Miva (straatzijde)</t>
  </si>
  <si>
    <t>1920.-1.12</t>
  </si>
  <si>
    <t>Techniek (schoonmakhok)</t>
  </si>
  <si>
    <t>1920.-1.13</t>
  </si>
  <si>
    <t>Techniek (Pegus)</t>
  </si>
  <si>
    <t>1920.-1.14</t>
  </si>
  <si>
    <t>Gang (naast Pegus)</t>
  </si>
  <si>
    <t>korodur</t>
  </si>
  <si>
    <t>1920.-1.15</t>
  </si>
  <si>
    <t>Techniek (naast Pegus)</t>
  </si>
  <si>
    <t>1920.-1.16</t>
  </si>
  <si>
    <t>Berging (magazijn boeken)</t>
  </si>
  <si>
    <t>1920.-1.17</t>
  </si>
  <si>
    <t>Techniek (klimaat)</t>
  </si>
  <si>
    <t>1920.-1.18</t>
  </si>
  <si>
    <t>Berging (AV hok)</t>
  </si>
  <si>
    <t>1920.-1.19</t>
  </si>
  <si>
    <t>Expo (Gotische vloer)</t>
  </si>
  <si>
    <t>1920.-1.20</t>
  </si>
  <si>
    <t>WC (dames pleinzijde)</t>
  </si>
  <si>
    <t>1920.-1.21</t>
  </si>
  <si>
    <t>1920.-1.22</t>
  </si>
  <si>
    <t>WC (heren pleinzijde)</t>
  </si>
  <si>
    <t>1920.-1.23</t>
  </si>
  <si>
    <t>Technische ruimte</t>
  </si>
  <si>
    <t>1920.-1.24</t>
  </si>
  <si>
    <t>1920.-1.25</t>
  </si>
  <si>
    <t>Voorruimte (heren)</t>
  </si>
  <si>
    <t>1920.-1.26</t>
  </si>
  <si>
    <t>Gang (pleinzijde)</t>
  </si>
  <si>
    <t>1920.-1.27</t>
  </si>
  <si>
    <t>Techniek (hydrofoor)</t>
  </si>
  <si>
    <t>1920.-1.28</t>
  </si>
  <si>
    <t>Trap (wentel)</t>
  </si>
  <si>
    <t>1920.-1.29</t>
  </si>
  <si>
    <t>Berging</t>
  </si>
  <si>
    <t>00</t>
  </si>
  <si>
    <t>1920.0.01</t>
  </si>
  <si>
    <t>Berging (winkel)</t>
  </si>
  <si>
    <t>1920.0.02</t>
  </si>
  <si>
    <t>Gang (voor expo 4)</t>
  </si>
  <si>
    <t>1920.0.03</t>
  </si>
  <si>
    <t>EXPO 4 - ZAAL 4.8</t>
  </si>
  <si>
    <t>1920.0.04</t>
  </si>
  <si>
    <t>EXPO 4 - ZAAL 4.7</t>
  </si>
  <si>
    <t>1920.0.05</t>
  </si>
  <si>
    <t>EXPO 4 - ZAAL 4.6</t>
  </si>
  <si>
    <t>1920.0.06</t>
  </si>
  <si>
    <t>EXPO 4 - ZAAL 4.5</t>
  </si>
  <si>
    <t>1920.0.07</t>
  </si>
  <si>
    <t>EXPO 4 - ZAAL 4.4</t>
  </si>
  <si>
    <t>1920.0.08</t>
  </si>
  <si>
    <t>EXPO 4 - ZAAL 4.3</t>
  </si>
  <si>
    <t>1920.0.09</t>
  </si>
  <si>
    <t>EXPO 4 - ZAAL 4.2</t>
  </si>
  <si>
    <t>1920.0.10</t>
  </si>
  <si>
    <t>EXPO 4 - ZAAL 4.1</t>
  </si>
  <si>
    <t>1920.0.11</t>
  </si>
  <si>
    <t>Gang (tussen expo/ HG)</t>
  </si>
  <si>
    <t>gietvloer/ korodur</t>
  </si>
  <si>
    <t>1920.0.12</t>
  </si>
  <si>
    <t>Trap voor EXPO 5</t>
  </si>
  <si>
    <t>01</t>
  </si>
  <si>
    <t>1920.1.01</t>
  </si>
  <si>
    <t>EXPO 5</t>
  </si>
  <si>
    <t>1920.1.02</t>
  </si>
  <si>
    <t>EXPO 5 - verdieping</t>
  </si>
  <si>
    <t>1920.1.03</t>
  </si>
  <si>
    <t>EXPO 6 - ZAAL 6.1</t>
  </si>
  <si>
    <t>1920.1.04</t>
  </si>
  <si>
    <t>EXPO 6 - ZAAL 6.2</t>
  </si>
  <si>
    <t>1920.1.05</t>
  </si>
  <si>
    <t>EXPO 6 - ZAAL 6.3</t>
  </si>
  <si>
    <t>1920.1.06</t>
  </si>
  <si>
    <t>EXPO 6 - ZAAL 6.4</t>
  </si>
  <si>
    <t>1920.1.07</t>
  </si>
  <si>
    <t>EXPO 6 - ZAAL 6.5</t>
  </si>
  <si>
    <t>1920.1.08</t>
  </si>
  <si>
    <t>EXPO 6 - ZAAL 6.6</t>
  </si>
  <si>
    <t>1920.1.09</t>
  </si>
  <si>
    <t>EXPO 6 - ZAAL 6.7</t>
  </si>
  <si>
    <t>1920.1.10</t>
  </si>
  <si>
    <t>EXPO 6 - ZAAL 6.8</t>
  </si>
  <si>
    <t>1920.1.11</t>
  </si>
  <si>
    <t>1920.1.12</t>
  </si>
  <si>
    <t>1920.2.09</t>
  </si>
  <si>
    <t>02</t>
  </si>
  <si>
    <t>1920.2.01</t>
  </si>
  <si>
    <t>Gang (straatzijde)</t>
  </si>
  <si>
    <t>1920.2.02</t>
  </si>
  <si>
    <t>EXPO 8</t>
  </si>
  <si>
    <t>1920.2.03</t>
  </si>
  <si>
    <t>1920.2.04</t>
  </si>
  <si>
    <t>Hoekkamer</t>
  </si>
  <si>
    <t>1920.2.05</t>
  </si>
  <si>
    <t>EXPO 7</t>
  </si>
  <si>
    <t>1920.2.06</t>
  </si>
  <si>
    <t>1920.2.07</t>
  </si>
  <si>
    <t>1920.2.08</t>
  </si>
  <si>
    <t>1920.2.10</t>
  </si>
  <si>
    <t>WC (bij wenteltrap)</t>
  </si>
  <si>
    <t>linoleum</t>
  </si>
  <si>
    <t>1920.2.11</t>
  </si>
  <si>
    <t>Trap naar zolder (wentel)</t>
  </si>
  <si>
    <t>hout</t>
  </si>
  <si>
    <t>03</t>
  </si>
  <si>
    <t>1920.'3.04</t>
  </si>
  <si>
    <t>Vliering (bij wenteltrap)</t>
  </si>
  <si>
    <t>1920.3.02</t>
  </si>
  <si>
    <t>Vliering (1920)</t>
  </si>
  <si>
    <t>1920.3.03</t>
  </si>
  <si>
    <t>1920.3.04</t>
  </si>
  <si>
    <t>Buit</t>
  </si>
  <si>
    <t>B.0.01</t>
  </si>
  <si>
    <t>TUIN</t>
  </si>
  <si>
    <t>B.0.02</t>
  </si>
  <si>
    <t>FIETSENBERGING</t>
  </si>
  <si>
    <t>B.0.03</t>
  </si>
  <si>
    <t>CONTAINEROPSTELPLAATS</t>
  </si>
  <si>
    <t>Kape</t>
  </si>
  <si>
    <t>Trap</t>
  </si>
  <si>
    <t>parket</t>
  </si>
  <si>
    <t>KA.0.01</t>
  </si>
  <si>
    <t>Tickets/ WINKEL</t>
  </si>
  <si>
    <t>KA.1.01</t>
  </si>
  <si>
    <t>Magazijn</t>
  </si>
  <si>
    <t>KA.3.01</t>
  </si>
  <si>
    <t>Vliering</t>
  </si>
  <si>
    <t>Midd</t>
  </si>
  <si>
    <t>EXPO 11 (onder schip)</t>
  </si>
  <si>
    <t>ME.-1.01</t>
  </si>
  <si>
    <t>Garderobe</t>
  </si>
  <si>
    <t>ME.-1.02</t>
  </si>
  <si>
    <t>Berging (garderobe)</t>
  </si>
  <si>
    <t>ME.-1.03</t>
  </si>
  <si>
    <t>Techniek (in trappenhuis)</t>
  </si>
  <si>
    <t>ME.-1.04</t>
  </si>
  <si>
    <t>Lift</t>
  </si>
  <si>
    <t>ME.-1.05</t>
  </si>
  <si>
    <t>Trap (naar garderobe)</t>
  </si>
  <si>
    <t>ME.-1.06</t>
  </si>
  <si>
    <t>EXPO 11 (schip) publiek</t>
  </si>
  <si>
    <t>tegels/ rubber</t>
  </si>
  <si>
    <t>ME.-1.07</t>
  </si>
  <si>
    <t>Trap (klein)</t>
  </si>
  <si>
    <t>rubber</t>
  </si>
  <si>
    <t>ME.0.01</t>
  </si>
  <si>
    <t>Entree (museumingang)</t>
  </si>
  <si>
    <t>tegels/ tapijt</t>
  </si>
  <si>
    <t>ME.0.02</t>
  </si>
  <si>
    <t>ME.0.03</t>
  </si>
  <si>
    <t>EXPO 1</t>
  </si>
  <si>
    <t>ME.0.04</t>
  </si>
  <si>
    <t>Glazen brug</t>
  </si>
  <si>
    <t>glas</t>
  </si>
  <si>
    <t>ME.1.01</t>
  </si>
  <si>
    <t>Gang (bij trap)</t>
  </si>
  <si>
    <t>ME.1.02</t>
  </si>
  <si>
    <t>ME.1.03</t>
  </si>
  <si>
    <t>EXPO 10</t>
  </si>
  <si>
    <t>ME.1.04</t>
  </si>
  <si>
    <t>ME.2.01</t>
  </si>
  <si>
    <t>Gang (omloop)</t>
  </si>
  <si>
    <t>ME.2.02</t>
  </si>
  <si>
    <t>ME.2.03</t>
  </si>
  <si>
    <t>ME.2.04</t>
  </si>
  <si>
    <t>Berging (van expo 9)</t>
  </si>
  <si>
    <t>ME.2.05</t>
  </si>
  <si>
    <t>EXPO 9</t>
  </si>
  <si>
    <t>ME.2.06</t>
  </si>
  <si>
    <t>ME.3.01</t>
  </si>
  <si>
    <t>Trap (naar vliering)</t>
  </si>
  <si>
    <t>ME.3.02</t>
  </si>
  <si>
    <t>Voorruimte (toilet)</t>
  </si>
  <si>
    <t>ME.3.03</t>
  </si>
  <si>
    <t>WC</t>
  </si>
  <si>
    <t>ME.3.04</t>
  </si>
  <si>
    <t>WC bestaat niet</t>
  </si>
  <si>
    <t>ME.3.05</t>
  </si>
  <si>
    <t>Stal</t>
  </si>
  <si>
    <t>S.-1.01</t>
  </si>
  <si>
    <t>Kruipruimte</t>
  </si>
  <si>
    <t>S.0.01</t>
  </si>
  <si>
    <t>Techniek (zijde aula)</t>
  </si>
  <si>
    <t>S.0.012</t>
  </si>
  <si>
    <t>EXPO 3 - Stallen B</t>
  </si>
  <si>
    <t>tapijt</t>
  </si>
  <si>
    <t>S.0.013</t>
  </si>
  <si>
    <t>Trap (entresol 2 singelzijde)</t>
  </si>
  <si>
    <t>S.0.014</t>
  </si>
  <si>
    <t>Trap (entresol 2 tuinzijde)</t>
  </si>
  <si>
    <t>S.0.015</t>
  </si>
  <si>
    <t>EXPO 3 - Stallen A</t>
  </si>
  <si>
    <t>S.0.016</t>
  </si>
  <si>
    <t>S.0.017</t>
  </si>
  <si>
    <t>S.0.018</t>
  </si>
  <si>
    <t>Berging (buiten thv stal A)</t>
  </si>
  <si>
    <t>Techniek (hoogspan. Extern)</t>
  </si>
  <si>
    <t>S.0.019</t>
  </si>
  <si>
    <t>Overstag</t>
  </si>
  <si>
    <t>S.0.02</t>
  </si>
  <si>
    <t>Gang (naar aula)</t>
  </si>
  <si>
    <t>S.0.03</t>
  </si>
  <si>
    <t>Miva</t>
  </si>
  <si>
    <t>S.0.04</t>
  </si>
  <si>
    <t>Trap (naar zolder D)</t>
  </si>
  <si>
    <t>S.0.05</t>
  </si>
  <si>
    <t>EXPO 2 - Stallen D</t>
  </si>
  <si>
    <t>S.0.06</t>
  </si>
  <si>
    <t>EXPO 2 - Stallen C</t>
  </si>
  <si>
    <t>Trap (entresol 1 tuinzijde)</t>
  </si>
  <si>
    <t>S.0.07</t>
  </si>
  <si>
    <t>Trap (entresol 1 singelzijde)</t>
  </si>
  <si>
    <t>S.0.08</t>
  </si>
  <si>
    <t>S.0.09</t>
  </si>
  <si>
    <t>Centrale poort</t>
  </si>
  <si>
    <t>S.0.10</t>
  </si>
  <si>
    <t>S.0.11</t>
  </si>
  <si>
    <t>S.1.01</t>
  </si>
  <si>
    <t>EXPO 2 - Entresol</t>
  </si>
  <si>
    <t>S.1.02</t>
  </si>
  <si>
    <t>Berging (entresol)</t>
  </si>
  <si>
    <t>S.1.03</t>
  </si>
  <si>
    <t>Trap (naar zolder C)</t>
  </si>
  <si>
    <t>S.1.04</t>
  </si>
  <si>
    <t>Berging (entresol 2)</t>
  </si>
  <si>
    <t>S.1.05</t>
  </si>
  <si>
    <t>Trap (naar zolder B)</t>
  </si>
  <si>
    <t>S.1.06</t>
  </si>
  <si>
    <t>EXPO 3 ENTRESOL (2)</t>
  </si>
  <si>
    <t>S.1.07</t>
  </si>
  <si>
    <t>Techniek (koelmachine)</t>
  </si>
  <si>
    <t>S.1.08</t>
  </si>
  <si>
    <t>Trap (naar zolder A en TZ)</t>
  </si>
  <si>
    <t>S.2.01</t>
  </si>
  <si>
    <t>Techniek (zolder D)</t>
  </si>
  <si>
    <t>S.2.02</t>
  </si>
  <si>
    <t>S.2.03</t>
  </si>
  <si>
    <t>S.2.04</t>
  </si>
  <si>
    <t>Techniek (zolder C)</t>
  </si>
  <si>
    <t>S.2.05</t>
  </si>
  <si>
    <t>S.2.06</t>
  </si>
  <si>
    <t>Techniek (zolder B)</t>
  </si>
  <si>
    <t>S.2.07</t>
  </si>
  <si>
    <t>S.2.08</t>
  </si>
  <si>
    <t>Techniek (zolder A)</t>
  </si>
  <si>
    <t>S.2.09</t>
  </si>
  <si>
    <t>Totaal werkdag</t>
  </si>
  <si>
    <t>002 - Kantoor, Agnietenstraat 3, Utrecht</t>
  </si>
  <si>
    <t>002</t>
  </si>
  <si>
    <t>Kant</t>
  </si>
  <si>
    <t>K.-1.01</t>
  </si>
  <si>
    <t>Techniek (bij lift)</t>
  </si>
  <si>
    <t>K.-1.02</t>
  </si>
  <si>
    <t>Trap (bij lift)</t>
  </si>
  <si>
    <t>K.-1.03</t>
  </si>
  <si>
    <t>K.-1.04</t>
  </si>
  <si>
    <t>Personeelskantine</t>
  </si>
  <si>
    <t>K.-1.05</t>
  </si>
  <si>
    <t>Keuken</t>
  </si>
  <si>
    <t>K.-1.06</t>
  </si>
  <si>
    <t>Bergingkantine</t>
  </si>
  <si>
    <t>K.-1.07</t>
  </si>
  <si>
    <t>Berging = kantoor</t>
  </si>
  <si>
    <t>K.-1.08</t>
  </si>
  <si>
    <t>Berging = techniek</t>
  </si>
  <si>
    <t>K.-1.09</t>
  </si>
  <si>
    <t>tegels/ hout</t>
  </si>
  <si>
    <t>K.-1.10</t>
  </si>
  <si>
    <t>Gang (bij wenteltrap)</t>
  </si>
  <si>
    <t>K.-1.11</t>
  </si>
  <si>
    <t>Berging (techniek klimaat)</t>
  </si>
  <si>
    <t>Gang</t>
  </si>
  <si>
    <t>K.-1.12</t>
  </si>
  <si>
    <t>K.-1.13</t>
  </si>
  <si>
    <t>Kleedkamer (dames)</t>
  </si>
  <si>
    <t>K.-1.14</t>
  </si>
  <si>
    <t>K.-1.15</t>
  </si>
  <si>
    <t>WC (heren)</t>
  </si>
  <si>
    <t>K.-1.16</t>
  </si>
  <si>
    <t>K.-1.17</t>
  </si>
  <si>
    <t>WC (dames kleedkamer)</t>
  </si>
  <si>
    <t>K.-1.18</t>
  </si>
  <si>
    <t>WC (heren kleedkamer)</t>
  </si>
  <si>
    <t>K.-1.19</t>
  </si>
  <si>
    <t>WC (voorruimte dames kld kmr)</t>
  </si>
  <si>
    <t>K.-1.20</t>
  </si>
  <si>
    <t>Kleedkamer (heren)</t>
  </si>
  <si>
    <t>K.-1.21</t>
  </si>
  <si>
    <t>Kruipruimte (aula)</t>
  </si>
  <si>
    <t>K.-1.22</t>
  </si>
  <si>
    <t>Kruipruimte (aula/ stallen)</t>
  </si>
  <si>
    <t>K.0.01</t>
  </si>
  <si>
    <t>Gang (entree)</t>
  </si>
  <si>
    <t>K.0.02</t>
  </si>
  <si>
    <t>Kantoor (linksvoor)</t>
  </si>
  <si>
    <t>K.0.03</t>
  </si>
  <si>
    <t>Kantoor (rechtsvoor)</t>
  </si>
  <si>
    <t>K.0.04</t>
  </si>
  <si>
    <t>Gang (bij lift)</t>
  </si>
  <si>
    <t>K.0.05</t>
  </si>
  <si>
    <t>Trap (+gang naar kapel)</t>
  </si>
  <si>
    <t>tegels/ linoleum</t>
  </si>
  <si>
    <t>K.0.06</t>
  </si>
  <si>
    <t>Receptie</t>
  </si>
  <si>
    <t>K.0.07</t>
  </si>
  <si>
    <t>Kantoor (projectburo)</t>
  </si>
  <si>
    <t>K.0.08</t>
  </si>
  <si>
    <t>Kantoor (dir. Ondersteuning)</t>
  </si>
  <si>
    <t>K.0.09</t>
  </si>
  <si>
    <t>Kantoor AD directie)</t>
  </si>
  <si>
    <t>K.0.10</t>
  </si>
  <si>
    <t>Kantoor (ZD directie)</t>
  </si>
  <si>
    <t>K.0.11</t>
  </si>
  <si>
    <t>Kantoor (HFZ)</t>
  </si>
  <si>
    <t>K.0.12</t>
  </si>
  <si>
    <t>K.0.13</t>
  </si>
  <si>
    <t>K.0.14</t>
  </si>
  <si>
    <t>Wasruimte (toiletten aula)</t>
  </si>
  <si>
    <t>K.0.15</t>
  </si>
  <si>
    <t>WC (heren aula)</t>
  </si>
  <si>
    <t>K.0.16</t>
  </si>
  <si>
    <t>K.0.17</t>
  </si>
  <si>
    <t>WC (dames aula)</t>
  </si>
  <si>
    <t>K.0.18</t>
  </si>
  <si>
    <t>K.0.19</t>
  </si>
  <si>
    <t>Voorruimte dames</t>
  </si>
  <si>
    <t>K.0.20</t>
  </si>
  <si>
    <t>Voorruimte heren</t>
  </si>
  <si>
    <t>K.0.21</t>
  </si>
  <si>
    <t>Techniek (aula)</t>
  </si>
  <si>
    <t>K.0.22</t>
  </si>
  <si>
    <t>Auditorium (aula)</t>
  </si>
  <si>
    <t>K.0.23</t>
  </si>
  <si>
    <t>Gang (aula/ stallen)</t>
  </si>
  <si>
    <t>K.1.01</t>
  </si>
  <si>
    <t>K.1.02</t>
  </si>
  <si>
    <t>Kantoor (middenvoor)</t>
  </si>
  <si>
    <t>K.1.03</t>
  </si>
  <si>
    <t>K.1.04</t>
  </si>
  <si>
    <t>K.1.05</t>
  </si>
  <si>
    <t>K.1.06</t>
  </si>
  <si>
    <t>Kantoor (achter lift)</t>
  </si>
  <si>
    <t>K.1.07</t>
  </si>
  <si>
    <t>Kantoor (groot)</t>
  </si>
  <si>
    <t>K.1.08</t>
  </si>
  <si>
    <t>Kantoor (hfd CB)</t>
  </si>
  <si>
    <t>K.1.09</t>
  </si>
  <si>
    <t>Kantoor (Controller)</t>
  </si>
  <si>
    <t>K.1.10</t>
  </si>
  <si>
    <t>Kantoor (fin.)</t>
  </si>
  <si>
    <t>K.1.11</t>
  </si>
  <si>
    <t>Kantoor (CB)</t>
  </si>
  <si>
    <t>K.1.12</t>
  </si>
  <si>
    <t>Kantoor (PZ)</t>
  </si>
  <si>
    <t>K.1.13</t>
  </si>
  <si>
    <t>Kantoor (Hans)</t>
  </si>
  <si>
    <t>K.1.14</t>
  </si>
  <si>
    <t>Custom</t>
  </si>
  <si>
    <t>K.1.15</t>
  </si>
  <si>
    <t>Gang (copieerapp.)</t>
  </si>
  <si>
    <t>K.1.16</t>
  </si>
  <si>
    <t>K.1.17</t>
  </si>
  <si>
    <t>K.1.18</t>
  </si>
  <si>
    <t>Berging (foto archief)</t>
  </si>
  <si>
    <t>K.1.19</t>
  </si>
  <si>
    <t>Berging (tel ruimte)</t>
  </si>
  <si>
    <t>K.1.20</t>
  </si>
  <si>
    <t>Voorruimte</t>
  </si>
  <si>
    <t>K.1.21</t>
  </si>
  <si>
    <t>WC (dames)</t>
  </si>
  <si>
    <t>K.2.01</t>
  </si>
  <si>
    <t>K.2.02</t>
  </si>
  <si>
    <t>K.2.03</t>
  </si>
  <si>
    <t>K.2.04</t>
  </si>
  <si>
    <t>K.2.05</t>
  </si>
  <si>
    <t>tapijt/ linoleum</t>
  </si>
  <si>
    <t>K.2.06</t>
  </si>
  <si>
    <t>WC (links)</t>
  </si>
  <si>
    <t>K.2.07</t>
  </si>
  <si>
    <t>WC (rechts)</t>
  </si>
  <si>
    <t>K.2.08</t>
  </si>
  <si>
    <t>Voorruimte toiletten</t>
  </si>
  <si>
    <t>K.2.09</t>
  </si>
  <si>
    <t>K.2.10</t>
  </si>
  <si>
    <t>Kantoor 1e rechts)</t>
  </si>
  <si>
    <t>K.2.11</t>
  </si>
  <si>
    <t>Kantoor 2e rechts)</t>
  </si>
  <si>
    <t>K.2.12</t>
  </si>
  <si>
    <t>Kantoor (1e links)</t>
  </si>
  <si>
    <t>K.2.13</t>
  </si>
  <si>
    <t>Kantoor (2e links)</t>
  </si>
  <si>
    <t>K.2.14</t>
  </si>
  <si>
    <t>Kantoor = vergaderruimte</t>
  </si>
  <si>
    <t>K.2.15</t>
  </si>
  <si>
    <t>K.2.16</t>
  </si>
  <si>
    <t>Clip on</t>
  </si>
  <si>
    <t>polyesther</t>
  </si>
  <si>
    <t>K.2.17</t>
  </si>
  <si>
    <t>K.2.22</t>
  </si>
  <si>
    <t>K.3.01</t>
  </si>
  <si>
    <t>Kantoor = archief rechtsvoor</t>
  </si>
  <si>
    <t>K.3.02</t>
  </si>
  <si>
    <t>Kantoor = archief linksvoor</t>
  </si>
  <si>
    <t>K.3.03</t>
  </si>
  <si>
    <t>K.3.04</t>
  </si>
  <si>
    <t>K.3.05</t>
  </si>
  <si>
    <t>Archief (midden tuinzijde)</t>
  </si>
  <si>
    <t>K.3.06</t>
  </si>
  <si>
    <t>Archief (midden)</t>
  </si>
  <si>
    <t>K.3.07</t>
  </si>
  <si>
    <t>Archief/ depot</t>
  </si>
  <si>
    <t>K.3.08</t>
  </si>
  <si>
    <t>Trap m (wentel)</t>
  </si>
  <si>
    <t>TV</t>
  </si>
  <si>
    <t>K.1/201</t>
  </si>
  <si>
    <t>K.1/202</t>
  </si>
  <si>
    <t>Pantry</t>
  </si>
  <si>
    <t>K.1/203</t>
  </si>
  <si>
    <t>Meldkamer</t>
  </si>
  <si>
    <t>K.1/204</t>
  </si>
  <si>
    <t>K.1/205</t>
  </si>
  <si>
    <t>Sluis</t>
  </si>
  <si>
    <t>005 - nijntje museum, Agnietenstraat 2, Utrecht</t>
  </si>
  <si>
    <t>005</t>
  </si>
  <si>
    <t>N.-1.1</t>
  </si>
  <si>
    <t>N.-1.2</t>
  </si>
  <si>
    <t>Kelder</t>
  </si>
  <si>
    <t>N.-1.3</t>
  </si>
  <si>
    <t>Kelder achter</t>
  </si>
  <si>
    <t>N.0.1</t>
  </si>
  <si>
    <t>Gang/ expo</t>
  </si>
  <si>
    <t>vinyl</t>
  </si>
  <si>
    <t>N.0.10a</t>
  </si>
  <si>
    <t>Voorruimten toiletten</t>
  </si>
  <si>
    <t>N.0.10b</t>
  </si>
  <si>
    <t>Toilet 1</t>
  </si>
  <si>
    <t>N.0.10c</t>
  </si>
  <si>
    <t>Toilet 2</t>
  </si>
  <si>
    <t>N.0.10d</t>
  </si>
  <si>
    <t>Toilet 3</t>
  </si>
  <si>
    <t>N.0.10e</t>
  </si>
  <si>
    <t>Toilet 4</t>
  </si>
  <si>
    <t>N.0.10f</t>
  </si>
  <si>
    <t>Toilet 5</t>
  </si>
  <si>
    <t>N.0.12</t>
  </si>
  <si>
    <t>Garderobe/ expo</t>
  </si>
  <si>
    <t>N.0.13</t>
  </si>
  <si>
    <t>Expo</t>
  </si>
  <si>
    <t>N.0.14</t>
  </si>
  <si>
    <t>Entree</t>
  </si>
  <si>
    <t>N.0.15</t>
  </si>
  <si>
    <t>Gang links</t>
  </si>
  <si>
    <t>N.0.16</t>
  </si>
  <si>
    <t>N.0.17</t>
  </si>
  <si>
    <t>Gang rechts</t>
  </si>
  <si>
    <t>N.0.18</t>
  </si>
  <si>
    <t>N.0.2</t>
  </si>
  <si>
    <t>Expo (hoek)</t>
  </si>
  <si>
    <t>N.0.4</t>
  </si>
  <si>
    <t>Expo (regentenkamer)</t>
  </si>
  <si>
    <t>N.0.5</t>
  </si>
  <si>
    <t>Werkkast</t>
  </si>
  <si>
    <t>N.0.6</t>
  </si>
  <si>
    <t>Expo (groot)</t>
  </si>
  <si>
    <t>N.0.7</t>
  </si>
  <si>
    <t>N.0.8</t>
  </si>
  <si>
    <t>metaal</t>
  </si>
  <si>
    <t>N.1.1</t>
  </si>
  <si>
    <t>Expo groot</t>
  </si>
  <si>
    <t>parket/ vinyl</t>
  </si>
  <si>
    <t>N.1.2a</t>
  </si>
  <si>
    <t>Toilet</t>
  </si>
  <si>
    <t>N.1.2b</t>
  </si>
  <si>
    <t>N.1.3</t>
  </si>
  <si>
    <t>Activiteitenruimte/ expo</t>
  </si>
  <si>
    <t>N.1.5</t>
  </si>
  <si>
    <t>N.1.6</t>
  </si>
  <si>
    <t>N.1.7</t>
  </si>
  <si>
    <t>Voedingsruimte</t>
  </si>
  <si>
    <t>N.1.8</t>
  </si>
  <si>
    <t>N.1.9a</t>
  </si>
  <si>
    <t>N.1.9b</t>
  </si>
  <si>
    <t>Expo/ picknick</t>
  </si>
  <si>
    <t>linoleum/ rubber</t>
  </si>
  <si>
    <t>Nieu</t>
  </si>
  <si>
    <t>NB.0.1</t>
  </si>
  <si>
    <t>Afval embalage</t>
  </si>
  <si>
    <t>NB.0.2</t>
  </si>
  <si>
    <t>NB.0.3</t>
  </si>
  <si>
    <t>NB.0.4</t>
  </si>
  <si>
    <t>Museumcafe</t>
  </si>
  <si>
    <t>NB.0.5</t>
  </si>
  <si>
    <t>Corridor</t>
  </si>
  <si>
    <t>NB.1.1</t>
  </si>
  <si>
    <t>NB.1.2</t>
  </si>
  <si>
    <t>NB.1.3</t>
  </si>
  <si>
    <t>Tentoonstelling</t>
  </si>
  <si>
    <t>NB.1.4</t>
  </si>
  <si>
    <t>Brug</t>
  </si>
  <si>
    <t>NB.2.1</t>
  </si>
  <si>
    <t>Theater</t>
  </si>
  <si>
    <t>NB.2.2</t>
  </si>
  <si>
    <t>NB.2.3</t>
  </si>
  <si>
    <t>Techniek</t>
  </si>
  <si>
    <t>NB.2.4</t>
  </si>
  <si>
    <t>Vluchttrap</t>
  </si>
  <si>
    <t>beton</t>
  </si>
  <si>
    <t>NB.2.5</t>
  </si>
  <si>
    <t>Verkeersgebied</t>
  </si>
  <si>
    <t>NB.2.6</t>
  </si>
  <si>
    <t>Toiletten</t>
  </si>
  <si>
    <t>Werk</t>
  </si>
  <si>
    <t>0.3</t>
  </si>
  <si>
    <t>007 - Horeca en Tuinzaal, Nicolaaskerkhof 10, Utrecht</t>
  </si>
  <si>
    <t>007</t>
  </si>
  <si>
    <t>Hore</t>
  </si>
  <si>
    <t>H.-1.01</t>
  </si>
  <si>
    <t>Techniek (bij trapstallen)</t>
  </si>
  <si>
    <t>H.-1.02</t>
  </si>
  <si>
    <t>Gang (tunnel)</t>
  </si>
  <si>
    <t>H.-1.02b</t>
  </si>
  <si>
    <t>Gang (tunnel) gedeelte stallen</t>
  </si>
  <si>
    <t>H.-1.03</t>
  </si>
  <si>
    <t>Techniek (bij gang toiletten)</t>
  </si>
  <si>
    <t>H.-1.04</t>
  </si>
  <si>
    <t>H.-1.05</t>
  </si>
  <si>
    <t>Wasruimte</t>
  </si>
  <si>
    <t>H.-1.06</t>
  </si>
  <si>
    <t>H.-1.07</t>
  </si>
  <si>
    <t>H.-1.08</t>
  </si>
  <si>
    <t>H.-1.09</t>
  </si>
  <si>
    <t>H.-1.10</t>
  </si>
  <si>
    <t>H.-1.11</t>
  </si>
  <si>
    <t>Voorruimte (dames)</t>
  </si>
  <si>
    <t>H.-1.12</t>
  </si>
  <si>
    <t>Berging (voormalig tunnel)</t>
  </si>
  <si>
    <t>H.-1.13</t>
  </si>
  <si>
    <t>Techniek (liftkamer)</t>
  </si>
  <si>
    <t>H.-1.14</t>
  </si>
  <si>
    <t>H.-1.15</t>
  </si>
  <si>
    <t>Trap (naar bg HG)</t>
  </si>
  <si>
    <t>gietvloer/ beton</t>
  </si>
  <si>
    <t>H.-1.16</t>
  </si>
  <si>
    <t>Gang (bij toilet niet betalend)</t>
  </si>
  <si>
    <t>H.-1.17</t>
  </si>
  <si>
    <t>WC (niet betalend)</t>
  </si>
  <si>
    <t>H.-1.18</t>
  </si>
  <si>
    <t>H.-1.19</t>
  </si>
  <si>
    <t>Berging (spoelkeuken)</t>
  </si>
  <si>
    <t>H.0.01</t>
  </si>
  <si>
    <t>H.0.01/2</t>
  </si>
  <si>
    <t>H.0.02</t>
  </si>
  <si>
    <t>H.0.03</t>
  </si>
  <si>
    <t>Horeca</t>
  </si>
  <si>
    <t>H.1.01</t>
  </si>
  <si>
    <t>korodur/ beton</t>
  </si>
  <si>
    <t>H.1.01/2</t>
  </si>
  <si>
    <t>H.2.01</t>
  </si>
  <si>
    <t>Tuin</t>
  </si>
  <si>
    <t>TZ.1.10</t>
  </si>
  <si>
    <t>TZ.2.01</t>
  </si>
  <si>
    <t>TZ.2.02</t>
  </si>
  <si>
    <t>TZ.2.03</t>
  </si>
  <si>
    <t>011 - Depot, Utrecht</t>
  </si>
  <si>
    <t>011</t>
  </si>
  <si>
    <t>Bode</t>
  </si>
  <si>
    <t>Damestoilet</t>
  </si>
  <si>
    <t>Herentoilet</t>
  </si>
  <si>
    <t>Kantoor</t>
  </si>
  <si>
    <t>Verkeersruimten</t>
  </si>
  <si>
    <t>Hoof</t>
  </si>
  <si>
    <t>Dames toilet</t>
  </si>
  <si>
    <t>Kantine</t>
  </si>
  <si>
    <t>Toilet + douche</t>
  </si>
  <si>
    <t>Verkeersruimte</t>
  </si>
  <si>
    <t>012 - Rietveld Schroderhuis Ticketoffice, Prins Hendriklaan 50a, Utrecht</t>
  </si>
  <si>
    <t>012</t>
  </si>
  <si>
    <t>Huis</t>
  </si>
  <si>
    <t>Hal</t>
  </si>
  <si>
    <t>Kamer 1</t>
  </si>
  <si>
    <t>Kamer 2</t>
  </si>
  <si>
    <t>Kamer 3</t>
  </si>
  <si>
    <t>Kamer 4</t>
  </si>
  <si>
    <t>Balkon</t>
  </si>
  <si>
    <t>Open ruimte</t>
  </si>
  <si>
    <t>linoleum/ tapijt</t>
  </si>
  <si>
    <t>Wink</t>
  </si>
  <si>
    <t>Balie</t>
  </si>
  <si>
    <t>Vergaderzaal</t>
  </si>
  <si>
    <t>Totaal feestdag</t>
  </si>
  <si>
    <t>Totaal weekenddag</t>
  </si>
  <si>
    <t>Omrekentabel t.b.v. Invultabel Objecten (niet afdrukken)</t>
  </si>
  <si>
    <t>DAGSOORT</t>
  </si>
  <si>
    <t>WERKSOORT</t>
  </si>
  <si>
    <t>FREQ DECIMAAL</t>
  </si>
  <si>
    <t>UURFACTOR</t>
  </si>
  <si>
    <t xml:space="preserve">KENGETAL </t>
  </si>
  <si>
    <t>TARIEF</t>
  </si>
  <si>
    <t xml:space="preserve">     001</t>
  </si>
  <si>
    <t xml:space="preserve">     002</t>
  </si>
  <si>
    <t xml:space="preserve">     005</t>
  </si>
  <si>
    <t xml:space="preserve">     007</t>
  </si>
  <si>
    <t xml:space="preserve">     011</t>
  </si>
  <si>
    <t xml:space="preserve">     012</t>
  </si>
  <si>
    <t>werkdag</t>
  </si>
  <si>
    <t>feestdag</t>
  </si>
  <si>
    <t>weekenddag</t>
  </si>
  <si>
    <t>NAAM</t>
  </si>
  <si>
    <t>ADRES</t>
  </si>
  <si>
    <t>PLAATS</t>
  </si>
  <si>
    <t>BASIS UUR- TARIEF</t>
  </si>
  <si>
    <t>UREN/ UITVOERING</t>
  </si>
  <si>
    <t>UREN SUPPLETIE/ UITVOERING</t>
  </si>
  <si>
    <t>UREN TOTAAL/ UITVOERING</t>
  </si>
  <si>
    <t>PRIJS/ UITVOERING</t>
  </si>
  <si>
    <t>PRIJS SUPPLETIE/ UITVOERING</t>
  </si>
  <si>
    <t>PRIJS TOTAAL/ UITVOERING</t>
  </si>
  <si>
    <t>PRIJS/ MAAND (EURO)</t>
  </si>
  <si>
    <t>Centraal Museum</t>
  </si>
  <si>
    <t>Agnietenstraat 1</t>
  </si>
  <si>
    <t>Utrecht</t>
  </si>
  <si>
    <t>Agnietenstraat 3</t>
  </si>
  <si>
    <t>nijntje museum</t>
  </si>
  <si>
    <t>Agnietenstraat 2</t>
  </si>
  <si>
    <t>Horeca en Tuinzaal</t>
  </si>
  <si>
    <t>Nicolaaskerkhof 10</t>
  </si>
  <si>
    <t>Depot</t>
  </si>
  <si>
    <t>Rietveld Schroderhuis Ticketoffice</t>
  </si>
  <si>
    <t>Prins Hendriklaan 50a</t>
  </si>
  <si>
    <t>Totaal regulier werk incl. suppleties (excl. BTW)</t>
  </si>
  <si>
    <t>Totaal regulier werk incl. suppleties (incl. BTW)</t>
  </si>
  <si>
    <t>PRIJS/ MAAND EXCL.BTW</t>
  </si>
  <si>
    <t>PRIJS/ MAAND INCL.BTW</t>
  </si>
  <si>
    <t>Totaal van alle objecten</t>
  </si>
  <si>
    <t>BEURT</t>
  </si>
  <si>
    <t>FREQ (DAGEN)</t>
  </si>
  <si>
    <t>HOEVEELHEID /KEER</t>
  </si>
  <si>
    <t>UURTARIEF (EURO)</t>
  </si>
  <si>
    <t>NORM</t>
  </si>
  <si>
    <t>PRIJS/ EENHEID (EURO)</t>
  </si>
  <si>
    <t>PRIJS/ KEER</t>
  </si>
  <si>
    <t>9101</t>
  </si>
  <si>
    <t>Tuinzaal sanitair werkdag</t>
  </si>
  <si>
    <t>tijdsnorm in vloer m²/uur</t>
  </si>
  <si>
    <t>9102</t>
  </si>
  <si>
    <t>Tuinzaal verkeersruimte werkdag</t>
  </si>
  <si>
    <t>9103</t>
  </si>
  <si>
    <t>Tuinzaal Expositieruimten werkdag</t>
  </si>
  <si>
    <t>W9101</t>
  </si>
  <si>
    <t>Tuinzaal Sanitair weekend</t>
  </si>
  <si>
    <t>W9102</t>
  </si>
  <si>
    <t>Tuinzaal verkeersruimten weekend</t>
  </si>
  <si>
    <t>W9103</t>
  </si>
  <si>
    <t>Tuinzaal expositieruimten weekend</t>
  </si>
  <si>
    <t>Totaal additioneel werk excl. BTW</t>
  </si>
  <si>
    <t>Totaal 007 - Horeca en Tuinzaal, Nicolaaskerkhof 10, Utrecht</t>
  </si>
  <si>
    <t>STAFFEL</t>
  </si>
  <si>
    <t>2000A</t>
  </si>
  <si>
    <t>Systeemkast/monitor reinigen</t>
  </si>
  <si>
    <t>prijs per stuk</t>
  </si>
  <si>
    <t>&lt; 25 stuks</t>
  </si>
  <si>
    <t>2000B</t>
  </si>
  <si>
    <t>25 tot 100 stuks</t>
  </si>
  <si>
    <t>2000C</t>
  </si>
  <si>
    <t>100 tot 500 stuks</t>
  </si>
  <si>
    <t>2000D</t>
  </si>
  <si>
    <t>&gt;= 500 stuks</t>
  </si>
  <si>
    <t>2030A</t>
  </si>
  <si>
    <t>Toetsenbord reinigen</t>
  </si>
  <si>
    <t>2030B</t>
  </si>
  <si>
    <t>2030C</t>
  </si>
  <si>
    <t>2030D</t>
  </si>
  <si>
    <t>3000A</t>
  </si>
  <si>
    <t>Lamellen (horizontaal) reinigen (alumin)</t>
  </si>
  <si>
    <t>prijs per m²</t>
  </si>
  <si>
    <t>&lt; 5 m²</t>
  </si>
  <si>
    <t>3000B</t>
  </si>
  <si>
    <t>5 &lt; 25 m²</t>
  </si>
  <si>
    <t>3000C</t>
  </si>
  <si>
    <t>25 &lt; 100 m²</t>
  </si>
  <si>
    <t>3000D</t>
  </si>
  <si>
    <t>&gt;=100 m²</t>
  </si>
  <si>
    <t>3010A</t>
  </si>
  <si>
    <t>Lamellen (verticaal) reinigen (alumin)</t>
  </si>
  <si>
    <t>3010B</t>
  </si>
  <si>
    <t>3010C</t>
  </si>
  <si>
    <t>3010D</t>
  </si>
  <si>
    <t>3030</t>
  </si>
  <si>
    <t>Graffiti verwijderen</t>
  </si>
  <si>
    <t>3040</t>
  </si>
  <si>
    <t>Graffiti verwijderen spec.</t>
  </si>
  <si>
    <t>prijs per uur</t>
  </si>
  <si>
    <t>4000A</t>
  </si>
  <si>
    <t>Vloer schrobben/waterzuigen</t>
  </si>
  <si>
    <t>&lt; 500 m²</t>
  </si>
  <si>
    <t>4000B</t>
  </si>
  <si>
    <t>500 &lt; 1000 m²</t>
  </si>
  <si>
    <t>4000C</t>
  </si>
  <si>
    <t>1000 &lt; 2000 m²</t>
  </si>
  <si>
    <t>4000D</t>
  </si>
  <si>
    <t>&gt;= 2000 m²</t>
  </si>
  <si>
    <t>4010A</t>
  </si>
  <si>
    <t>Sure step vloeren opwrijven</t>
  </si>
  <si>
    <t>4010B</t>
  </si>
  <si>
    <t>4010C</t>
  </si>
  <si>
    <t>4010D</t>
  </si>
  <si>
    <t>4020A</t>
  </si>
  <si>
    <t>Linoleum sprayen /opwrijven</t>
  </si>
  <si>
    <t>4020B</t>
  </si>
  <si>
    <t>4020C</t>
  </si>
  <si>
    <t>4020D</t>
  </si>
  <si>
    <t>4030A</t>
  </si>
  <si>
    <t>Linoleum vloeren strippen/conserveren excl. uitruimen/inruimen</t>
  </si>
  <si>
    <t>4030B</t>
  </si>
  <si>
    <t>4030C</t>
  </si>
  <si>
    <t>4030D</t>
  </si>
  <si>
    <t>4031A</t>
  </si>
  <si>
    <t>Linoleum vloeren strippen/conserveren incl. uitruimen/inruimen</t>
  </si>
  <si>
    <t>4031B</t>
  </si>
  <si>
    <t>4031C</t>
  </si>
  <si>
    <t>4031D</t>
  </si>
  <si>
    <t>4040A</t>
  </si>
  <si>
    <t>Tapijt reinigen droge methode (Host)</t>
  </si>
  <si>
    <t>4040B</t>
  </si>
  <si>
    <t>4040C</t>
  </si>
  <si>
    <t>4040D</t>
  </si>
  <si>
    <t>4050A</t>
  </si>
  <si>
    <t>Tapijt reinigen op koolzuur basis</t>
  </si>
  <si>
    <t>4050B</t>
  </si>
  <si>
    <t>4050C</t>
  </si>
  <si>
    <t>4050D</t>
  </si>
  <si>
    <t>4060A</t>
  </si>
  <si>
    <t>Tapijt reinigen sproei/extractie methode excl. uitruimen/inruimen</t>
  </si>
  <si>
    <t>4060B</t>
  </si>
  <si>
    <t>4060C</t>
  </si>
  <si>
    <t>4060D</t>
  </si>
  <si>
    <t>4061A</t>
  </si>
  <si>
    <t>Tapijt reinigen sproei/extractie methode incl. uitruimen/inruimen</t>
  </si>
  <si>
    <t>4061B</t>
  </si>
  <si>
    <t>4061D</t>
  </si>
  <si>
    <t>4070A</t>
  </si>
  <si>
    <t>Tapijt borstelzuigen</t>
  </si>
  <si>
    <t>4070B</t>
  </si>
  <si>
    <t>4070C</t>
  </si>
  <si>
    <t>4070D</t>
  </si>
  <si>
    <t>4080A</t>
  </si>
  <si>
    <t>Sanitair vloer reinigen d.m.v. "stomen"</t>
  </si>
  <si>
    <t>4080B</t>
  </si>
  <si>
    <t>4080C</t>
  </si>
  <si>
    <t>4080D</t>
  </si>
  <si>
    <t>4100A</t>
  </si>
  <si>
    <t>Vloer strippen/permanent coaten (incl. uit/inruimen)</t>
  </si>
  <si>
    <t>4100B</t>
  </si>
  <si>
    <t>4100C</t>
  </si>
  <si>
    <t>4100D</t>
  </si>
  <si>
    <t>4101A</t>
  </si>
  <si>
    <t>Vloer strippen/permanent coaten (excl. uit/inruimen)</t>
  </si>
  <si>
    <t>4101B</t>
  </si>
  <si>
    <t>4101C</t>
  </si>
  <si>
    <t>4101D</t>
  </si>
  <si>
    <t>4110A</t>
  </si>
  <si>
    <t>Vloer permanent coaten (incl. uit/inruimen)</t>
  </si>
  <si>
    <t>4110B</t>
  </si>
  <si>
    <t>4110C</t>
  </si>
  <si>
    <t>4110D</t>
  </si>
  <si>
    <t>4111A</t>
  </si>
  <si>
    <t>Vloer permanent coaten (excl. uit/inruimen)</t>
  </si>
  <si>
    <t>4111B</t>
  </si>
  <si>
    <t>4111C</t>
  </si>
  <si>
    <t>4111D</t>
  </si>
  <si>
    <t>Totaal afroep incidenteel excl. BTW</t>
  </si>
  <si>
    <t>9000</t>
  </si>
  <si>
    <t>Medewerker regiewerkzaamheden</t>
  </si>
  <si>
    <t>9200</t>
  </si>
  <si>
    <t>Medewerker specialistische werkzaamheden</t>
  </si>
  <si>
    <t>X9050</t>
  </si>
  <si>
    <t>Medewerker regiewerkzaamheden weekend</t>
  </si>
  <si>
    <t>X9100</t>
  </si>
  <si>
    <t>W9050</t>
  </si>
  <si>
    <t>W9100</t>
  </si>
  <si>
    <t>Totaal regiewerk excl. BTW</t>
  </si>
  <si>
    <t>8000</t>
  </si>
  <si>
    <t>Gevelglas buitenzijde</t>
  </si>
  <si>
    <t>8010</t>
  </si>
  <si>
    <t>Gevelglas binnenzijde</t>
  </si>
  <si>
    <t>8020</t>
  </si>
  <si>
    <t>Separatieglas (m² is totaal)</t>
  </si>
  <si>
    <t>8030</t>
  </si>
  <si>
    <t>Gevelglas buitenzijde glas in lood (m² is totaal)</t>
  </si>
  <si>
    <t>8040</t>
  </si>
  <si>
    <t>Gevelglas binnenzijde glas in lood (m² is totaal)</t>
  </si>
  <si>
    <t>8050</t>
  </si>
  <si>
    <t>Voorzetglas</t>
  </si>
  <si>
    <t>8100</t>
  </si>
  <si>
    <t>Hoogwerker</t>
  </si>
  <si>
    <t>prijs per dag</t>
  </si>
  <si>
    <t>8110</t>
  </si>
  <si>
    <t>Steiger</t>
  </si>
  <si>
    <t>8200</t>
  </si>
  <si>
    <t>Tuckerpool</t>
  </si>
  <si>
    <t>Totaal glas excl. BTW</t>
  </si>
  <si>
    <t>Soort werk</t>
  </si>
  <si>
    <t>Uren per jaar uitvoering</t>
  </si>
  <si>
    <t>Bedrag per jaar excl. BTW (euro)</t>
  </si>
  <si>
    <t>Bedrag per jaar incl. BTW (euro)</t>
  </si>
  <si>
    <t xml:space="preserve">Regulier werk </t>
  </si>
  <si>
    <t>Additioneel werk</t>
  </si>
  <si>
    <t>Regie (geschat)</t>
  </si>
  <si>
    <t>Glas (geschat)</t>
  </si>
  <si>
    <t>Totaal generaal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</si>
</sst>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_-[$€-2]\ * #,##0.00\-;_-[$€-2]\ * &quot;-&quot;??_-;_-@_-"/>
    <numFmt numFmtId="165" formatCode="#,##0.0000"/>
  </numFmts>
  <fonts count="2" x14ac:knownFonts="1"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49" fontId="1" fillId="3" borderId="12" xfId="0" applyNumberFormat="1" applyFont="1" applyFill="1" applyBorder="1"/>
    <xf numFmtId="49" fontId="1" fillId="3" borderId="13" xfId="0" applyNumberFormat="1" applyFont="1" applyFill="1" applyBorder="1"/>
    <xf numFmtId="49" fontId="1" fillId="3" borderId="14" xfId="0" applyNumberFormat="1" applyFont="1" applyFill="1" applyBorder="1"/>
    <xf numFmtId="49" fontId="1" fillId="3" borderId="15" xfId="0" applyNumberFormat="1" applyFont="1" applyFill="1" applyBorder="1"/>
    <xf numFmtId="49" fontId="1" fillId="3" borderId="16" xfId="0" applyNumberFormat="1" applyFont="1" applyFill="1" applyBorder="1"/>
    <xf numFmtId="49" fontId="1" fillId="3" borderId="17" xfId="0" applyNumberFormat="1" applyFont="1" applyFill="1" applyBorder="1"/>
    <xf numFmtId="49" fontId="1" fillId="3" borderId="15" xfId="0" applyNumberFormat="1" applyFont="1" applyFill="1" applyBorder="1" applyAlignment="1">
      <alignment wrapText="1"/>
    </xf>
    <xf numFmtId="49" fontId="1" fillId="4" borderId="16" xfId="0" applyNumberFormat="1" applyFont="1" applyFill="1" applyBorder="1" applyAlignment="1">
      <alignment wrapText="1"/>
    </xf>
    <xf numFmtId="49" fontId="1" fillId="4" borderId="17" xfId="0" applyNumberFormat="1" applyFont="1" applyFill="1" applyBorder="1" applyAlignment="1">
      <alignment wrapText="1"/>
    </xf>
    <xf numFmtId="49" fontId="0" fillId="3" borderId="15" xfId="0" applyNumberFormat="1" applyFill="1" applyBorder="1" applyAlignment="1">
      <alignment wrapText="1"/>
    </xf>
    <xf numFmtId="49" fontId="1" fillId="0" borderId="16" xfId="0" applyNumberFormat="1" applyFont="1" applyBorder="1" applyAlignment="1" applyProtection="1">
      <alignment wrapText="1"/>
      <protection locked="0"/>
    </xf>
    <xf numFmtId="49" fontId="1" fillId="0" borderId="17" xfId="0" applyNumberFormat="1" applyFont="1" applyBorder="1" applyAlignment="1" applyProtection="1">
      <alignment wrapText="1"/>
      <protection locked="0"/>
    </xf>
    <xf numFmtId="49" fontId="0" fillId="3" borderId="15" xfId="0" applyNumberFormat="1" applyFill="1" applyBorder="1"/>
    <xf numFmtId="164" fontId="0" fillId="0" borderId="16" xfId="0" applyNumberFormat="1" applyBorder="1" applyProtection="1">
      <protection locked="0"/>
    </xf>
    <xf numFmtId="164" fontId="0" fillId="0" borderId="17" xfId="0" applyNumberFormat="1" applyBorder="1" applyProtection="1">
      <protection locked="0"/>
    </xf>
    <xf numFmtId="164" fontId="0" fillId="2" borderId="16" xfId="0" applyNumberFormat="1" applyFill="1" applyBorder="1"/>
    <xf numFmtId="164" fontId="0" fillId="2" borderId="17" xfId="0" applyNumberFormat="1" applyFill="1" applyBorder="1"/>
    <xf numFmtId="10" fontId="0" fillId="0" borderId="16" xfId="0" applyNumberFormat="1" applyBorder="1" applyProtection="1">
      <protection locked="0"/>
    </xf>
    <xf numFmtId="164" fontId="0" fillId="2" borderId="16" xfId="0" applyNumberFormat="1" applyFill="1" applyBorder="1"/>
    <xf numFmtId="164" fontId="0" fillId="2" borderId="17" xfId="0" applyNumberFormat="1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49" fontId="1" fillId="3" borderId="16" xfId="0" applyNumberFormat="1" applyFont="1" applyFill="1" applyBorder="1"/>
    <xf numFmtId="49" fontId="1" fillId="3" borderId="17" xfId="0" applyNumberFormat="1" applyFont="1" applyFill="1" applyBorder="1"/>
    <xf numFmtId="10" fontId="0" fillId="4" borderId="16" xfId="0" applyNumberFormat="1" applyFill="1" applyBorder="1" applyProtection="1">
      <protection locked="0"/>
    </xf>
    <xf numFmtId="49" fontId="1" fillId="3" borderId="18" xfId="0" applyNumberFormat="1" applyFont="1" applyFill="1" applyBorder="1"/>
    <xf numFmtId="10" fontId="0" fillId="4" borderId="19" xfId="0" applyNumberFormat="1" applyFill="1" applyBorder="1" applyProtection="1">
      <protection locked="0"/>
    </xf>
    <xf numFmtId="164" fontId="0" fillId="2" borderId="19" xfId="0" applyNumberFormat="1" applyFill="1" applyBorder="1"/>
    <xf numFmtId="164" fontId="0" fillId="2" borderId="20" xfId="0" applyNumberFormat="1" applyFill="1" applyBorder="1"/>
    <xf numFmtId="49" fontId="1" fillId="3" borderId="13" xfId="0" applyNumberFormat="1" applyFont="1" applyFill="1" applyBorder="1" applyAlignment="1">
      <alignment wrapText="1"/>
    </xf>
    <xf numFmtId="49" fontId="1" fillId="3" borderId="14" xfId="0" applyNumberFormat="1" applyFont="1" applyFill="1" applyBorder="1" applyAlignment="1">
      <alignment wrapText="1"/>
    </xf>
    <xf numFmtId="0" fontId="0" fillId="2" borderId="15" xfId="0" applyFill="1" applyBorder="1" applyAlignment="1">
      <alignment wrapText="1"/>
    </xf>
    <xf numFmtId="10" fontId="0" fillId="2" borderId="16" xfId="0" applyNumberFormat="1" applyFill="1" applyBorder="1"/>
    <xf numFmtId="164" fontId="1" fillId="2" borderId="19" xfId="0" applyNumberFormat="1" applyFont="1" applyFill="1" applyBorder="1"/>
    <xf numFmtId="164" fontId="1" fillId="2" borderId="20" xfId="0" applyNumberFormat="1" applyFont="1" applyFill="1" applyBorder="1"/>
    <xf numFmtId="49" fontId="0" fillId="3" borderId="6" xfId="0" applyNumberFormat="1" applyFill="1" applyBorder="1" applyAlignment="1">
      <alignment wrapText="1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0" xfId="0" applyFill="1" applyBorder="1"/>
    <xf numFmtId="0" fontId="0" fillId="3" borderId="8" xfId="0" applyFill="1" applyBorder="1"/>
    <xf numFmtId="49" fontId="0" fillId="2" borderId="24" xfId="0" applyNumberFormat="1" applyFill="1" applyBorder="1"/>
    <xf numFmtId="1" fontId="0" fillId="2" borderId="24" xfId="0" applyNumberFormat="1" applyFill="1" applyBorder="1"/>
    <xf numFmtId="4" fontId="0" fillId="0" borderId="24" xfId="0" applyNumberFormat="1" applyBorder="1" applyProtection="1">
      <protection locked="0"/>
    </xf>
    <xf numFmtId="10" fontId="0" fillId="0" borderId="24" xfId="0" applyNumberFormat="1" applyBorder="1" applyProtection="1">
      <protection locked="0"/>
    </xf>
    <xf numFmtId="164" fontId="0" fillId="2" borderId="24" xfId="0" applyNumberFormat="1" applyFill="1" applyBorder="1"/>
    <xf numFmtId="49" fontId="0" fillId="2" borderId="25" xfId="0" applyNumberFormat="1" applyFill="1" applyBorder="1"/>
    <xf numFmtId="1" fontId="0" fillId="2" borderId="25" xfId="0" applyNumberFormat="1" applyFill="1" applyBorder="1"/>
    <xf numFmtId="4" fontId="0" fillId="0" borderId="25" xfId="0" applyNumberFormat="1" applyBorder="1" applyProtection="1">
      <protection locked="0"/>
    </xf>
    <xf numFmtId="10" fontId="0" fillId="0" borderId="25" xfId="0" applyNumberFormat="1" applyBorder="1" applyProtection="1">
      <protection locked="0"/>
    </xf>
    <xf numFmtId="164" fontId="0" fillId="2" borderId="25" xfId="0" applyNumberFormat="1" applyFill="1" applyBorder="1"/>
    <xf numFmtId="49" fontId="0" fillId="2" borderId="26" xfId="0" applyNumberFormat="1" applyFill="1" applyBorder="1"/>
    <xf numFmtId="1" fontId="0" fillId="2" borderId="26" xfId="0" applyNumberFormat="1" applyFill="1" applyBorder="1"/>
    <xf numFmtId="4" fontId="0" fillId="0" borderId="26" xfId="0" applyNumberFormat="1" applyBorder="1" applyProtection="1">
      <protection locked="0"/>
    </xf>
    <xf numFmtId="10" fontId="0" fillId="0" borderId="26" xfId="0" applyNumberFormat="1" applyBorder="1" applyProtection="1">
      <protection locked="0"/>
    </xf>
    <xf numFmtId="164" fontId="0" fillId="2" borderId="26" xfId="0" applyNumberFormat="1" applyFill="1" applyBorder="1"/>
    <xf numFmtId="4" fontId="0" fillId="2" borderId="24" xfId="0" applyNumberFormat="1" applyFill="1" applyBorder="1"/>
    <xf numFmtId="165" fontId="0" fillId="2" borderId="24" xfId="0" applyNumberFormat="1" applyFill="1" applyBorder="1"/>
    <xf numFmtId="4" fontId="0" fillId="2" borderId="25" xfId="0" applyNumberFormat="1" applyFill="1" applyBorder="1"/>
    <xf numFmtId="165" fontId="0" fillId="2" borderId="25" xfId="0" applyNumberFormat="1" applyFill="1" applyBorder="1"/>
    <xf numFmtId="4" fontId="0" fillId="2" borderId="26" xfId="0" applyNumberFormat="1" applyFill="1" applyBorder="1"/>
    <xf numFmtId="165" fontId="0" fillId="0" borderId="26" xfId="0" applyNumberFormat="1" applyBorder="1" applyProtection="1">
      <protection locked="0"/>
    </xf>
    <xf numFmtId="0" fontId="0" fillId="3" borderId="28" xfId="0" applyFill="1" applyBorder="1"/>
    <xf numFmtId="49" fontId="0" fillId="3" borderId="21" xfId="0" applyNumberFormat="1" applyFill="1" applyBorder="1"/>
    <xf numFmtId="0" fontId="0" fillId="3" borderId="22" xfId="0" applyFill="1" applyBorder="1"/>
    <xf numFmtId="4" fontId="0" fillId="3" borderId="6" xfId="0" applyNumberFormat="1" applyFill="1" applyBorder="1"/>
    <xf numFmtId="164" fontId="0" fillId="3" borderId="6" xfId="0" applyNumberFormat="1" applyFill="1" applyBorder="1"/>
    <xf numFmtId="164" fontId="0" fillId="3" borderId="27" xfId="0" applyNumberFormat="1" applyFill="1" applyBorder="1"/>
    <xf numFmtId="0" fontId="0" fillId="3" borderId="21" xfId="0" applyFill="1" applyBorder="1"/>
    <xf numFmtId="0" fontId="0" fillId="3" borderId="29" xfId="0" applyFill="1" applyBorder="1"/>
    <xf numFmtId="49" fontId="0" fillId="3" borderId="30" xfId="0" applyNumberFormat="1" applyFill="1" applyBorder="1" applyAlignment="1">
      <alignment wrapText="1"/>
    </xf>
    <xf numFmtId="49" fontId="0" fillId="3" borderId="27" xfId="0" applyNumberFormat="1" applyFill="1" applyBorder="1" applyAlignment="1">
      <alignment wrapText="1"/>
    </xf>
    <xf numFmtId="0" fontId="0" fillId="3" borderId="31" xfId="0" applyFill="1" applyBorder="1"/>
    <xf numFmtId="49" fontId="0" fillId="2" borderId="12" xfId="0" applyNumberFormat="1" applyFill="1" applyBorder="1"/>
    <xf numFmtId="49" fontId="0" fillId="2" borderId="13" xfId="0" applyNumberFormat="1" applyFill="1" applyBorder="1"/>
    <xf numFmtId="49" fontId="0" fillId="2" borderId="13" xfId="0" applyNumberFormat="1" applyFill="1" applyBorder="1" applyAlignment="1">
      <alignment wrapText="1"/>
    </xf>
    <xf numFmtId="4" fontId="0" fillId="2" borderId="13" xfId="0" applyNumberFormat="1" applyFill="1" applyBorder="1"/>
    <xf numFmtId="165" fontId="0" fillId="2" borderId="13" xfId="0" applyNumberFormat="1" applyFill="1" applyBorder="1"/>
    <xf numFmtId="164" fontId="0" fillId="2" borderId="13" xfId="0" applyNumberFormat="1" applyFill="1" applyBorder="1"/>
    <xf numFmtId="0" fontId="0" fillId="2" borderId="13" xfId="0" applyFill="1" applyBorder="1"/>
    <xf numFmtId="164" fontId="0" fillId="2" borderId="14" xfId="0" applyNumberFormat="1" applyFill="1" applyBorder="1"/>
    <xf numFmtId="49" fontId="0" fillId="2" borderId="15" xfId="0" applyNumberFormat="1" applyFill="1" applyBorder="1"/>
    <xf numFmtId="49" fontId="0" fillId="2" borderId="16" xfId="0" applyNumberFormat="1" applyFill="1" applyBorder="1"/>
    <xf numFmtId="49" fontId="0" fillId="2" borderId="16" xfId="0" applyNumberFormat="1" applyFill="1" applyBorder="1" applyAlignment="1">
      <alignment wrapText="1"/>
    </xf>
    <xf numFmtId="4" fontId="0" fillId="2" borderId="16" xfId="0" applyNumberFormat="1" applyFill="1" applyBorder="1"/>
    <xf numFmtId="165" fontId="0" fillId="2" borderId="16" xfId="0" applyNumberFormat="1" applyFill="1" applyBorder="1"/>
    <xf numFmtId="0" fontId="0" fillId="2" borderId="16" xfId="0" applyFill="1" applyBorder="1"/>
    <xf numFmtId="49" fontId="0" fillId="2" borderId="18" xfId="0" applyNumberFormat="1" applyFill="1" applyBorder="1"/>
    <xf numFmtId="49" fontId="0" fillId="2" borderId="19" xfId="0" applyNumberFormat="1" applyFill="1" applyBorder="1"/>
    <xf numFmtId="49" fontId="0" fillId="2" borderId="19" xfId="0" applyNumberFormat="1" applyFill="1" applyBorder="1" applyAlignment="1">
      <alignment wrapText="1"/>
    </xf>
    <xf numFmtId="4" fontId="0" fillId="2" borderId="19" xfId="0" applyNumberFormat="1" applyFill="1" applyBorder="1"/>
    <xf numFmtId="165" fontId="0" fillId="2" borderId="19" xfId="0" applyNumberFormat="1" applyFill="1" applyBorder="1"/>
    <xf numFmtId="0" fontId="0" fillId="2" borderId="19" xfId="0" applyFill="1" applyBorder="1"/>
    <xf numFmtId="49" fontId="0" fillId="3" borderId="32" xfId="0" applyNumberFormat="1" applyFill="1" applyBorder="1"/>
    <xf numFmtId="49" fontId="0" fillId="3" borderId="3" xfId="0" applyNumberFormat="1" applyFill="1" applyBorder="1"/>
    <xf numFmtId="49" fontId="0" fillId="3" borderId="3" xfId="0" applyNumberFormat="1" applyFill="1" applyBorder="1" applyAlignment="1">
      <alignment wrapText="1"/>
    </xf>
    <xf numFmtId="0" fontId="0" fillId="3" borderId="11" xfId="0" applyFill="1" applyBorder="1"/>
    <xf numFmtId="49" fontId="0" fillId="3" borderId="11" xfId="0" applyNumberFormat="1" applyFill="1" applyBorder="1"/>
    <xf numFmtId="0" fontId="0" fillId="3" borderId="6" xfId="0" applyFill="1" applyBorder="1"/>
    <xf numFmtId="49" fontId="0" fillId="4" borderId="24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49" fontId="0" fillId="4" borderId="25" xfId="0" applyNumberFormat="1" applyFill="1" applyBorder="1" applyProtection="1">
      <protection locked="0"/>
    </xf>
    <xf numFmtId="164" fontId="0" fillId="4" borderId="25" xfId="0" applyNumberFormat="1" applyFill="1" applyBorder="1" applyProtection="1">
      <protection locked="0"/>
    </xf>
    <xf numFmtId="49" fontId="0" fillId="4" borderId="26" xfId="0" applyNumberFormat="1" applyFill="1" applyBorder="1" applyProtection="1">
      <protection locked="0"/>
    </xf>
    <xf numFmtId="164" fontId="0" fillId="4" borderId="26" xfId="0" applyNumberFormat="1" applyFill="1" applyBorder="1" applyProtection="1">
      <protection locked="0"/>
    </xf>
    <xf numFmtId="4" fontId="0" fillId="4" borderId="24" xfId="0" applyNumberFormat="1" applyFill="1" applyBorder="1"/>
    <xf numFmtId="164" fontId="0" fillId="2" borderId="24" xfId="0" applyNumberFormat="1" applyFill="1" applyBorder="1" applyProtection="1"/>
    <xf numFmtId="164" fontId="0" fillId="3" borderId="24" xfId="0" applyNumberFormat="1" applyFill="1" applyBorder="1" applyProtection="1"/>
    <xf numFmtId="4" fontId="0" fillId="4" borderId="25" xfId="0" applyNumberFormat="1" applyFill="1" applyBorder="1"/>
    <xf numFmtId="164" fontId="0" fillId="2" borderId="25" xfId="0" applyNumberFormat="1" applyFill="1" applyBorder="1" applyProtection="1"/>
    <xf numFmtId="164" fontId="0" fillId="3" borderId="25" xfId="0" applyNumberFormat="1" applyFill="1" applyBorder="1" applyProtection="1"/>
    <xf numFmtId="4" fontId="0" fillId="4" borderId="26" xfId="0" applyNumberFormat="1" applyFill="1" applyBorder="1"/>
    <xf numFmtId="164" fontId="0" fillId="2" borderId="26" xfId="0" applyNumberFormat="1" applyFill="1" applyBorder="1" applyProtection="1"/>
    <xf numFmtId="164" fontId="0" fillId="3" borderId="26" xfId="0" applyNumberFormat="1" applyFill="1" applyBorder="1" applyProtection="1"/>
    <xf numFmtId="164" fontId="0" fillId="3" borderId="23" xfId="0" applyNumberFormat="1" applyFill="1" applyBorder="1"/>
    <xf numFmtId="0" fontId="0" fillId="3" borderId="21" xfId="0" applyFill="1" applyBorder="1" applyAlignment="1"/>
    <xf numFmtId="0" fontId="0" fillId="3" borderId="23" xfId="0" applyFill="1" applyBorder="1"/>
    <xf numFmtId="4" fontId="0" fillId="2" borderId="24" xfId="0" applyNumberFormat="1" applyFill="1" applyBorder="1" applyProtection="1"/>
    <xf numFmtId="4" fontId="0" fillId="2" borderId="25" xfId="0" applyNumberFormat="1" applyFill="1" applyBorder="1" applyProtection="1"/>
    <xf numFmtId="4" fontId="0" fillId="2" borderId="26" xfId="0" applyNumberFormat="1" applyFill="1" applyBorder="1" applyProtection="1"/>
    <xf numFmtId="49" fontId="0" fillId="3" borderId="21" xfId="0" applyNumberFormat="1" applyFill="1" applyBorder="1" applyAlignment="1"/>
    <xf numFmtId="164" fontId="0" fillId="0" borderId="24" xfId="0" applyNumberFormat="1" applyBorder="1" applyProtection="1">
      <protection locked="0"/>
    </xf>
    <xf numFmtId="164" fontId="0" fillId="0" borderId="25" xfId="0" applyNumberFormat="1" applyBorder="1" applyProtection="1">
      <protection locked="0"/>
    </xf>
    <xf numFmtId="164" fontId="0" fillId="0" borderId="26" xfId="0" applyNumberFormat="1" applyBorder="1" applyProtection="1">
      <protection locked="0"/>
    </xf>
    <xf numFmtId="4" fontId="0" fillId="3" borderId="24" xfId="0" applyNumberFormat="1" applyFill="1" applyBorder="1" applyProtection="1"/>
    <xf numFmtId="4" fontId="0" fillId="3" borderId="26" xfId="0" applyNumberFormat="1" applyFill="1" applyBorder="1" applyProtection="1"/>
    <xf numFmtId="4" fontId="0" fillId="3" borderId="25" xfId="0" applyNumberFormat="1" applyFill="1" applyBorder="1" applyProtection="1"/>
    <xf numFmtId="49" fontId="0" fillId="3" borderId="24" xfId="0" applyNumberFormat="1" applyFill="1" applyBorder="1" applyAlignment="1">
      <alignment wrapText="1"/>
    </xf>
    <xf numFmtId="49" fontId="0" fillId="3" borderId="25" xfId="0" applyNumberFormat="1" applyFill="1" applyBorder="1" applyAlignment="1">
      <alignment wrapText="1"/>
    </xf>
    <xf numFmtId="4" fontId="0" fillId="3" borderId="25" xfId="0" applyNumberFormat="1" applyFill="1" applyBorder="1"/>
    <xf numFmtId="49" fontId="0" fillId="3" borderId="26" xfId="0" applyNumberFormat="1" applyFill="1" applyBorder="1" applyAlignment="1">
      <alignment wrapText="1"/>
    </xf>
    <xf numFmtId="4" fontId="0" fillId="3" borderId="26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735B0-8523-4DF2-B1DC-197C81E5BE71}">
  <dimension ref="A1:B26"/>
  <sheetViews>
    <sheetView workbookViewId="0"/>
  </sheetViews>
  <sheetFormatPr defaultRowHeight="12.75" x14ac:dyDescent="0.2"/>
  <sheetData>
    <row r="1" spans="1:2" x14ac:dyDescent="0.2">
      <c r="A1" s="1" t="s">
        <v>0</v>
      </c>
    </row>
    <row r="3" spans="1:2" x14ac:dyDescent="0.2">
      <c r="A3" t="s">
        <v>1</v>
      </c>
    </row>
    <row r="5" spans="1:2" x14ac:dyDescent="0.2">
      <c r="A5" t="s">
        <v>2</v>
      </c>
      <c r="B5" t="s">
        <v>3</v>
      </c>
    </row>
    <row r="7" spans="1:2" x14ac:dyDescent="0.2">
      <c r="A7" s="4" t="s">
        <v>4</v>
      </c>
      <c r="B7" s="5"/>
    </row>
    <row r="8" spans="1:2" x14ac:dyDescent="0.2">
      <c r="A8" s="2"/>
      <c r="B8" s="3"/>
    </row>
    <row r="9" spans="1:2" x14ac:dyDescent="0.2">
      <c r="A9" s="2" t="s">
        <v>5</v>
      </c>
      <c r="B9" s="3">
        <v>260</v>
      </c>
    </row>
    <row r="10" spans="1:2" x14ac:dyDescent="0.2">
      <c r="A10" s="2" t="s">
        <v>6</v>
      </c>
      <c r="B10" s="3">
        <v>5</v>
      </c>
    </row>
    <row r="11" spans="1:2" x14ac:dyDescent="0.2">
      <c r="A11" s="2"/>
      <c r="B11" s="3"/>
    </row>
    <row r="12" spans="1:2" x14ac:dyDescent="0.2">
      <c r="A12" s="2" t="s">
        <v>7</v>
      </c>
      <c r="B12" s="3" t="s">
        <v>8</v>
      </c>
    </row>
    <row r="13" spans="1:2" x14ac:dyDescent="0.2">
      <c r="A13" s="2" t="s">
        <v>9</v>
      </c>
      <c r="B13" s="3">
        <f>IF(A13="2½W",2.5/dagenperweek1,IF(RIGHT(A13,1)="W",VALUE(LEFT(A13,LEN(A13)-1))/dagenperweek1,IF(RIGHT(A13,1)="J",VALUE(LEFT(A13,LEN(A13)-1))/dagenperjaar1,IF(RIGHT(A13,1)="D",VALUE(LEFT(A13,LEN(A13)-1)),"handmatig!"))))</f>
        <v>1</v>
      </c>
    </row>
    <row r="14" spans="1:2" x14ac:dyDescent="0.2">
      <c r="A14" s="2" t="s">
        <v>10</v>
      </c>
      <c r="B14" s="3">
        <f>IF(A14="2½W",2.5/dagenperweek1,IF(RIGHT(A14,1)="W",VALUE(LEFT(A14,LEN(A14)-1))/dagenperweek1,IF(RIGHT(A14,1)="J",VALUE(LEFT(A14,LEN(A14)-1))/dagenperjaar1,IF(RIGHT(A14,1)="D",VALUE(LEFT(A14,LEN(A14)-1)),"handmatig!"))))</f>
        <v>0.8</v>
      </c>
    </row>
    <row r="15" spans="1:2" x14ac:dyDescent="0.2">
      <c r="A15" s="2" t="s">
        <v>11</v>
      </c>
      <c r="B15" s="3">
        <f>IF(A15="2½W",2.5/dagenperweek1,IF(RIGHT(A15,1)="W",VALUE(LEFT(A15,LEN(A15)-1))/dagenperweek1,IF(RIGHT(A15,1)="J",VALUE(LEFT(A15,LEN(A15)-1))/dagenperjaar1,IF(RIGHT(A15,1)="D",VALUE(LEFT(A15,LEN(A15)-1)),"handmatig!"))))</f>
        <v>0.67307692307692313</v>
      </c>
    </row>
    <row r="16" spans="1:2" x14ac:dyDescent="0.2">
      <c r="A16" s="2" t="s">
        <v>12</v>
      </c>
      <c r="B16" s="3">
        <f>IF(A16="2½W",2.5/dagenperweek1,IF(RIGHT(A16,1)="W",VALUE(LEFT(A16,LEN(A16)-1))/dagenperweek1,IF(RIGHT(A16,1)="J",VALUE(LEFT(A16,LEN(A16)-1))/dagenperjaar1,IF(RIGHT(A16,1)="D",VALUE(LEFT(A16,LEN(A16)-1)),"handmatig!"))))</f>
        <v>0.6</v>
      </c>
    </row>
    <row r="17" spans="1:2" x14ac:dyDescent="0.2">
      <c r="A17" s="2" t="s">
        <v>13</v>
      </c>
      <c r="B17" s="3">
        <f>IF(A17="2½W",2.5/dagenperweek1,IF(RIGHT(A17,1)="W",VALUE(LEFT(A17,LEN(A17)-1))/dagenperweek1,IF(RIGHT(A17,1)="J",VALUE(LEFT(A17,LEN(A17)-1))/dagenperjaar1,IF(RIGHT(A17,1)="D",VALUE(LEFT(A17,LEN(A17)-1)),"handmatig!"))))</f>
        <v>0.4</v>
      </c>
    </row>
    <row r="18" spans="1:2" x14ac:dyDescent="0.2">
      <c r="A18" s="2" t="s">
        <v>14</v>
      </c>
      <c r="B18" s="3">
        <f>IF(A18="2½W",2.5/dagenperweek1,IF(RIGHT(A18,1)="W",VALUE(LEFT(A18,LEN(A18)-1))/dagenperweek1,IF(RIGHT(A18,1)="J",VALUE(LEFT(A18,LEN(A18)-1))/dagenperjaar1,IF(RIGHT(A18,1)="D",VALUE(LEFT(A18,LEN(A18)-1)),"handmatig!"))))</f>
        <v>0.2</v>
      </c>
    </row>
    <row r="19" spans="1:2" x14ac:dyDescent="0.2">
      <c r="A19" s="2" t="s">
        <v>15</v>
      </c>
      <c r="B19" s="3">
        <f>IF(A19="2½W",2.5/dagenperweek1,IF(RIGHT(A19,1)="W",VALUE(LEFT(A19,LEN(A19)-1))/dagenperweek1,IF(RIGHT(A19,1)="J",VALUE(LEFT(A19,LEN(A19)-1))/dagenperjaar1,IF(RIGHT(A19,1)="D",VALUE(LEFT(A19,LEN(A19)-1)),"handmatig!"))))</f>
        <v>0.1</v>
      </c>
    </row>
    <row r="20" spans="1:2" x14ac:dyDescent="0.2">
      <c r="A20" s="2" t="s">
        <v>16</v>
      </c>
      <c r="B20" s="3">
        <f>IF(A20="2½W",2.5/dagenperweek1,IF(RIGHT(A20,1)="W",VALUE(LEFT(A20,LEN(A20)-1))/dagenperweek1,IF(RIGHT(A20,1)="J",VALUE(LEFT(A20,LEN(A20)-1))/dagenperjaar1,IF(RIGHT(A20,1)="D",VALUE(LEFT(A20,LEN(A20)-1)),"handmatig!"))))</f>
        <v>4.6153846153846156E-2</v>
      </c>
    </row>
    <row r="21" spans="1:2" x14ac:dyDescent="0.2">
      <c r="A21" s="2" t="s">
        <v>17</v>
      </c>
      <c r="B21" s="3">
        <f>IF(A21="2½W",2.5/dagenperweek1,IF(RIGHT(A21,1)="W",VALUE(LEFT(A21,LEN(A21)-1))/dagenperweek1,IF(RIGHT(A21,1)="J",VALUE(LEFT(A21,LEN(A21)-1))/dagenperjaar1,IF(RIGHT(A21,1)="D",VALUE(LEFT(A21,LEN(A21)-1)),"handmatig!"))))</f>
        <v>2.3076923076923078E-2</v>
      </c>
    </row>
    <row r="22" spans="1:2" x14ac:dyDescent="0.2">
      <c r="A22" s="2" t="s">
        <v>18</v>
      </c>
      <c r="B22" s="3">
        <f>IF(A22="2½W",2.5/dagenperweek1,IF(RIGHT(A22,1)="W",VALUE(LEFT(A22,LEN(A22)-1))/dagenperweek1,IF(RIGHT(A22,1)="J",VALUE(LEFT(A22,LEN(A22)-1))/dagenperjaar1,IF(RIGHT(A22,1)="D",VALUE(LEFT(A22,LEN(A22)-1)),"handmatig!"))))</f>
        <v>1.9230769230769232E-2</v>
      </c>
    </row>
    <row r="23" spans="1:2" x14ac:dyDescent="0.2">
      <c r="A23" s="2" t="s">
        <v>19</v>
      </c>
      <c r="B23" s="3">
        <f>IF(A23="2½W",2.5/dagenperweek1,IF(RIGHT(A23,1)="W",VALUE(LEFT(A23,LEN(A23)-1))/dagenperweek1,IF(RIGHT(A23,1)="J",VALUE(LEFT(A23,LEN(A23)-1))/dagenperjaar1,IF(RIGHT(A23,1)="D",VALUE(LEFT(A23,LEN(A23)-1)),"handmatig!"))))</f>
        <v>1.5384615384615385E-2</v>
      </c>
    </row>
    <row r="24" spans="1:2" x14ac:dyDescent="0.2">
      <c r="A24" s="2" t="s">
        <v>20</v>
      </c>
      <c r="B24" s="3">
        <f>IF(A24="2½W",2.5/dagenperweek1,IF(RIGHT(A24,1)="W",VALUE(LEFT(A24,LEN(A24)-1))/dagenperweek1,IF(RIGHT(A24,1)="J",VALUE(LEFT(A24,LEN(A24)-1))/dagenperjaar1,IF(RIGHT(A24,1)="D",VALUE(LEFT(A24,LEN(A24)-1)),"handmatig!"))))</f>
        <v>1.1538461538461539E-2</v>
      </c>
    </row>
    <row r="25" spans="1:2" x14ac:dyDescent="0.2">
      <c r="A25" s="2" t="s">
        <v>21</v>
      </c>
      <c r="B25" s="3">
        <f>IF(A25="2½W",2.5/dagenperweek1,IF(RIGHT(A25,1)="W",VALUE(LEFT(A25,LEN(A25)-1))/dagenperweek1,IF(RIGHT(A25,1)="J",VALUE(LEFT(A25,LEN(A25)-1))/dagenperjaar1,IF(RIGHT(A25,1)="D",VALUE(LEFT(A25,LEN(A25)-1)),"handmatig!"))))</f>
        <v>7.6923076923076927E-3</v>
      </c>
    </row>
    <row r="26" spans="1:2" x14ac:dyDescent="0.2">
      <c r="A26" s="6" t="s">
        <v>22</v>
      </c>
      <c r="B26" s="7">
        <f>IF(A26="2½W",2.5/dagenperweek1,IF(RIGHT(A26,1)="W",VALUE(LEFT(A26,LEN(A26)-1))/dagenperweek1,IF(RIGHT(A26,1)="J",VALUE(LEFT(A26,LEN(A26)-1))/dagenperjaar1,IF(RIGHT(A26,1)="D",VALUE(LEFT(A26,LEN(A26)-1)),"handmatig!"))))</f>
        <v>3.8461538461538464E-3</v>
      </c>
    </row>
  </sheetData>
  <sheetProtection algorithmName="SHA-512" hashValue="+INAMu+J4nt1AKg36ZcLw2rG4BMuiFFlVyGqb7xv+wAu/YTWpmySbfpiccidBgfexfm0jfhIHCN2xRvHlspJ8Q==" saltValue="1OQ0XasK0iuxpXqXTdFWQw==" spinCount="100000" sheet="1" objects="1" scenarios="1" autoFilter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B06D6-8232-49D8-A09F-2107D03EAAF4}">
  <dimension ref="A1:H11"/>
  <sheetViews>
    <sheetView workbookViewId="0"/>
  </sheetViews>
  <sheetFormatPr defaultRowHeight="12.75" x14ac:dyDescent="0.2"/>
  <cols>
    <col min="1" max="1" width="8.625" customWidth="1"/>
    <col min="2" max="2" width="32.625" customWidth="1"/>
    <col min="3" max="3" width="20.625" customWidth="1"/>
    <col min="4" max="4" width="18.625" customWidth="1"/>
    <col min="5" max="5" width="12.625" customWidth="1"/>
    <col min="6" max="6" width="14.625" customWidth="1"/>
    <col min="7" max="8" width="13.625" customWidth="1"/>
  </cols>
  <sheetData>
    <row r="1" spans="1:8" x14ac:dyDescent="0.2">
      <c r="A1" s="1" t="str">
        <f>CONCATENATE("Bijlage H.7: ",tabeltype," totaalblad objecten")</f>
        <v>Bijlage H.7: Invultabel totaalblad objecten</v>
      </c>
    </row>
    <row r="3" spans="1:8" ht="25.5" x14ac:dyDescent="0.2">
      <c r="A3" s="44" t="s">
        <v>324</v>
      </c>
      <c r="B3" s="44" t="s">
        <v>965</v>
      </c>
      <c r="C3" s="44" t="s">
        <v>966</v>
      </c>
      <c r="D3" s="44" t="s">
        <v>967</v>
      </c>
      <c r="E3" s="44" t="s">
        <v>227</v>
      </c>
      <c r="F3" s="44" t="s">
        <v>228</v>
      </c>
      <c r="G3" s="44" t="s">
        <v>989</v>
      </c>
      <c r="H3" s="44" t="s">
        <v>990</v>
      </c>
    </row>
    <row r="4" spans="1:8" x14ac:dyDescent="0.2">
      <c r="A4" s="51" t="s">
        <v>333</v>
      </c>
      <c r="B4" s="51" t="s">
        <v>976</v>
      </c>
      <c r="C4" s="51" t="s">
        <v>977</v>
      </c>
      <c r="D4" s="51" t="s">
        <v>978</v>
      </c>
      <c r="E4" s="66">
        <f>objecturen1_1+objecturen1_2+objecturen1_3</f>
        <v>0</v>
      </c>
      <c r="F4" s="55">
        <f>objectprijs1_1+objectprijs1_2+objectprijs1_3</f>
        <v>0</v>
      </c>
      <c r="G4" s="55">
        <f>F4/12</f>
        <v>0</v>
      </c>
      <c r="H4" s="55">
        <f>G4*1.21</f>
        <v>0</v>
      </c>
    </row>
    <row r="5" spans="1:8" x14ac:dyDescent="0.2">
      <c r="A5" s="56" t="s">
        <v>606</v>
      </c>
      <c r="B5" s="56" t="s">
        <v>926</v>
      </c>
      <c r="C5" s="56" t="s">
        <v>979</v>
      </c>
      <c r="D5" s="56" t="s">
        <v>978</v>
      </c>
      <c r="E5" s="68">
        <f>objecturen2_1+objecturen2_2+objecturen2_3</f>
        <v>0</v>
      </c>
      <c r="F5" s="60">
        <f>objectprijs2_1+objectprijs2_2+objectprijs2_3</f>
        <v>0</v>
      </c>
      <c r="G5" s="60">
        <f>F5/12</f>
        <v>0</v>
      </c>
      <c r="H5" s="60">
        <f>G5*1.21</f>
        <v>0</v>
      </c>
    </row>
    <row r="6" spans="1:8" x14ac:dyDescent="0.2">
      <c r="A6" s="56" t="s">
        <v>781</v>
      </c>
      <c r="B6" s="56" t="s">
        <v>980</v>
      </c>
      <c r="C6" s="56" t="s">
        <v>981</v>
      </c>
      <c r="D6" s="56" t="s">
        <v>978</v>
      </c>
      <c r="E6" s="68">
        <f>objecturen3_1+objecturen3_2+objecturen3_3</f>
        <v>0</v>
      </c>
      <c r="F6" s="60">
        <f>objectprijs3_1+objectprijs3_2+objectprijs3_3</f>
        <v>0</v>
      </c>
      <c r="G6" s="60">
        <f>F6/12</f>
        <v>0</v>
      </c>
      <c r="H6" s="60">
        <f>G6*1.21</f>
        <v>0</v>
      </c>
    </row>
    <row r="7" spans="1:8" x14ac:dyDescent="0.2">
      <c r="A7" s="56" t="s">
        <v>872</v>
      </c>
      <c r="B7" s="56" t="s">
        <v>982</v>
      </c>
      <c r="C7" s="56" t="s">
        <v>983</v>
      </c>
      <c r="D7" s="56" t="s">
        <v>978</v>
      </c>
      <c r="E7" s="68">
        <f>objecturen4_1+objecturen4_2+objecturen4_3</f>
        <v>0</v>
      </c>
      <c r="F7" s="60">
        <f>objectprijs4_1+objectprijs4_2+objectprijs4_3</f>
        <v>0</v>
      </c>
      <c r="G7" s="60">
        <f>F7/12</f>
        <v>0</v>
      </c>
      <c r="H7" s="60">
        <f>G7*1.21</f>
        <v>0</v>
      </c>
    </row>
    <row r="8" spans="1:8" x14ac:dyDescent="0.2">
      <c r="A8" s="56" t="s">
        <v>922</v>
      </c>
      <c r="B8" s="56" t="s">
        <v>984</v>
      </c>
      <c r="C8" s="56"/>
      <c r="D8" s="56" t="s">
        <v>978</v>
      </c>
      <c r="E8" s="68">
        <f>objecturen5_1</f>
        <v>0</v>
      </c>
      <c r="F8" s="60">
        <f>objectprijs5_1</f>
        <v>0</v>
      </c>
      <c r="G8" s="60">
        <f>F8/12</f>
        <v>0</v>
      </c>
      <c r="H8" s="60">
        <f>G8*1.21</f>
        <v>0</v>
      </c>
    </row>
    <row r="9" spans="1:8" x14ac:dyDescent="0.2">
      <c r="A9" s="61" t="s">
        <v>934</v>
      </c>
      <c r="B9" s="61" t="s">
        <v>985</v>
      </c>
      <c r="C9" s="61" t="s">
        <v>986</v>
      </c>
      <c r="D9" s="61" t="s">
        <v>978</v>
      </c>
      <c r="E9" s="70">
        <f>objecturen6_1+objecturen6_2+objecturen6_3</f>
        <v>0</v>
      </c>
      <c r="F9" s="65">
        <f>objectprijs6_1+objectprijs6_2+objectprijs6_3</f>
        <v>0</v>
      </c>
      <c r="G9" s="65">
        <f>F9/12</f>
        <v>0</v>
      </c>
      <c r="H9" s="65">
        <f>G9*1.21</f>
        <v>0</v>
      </c>
    </row>
    <row r="11" spans="1:8" x14ac:dyDescent="0.2">
      <c r="A11" s="73" t="s">
        <v>991</v>
      </c>
      <c r="B11" s="74"/>
      <c r="C11" s="74"/>
      <c r="D11" s="74"/>
      <c r="E11" s="75">
        <f>SUM(E4:E9)</f>
        <v>0</v>
      </c>
      <c r="F11" s="76">
        <f>SUM(F4:F9)</f>
        <v>0</v>
      </c>
      <c r="G11" s="76">
        <f>SUM(G4:G9)</f>
        <v>0</v>
      </c>
      <c r="H11" s="76">
        <f>SUM(H4:H9)</f>
        <v>0</v>
      </c>
    </row>
  </sheetData>
  <sheetProtection algorithmName="SHA-512" hashValue="cqDI4FtnJkAd8SI6X05/1KgGjEEIEPX0IbEGLXrSGYZRzcQNZ85XACd2lBrInNpDw+lV+Am0sc9KBmd/xoV4EQ==" saltValue="G18IaDCFHK3FnfA6Qs81mg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&amp;LCentraal Museum Utrecht EA2026                              &amp;ROpmaakdatum: 19-03-2026
Intexso - Plantageweg 23E - Leusden
+31 (33) 2778485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A6B87-2FC2-4B8B-BB9D-C0B985CBD661}">
  <dimension ref="A1:L17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H.8: ",tabeltype," additioneel werk")</f>
        <v>Bijlage H.8: Invultabel additioneel werk</v>
      </c>
    </row>
    <row r="3" spans="1:12" ht="38.25" x14ac:dyDescent="0.2">
      <c r="A3" s="44" t="s">
        <v>992</v>
      </c>
      <c r="B3" s="44" t="s">
        <v>7</v>
      </c>
      <c r="C3" s="44" t="s">
        <v>993</v>
      </c>
      <c r="D3" s="44" t="s">
        <v>92</v>
      </c>
      <c r="E3" s="44" t="s">
        <v>95</v>
      </c>
      <c r="F3" s="44" t="s">
        <v>994</v>
      </c>
      <c r="G3" s="44" t="s">
        <v>995</v>
      </c>
      <c r="H3" s="44" t="s">
        <v>996</v>
      </c>
      <c r="I3" s="44" t="s">
        <v>997</v>
      </c>
      <c r="J3" s="44" t="s">
        <v>998</v>
      </c>
      <c r="K3" s="44" t="s">
        <v>228</v>
      </c>
      <c r="L3" s="44" t="s">
        <v>975</v>
      </c>
    </row>
    <row r="4" spans="1:12" x14ac:dyDescent="0.2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2" x14ac:dyDescent="0.2">
      <c r="A5" s="48" t="s">
        <v>97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</row>
    <row r="6" spans="1:12" x14ac:dyDescent="0.2">
      <c r="A6" s="51" t="s">
        <v>999</v>
      </c>
      <c r="B6" s="51" t="s">
        <v>11</v>
      </c>
      <c r="C6" s="52">
        <f>IF(ISBLANK(B6),0,IF(ISERROR(VALUE(B6)),VLOOKUP(B6,dagsoorttabel1,2,FALSE)*dagenperjaar1,VALUE(B6)))</f>
        <v>175</v>
      </c>
      <c r="D6" s="51" t="s">
        <v>1000</v>
      </c>
      <c r="E6" s="51" t="s">
        <v>1001</v>
      </c>
      <c r="F6" s="115">
        <v>15</v>
      </c>
      <c r="G6" s="116">
        <f>Tariefopbouw1</f>
        <v>0</v>
      </c>
      <c r="H6" s="53"/>
      <c r="I6" s="117"/>
      <c r="J6" s="55">
        <f>IF(ISBLANK(H6),0,F6 / ROUND(H6,4) * ROUND(G6,2))</f>
        <v>0</v>
      </c>
      <c r="K6" s="55">
        <f>C6*J6</f>
        <v>0</v>
      </c>
      <c r="L6" s="55">
        <f>K6/12</f>
        <v>0</v>
      </c>
    </row>
    <row r="7" spans="1:12" x14ac:dyDescent="0.2">
      <c r="A7" s="56" t="s">
        <v>1002</v>
      </c>
      <c r="B7" s="56" t="s">
        <v>11</v>
      </c>
      <c r="C7" s="57">
        <f>IF(ISBLANK(B7),0,IF(ISERROR(VALUE(B7)),VLOOKUP(B7,dagsoorttabel1,2,FALSE)*dagenperjaar1,VALUE(B7)))</f>
        <v>175</v>
      </c>
      <c r="D7" s="56" t="s">
        <v>1003</v>
      </c>
      <c r="E7" s="56" t="s">
        <v>1001</v>
      </c>
      <c r="F7" s="118">
        <v>84</v>
      </c>
      <c r="G7" s="119">
        <f>Tariefopbouw1</f>
        <v>0</v>
      </c>
      <c r="H7" s="58"/>
      <c r="I7" s="120"/>
      <c r="J7" s="60">
        <f>IF(ISBLANK(H7),0,F7 / ROUND(H7,4) * ROUND(G7,2))</f>
        <v>0</v>
      </c>
      <c r="K7" s="60">
        <f>C7*J7</f>
        <v>0</v>
      </c>
      <c r="L7" s="60">
        <f>K7/12</f>
        <v>0</v>
      </c>
    </row>
    <row r="8" spans="1:12" x14ac:dyDescent="0.2">
      <c r="A8" s="61" t="s">
        <v>1004</v>
      </c>
      <c r="B8" s="61" t="s">
        <v>11</v>
      </c>
      <c r="C8" s="62">
        <f>IF(ISBLANK(B8),0,IF(ISERROR(VALUE(B8)),VLOOKUP(B8,dagsoorttabel1,2,FALSE)*dagenperjaar1,VALUE(B8)))</f>
        <v>175</v>
      </c>
      <c r="D8" s="61" t="s">
        <v>1005</v>
      </c>
      <c r="E8" s="61" t="s">
        <v>1001</v>
      </c>
      <c r="F8" s="121">
        <v>238</v>
      </c>
      <c r="G8" s="122">
        <f>Tariefopbouw1</f>
        <v>0</v>
      </c>
      <c r="H8" s="63"/>
      <c r="I8" s="123"/>
      <c r="J8" s="65">
        <f>IF(ISBLANK(H8),0,F8 / ROUND(H8,4) * ROUND(G8,2))</f>
        <v>0</v>
      </c>
      <c r="K8" s="65">
        <f>C8*J8</f>
        <v>0</v>
      </c>
      <c r="L8" s="65">
        <f>K8/12</f>
        <v>0</v>
      </c>
    </row>
    <row r="9" spans="1:12" x14ac:dyDescent="0.2">
      <c r="A9" s="73" t="s">
        <v>276</v>
      </c>
      <c r="B9" s="74"/>
      <c r="C9" s="74"/>
      <c r="D9" s="74"/>
      <c r="E9" s="74"/>
      <c r="F9" s="74"/>
      <c r="G9" s="74"/>
      <c r="H9" s="74"/>
      <c r="I9" s="74"/>
      <c r="J9" s="74"/>
      <c r="K9" s="76">
        <f>SUM(K6:K8)</f>
        <v>0</v>
      </c>
      <c r="L9" s="124">
        <f>K9/12</f>
        <v>0</v>
      </c>
    </row>
    <row r="10" spans="1:12" x14ac:dyDescent="0.2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7"/>
    </row>
    <row r="11" spans="1:12" x14ac:dyDescent="0.2">
      <c r="A11" s="48" t="s">
        <v>204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50"/>
    </row>
    <row r="12" spans="1:12" x14ac:dyDescent="0.2">
      <c r="A12" s="51" t="s">
        <v>1006</v>
      </c>
      <c r="B12" s="51" t="s">
        <v>18</v>
      </c>
      <c r="C12" s="52">
        <f>IF(ISBLANK(B12),0,IF(ISERROR(VALUE(B12)),VLOOKUP(B12,dagsoorttabel1,2,FALSE)*dagenperjaar1,VALUE(B12)))</f>
        <v>5</v>
      </c>
      <c r="D12" s="51" t="s">
        <v>1007</v>
      </c>
      <c r="E12" s="51" t="s">
        <v>1001</v>
      </c>
      <c r="F12" s="115">
        <v>15</v>
      </c>
      <c r="G12" s="116">
        <f>Tariefopbouw5</f>
        <v>0</v>
      </c>
      <c r="H12" s="53"/>
      <c r="I12" s="117"/>
      <c r="J12" s="55">
        <f>IF(ISBLANK(H12),0,F12 / ROUND(H12,4) * ROUND(G12,2))</f>
        <v>0</v>
      </c>
      <c r="K12" s="55">
        <f>C12*J12</f>
        <v>0</v>
      </c>
      <c r="L12" s="55">
        <f>K12/12</f>
        <v>0</v>
      </c>
    </row>
    <row r="13" spans="1:12" x14ac:dyDescent="0.2">
      <c r="A13" s="56" t="s">
        <v>1008</v>
      </c>
      <c r="B13" s="56" t="s">
        <v>18</v>
      </c>
      <c r="C13" s="57">
        <f>IF(ISBLANK(B13),0,IF(ISERROR(VALUE(B13)),VLOOKUP(B13,dagsoorttabel1,2,FALSE)*dagenperjaar1,VALUE(B13)))</f>
        <v>5</v>
      </c>
      <c r="D13" s="56" t="s">
        <v>1009</v>
      </c>
      <c r="E13" s="56" t="s">
        <v>1001</v>
      </c>
      <c r="F13" s="118">
        <v>84</v>
      </c>
      <c r="G13" s="119">
        <f>Tariefopbouw5</f>
        <v>0</v>
      </c>
      <c r="H13" s="58"/>
      <c r="I13" s="120"/>
      <c r="J13" s="60">
        <f>IF(ISBLANK(H13),0,F13 / ROUND(H13,4) * ROUND(G13,2))</f>
        <v>0</v>
      </c>
      <c r="K13" s="60">
        <f>C13*J13</f>
        <v>0</v>
      </c>
      <c r="L13" s="60">
        <f>K13/12</f>
        <v>0</v>
      </c>
    </row>
    <row r="14" spans="1:12" x14ac:dyDescent="0.2">
      <c r="A14" s="61" t="s">
        <v>1010</v>
      </c>
      <c r="B14" s="61" t="s">
        <v>18</v>
      </c>
      <c r="C14" s="62">
        <f>IF(ISBLANK(B14),0,IF(ISERROR(VALUE(B14)),VLOOKUP(B14,dagsoorttabel1,2,FALSE)*dagenperjaar1,VALUE(B14)))</f>
        <v>5</v>
      </c>
      <c r="D14" s="61" t="s">
        <v>1011</v>
      </c>
      <c r="E14" s="61" t="s">
        <v>1001</v>
      </c>
      <c r="F14" s="121">
        <v>238</v>
      </c>
      <c r="G14" s="122">
        <f>Tariefopbouw5</f>
        <v>0</v>
      </c>
      <c r="H14" s="63"/>
      <c r="I14" s="123"/>
      <c r="J14" s="65">
        <f>IF(ISBLANK(H14),0,F14 / ROUND(H14,4) * ROUND(G14,2))</f>
        <v>0</v>
      </c>
      <c r="K14" s="65">
        <f>C14*J14</f>
        <v>0</v>
      </c>
      <c r="L14" s="65">
        <f>K14/12</f>
        <v>0</v>
      </c>
    </row>
    <row r="15" spans="1:12" x14ac:dyDescent="0.2">
      <c r="A15" s="73" t="s">
        <v>321</v>
      </c>
      <c r="B15" s="74"/>
      <c r="C15" s="74"/>
      <c r="D15" s="74"/>
      <c r="E15" s="74"/>
      <c r="F15" s="74"/>
      <c r="G15" s="74"/>
      <c r="H15" s="74"/>
      <c r="I15" s="74"/>
      <c r="J15" s="74"/>
      <c r="K15" s="76">
        <f>SUM(K12:K14)</f>
        <v>0</v>
      </c>
      <c r="L15" s="124">
        <f>K15/12</f>
        <v>0</v>
      </c>
    </row>
    <row r="17" spans="1:12" x14ac:dyDescent="0.2">
      <c r="A17" s="73" t="s">
        <v>1012</v>
      </c>
      <c r="B17" s="74"/>
      <c r="C17" s="74"/>
      <c r="D17" s="74"/>
      <c r="E17" s="74"/>
      <c r="F17" s="74"/>
      <c r="G17" s="74"/>
      <c r="H17" s="74"/>
      <c r="I17" s="74"/>
      <c r="J17" s="74"/>
      <c r="K17" s="76">
        <f>prijsjaaradditioneel1+prijsjaaradditioneel3</f>
        <v>0</v>
      </c>
      <c r="L17" s="124">
        <f>K17/12</f>
        <v>0</v>
      </c>
    </row>
  </sheetData>
  <sheetProtection algorithmName="SHA-512" hashValue="TUwbJIjhY5fJC7uf1zpI8/EH2dbvtZbusQLTPrix7XLyf1Abfl2kW5pBXwMFrPGEfLgjtUH2FkAqBtckoK/aMw==" saltValue="Nt8XmGvNyZ6628dNILrqWw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&amp;LCentraal Museum Utrecht EA2026                              &amp;ROpmaakdatum: 19-03-2026
Intexso - Plantageweg 23E - Leusden
+31 (33) 2778485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42712-D843-4906-855A-366E3D4D3E51}">
  <dimension ref="A1:M12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11.625" customWidth="1"/>
    <col min="5" max="5" width="50.625" customWidth="1"/>
    <col min="6" max="7" width="14.625" customWidth="1"/>
    <col min="8" max="10" width="11.625" customWidth="1"/>
    <col min="11" max="11" width="12.625" customWidth="1"/>
    <col min="12" max="12" width="14.625" customWidth="1"/>
    <col min="13" max="13" width="13.625" customWidth="1"/>
  </cols>
  <sheetData>
    <row r="1" spans="1:13" x14ac:dyDescent="0.2">
      <c r="A1" s="1" t="str">
        <f>CONCATENATE("Bijlage H.9: ",tabeltype," additioneel werk per locatie")</f>
        <v>Bijlage H.9: Invultabel additioneel werk per locatie</v>
      </c>
    </row>
    <row r="3" spans="1:13" ht="38.25" x14ac:dyDescent="0.2">
      <c r="A3" s="44" t="s">
        <v>992</v>
      </c>
      <c r="B3" s="44" t="s">
        <v>7</v>
      </c>
      <c r="C3" s="44" t="s">
        <v>993</v>
      </c>
      <c r="D3" s="44" t="s">
        <v>950</v>
      </c>
      <c r="E3" s="44" t="s">
        <v>92</v>
      </c>
      <c r="F3" s="44" t="s">
        <v>95</v>
      </c>
      <c r="G3" s="44" t="s">
        <v>994</v>
      </c>
      <c r="H3" s="44" t="s">
        <v>995</v>
      </c>
      <c r="I3" s="44" t="s">
        <v>996</v>
      </c>
      <c r="J3" s="44" t="s">
        <v>997</v>
      </c>
      <c r="K3" s="44" t="s">
        <v>998</v>
      </c>
      <c r="L3" s="44" t="s">
        <v>228</v>
      </c>
      <c r="M3" s="44" t="s">
        <v>975</v>
      </c>
    </row>
    <row r="5" spans="1:13" x14ac:dyDescent="0.2">
      <c r="A5" s="125" t="s">
        <v>871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126"/>
    </row>
    <row r="6" spans="1:13" x14ac:dyDescent="0.2">
      <c r="A6" s="51" t="s">
        <v>999</v>
      </c>
      <c r="B6" s="51" t="s">
        <v>11</v>
      </c>
      <c r="C6" s="52">
        <f>IF(ISBLANK(B6),0,IF(ISERROR(VALUE(B6)),VLOOKUP(B6,dagsoorttabel1,2,FALSE)*dagenperjaar1,VALUE(B6)))</f>
        <v>175</v>
      </c>
      <c r="D6" s="51" t="s">
        <v>962</v>
      </c>
      <c r="E6" s="51" t="s">
        <v>1000</v>
      </c>
      <c r="F6" s="51" t="s">
        <v>1001</v>
      </c>
      <c r="G6" s="115">
        <v>15</v>
      </c>
      <c r="H6" s="116">
        <f>'Additioneel werk'!G6</f>
        <v>0</v>
      </c>
      <c r="I6" s="127">
        <f>'Additioneel werk'!H6</f>
        <v>0</v>
      </c>
      <c r="J6" s="117"/>
      <c r="K6" s="55" t="e">
        <f>IF(ISBLANK(I6),0,G6 / ROUND(I6,4) * ROUND(H6,2))</f>
        <v>#DIV/0!</v>
      </c>
      <c r="L6" s="55" t="e">
        <f>C6*K6</f>
        <v>#DIV/0!</v>
      </c>
      <c r="M6" s="55" t="e">
        <f>L6/12</f>
        <v>#DIV/0!</v>
      </c>
    </row>
    <row r="7" spans="1:13" x14ac:dyDescent="0.2">
      <c r="A7" s="56" t="s">
        <v>1002</v>
      </c>
      <c r="B7" s="56" t="s">
        <v>11</v>
      </c>
      <c r="C7" s="57">
        <f>IF(ISBLANK(B7),0,IF(ISERROR(VALUE(B7)),VLOOKUP(B7,dagsoorttabel1,2,FALSE)*dagenperjaar1,VALUE(B7)))</f>
        <v>175</v>
      </c>
      <c r="D7" s="56" t="s">
        <v>962</v>
      </c>
      <c r="E7" s="56" t="s">
        <v>1003</v>
      </c>
      <c r="F7" s="56" t="s">
        <v>1001</v>
      </c>
      <c r="G7" s="118">
        <v>84</v>
      </c>
      <c r="H7" s="119">
        <f>'Additioneel werk'!G7</f>
        <v>0</v>
      </c>
      <c r="I7" s="128">
        <f>'Additioneel werk'!H7</f>
        <v>0</v>
      </c>
      <c r="J7" s="120"/>
      <c r="K7" s="60" t="e">
        <f>IF(ISBLANK(I7),0,G7 / ROUND(I7,4) * ROUND(H7,2))</f>
        <v>#DIV/0!</v>
      </c>
      <c r="L7" s="60" t="e">
        <f>C7*K7</f>
        <v>#DIV/0!</v>
      </c>
      <c r="M7" s="60" t="e">
        <f>L7/12</f>
        <v>#DIV/0!</v>
      </c>
    </row>
    <row r="8" spans="1:13" x14ac:dyDescent="0.2">
      <c r="A8" s="56" t="s">
        <v>1004</v>
      </c>
      <c r="B8" s="56" t="s">
        <v>11</v>
      </c>
      <c r="C8" s="57">
        <f>IF(ISBLANK(B8),0,IF(ISERROR(VALUE(B8)),VLOOKUP(B8,dagsoorttabel1,2,FALSE)*dagenperjaar1,VALUE(B8)))</f>
        <v>175</v>
      </c>
      <c r="D8" s="56" t="s">
        <v>962</v>
      </c>
      <c r="E8" s="56" t="s">
        <v>1005</v>
      </c>
      <c r="F8" s="56" t="s">
        <v>1001</v>
      </c>
      <c r="G8" s="118">
        <v>238</v>
      </c>
      <c r="H8" s="119">
        <f>'Additioneel werk'!G8</f>
        <v>0</v>
      </c>
      <c r="I8" s="128">
        <f>'Additioneel werk'!H8</f>
        <v>0</v>
      </c>
      <c r="J8" s="120"/>
      <c r="K8" s="60" t="e">
        <f>IF(ISBLANK(I8),0,G8 / ROUND(I8,4) * ROUND(H8,2))</f>
        <v>#DIV/0!</v>
      </c>
      <c r="L8" s="60" t="e">
        <f>C8*K8</f>
        <v>#DIV/0!</v>
      </c>
      <c r="M8" s="60" t="e">
        <f>L8/12</f>
        <v>#DIV/0!</v>
      </c>
    </row>
    <row r="9" spans="1:13" x14ac:dyDescent="0.2">
      <c r="A9" s="56" t="s">
        <v>1006</v>
      </c>
      <c r="B9" s="56" t="s">
        <v>18</v>
      </c>
      <c r="C9" s="57">
        <f>IF(ISBLANK(B9),0,IF(ISERROR(VALUE(B9)),VLOOKUP(B9,dagsoorttabel1,2,FALSE)*dagenperjaar1,VALUE(B9)))</f>
        <v>5</v>
      </c>
      <c r="D9" s="56" t="s">
        <v>964</v>
      </c>
      <c r="E9" s="56" t="s">
        <v>1007</v>
      </c>
      <c r="F9" s="56" t="s">
        <v>1001</v>
      </c>
      <c r="G9" s="118">
        <v>15</v>
      </c>
      <c r="H9" s="119">
        <f>'Additioneel werk'!G12</f>
        <v>0</v>
      </c>
      <c r="I9" s="128">
        <f>'Additioneel werk'!H12</f>
        <v>0</v>
      </c>
      <c r="J9" s="120"/>
      <c r="K9" s="60" t="e">
        <f>IF(ISBLANK(I9),0,G9 / ROUND(I9,4) * ROUND(H9,2))</f>
        <v>#DIV/0!</v>
      </c>
      <c r="L9" s="60" t="e">
        <f>C9*K9</f>
        <v>#DIV/0!</v>
      </c>
      <c r="M9" s="60" t="e">
        <f>L9/12</f>
        <v>#DIV/0!</v>
      </c>
    </row>
    <row r="10" spans="1:13" x14ac:dyDescent="0.2">
      <c r="A10" s="56" t="s">
        <v>1008</v>
      </c>
      <c r="B10" s="56" t="s">
        <v>18</v>
      </c>
      <c r="C10" s="57">
        <f>IF(ISBLANK(B10),0,IF(ISERROR(VALUE(B10)),VLOOKUP(B10,dagsoorttabel1,2,FALSE)*dagenperjaar1,VALUE(B10)))</f>
        <v>5</v>
      </c>
      <c r="D10" s="56" t="s">
        <v>964</v>
      </c>
      <c r="E10" s="56" t="s">
        <v>1009</v>
      </c>
      <c r="F10" s="56" t="s">
        <v>1001</v>
      </c>
      <c r="G10" s="118">
        <v>84</v>
      </c>
      <c r="H10" s="119">
        <f>'Additioneel werk'!G13</f>
        <v>0</v>
      </c>
      <c r="I10" s="128">
        <f>'Additioneel werk'!H13</f>
        <v>0</v>
      </c>
      <c r="J10" s="120"/>
      <c r="K10" s="60" t="e">
        <f>IF(ISBLANK(I10),0,G10 / ROUND(I10,4) * ROUND(H10,2))</f>
        <v>#DIV/0!</v>
      </c>
      <c r="L10" s="60" t="e">
        <f>C10*K10</f>
        <v>#DIV/0!</v>
      </c>
      <c r="M10" s="60" t="e">
        <f>L10/12</f>
        <v>#DIV/0!</v>
      </c>
    </row>
    <row r="11" spans="1:13" x14ac:dyDescent="0.2">
      <c r="A11" s="61" t="s">
        <v>1010</v>
      </c>
      <c r="B11" s="61" t="s">
        <v>18</v>
      </c>
      <c r="C11" s="62">
        <f>IF(ISBLANK(B11),0,IF(ISERROR(VALUE(B11)),VLOOKUP(B11,dagsoorttabel1,2,FALSE)*dagenperjaar1,VALUE(B11)))</f>
        <v>5</v>
      </c>
      <c r="D11" s="61" t="s">
        <v>964</v>
      </c>
      <c r="E11" s="61" t="s">
        <v>1011</v>
      </c>
      <c r="F11" s="61" t="s">
        <v>1001</v>
      </c>
      <c r="G11" s="121">
        <v>238</v>
      </c>
      <c r="H11" s="122">
        <f>'Additioneel werk'!G14</f>
        <v>0</v>
      </c>
      <c r="I11" s="129">
        <f>'Additioneel werk'!H14</f>
        <v>0</v>
      </c>
      <c r="J11" s="123"/>
      <c r="K11" s="65" t="e">
        <f>IF(ISBLANK(I11),0,G11 / ROUND(I11,4) * ROUND(H11,2))</f>
        <v>#DIV/0!</v>
      </c>
      <c r="L11" s="65" t="e">
        <f>C11*K11</f>
        <v>#DIV/0!</v>
      </c>
      <c r="M11" s="65" t="e">
        <f>L11/12</f>
        <v>#DIV/0!</v>
      </c>
    </row>
    <row r="12" spans="1:13" x14ac:dyDescent="0.2">
      <c r="A12" s="130" t="s">
        <v>1013</v>
      </c>
      <c r="B12" s="74"/>
      <c r="C12" s="74"/>
      <c r="D12" s="74"/>
      <c r="E12" s="74"/>
      <c r="F12" s="74"/>
      <c r="G12" s="74"/>
      <c r="H12" s="74"/>
      <c r="I12" s="74"/>
      <c r="J12" s="74"/>
      <c r="K12" s="76" t="e">
        <f>SUM(K6:K11)</f>
        <v>#DIV/0!</v>
      </c>
      <c r="L12" s="76" t="e">
        <f>SUM(L6:L11)</f>
        <v>#DIV/0!</v>
      </c>
      <c r="M12" s="124" t="e">
        <f>L12/12</f>
        <v>#DIV/0!</v>
      </c>
    </row>
  </sheetData>
  <sheetProtection algorithmName="SHA-512" hashValue="4d9mKTk91lgOjc+5mMArLi0LBeMbb2YEp37/q210h+NbC/V8t+OXeJWFYRVCOUVzhh5oLCHCczsFgRNPSfTaLQ==" saltValue="8KwRvzSmeYXjYx1KtVXg3Q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&amp;LCentraal Museum Utrecht EA2026                              &amp;ROpmaakdatum: 19-03-2026
Intexso - Plantageweg 23E - Leusden
+31 (33) 2778485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5EA5-B92F-404B-B680-563E0B496E61}">
  <dimension ref="A1:E85"/>
  <sheetViews>
    <sheetView workbookViewId="0"/>
  </sheetViews>
  <sheetFormatPr defaultRowHeight="12.75" x14ac:dyDescent="0.2"/>
  <cols>
    <col min="1" max="1" width="7.625" customWidth="1"/>
    <col min="2" max="2" width="40.625" customWidth="1"/>
    <col min="3" max="3" width="18.625" customWidth="1"/>
    <col min="4" max="4" width="20.625" customWidth="1"/>
    <col min="5" max="5" width="15.625" customWidth="1"/>
  </cols>
  <sheetData>
    <row r="1" spans="1:5" x14ac:dyDescent="0.2">
      <c r="A1" s="1" t="str">
        <f>CONCATENATE("Bijlage H.10: ",tabeltype," afroep incidenteel")</f>
        <v>Bijlage H.10: Invultabel afroep incidenteel</v>
      </c>
    </row>
    <row r="3" spans="1:5" ht="38.25" x14ac:dyDescent="0.2">
      <c r="A3" s="44" t="s">
        <v>992</v>
      </c>
      <c r="B3" s="44" t="s">
        <v>92</v>
      </c>
      <c r="C3" s="44" t="s">
        <v>95</v>
      </c>
      <c r="D3" s="44" t="s">
        <v>1014</v>
      </c>
      <c r="E3" s="44" t="s">
        <v>997</v>
      </c>
    </row>
    <row r="4" spans="1:5" x14ac:dyDescent="0.2">
      <c r="A4" s="45"/>
      <c r="B4" s="46"/>
      <c r="C4" s="46"/>
      <c r="D4" s="46"/>
      <c r="E4" s="47"/>
    </row>
    <row r="5" spans="1:5" x14ac:dyDescent="0.2">
      <c r="A5" s="48" t="s">
        <v>97</v>
      </c>
      <c r="B5" s="49"/>
      <c r="C5" s="49"/>
      <c r="D5" s="49"/>
      <c r="E5" s="50"/>
    </row>
    <row r="6" spans="1:5" x14ac:dyDescent="0.2">
      <c r="A6" s="51" t="s">
        <v>1015</v>
      </c>
      <c r="B6" s="51" t="s">
        <v>1016</v>
      </c>
      <c r="C6" s="51" t="s">
        <v>1017</v>
      </c>
      <c r="D6" s="51" t="s">
        <v>1018</v>
      </c>
      <c r="E6" s="131"/>
    </row>
    <row r="7" spans="1:5" x14ac:dyDescent="0.2">
      <c r="A7" s="56" t="s">
        <v>1019</v>
      </c>
      <c r="B7" s="56" t="s">
        <v>1016</v>
      </c>
      <c r="C7" s="56" t="s">
        <v>1017</v>
      </c>
      <c r="D7" s="56" t="s">
        <v>1020</v>
      </c>
      <c r="E7" s="132"/>
    </row>
    <row r="8" spans="1:5" x14ac:dyDescent="0.2">
      <c r="A8" s="56" t="s">
        <v>1021</v>
      </c>
      <c r="B8" s="56" t="s">
        <v>1016</v>
      </c>
      <c r="C8" s="56" t="s">
        <v>1017</v>
      </c>
      <c r="D8" s="56" t="s">
        <v>1022</v>
      </c>
      <c r="E8" s="132"/>
    </row>
    <row r="9" spans="1:5" x14ac:dyDescent="0.2">
      <c r="A9" s="56" t="s">
        <v>1023</v>
      </c>
      <c r="B9" s="56" t="s">
        <v>1016</v>
      </c>
      <c r="C9" s="56" t="s">
        <v>1017</v>
      </c>
      <c r="D9" s="56" t="s">
        <v>1024</v>
      </c>
      <c r="E9" s="132"/>
    </row>
    <row r="10" spans="1:5" x14ac:dyDescent="0.2">
      <c r="A10" s="56" t="s">
        <v>1025</v>
      </c>
      <c r="B10" s="56" t="s">
        <v>1026</v>
      </c>
      <c r="C10" s="56" t="s">
        <v>1017</v>
      </c>
      <c r="D10" s="56" t="s">
        <v>1018</v>
      </c>
      <c r="E10" s="132"/>
    </row>
    <row r="11" spans="1:5" x14ac:dyDescent="0.2">
      <c r="A11" s="56" t="s">
        <v>1027</v>
      </c>
      <c r="B11" s="56" t="s">
        <v>1026</v>
      </c>
      <c r="C11" s="56" t="s">
        <v>1017</v>
      </c>
      <c r="D11" s="56" t="s">
        <v>1020</v>
      </c>
      <c r="E11" s="132"/>
    </row>
    <row r="12" spans="1:5" x14ac:dyDescent="0.2">
      <c r="A12" s="56" t="s">
        <v>1028</v>
      </c>
      <c r="B12" s="56" t="s">
        <v>1026</v>
      </c>
      <c r="C12" s="56" t="s">
        <v>1017</v>
      </c>
      <c r="D12" s="56" t="s">
        <v>1022</v>
      </c>
      <c r="E12" s="132"/>
    </row>
    <row r="13" spans="1:5" x14ac:dyDescent="0.2">
      <c r="A13" s="56" t="s">
        <v>1029</v>
      </c>
      <c r="B13" s="56" t="s">
        <v>1026</v>
      </c>
      <c r="C13" s="56" t="s">
        <v>1017</v>
      </c>
      <c r="D13" s="56" t="s">
        <v>1024</v>
      </c>
      <c r="E13" s="132"/>
    </row>
    <row r="14" spans="1:5" x14ac:dyDescent="0.2">
      <c r="A14" s="56" t="s">
        <v>1030</v>
      </c>
      <c r="B14" s="56" t="s">
        <v>1031</v>
      </c>
      <c r="C14" s="56" t="s">
        <v>1032</v>
      </c>
      <c r="D14" s="56" t="s">
        <v>1033</v>
      </c>
      <c r="E14" s="132"/>
    </row>
    <row r="15" spans="1:5" x14ac:dyDescent="0.2">
      <c r="A15" s="56" t="s">
        <v>1034</v>
      </c>
      <c r="B15" s="56" t="s">
        <v>1031</v>
      </c>
      <c r="C15" s="56" t="s">
        <v>1032</v>
      </c>
      <c r="D15" s="56" t="s">
        <v>1035</v>
      </c>
      <c r="E15" s="132"/>
    </row>
    <row r="16" spans="1:5" x14ac:dyDescent="0.2">
      <c r="A16" s="56" t="s">
        <v>1036</v>
      </c>
      <c r="B16" s="56" t="s">
        <v>1031</v>
      </c>
      <c r="C16" s="56" t="s">
        <v>1032</v>
      </c>
      <c r="D16" s="56" t="s">
        <v>1037</v>
      </c>
      <c r="E16" s="132"/>
    </row>
    <row r="17" spans="1:5" x14ac:dyDescent="0.2">
      <c r="A17" s="56" t="s">
        <v>1038</v>
      </c>
      <c r="B17" s="56" t="s">
        <v>1031</v>
      </c>
      <c r="C17" s="56" t="s">
        <v>1032</v>
      </c>
      <c r="D17" s="56" t="s">
        <v>1039</v>
      </c>
      <c r="E17" s="132"/>
    </row>
    <row r="18" spans="1:5" x14ac:dyDescent="0.2">
      <c r="A18" s="56" t="s">
        <v>1040</v>
      </c>
      <c r="B18" s="56" t="s">
        <v>1041</v>
      </c>
      <c r="C18" s="56" t="s">
        <v>1032</v>
      </c>
      <c r="D18" s="56" t="s">
        <v>1033</v>
      </c>
      <c r="E18" s="132"/>
    </row>
    <row r="19" spans="1:5" x14ac:dyDescent="0.2">
      <c r="A19" s="56" t="s">
        <v>1042</v>
      </c>
      <c r="B19" s="56" t="s">
        <v>1041</v>
      </c>
      <c r="C19" s="56" t="s">
        <v>1032</v>
      </c>
      <c r="D19" s="56" t="s">
        <v>1035</v>
      </c>
      <c r="E19" s="132"/>
    </row>
    <row r="20" spans="1:5" x14ac:dyDescent="0.2">
      <c r="A20" s="56" t="s">
        <v>1043</v>
      </c>
      <c r="B20" s="56" t="s">
        <v>1041</v>
      </c>
      <c r="C20" s="56" t="s">
        <v>1032</v>
      </c>
      <c r="D20" s="56" t="s">
        <v>1037</v>
      </c>
      <c r="E20" s="132"/>
    </row>
    <row r="21" spans="1:5" x14ac:dyDescent="0.2">
      <c r="A21" s="56" t="s">
        <v>1044</v>
      </c>
      <c r="B21" s="56" t="s">
        <v>1041</v>
      </c>
      <c r="C21" s="56" t="s">
        <v>1032</v>
      </c>
      <c r="D21" s="56" t="s">
        <v>1039</v>
      </c>
      <c r="E21" s="132"/>
    </row>
    <row r="22" spans="1:5" x14ac:dyDescent="0.2">
      <c r="A22" s="56" t="s">
        <v>1045</v>
      </c>
      <c r="B22" s="56" t="s">
        <v>1046</v>
      </c>
      <c r="C22" s="56" t="s">
        <v>1032</v>
      </c>
      <c r="D22" s="56" t="s">
        <v>36</v>
      </c>
      <c r="E22" s="132"/>
    </row>
    <row r="23" spans="1:5" x14ac:dyDescent="0.2">
      <c r="A23" s="56" t="s">
        <v>1047</v>
      </c>
      <c r="B23" s="56" t="s">
        <v>1048</v>
      </c>
      <c r="C23" s="56" t="s">
        <v>1049</v>
      </c>
      <c r="D23" s="56" t="s">
        <v>36</v>
      </c>
      <c r="E23" s="132"/>
    </row>
    <row r="24" spans="1:5" x14ac:dyDescent="0.2">
      <c r="A24" s="56" t="s">
        <v>1050</v>
      </c>
      <c r="B24" s="56" t="s">
        <v>1051</v>
      </c>
      <c r="C24" s="56" t="s">
        <v>1032</v>
      </c>
      <c r="D24" s="56" t="s">
        <v>1052</v>
      </c>
      <c r="E24" s="132"/>
    </row>
    <row r="25" spans="1:5" x14ac:dyDescent="0.2">
      <c r="A25" s="56" t="s">
        <v>1053</v>
      </c>
      <c r="B25" s="56" t="s">
        <v>1051</v>
      </c>
      <c r="C25" s="56" t="s">
        <v>1032</v>
      </c>
      <c r="D25" s="56" t="s">
        <v>1054</v>
      </c>
      <c r="E25" s="132"/>
    </row>
    <row r="26" spans="1:5" x14ac:dyDescent="0.2">
      <c r="A26" s="56" t="s">
        <v>1055</v>
      </c>
      <c r="B26" s="56" t="s">
        <v>1051</v>
      </c>
      <c r="C26" s="56" t="s">
        <v>1032</v>
      </c>
      <c r="D26" s="56" t="s">
        <v>1056</v>
      </c>
      <c r="E26" s="132"/>
    </row>
    <row r="27" spans="1:5" x14ac:dyDescent="0.2">
      <c r="A27" s="56" t="s">
        <v>1057</v>
      </c>
      <c r="B27" s="56" t="s">
        <v>1051</v>
      </c>
      <c r="C27" s="56" t="s">
        <v>1032</v>
      </c>
      <c r="D27" s="56" t="s">
        <v>1058</v>
      </c>
      <c r="E27" s="132"/>
    </row>
    <row r="28" spans="1:5" x14ac:dyDescent="0.2">
      <c r="A28" s="56" t="s">
        <v>1059</v>
      </c>
      <c r="B28" s="56" t="s">
        <v>1060</v>
      </c>
      <c r="C28" s="56" t="s">
        <v>1032</v>
      </c>
      <c r="D28" s="56" t="s">
        <v>1052</v>
      </c>
      <c r="E28" s="132"/>
    </row>
    <row r="29" spans="1:5" x14ac:dyDescent="0.2">
      <c r="A29" s="56" t="s">
        <v>1061</v>
      </c>
      <c r="B29" s="56" t="s">
        <v>1060</v>
      </c>
      <c r="C29" s="56" t="s">
        <v>1032</v>
      </c>
      <c r="D29" s="56" t="s">
        <v>1054</v>
      </c>
      <c r="E29" s="132"/>
    </row>
    <row r="30" spans="1:5" x14ac:dyDescent="0.2">
      <c r="A30" s="56" t="s">
        <v>1062</v>
      </c>
      <c r="B30" s="56" t="s">
        <v>1060</v>
      </c>
      <c r="C30" s="56" t="s">
        <v>1032</v>
      </c>
      <c r="D30" s="56" t="s">
        <v>1056</v>
      </c>
      <c r="E30" s="132"/>
    </row>
    <row r="31" spans="1:5" x14ac:dyDescent="0.2">
      <c r="A31" s="56" t="s">
        <v>1063</v>
      </c>
      <c r="B31" s="56" t="s">
        <v>1060</v>
      </c>
      <c r="C31" s="56" t="s">
        <v>1032</v>
      </c>
      <c r="D31" s="56" t="s">
        <v>1058</v>
      </c>
      <c r="E31" s="132"/>
    </row>
    <row r="32" spans="1:5" x14ac:dyDescent="0.2">
      <c r="A32" s="56" t="s">
        <v>1064</v>
      </c>
      <c r="B32" s="56" t="s">
        <v>1065</v>
      </c>
      <c r="C32" s="56" t="s">
        <v>1032</v>
      </c>
      <c r="D32" s="56" t="s">
        <v>1052</v>
      </c>
      <c r="E32" s="132"/>
    </row>
    <row r="33" spans="1:5" x14ac:dyDescent="0.2">
      <c r="A33" s="56" t="s">
        <v>1066</v>
      </c>
      <c r="B33" s="56" t="s">
        <v>1065</v>
      </c>
      <c r="C33" s="56" t="s">
        <v>1032</v>
      </c>
      <c r="D33" s="56" t="s">
        <v>1054</v>
      </c>
      <c r="E33" s="132"/>
    </row>
    <row r="34" spans="1:5" x14ac:dyDescent="0.2">
      <c r="A34" s="56" t="s">
        <v>1067</v>
      </c>
      <c r="B34" s="56" t="s">
        <v>1065</v>
      </c>
      <c r="C34" s="56" t="s">
        <v>1032</v>
      </c>
      <c r="D34" s="56" t="s">
        <v>1056</v>
      </c>
      <c r="E34" s="132"/>
    </row>
    <row r="35" spans="1:5" x14ac:dyDescent="0.2">
      <c r="A35" s="56" t="s">
        <v>1068</v>
      </c>
      <c r="B35" s="56" t="s">
        <v>1065</v>
      </c>
      <c r="C35" s="56" t="s">
        <v>1032</v>
      </c>
      <c r="D35" s="56" t="s">
        <v>1058</v>
      </c>
      <c r="E35" s="132"/>
    </row>
    <row r="36" spans="1:5" x14ac:dyDescent="0.2">
      <c r="A36" s="56" t="s">
        <v>1069</v>
      </c>
      <c r="B36" s="56" t="s">
        <v>1070</v>
      </c>
      <c r="C36" s="56" t="s">
        <v>1032</v>
      </c>
      <c r="D36" s="56" t="s">
        <v>1052</v>
      </c>
      <c r="E36" s="132"/>
    </row>
    <row r="37" spans="1:5" x14ac:dyDescent="0.2">
      <c r="A37" s="56" t="s">
        <v>1071</v>
      </c>
      <c r="B37" s="56" t="s">
        <v>1070</v>
      </c>
      <c r="C37" s="56" t="s">
        <v>1032</v>
      </c>
      <c r="D37" s="56" t="s">
        <v>1054</v>
      </c>
      <c r="E37" s="132"/>
    </row>
    <row r="38" spans="1:5" x14ac:dyDescent="0.2">
      <c r="A38" s="56" t="s">
        <v>1072</v>
      </c>
      <c r="B38" s="56" t="s">
        <v>1070</v>
      </c>
      <c r="C38" s="56" t="s">
        <v>1032</v>
      </c>
      <c r="D38" s="56" t="s">
        <v>1056</v>
      </c>
      <c r="E38" s="132"/>
    </row>
    <row r="39" spans="1:5" x14ac:dyDescent="0.2">
      <c r="A39" s="56" t="s">
        <v>1073</v>
      </c>
      <c r="B39" s="56" t="s">
        <v>1070</v>
      </c>
      <c r="C39" s="56" t="s">
        <v>1032</v>
      </c>
      <c r="D39" s="56" t="s">
        <v>1058</v>
      </c>
      <c r="E39" s="132"/>
    </row>
    <row r="40" spans="1:5" x14ac:dyDescent="0.2">
      <c r="A40" s="56" t="s">
        <v>1074</v>
      </c>
      <c r="B40" s="56" t="s">
        <v>1075</v>
      </c>
      <c r="C40" s="56" t="s">
        <v>1032</v>
      </c>
      <c r="D40" s="56" t="s">
        <v>1052</v>
      </c>
      <c r="E40" s="132"/>
    </row>
    <row r="41" spans="1:5" x14ac:dyDescent="0.2">
      <c r="A41" s="56" t="s">
        <v>1076</v>
      </c>
      <c r="B41" s="56" t="s">
        <v>1075</v>
      </c>
      <c r="C41" s="56" t="s">
        <v>1032</v>
      </c>
      <c r="D41" s="56" t="s">
        <v>1054</v>
      </c>
      <c r="E41" s="132"/>
    </row>
    <row r="42" spans="1:5" x14ac:dyDescent="0.2">
      <c r="A42" s="56" t="s">
        <v>1077</v>
      </c>
      <c r="B42" s="56" t="s">
        <v>1075</v>
      </c>
      <c r="C42" s="56" t="s">
        <v>1032</v>
      </c>
      <c r="D42" s="56" t="s">
        <v>1056</v>
      </c>
      <c r="E42" s="132"/>
    </row>
    <row r="43" spans="1:5" x14ac:dyDescent="0.2">
      <c r="A43" s="56" t="s">
        <v>1078</v>
      </c>
      <c r="B43" s="56" t="s">
        <v>1075</v>
      </c>
      <c r="C43" s="56" t="s">
        <v>1032</v>
      </c>
      <c r="D43" s="56" t="s">
        <v>1058</v>
      </c>
      <c r="E43" s="132"/>
    </row>
    <row r="44" spans="1:5" x14ac:dyDescent="0.2">
      <c r="A44" s="56" t="s">
        <v>1079</v>
      </c>
      <c r="B44" s="56" t="s">
        <v>1080</v>
      </c>
      <c r="C44" s="56" t="s">
        <v>1032</v>
      </c>
      <c r="D44" s="56" t="s">
        <v>1052</v>
      </c>
      <c r="E44" s="132"/>
    </row>
    <row r="45" spans="1:5" x14ac:dyDescent="0.2">
      <c r="A45" s="56" t="s">
        <v>1081</v>
      </c>
      <c r="B45" s="56" t="s">
        <v>1080</v>
      </c>
      <c r="C45" s="56" t="s">
        <v>1032</v>
      </c>
      <c r="D45" s="56" t="s">
        <v>1054</v>
      </c>
      <c r="E45" s="132"/>
    </row>
    <row r="46" spans="1:5" x14ac:dyDescent="0.2">
      <c r="A46" s="56" t="s">
        <v>1082</v>
      </c>
      <c r="B46" s="56" t="s">
        <v>1080</v>
      </c>
      <c r="C46" s="56" t="s">
        <v>1032</v>
      </c>
      <c r="D46" s="56" t="s">
        <v>1056</v>
      </c>
      <c r="E46" s="132"/>
    </row>
    <row r="47" spans="1:5" x14ac:dyDescent="0.2">
      <c r="A47" s="56" t="s">
        <v>1083</v>
      </c>
      <c r="B47" s="56" t="s">
        <v>1080</v>
      </c>
      <c r="C47" s="56" t="s">
        <v>1032</v>
      </c>
      <c r="D47" s="56" t="s">
        <v>1058</v>
      </c>
      <c r="E47" s="132"/>
    </row>
    <row r="48" spans="1:5" x14ac:dyDescent="0.2">
      <c r="A48" s="56" t="s">
        <v>1084</v>
      </c>
      <c r="B48" s="56" t="s">
        <v>1085</v>
      </c>
      <c r="C48" s="56" t="s">
        <v>1032</v>
      </c>
      <c r="D48" s="56" t="s">
        <v>1052</v>
      </c>
      <c r="E48" s="132"/>
    </row>
    <row r="49" spans="1:5" x14ac:dyDescent="0.2">
      <c r="A49" s="56" t="s">
        <v>1086</v>
      </c>
      <c r="B49" s="56" t="s">
        <v>1085</v>
      </c>
      <c r="C49" s="56" t="s">
        <v>1032</v>
      </c>
      <c r="D49" s="56" t="s">
        <v>1054</v>
      </c>
      <c r="E49" s="132"/>
    </row>
    <row r="50" spans="1:5" x14ac:dyDescent="0.2">
      <c r="A50" s="56" t="s">
        <v>1087</v>
      </c>
      <c r="B50" s="56" t="s">
        <v>1085</v>
      </c>
      <c r="C50" s="56" t="s">
        <v>1032</v>
      </c>
      <c r="D50" s="56" t="s">
        <v>1056</v>
      </c>
      <c r="E50" s="132"/>
    </row>
    <row r="51" spans="1:5" x14ac:dyDescent="0.2">
      <c r="A51" s="56" t="s">
        <v>1088</v>
      </c>
      <c r="B51" s="56" t="s">
        <v>1085</v>
      </c>
      <c r="C51" s="56" t="s">
        <v>1032</v>
      </c>
      <c r="D51" s="56" t="s">
        <v>1058</v>
      </c>
      <c r="E51" s="132"/>
    </row>
    <row r="52" spans="1:5" x14ac:dyDescent="0.2">
      <c r="A52" s="56" t="s">
        <v>1089</v>
      </c>
      <c r="B52" s="56" t="s">
        <v>1090</v>
      </c>
      <c r="C52" s="56" t="s">
        <v>1032</v>
      </c>
      <c r="D52" s="56" t="s">
        <v>1052</v>
      </c>
      <c r="E52" s="132"/>
    </row>
    <row r="53" spans="1:5" x14ac:dyDescent="0.2">
      <c r="A53" s="56" t="s">
        <v>1091</v>
      </c>
      <c r="B53" s="56" t="s">
        <v>1090</v>
      </c>
      <c r="C53" s="56" t="s">
        <v>1032</v>
      </c>
      <c r="D53" s="56" t="s">
        <v>1054</v>
      </c>
      <c r="E53" s="132"/>
    </row>
    <row r="54" spans="1:5" x14ac:dyDescent="0.2">
      <c r="A54" s="56" t="s">
        <v>1092</v>
      </c>
      <c r="B54" s="56" t="s">
        <v>1090</v>
      </c>
      <c r="C54" s="56" t="s">
        <v>1032</v>
      </c>
      <c r="D54" s="56" t="s">
        <v>1056</v>
      </c>
      <c r="E54" s="132"/>
    </row>
    <row r="55" spans="1:5" x14ac:dyDescent="0.2">
      <c r="A55" s="56" t="s">
        <v>1093</v>
      </c>
      <c r="B55" s="56" t="s">
        <v>1090</v>
      </c>
      <c r="C55" s="56" t="s">
        <v>1032</v>
      </c>
      <c r="D55" s="56" t="s">
        <v>1058</v>
      </c>
      <c r="E55" s="132"/>
    </row>
    <row r="56" spans="1:5" x14ac:dyDescent="0.2">
      <c r="A56" s="56" t="s">
        <v>1094</v>
      </c>
      <c r="B56" s="56" t="s">
        <v>1095</v>
      </c>
      <c r="C56" s="56" t="s">
        <v>1032</v>
      </c>
      <c r="D56" s="56" t="s">
        <v>1052</v>
      </c>
      <c r="E56" s="132"/>
    </row>
    <row r="57" spans="1:5" x14ac:dyDescent="0.2">
      <c r="A57" s="56" t="s">
        <v>1096</v>
      </c>
      <c r="B57" s="56" t="s">
        <v>1095</v>
      </c>
      <c r="C57" s="56" t="s">
        <v>1032</v>
      </c>
      <c r="D57" s="56" t="s">
        <v>1054</v>
      </c>
      <c r="E57" s="132"/>
    </row>
    <row r="58" spans="1:5" x14ac:dyDescent="0.2">
      <c r="A58" s="56" t="s">
        <v>1097</v>
      </c>
      <c r="B58" s="56" t="s">
        <v>1095</v>
      </c>
      <c r="C58" s="56" t="s">
        <v>1032</v>
      </c>
      <c r="D58" s="56" t="s">
        <v>1058</v>
      </c>
      <c r="E58" s="132"/>
    </row>
    <row r="59" spans="1:5" x14ac:dyDescent="0.2">
      <c r="A59" s="56" t="s">
        <v>1098</v>
      </c>
      <c r="B59" s="56" t="s">
        <v>1099</v>
      </c>
      <c r="C59" s="56" t="s">
        <v>1032</v>
      </c>
      <c r="D59" s="56" t="s">
        <v>1052</v>
      </c>
      <c r="E59" s="132"/>
    </row>
    <row r="60" spans="1:5" x14ac:dyDescent="0.2">
      <c r="A60" s="56" t="s">
        <v>1100</v>
      </c>
      <c r="B60" s="56" t="s">
        <v>1099</v>
      </c>
      <c r="C60" s="56" t="s">
        <v>1032</v>
      </c>
      <c r="D60" s="56" t="s">
        <v>1054</v>
      </c>
      <c r="E60" s="132"/>
    </row>
    <row r="61" spans="1:5" x14ac:dyDescent="0.2">
      <c r="A61" s="56" t="s">
        <v>1101</v>
      </c>
      <c r="B61" s="56" t="s">
        <v>1099</v>
      </c>
      <c r="C61" s="56" t="s">
        <v>1032</v>
      </c>
      <c r="D61" s="56" t="s">
        <v>1056</v>
      </c>
      <c r="E61" s="132"/>
    </row>
    <row r="62" spans="1:5" x14ac:dyDescent="0.2">
      <c r="A62" s="56" t="s">
        <v>1102</v>
      </c>
      <c r="B62" s="56" t="s">
        <v>1099</v>
      </c>
      <c r="C62" s="56" t="s">
        <v>1032</v>
      </c>
      <c r="D62" s="56" t="s">
        <v>1058</v>
      </c>
      <c r="E62" s="132"/>
    </row>
    <row r="63" spans="1:5" x14ac:dyDescent="0.2">
      <c r="A63" s="56" t="s">
        <v>1103</v>
      </c>
      <c r="B63" s="56" t="s">
        <v>1104</v>
      </c>
      <c r="C63" s="56" t="s">
        <v>1032</v>
      </c>
      <c r="D63" s="56" t="s">
        <v>1052</v>
      </c>
      <c r="E63" s="132"/>
    </row>
    <row r="64" spans="1:5" x14ac:dyDescent="0.2">
      <c r="A64" s="56" t="s">
        <v>1105</v>
      </c>
      <c r="B64" s="56" t="s">
        <v>1104</v>
      </c>
      <c r="C64" s="56" t="s">
        <v>1032</v>
      </c>
      <c r="D64" s="56" t="s">
        <v>1054</v>
      </c>
      <c r="E64" s="132"/>
    </row>
    <row r="65" spans="1:5" x14ac:dyDescent="0.2">
      <c r="A65" s="56" t="s">
        <v>1106</v>
      </c>
      <c r="B65" s="56" t="s">
        <v>1104</v>
      </c>
      <c r="C65" s="56" t="s">
        <v>1032</v>
      </c>
      <c r="D65" s="56" t="s">
        <v>1056</v>
      </c>
      <c r="E65" s="132"/>
    </row>
    <row r="66" spans="1:5" x14ac:dyDescent="0.2">
      <c r="A66" s="56" t="s">
        <v>1107</v>
      </c>
      <c r="B66" s="56" t="s">
        <v>1104</v>
      </c>
      <c r="C66" s="56" t="s">
        <v>1032</v>
      </c>
      <c r="D66" s="56" t="s">
        <v>1058</v>
      </c>
      <c r="E66" s="132"/>
    </row>
    <row r="67" spans="1:5" x14ac:dyDescent="0.2">
      <c r="A67" s="56" t="s">
        <v>1108</v>
      </c>
      <c r="B67" s="56" t="s">
        <v>1109</v>
      </c>
      <c r="C67" s="56" t="s">
        <v>1032</v>
      </c>
      <c r="D67" s="56" t="s">
        <v>1052</v>
      </c>
      <c r="E67" s="132"/>
    </row>
    <row r="68" spans="1:5" x14ac:dyDescent="0.2">
      <c r="A68" s="56" t="s">
        <v>1110</v>
      </c>
      <c r="B68" s="56" t="s">
        <v>1109</v>
      </c>
      <c r="C68" s="56" t="s">
        <v>1032</v>
      </c>
      <c r="D68" s="56" t="s">
        <v>1054</v>
      </c>
      <c r="E68" s="132"/>
    </row>
    <row r="69" spans="1:5" x14ac:dyDescent="0.2">
      <c r="A69" s="56" t="s">
        <v>1111</v>
      </c>
      <c r="B69" s="56" t="s">
        <v>1109</v>
      </c>
      <c r="C69" s="56" t="s">
        <v>1032</v>
      </c>
      <c r="D69" s="56" t="s">
        <v>1056</v>
      </c>
      <c r="E69" s="132"/>
    </row>
    <row r="70" spans="1:5" x14ac:dyDescent="0.2">
      <c r="A70" s="56" t="s">
        <v>1112</v>
      </c>
      <c r="B70" s="56" t="s">
        <v>1109</v>
      </c>
      <c r="C70" s="56" t="s">
        <v>1032</v>
      </c>
      <c r="D70" s="56" t="s">
        <v>1058</v>
      </c>
      <c r="E70" s="132"/>
    </row>
    <row r="71" spans="1:5" x14ac:dyDescent="0.2">
      <c r="A71" s="56" t="s">
        <v>1113</v>
      </c>
      <c r="B71" s="56" t="s">
        <v>1114</v>
      </c>
      <c r="C71" s="56" t="s">
        <v>1032</v>
      </c>
      <c r="D71" s="56" t="s">
        <v>1052</v>
      </c>
      <c r="E71" s="132"/>
    </row>
    <row r="72" spans="1:5" x14ac:dyDescent="0.2">
      <c r="A72" s="56" t="s">
        <v>1115</v>
      </c>
      <c r="B72" s="56" t="s">
        <v>1114</v>
      </c>
      <c r="C72" s="56" t="s">
        <v>1032</v>
      </c>
      <c r="D72" s="56" t="s">
        <v>1054</v>
      </c>
      <c r="E72" s="132"/>
    </row>
    <row r="73" spans="1:5" x14ac:dyDescent="0.2">
      <c r="A73" s="56" t="s">
        <v>1116</v>
      </c>
      <c r="B73" s="56" t="s">
        <v>1114</v>
      </c>
      <c r="C73" s="56" t="s">
        <v>1032</v>
      </c>
      <c r="D73" s="56" t="s">
        <v>1056</v>
      </c>
      <c r="E73" s="132"/>
    </row>
    <row r="74" spans="1:5" x14ac:dyDescent="0.2">
      <c r="A74" s="56" t="s">
        <v>1117</v>
      </c>
      <c r="B74" s="56" t="s">
        <v>1114</v>
      </c>
      <c r="C74" s="56" t="s">
        <v>1032</v>
      </c>
      <c r="D74" s="56" t="s">
        <v>1058</v>
      </c>
      <c r="E74" s="132"/>
    </row>
    <row r="75" spans="1:5" x14ac:dyDescent="0.2">
      <c r="A75" s="56" t="s">
        <v>1118</v>
      </c>
      <c r="B75" s="56" t="s">
        <v>1119</v>
      </c>
      <c r="C75" s="56" t="s">
        <v>1032</v>
      </c>
      <c r="D75" s="56" t="s">
        <v>1052</v>
      </c>
      <c r="E75" s="132"/>
    </row>
    <row r="76" spans="1:5" x14ac:dyDescent="0.2">
      <c r="A76" s="56" t="s">
        <v>1120</v>
      </c>
      <c r="B76" s="56" t="s">
        <v>1119</v>
      </c>
      <c r="C76" s="56" t="s">
        <v>1032</v>
      </c>
      <c r="D76" s="56" t="s">
        <v>1054</v>
      </c>
      <c r="E76" s="132"/>
    </row>
    <row r="77" spans="1:5" x14ac:dyDescent="0.2">
      <c r="A77" s="56" t="s">
        <v>1121</v>
      </c>
      <c r="B77" s="56" t="s">
        <v>1119</v>
      </c>
      <c r="C77" s="56" t="s">
        <v>1032</v>
      </c>
      <c r="D77" s="56" t="s">
        <v>1056</v>
      </c>
      <c r="E77" s="132"/>
    </row>
    <row r="78" spans="1:5" x14ac:dyDescent="0.2">
      <c r="A78" s="56" t="s">
        <v>1122</v>
      </c>
      <c r="B78" s="56" t="s">
        <v>1119</v>
      </c>
      <c r="C78" s="56" t="s">
        <v>1032</v>
      </c>
      <c r="D78" s="56" t="s">
        <v>1058</v>
      </c>
      <c r="E78" s="132"/>
    </row>
    <row r="79" spans="1:5" x14ac:dyDescent="0.2">
      <c r="A79" s="56" t="s">
        <v>1123</v>
      </c>
      <c r="B79" s="56" t="s">
        <v>1124</v>
      </c>
      <c r="C79" s="56" t="s">
        <v>1032</v>
      </c>
      <c r="D79" s="56" t="s">
        <v>1052</v>
      </c>
      <c r="E79" s="132"/>
    </row>
    <row r="80" spans="1:5" x14ac:dyDescent="0.2">
      <c r="A80" s="56" t="s">
        <v>1125</v>
      </c>
      <c r="B80" s="56" t="s">
        <v>1124</v>
      </c>
      <c r="C80" s="56" t="s">
        <v>1032</v>
      </c>
      <c r="D80" s="56" t="s">
        <v>1054</v>
      </c>
      <c r="E80" s="132"/>
    </row>
    <row r="81" spans="1:5" x14ac:dyDescent="0.2">
      <c r="A81" s="56" t="s">
        <v>1126</v>
      </c>
      <c r="B81" s="56" t="s">
        <v>1124</v>
      </c>
      <c r="C81" s="56" t="s">
        <v>1032</v>
      </c>
      <c r="D81" s="56" t="s">
        <v>1056</v>
      </c>
      <c r="E81" s="132"/>
    </row>
    <row r="82" spans="1:5" x14ac:dyDescent="0.2">
      <c r="A82" s="61" t="s">
        <v>1127</v>
      </c>
      <c r="B82" s="61" t="s">
        <v>1124</v>
      </c>
      <c r="C82" s="61" t="s">
        <v>1032</v>
      </c>
      <c r="D82" s="61" t="s">
        <v>1058</v>
      </c>
      <c r="E82" s="133"/>
    </row>
    <row r="83" spans="1:5" x14ac:dyDescent="0.2">
      <c r="A83" s="73" t="s">
        <v>276</v>
      </c>
      <c r="B83" s="74"/>
      <c r="C83" s="74"/>
      <c r="D83" s="74"/>
      <c r="E83" s="126"/>
    </row>
    <row r="85" spans="1:5" x14ac:dyDescent="0.2">
      <c r="A85" s="73" t="s">
        <v>1128</v>
      </c>
      <c r="B85" s="74"/>
      <c r="C85" s="74"/>
      <c r="D85" s="74"/>
      <c r="E85" s="126"/>
    </row>
  </sheetData>
  <sheetProtection algorithmName="SHA-512" hashValue="0sI3wv5xdAUVhdNg0IdDQcH6Tx8jk8/C3pGwBFvviPMt9E6ZOy0lFFIGEJeWzPRjpcd91FfzXnHWWXE+91Ilfw==" saltValue="OqE7LSjZ8JSu5eut0STrDw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&amp;LCentraal Museum Utrecht EA2026                              &amp;ROpmaakdatum: 19-03-2026
Intexso - Plantageweg 23E - Leusden
+31 (33) 2778485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AFD4-B18B-4CDF-BBBB-B2D4786DD72F}">
  <dimension ref="A1:L20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H.11: ",tabeltype," regiewerk")</f>
        <v>Bijlage H.11: Invultabel regiewerk</v>
      </c>
    </row>
    <row r="3" spans="1:12" ht="38.25" x14ac:dyDescent="0.2">
      <c r="A3" s="44" t="s">
        <v>992</v>
      </c>
      <c r="B3" s="44" t="s">
        <v>7</v>
      </c>
      <c r="C3" s="44" t="s">
        <v>993</v>
      </c>
      <c r="D3" s="44" t="s">
        <v>92</v>
      </c>
      <c r="E3" s="44" t="s">
        <v>95</v>
      </c>
      <c r="F3" s="44" t="s">
        <v>994</v>
      </c>
      <c r="G3" s="44" t="s">
        <v>995</v>
      </c>
      <c r="H3" s="44" t="s">
        <v>996</v>
      </c>
      <c r="I3" s="44" t="s">
        <v>997</v>
      </c>
      <c r="J3" s="44" t="s">
        <v>998</v>
      </c>
      <c r="K3" s="44" t="s">
        <v>228</v>
      </c>
      <c r="L3" s="44" t="s">
        <v>975</v>
      </c>
    </row>
    <row r="4" spans="1:12" x14ac:dyDescent="0.2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2" x14ac:dyDescent="0.2">
      <c r="A5" s="48" t="s">
        <v>97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</row>
    <row r="6" spans="1:12" x14ac:dyDescent="0.2">
      <c r="A6" s="51" t="s">
        <v>1129</v>
      </c>
      <c r="B6" s="51" t="s">
        <v>22</v>
      </c>
      <c r="C6" s="52">
        <f>IF(ISBLANK(B6),0,IF(ISERROR(VALUE(B6)),VLOOKUP(B6,dagsoorttabel1,2,FALSE)*dagenperjaar1,VALUE(B6)))</f>
        <v>1</v>
      </c>
      <c r="D6" s="51" t="s">
        <v>1130</v>
      </c>
      <c r="E6" s="51" t="s">
        <v>1049</v>
      </c>
      <c r="F6" s="115">
        <v>25</v>
      </c>
      <c r="G6" s="116">
        <f>Tariefopbouw2</f>
        <v>0</v>
      </c>
      <c r="H6" s="134"/>
      <c r="I6" s="116">
        <f>G6</f>
        <v>0</v>
      </c>
      <c r="J6" s="55">
        <f>IF(ISBLANK(F6),0,F6)*ROUND(I6,2)</f>
        <v>0</v>
      </c>
      <c r="K6" s="55">
        <f>C6*J6</f>
        <v>0</v>
      </c>
      <c r="L6" s="55">
        <f>K6/12</f>
        <v>0</v>
      </c>
    </row>
    <row r="7" spans="1:12" x14ac:dyDescent="0.2">
      <c r="A7" s="61" t="s">
        <v>1131</v>
      </c>
      <c r="B7" s="61" t="s">
        <v>22</v>
      </c>
      <c r="C7" s="62">
        <f>IF(ISBLANK(B7),0,IF(ISERROR(VALUE(B7)),VLOOKUP(B7,dagsoorttabel1,2,FALSE)*dagenperjaar1,VALUE(B7)))</f>
        <v>1</v>
      </c>
      <c r="D7" s="61" t="s">
        <v>1132</v>
      </c>
      <c r="E7" s="61" t="s">
        <v>1049</v>
      </c>
      <c r="F7" s="121">
        <v>5</v>
      </c>
      <c r="G7" s="122">
        <f>Tariefopbouw3</f>
        <v>0</v>
      </c>
      <c r="H7" s="135"/>
      <c r="I7" s="122">
        <f>G7</f>
        <v>0</v>
      </c>
      <c r="J7" s="65">
        <f>IF(ISBLANK(F7),0,F7)*ROUND(I7,2)</f>
        <v>0</v>
      </c>
      <c r="K7" s="65">
        <f>C7*J7</f>
        <v>0</v>
      </c>
      <c r="L7" s="65">
        <f>K7/12</f>
        <v>0</v>
      </c>
    </row>
    <row r="8" spans="1:12" x14ac:dyDescent="0.2">
      <c r="A8" s="73" t="s">
        <v>276</v>
      </c>
      <c r="B8" s="74"/>
      <c r="C8" s="74"/>
      <c r="D8" s="74"/>
      <c r="E8" s="74"/>
      <c r="F8" s="74"/>
      <c r="G8" s="74"/>
      <c r="H8" s="74"/>
      <c r="I8" s="74"/>
      <c r="J8" s="74"/>
      <c r="K8" s="76">
        <f>SUM(K6:K7)</f>
        <v>0</v>
      </c>
      <c r="L8" s="124">
        <f>K8/12</f>
        <v>0</v>
      </c>
    </row>
    <row r="9" spans="1:12" x14ac:dyDescent="0.2">
      <c r="A9" s="45"/>
      <c r="B9" s="46"/>
      <c r="C9" s="46"/>
      <c r="D9" s="46"/>
      <c r="E9" s="46"/>
      <c r="F9" s="46"/>
      <c r="G9" s="46"/>
      <c r="H9" s="46"/>
      <c r="I9" s="46"/>
      <c r="J9" s="46"/>
      <c r="K9" s="46"/>
      <c r="L9" s="47"/>
    </row>
    <row r="10" spans="1:12" x14ac:dyDescent="0.2">
      <c r="A10" s="48" t="s">
        <v>183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50"/>
    </row>
    <row r="11" spans="1:12" x14ac:dyDescent="0.2">
      <c r="A11" s="51" t="s">
        <v>1133</v>
      </c>
      <c r="B11" s="51" t="s">
        <v>22</v>
      </c>
      <c r="C11" s="52">
        <f>IF(ISBLANK(B11),0,IF(ISERROR(VALUE(B11)),VLOOKUP(B11,dagsoorttabel1,2,FALSE)*dagenperjaar1,VALUE(B11)))</f>
        <v>1</v>
      </c>
      <c r="D11" s="51" t="s">
        <v>1134</v>
      </c>
      <c r="E11" s="51" t="s">
        <v>1049</v>
      </c>
      <c r="F11" s="115">
        <v>5</v>
      </c>
      <c r="G11" s="116">
        <f>Tariefopbouw2</f>
        <v>0</v>
      </c>
      <c r="H11" s="134"/>
      <c r="I11" s="116">
        <f>G11</f>
        <v>0</v>
      </c>
      <c r="J11" s="55">
        <f>IF(ISBLANK(F11),0,F11)*ROUND(I11,2)</f>
        <v>0</v>
      </c>
      <c r="K11" s="55">
        <f>C11*J11</f>
        <v>0</v>
      </c>
      <c r="L11" s="55">
        <f>K11/12</f>
        <v>0</v>
      </c>
    </row>
    <row r="12" spans="1:12" x14ac:dyDescent="0.2">
      <c r="A12" s="61" t="s">
        <v>1135</v>
      </c>
      <c r="B12" s="61" t="s">
        <v>22</v>
      </c>
      <c r="C12" s="62">
        <f>IF(ISBLANK(B12),0,IF(ISERROR(VALUE(B12)),VLOOKUP(B12,dagsoorttabel1,2,FALSE)*dagenperjaar1,VALUE(B12)))</f>
        <v>1</v>
      </c>
      <c r="D12" s="61" t="s">
        <v>1132</v>
      </c>
      <c r="E12" s="61" t="s">
        <v>1049</v>
      </c>
      <c r="F12" s="121">
        <v>2</v>
      </c>
      <c r="G12" s="122">
        <f>Tariefopbouw3</f>
        <v>0</v>
      </c>
      <c r="H12" s="135"/>
      <c r="I12" s="122">
        <f>G12</f>
        <v>0</v>
      </c>
      <c r="J12" s="65">
        <f>IF(ISBLANK(F12),0,F12)*ROUND(I12,2)</f>
        <v>0</v>
      </c>
      <c r="K12" s="65">
        <f>C12*J12</f>
        <v>0</v>
      </c>
      <c r="L12" s="65">
        <f>K12/12</f>
        <v>0</v>
      </c>
    </row>
    <row r="13" spans="1:12" x14ac:dyDescent="0.2">
      <c r="A13" s="73" t="s">
        <v>299</v>
      </c>
      <c r="B13" s="74"/>
      <c r="C13" s="74"/>
      <c r="D13" s="74"/>
      <c r="E13" s="74"/>
      <c r="F13" s="74"/>
      <c r="G13" s="74"/>
      <c r="H13" s="74"/>
      <c r="I13" s="74"/>
      <c r="J13" s="74"/>
      <c r="K13" s="76">
        <f>SUM(K11:K12)</f>
        <v>0</v>
      </c>
      <c r="L13" s="124">
        <f>K13/12</f>
        <v>0</v>
      </c>
    </row>
    <row r="14" spans="1:12" x14ac:dyDescent="0.2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7"/>
    </row>
    <row r="15" spans="1:12" x14ac:dyDescent="0.2">
      <c r="A15" s="48" t="s">
        <v>204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50"/>
    </row>
    <row r="16" spans="1:12" x14ac:dyDescent="0.2">
      <c r="A16" s="51" t="s">
        <v>1136</v>
      </c>
      <c r="B16" s="51" t="s">
        <v>22</v>
      </c>
      <c r="C16" s="52">
        <f>IF(ISBLANK(B16),0,IF(ISERROR(VALUE(B16)),VLOOKUP(B16,dagsoorttabel1,2,FALSE)*dagenperjaar1,VALUE(B16)))</f>
        <v>1</v>
      </c>
      <c r="D16" s="51" t="s">
        <v>1134</v>
      </c>
      <c r="E16" s="51" t="s">
        <v>1049</v>
      </c>
      <c r="F16" s="115">
        <v>5</v>
      </c>
      <c r="G16" s="116">
        <f>Tariefopbouw2</f>
        <v>0</v>
      </c>
      <c r="H16" s="134"/>
      <c r="I16" s="116">
        <f>G16</f>
        <v>0</v>
      </c>
      <c r="J16" s="55">
        <f>IF(ISBLANK(F16),0,F16)*ROUND(I16,2)</f>
        <v>0</v>
      </c>
      <c r="K16" s="55">
        <f>C16*J16</f>
        <v>0</v>
      </c>
      <c r="L16" s="55">
        <f>K16/12</f>
        <v>0</v>
      </c>
    </row>
    <row r="17" spans="1:12" x14ac:dyDescent="0.2">
      <c r="A17" s="61" t="s">
        <v>1137</v>
      </c>
      <c r="B17" s="61" t="s">
        <v>22</v>
      </c>
      <c r="C17" s="62">
        <f>IF(ISBLANK(B17),0,IF(ISERROR(VALUE(B17)),VLOOKUP(B17,dagsoorttabel1,2,FALSE)*dagenperjaar1,VALUE(B17)))</f>
        <v>1</v>
      </c>
      <c r="D17" s="61" t="s">
        <v>1132</v>
      </c>
      <c r="E17" s="61" t="s">
        <v>1049</v>
      </c>
      <c r="F17" s="121">
        <v>3</v>
      </c>
      <c r="G17" s="122">
        <f>Tariefopbouw3</f>
        <v>0</v>
      </c>
      <c r="H17" s="135"/>
      <c r="I17" s="122">
        <f>G17</f>
        <v>0</v>
      </c>
      <c r="J17" s="65">
        <f>IF(ISBLANK(F17),0,F17)*ROUND(I17,2)</f>
        <v>0</v>
      </c>
      <c r="K17" s="65">
        <f>C17*J17</f>
        <v>0</v>
      </c>
      <c r="L17" s="65">
        <f>K17/12</f>
        <v>0</v>
      </c>
    </row>
    <row r="18" spans="1:12" x14ac:dyDescent="0.2">
      <c r="A18" s="73" t="s">
        <v>321</v>
      </c>
      <c r="B18" s="74"/>
      <c r="C18" s="74"/>
      <c r="D18" s="74"/>
      <c r="E18" s="74"/>
      <c r="F18" s="74"/>
      <c r="G18" s="74"/>
      <c r="H18" s="74"/>
      <c r="I18" s="74"/>
      <c r="J18" s="74"/>
      <c r="K18" s="76">
        <f>SUM(K16:K17)</f>
        <v>0</v>
      </c>
      <c r="L18" s="124">
        <f>K18/12</f>
        <v>0</v>
      </c>
    </row>
    <row r="20" spans="1:12" x14ac:dyDescent="0.2">
      <c r="A20" s="73" t="s">
        <v>1138</v>
      </c>
      <c r="B20" s="74"/>
      <c r="C20" s="74"/>
      <c r="D20" s="74"/>
      <c r="E20" s="74"/>
      <c r="F20" s="74"/>
      <c r="G20" s="74"/>
      <c r="H20" s="74"/>
      <c r="I20" s="74"/>
      <c r="J20" s="74"/>
      <c r="K20" s="76">
        <f>prijsjaarregie1+prijsjaarregie2+prijsjaarregie3</f>
        <v>0</v>
      </c>
      <c r="L20" s="124">
        <f>K20/12</f>
        <v>0</v>
      </c>
    </row>
  </sheetData>
  <sheetProtection algorithmName="SHA-512" hashValue="GuJWykx0/y1QQP8lxtlTh5zhKQ88JV6zf/D6op7XPA82oTRHzmMC+l5LJ1hIRDD2fIwH/HJQagnW5dsjoC46wA==" saltValue="D+3fsPfYoStDNYSapJzGIA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&amp;LCentraal Museum Utrecht EA2026                              &amp;ROpmaakdatum: 19-03-2026
Intexso - Plantageweg 23E - Leusden
+31 (33) 2778485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6EAD4-C635-4E51-923C-A5B3648D28F2}">
  <dimension ref="A1:L17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H.12: ",tabeltype," glas")</f>
        <v>Bijlage H.12: Invultabel glas</v>
      </c>
    </row>
    <row r="3" spans="1:12" ht="38.25" x14ac:dyDescent="0.2">
      <c r="A3" s="44" t="s">
        <v>992</v>
      </c>
      <c r="B3" s="44" t="s">
        <v>7</v>
      </c>
      <c r="C3" s="44" t="s">
        <v>993</v>
      </c>
      <c r="D3" s="44" t="s">
        <v>92</v>
      </c>
      <c r="E3" s="44" t="s">
        <v>95</v>
      </c>
      <c r="F3" s="44" t="s">
        <v>994</v>
      </c>
      <c r="G3" s="44" t="s">
        <v>995</v>
      </c>
      <c r="H3" s="44" t="s">
        <v>996</v>
      </c>
      <c r="I3" s="44" t="s">
        <v>997</v>
      </c>
      <c r="J3" s="44" t="s">
        <v>998</v>
      </c>
      <c r="K3" s="44" t="s">
        <v>228</v>
      </c>
      <c r="L3" s="44" t="s">
        <v>975</v>
      </c>
    </row>
    <row r="4" spans="1:12" x14ac:dyDescent="0.2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2" x14ac:dyDescent="0.2">
      <c r="A5" s="48" t="s">
        <v>97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</row>
    <row r="6" spans="1:12" x14ac:dyDescent="0.2">
      <c r="A6" s="51" t="s">
        <v>1139</v>
      </c>
      <c r="B6" s="51" t="s">
        <v>21</v>
      </c>
      <c r="C6" s="52">
        <f>IF(ISBLANK(B6),0,IF(ISERROR(VALUE(B6)),VLOOKUP(B6,dagsoorttabel1,2,FALSE)*dagenperjaar1,VALUE(B6)))</f>
        <v>2</v>
      </c>
      <c r="D6" s="51" t="s">
        <v>1140</v>
      </c>
      <c r="E6" s="51" t="s">
        <v>1032</v>
      </c>
      <c r="F6" s="115">
        <v>671.2</v>
      </c>
      <c r="G6" s="116">
        <f>Tariefopbouw4</f>
        <v>0</v>
      </c>
      <c r="H6" s="134"/>
      <c r="I6" s="131"/>
      <c r="J6" s="55">
        <f>IF(ISBLANK(F6),0,F6)*ROUND(I6,2)</f>
        <v>0</v>
      </c>
      <c r="K6" s="55">
        <f>C6*J6</f>
        <v>0</v>
      </c>
      <c r="L6" s="55">
        <f>K6/12</f>
        <v>0</v>
      </c>
    </row>
    <row r="7" spans="1:12" x14ac:dyDescent="0.2">
      <c r="A7" s="56" t="s">
        <v>1141</v>
      </c>
      <c r="B7" s="56" t="s">
        <v>21</v>
      </c>
      <c r="C7" s="57">
        <f>IF(ISBLANK(B7),0,IF(ISERROR(VALUE(B7)),VLOOKUP(B7,dagsoorttabel1,2,FALSE)*dagenperjaar1,VALUE(B7)))</f>
        <v>2</v>
      </c>
      <c r="D7" s="56" t="s">
        <v>1142</v>
      </c>
      <c r="E7" s="56" t="s">
        <v>1032</v>
      </c>
      <c r="F7" s="118">
        <v>918.53000000000009</v>
      </c>
      <c r="G7" s="119">
        <f>Tariefopbouw4</f>
        <v>0</v>
      </c>
      <c r="H7" s="136"/>
      <c r="I7" s="132"/>
      <c r="J7" s="60">
        <f>IF(ISBLANK(F7),0,F7)*ROUND(I7,2)</f>
        <v>0</v>
      </c>
      <c r="K7" s="60">
        <f>C7*J7</f>
        <v>0</v>
      </c>
      <c r="L7" s="60">
        <f>K7/12</f>
        <v>0</v>
      </c>
    </row>
    <row r="8" spans="1:12" x14ac:dyDescent="0.2">
      <c r="A8" s="56" t="s">
        <v>1143</v>
      </c>
      <c r="B8" s="56" t="s">
        <v>21</v>
      </c>
      <c r="C8" s="57">
        <f>IF(ISBLANK(B8),0,IF(ISERROR(VALUE(B8)),VLOOKUP(B8,dagsoorttabel1,2,FALSE)*dagenperjaar1,VALUE(B8)))</f>
        <v>2</v>
      </c>
      <c r="D8" s="56" t="s">
        <v>1144</v>
      </c>
      <c r="E8" s="56" t="s">
        <v>1032</v>
      </c>
      <c r="F8" s="118">
        <v>1215.6600000000001</v>
      </c>
      <c r="G8" s="119">
        <f>Tariefopbouw4</f>
        <v>0</v>
      </c>
      <c r="H8" s="136"/>
      <c r="I8" s="132"/>
      <c r="J8" s="60">
        <f>IF(ISBLANK(F8),0,F8)*ROUND(I8,2)</f>
        <v>0</v>
      </c>
      <c r="K8" s="60">
        <f>C8*J8</f>
        <v>0</v>
      </c>
      <c r="L8" s="60">
        <f>K8/12</f>
        <v>0</v>
      </c>
    </row>
    <row r="9" spans="1:12" x14ac:dyDescent="0.2">
      <c r="A9" s="56" t="s">
        <v>1145</v>
      </c>
      <c r="B9" s="56" t="s">
        <v>21</v>
      </c>
      <c r="C9" s="57">
        <f>IF(ISBLANK(B9),0,IF(ISERROR(VALUE(B9)),VLOOKUP(B9,dagsoorttabel1,2,FALSE)*dagenperjaar1,VALUE(B9)))</f>
        <v>2</v>
      </c>
      <c r="D9" s="56" t="s">
        <v>1146</v>
      </c>
      <c r="E9" s="56" t="s">
        <v>1032</v>
      </c>
      <c r="F9" s="118">
        <v>1006.8</v>
      </c>
      <c r="G9" s="119">
        <f>Tariefopbouw4</f>
        <v>0</v>
      </c>
      <c r="H9" s="136"/>
      <c r="I9" s="132"/>
      <c r="J9" s="60">
        <f>IF(ISBLANK(F9),0,F9)*ROUND(I9,2)</f>
        <v>0</v>
      </c>
      <c r="K9" s="60">
        <f>C9*J9</f>
        <v>0</v>
      </c>
      <c r="L9" s="60">
        <f>K9/12</f>
        <v>0</v>
      </c>
    </row>
    <row r="10" spans="1:12" x14ac:dyDescent="0.2">
      <c r="A10" s="56" t="s">
        <v>1147</v>
      </c>
      <c r="B10" s="56" t="s">
        <v>21</v>
      </c>
      <c r="C10" s="57">
        <f>IF(ISBLANK(B10),0,IF(ISERROR(VALUE(B10)),VLOOKUP(B10,dagsoorttabel1,2,FALSE)*dagenperjaar1,VALUE(B10)))</f>
        <v>2</v>
      </c>
      <c r="D10" s="56" t="s">
        <v>1148</v>
      </c>
      <c r="E10" s="56" t="s">
        <v>1032</v>
      </c>
      <c r="F10" s="118">
        <v>1377.8</v>
      </c>
      <c r="G10" s="119">
        <f>Tariefopbouw4</f>
        <v>0</v>
      </c>
      <c r="H10" s="136"/>
      <c r="I10" s="132"/>
      <c r="J10" s="60">
        <f>IF(ISBLANK(F10),0,F10)*ROUND(I10,2)</f>
        <v>0</v>
      </c>
      <c r="K10" s="60">
        <f>C10*J10</f>
        <v>0</v>
      </c>
      <c r="L10" s="60">
        <f>K10/12</f>
        <v>0</v>
      </c>
    </row>
    <row r="11" spans="1:12" x14ac:dyDescent="0.2">
      <c r="A11" s="56" t="s">
        <v>1149</v>
      </c>
      <c r="B11" s="56" t="s">
        <v>21</v>
      </c>
      <c r="C11" s="57">
        <f>IF(ISBLANK(B11),0,IF(ISERROR(VALUE(B11)),VLOOKUP(B11,dagsoorttabel1,2,FALSE)*dagenperjaar1,VALUE(B11)))</f>
        <v>2</v>
      </c>
      <c r="D11" s="56" t="s">
        <v>1150</v>
      </c>
      <c r="E11" s="56" t="s">
        <v>1032</v>
      </c>
      <c r="F11" s="118">
        <v>2000</v>
      </c>
      <c r="G11" s="119">
        <f>Tariefopbouw4</f>
        <v>0</v>
      </c>
      <c r="H11" s="136"/>
      <c r="I11" s="132"/>
      <c r="J11" s="60">
        <f>IF(ISBLANK(F11),0,F11)*ROUND(I11,2)</f>
        <v>0</v>
      </c>
      <c r="K11" s="60">
        <f>C11*J11</f>
        <v>0</v>
      </c>
      <c r="L11" s="60">
        <f>K11/12</f>
        <v>0</v>
      </c>
    </row>
    <row r="12" spans="1:12" x14ac:dyDescent="0.2">
      <c r="A12" s="56" t="s">
        <v>1151</v>
      </c>
      <c r="B12" s="56" t="s">
        <v>21</v>
      </c>
      <c r="C12" s="57">
        <f>IF(ISBLANK(B12),0,IF(ISERROR(VALUE(B12)),VLOOKUP(B12,dagsoorttabel1,2,FALSE)*dagenperjaar1,VALUE(B12)))</f>
        <v>2</v>
      </c>
      <c r="D12" s="56" t="s">
        <v>1152</v>
      </c>
      <c r="E12" s="56" t="s">
        <v>1153</v>
      </c>
      <c r="F12" s="118">
        <v>1</v>
      </c>
      <c r="G12" s="119">
        <f>Tariefopbouw4</f>
        <v>0</v>
      </c>
      <c r="H12" s="136"/>
      <c r="I12" s="132"/>
      <c r="J12" s="60">
        <f>IF(ISBLANK(F12),0,F12)*ROUND(I12,2)</f>
        <v>0</v>
      </c>
      <c r="K12" s="60">
        <f>C12*J12</f>
        <v>0</v>
      </c>
      <c r="L12" s="60">
        <f>K12/12</f>
        <v>0</v>
      </c>
    </row>
    <row r="13" spans="1:12" x14ac:dyDescent="0.2">
      <c r="A13" s="56" t="s">
        <v>1154</v>
      </c>
      <c r="B13" s="56" t="s">
        <v>21</v>
      </c>
      <c r="C13" s="57">
        <f>IF(ISBLANK(B13),0,IF(ISERROR(VALUE(B13)),VLOOKUP(B13,dagsoorttabel1,2,FALSE)*dagenperjaar1,VALUE(B13)))</f>
        <v>2</v>
      </c>
      <c r="D13" s="56" t="s">
        <v>1155</v>
      </c>
      <c r="E13" s="56" t="s">
        <v>1153</v>
      </c>
      <c r="F13" s="118">
        <v>1</v>
      </c>
      <c r="G13" s="119">
        <f>Tariefopbouw4</f>
        <v>0</v>
      </c>
      <c r="H13" s="136"/>
      <c r="I13" s="132"/>
      <c r="J13" s="60">
        <f>IF(ISBLANK(F13),0,F13)*ROUND(I13,2)</f>
        <v>0</v>
      </c>
      <c r="K13" s="60">
        <f>C13*J13</f>
        <v>0</v>
      </c>
      <c r="L13" s="60">
        <f>K13/12</f>
        <v>0</v>
      </c>
    </row>
    <row r="14" spans="1:12" x14ac:dyDescent="0.2">
      <c r="A14" s="61" t="s">
        <v>1156</v>
      </c>
      <c r="B14" s="61" t="s">
        <v>21</v>
      </c>
      <c r="C14" s="62">
        <f>IF(ISBLANK(B14),0,IF(ISERROR(VALUE(B14)),VLOOKUP(B14,dagsoorttabel1,2,FALSE)*dagenperjaar1,VALUE(B14)))</f>
        <v>2</v>
      </c>
      <c r="D14" s="61" t="s">
        <v>1157</v>
      </c>
      <c r="E14" s="61" t="s">
        <v>1153</v>
      </c>
      <c r="F14" s="121">
        <v>1</v>
      </c>
      <c r="G14" s="122">
        <f>Tariefopbouw4</f>
        <v>0</v>
      </c>
      <c r="H14" s="135"/>
      <c r="I14" s="133"/>
      <c r="J14" s="65">
        <f>IF(ISBLANK(F14),0,F14)*ROUND(I14,2)</f>
        <v>0</v>
      </c>
      <c r="K14" s="65">
        <f>C14*J14</f>
        <v>0</v>
      </c>
      <c r="L14" s="65">
        <f>K14/12</f>
        <v>0</v>
      </c>
    </row>
    <row r="15" spans="1:12" x14ac:dyDescent="0.2">
      <c r="A15" s="73" t="s">
        <v>276</v>
      </c>
      <c r="B15" s="74"/>
      <c r="C15" s="74"/>
      <c r="D15" s="74"/>
      <c r="E15" s="74"/>
      <c r="F15" s="74"/>
      <c r="G15" s="74"/>
      <c r="H15" s="74"/>
      <c r="I15" s="74"/>
      <c r="J15" s="74"/>
      <c r="K15" s="76">
        <f>SUM(K6:K14)</f>
        <v>0</v>
      </c>
      <c r="L15" s="124">
        <f>K15/12</f>
        <v>0</v>
      </c>
    </row>
    <row r="17" spans="1:12" x14ac:dyDescent="0.2">
      <c r="A17" s="73" t="s">
        <v>1158</v>
      </c>
      <c r="B17" s="74"/>
      <c r="C17" s="74"/>
      <c r="D17" s="74"/>
      <c r="E17" s="74"/>
      <c r="F17" s="74"/>
      <c r="G17" s="74"/>
      <c r="H17" s="74"/>
      <c r="I17" s="74"/>
      <c r="J17" s="74"/>
      <c r="K17" s="76">
        <f>prijsjaarglas1</f>
        <v>0</v>
      </c>
      <c r="L17" s="124">
        <f>K17/12</f>
        <v>0</v>
      </c>
    </row>
  </sheetData>
  <sheetProtection algorithmName="SHA-512" hashValue="mD+VECPqY6D7chKzxP9Qgl6Xn7orhan1UU2Q7WjOmpHtBX+FWctMRFAoaXF+E1spUsFu+9MtrAJiSZw+8F8TLg==" saltValue="Amic9KlGVnZ6eiaW3BfyvA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&amp;LCentraal Museum Utrecht EA2026                              &amp;ROpmaakdatum: 19-03-2026
Intexso - Plantageweg 23E - Leusden
+31 (33) 2778485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2CB73-BC3C-47AF-A05B-AE3686F3401C}">
  <dimension ref="A1:D9"/>
  <sheetViews>
    <sheetView tabSelected="1" workbookViewId="0"/>
  </sheetViews>
  <sheetFormatPr defaultRowHeight="12.75" x14ac:dyDescent="0.2"/>
  <cols>
    <col min="1" max="1" width="30.625" customWidth="1"/>
    <col min="2" max="4" width="20.625" customWidth="1"/>
  </cols>
  <sheetData>
    <row r="1" spans="1:4" x14ac:dyDescent="0.2">
      <c r="A1" s="1" t="str">
        <f>CONCATENATE("Bijlage H.13: ",tabeltype," totaalblad schoonmaakwerk")</f>
        <v>Bijlage H.13: Invultabel totaalblad schoonmaakwerk</v>
      </c>
    </row>
    <row r="3" spans="1:4" ht="25.5" x14ac:dyDescent="0.2">
      <c r="A3" s="44" t="s">
        <v>1159</v>
      </c>
      <c r="B3" s="44" t="s">
        <v>1160</v>
      </c>
      <c r="C3" s="44" t="s">
        <v>1161</v>
      </c>
      <c r="D3" s="44" t="s">
        <v>1162</v>
      </c>
    </row>
    <row r="4" spans="1:4" x14ac:dyDescent="0.2">
      <c r="A4" s="137" t="s">
        <v>1163</v>
      </c>
      <c r="B4" s="66">
        <f>urenjaartotaaloverzicht</f>
        <v>0</v>
      </c>
      <c r="C4" s="55">
        <f>prijsjaartotaaloverzicht</f>
        <v>0</v>
      </c>
      <c r="D4" s="55">
        <f>C4*1.21</f>
        <v>0</v>
      </c>
    </row>
    <row r="5" spans="1:4" x14ac:dyDescent="0.2">
      <c r="A5" s="138" t="s">
        <v>1164</v>
      </c>
      <c r="B5" s="139"/>
      <c r="C5" s="60">
        <f>prijsjaaradditioneel</f>
        <v>0</v>
      </c>
      <c r="D5" s="60">
        <f>C5*1.21</f>
        <v>0</v>
      </c>
    </row>
    <row r="6" spans="1:4" x14ac:dyDescent="0.2">
      <c r="A6" s="138" t="s">
        <v>1165</v>
      </c>
      <c r="B6" s="139"/>
      <c r="C6" s="60">
        <f>prijsjaarregie</f>
        <v>0</v>
      </c>
      <c r="D6" s="60">
        <f>C6*1.21</f>
        <v>0</v>
      </c>
    </row>
    <row r="7" spans="1:4" x14ac:dyDescent="0.2">
      <c r="A7" s="140" t="s">
        <v>1166</v>
      </c>
      <c r="B7" s="141"/>
      <c r="C7" s="65">
        <f>prijsjaarglas</f>
        <v>0</v>
      </c>
      <c r="D7" s="65">
        <f>C7*1.21</f>
        <v>0</v>
      </c>
    </row>
    <row r="9" spans="1:4" x14ac:dyDescent="0.2">
      <c r="A9" s="44" t="s">
        <v>1167</v>
      </c>
      <c r="B9" s="75">
        <f>SUM(B4:B7)</f>
        <v>0</v>
      </c>
      <c r="C9" s="76">
        <f>SUM(C4:C7)</f>
        <v>0</v>
      </c>
      <c r="D9" s="76">
        <f>C9*1.21</f>
        <v>0</v>
      </c>
    </row>
  </sheetData>
  <sheetProtection algorithmName="SHA-512" hashValue="FbV/Ray3NmOrPtx8Aq8iwnKTfZWtNgjCoe26PrvtTQ+LJY/JAcsAvZ0fuyWIi2YREjtcQDNpwT/7WAVhVK9XLA==" saltValue="tJRBYaari/hIBQMqzmL0kw==" spinCount="100000" sheet="1" objects="1" scenarios="1" autoFilter="0"/>
  <pageMargins left="0.7" right="0.7" top="0.75" bottom="0.75" header="0.3" footer="0.3"/>
  <pageSetup paperSize="9" scale="70" orientation="landscape" horizontalDpi="4294967295" verticalDpi="4294967295" r:id="rId1"/>
  <headerFooter>
    <oddFooter>&amp;LCentraal Museum Utrecht EA2026                              &amp;ROpmaakdatum: 19-03-2026
Intexso - Plantageweg 23E - Leusden
+31 (33) 2778485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9F7B-4C8A-4FF9-8A56-FA81614FC5BE}">
  <dimension ref="A1:Q61"/>
  <sheetViews>
    <sheetView workbookViewId="0"/>
  </sheetViews>
  <sheetFormatPr defaultRowHeight="12.75" x14ac:dyDescent="0.2"/>
  <cols>
    <col min="1" max="1" width="40.625" customWidth="1"/>
    <col min="2" max="2" width="8.125" customWidth="1"/>
    <col min="3" max="3" width="10.625" customWidth="1"/>
    <col min="4" max="4" width="8.125" customWidth="1"/>
    <col min="5" max="5" width="10.625" customWidth="1"/>
    <col min="6" max="6" width="8.125" customWidth="1"/>
    <col min="7" max="7" width="10.625" customWidth="1"/>
    <col min="8" max="8" width="8.125" customWidth="1"/>
    <col min="9" max="9" width="10.625" customWidth="1"/>
    <col min="10" max="10" width="8.125" customWidth="1"/>
    <col min="11" max="11" width="10.625" customWidth="1"/>
    <col min="12" max="12" width="8.125" customWidth="1"/>
    <col min="13" max="13" width="10.625" customWidth="1"/>
    <col min="14" max="14" width="8.125" customWidth="1"/>
    <col min="15" max="15" width="10.625" customWidth="1"/>
    <col min="16" max="16" width="8.125" customWidth="1"/>
    <col min="17" max="17" width="10.625" customWidth="1"/>
  </cols>
  <sheetData>
    <row r="1" spans="1:17" x14ac:dyDescent="0.2">
      <c r="A1" s="1" t="s">
        <v>23</v>
      </c>
    </row>
    <row r="3" spans="1:17" x14ac:dyDescent="0.2">
      <c r="A3" s="8"/>
      <c r="B3" s="9" t="s">
        <v>24</v>
      </c>
      <c r="C3" s="9"/>
      <c r="D3" s="9" t="s">
        <v>24</v>
      </c>
      <c r="E3" s="9"/>
      <c r="F3" s="9" t="s">
        <v>24</v>
      </c>
      <c r="G3" s="9"/>
      <c r="H3" s="9" t="s">
        <v>24</v>
      </c>
      <c r="I3" s="9"/>
      <c r="J3" s="9" t="s">
        <v>24</v>
      </c>
      <c r="K3" s="9"/>
      <c r="L3" s="9" t="s">
        <v>25</v>
      </c>
      <c r="M3" s="9"/>
      <c r="N3" s="9" t="s">
        <v>25</v>
      </c>
      <c r="O3" s="9"/>
      <c r="P3" s="9" t="s">
        <v>25</v>
      </c>
      <c r="Q3" s="10"/>
    </row>
    <row r="4" spans="1:17" x14ac:dyDescent="0.2">
      <c r="A4" s="11"/>
      <c r="B4" s="12" t="s">
        <v>26</v>
      </c>
      <c r="C4" s="12"/>
      <c r="D4" s="12" t="s">
        <v>26</v>
      </c>
      <c r="E4" s="12"/>
      <c r="F4" s="12" t="s">
        <v>26</v>
      </c>
      <c r="G4" s="12"/>
      <c r="H4" s="12" t="s">
        <v>27</v>
      </c>
      <c r="I4" s="12"/>
      <c r="J4" s="12" t="s">
        <v>27</v>
      </c>
      <c r="K4" s="12"/>
      <c r="L4" s="12" t="s">
        <v>26</v>
      </c>
      <c r="M4" s="12"/>
      <c r="N4" s="12" t="s">
        <v>26</v>
      </c>
      <c r="O4" s="12"/>
      <c r="P4" s="12" t="s">
        <v>27</v>
      </c>
      <c r="Q4" s="13"/>
    </row>
    <row r="5" spans="1:17" ht="25.5" customHeight="1" x14ac:dyDescent="0.2">
      <c r="A5" s="14" t="s">
        <v>28</v>
      </c>
      <c r="B5" s="15" t="s">
        <v>29</v>
      </c>
      <c r="C5" s="15"/>
      <c r="D5" s="15" t="s">
        <v>29</v>
      </c>
      <c r="E5" s="15"/>
      <c r="F5" s="15" t="s">
        <v>30</v>
      </c>
      <c r="G5" s="15"/>
      <c r="H5" s="15" t="s">
        <v>31</v>
      </c>
      <c r="I5" s="15"/>
      <c r="J5" s="15" t="s">
        <v>31</v>
      </c>
      <c r="K5" s="15"/>
      <c r="L5" s="15" t="s">
        <v>32</v>
      </c>
      <c r="M5" s="15"/>
      <c r="N5" s="15" t="s">
        <v>32</v>
      </c>
      <c r="O5" s="15"/>
      <c r="P5" s="15" t="s">
        <v>33</v>
      </c>
      <c r="Q5" s="16"/>
    </row>
    <row r="6" spans="1:17" ht="38.25" customHeight="1" x14ac:dyDescent="0.2">
      <c r="A6" s="17" t="s">
        <v>34</v>
      </c>
      <c r="B6" s="15" t="s">
        <v>35</v>
      </c>
      <c r="C6" s="15"/>
      <c r="D6" s="18" t="s">
        <v>36</v>
      </c>
      <c r="E6" s="18"/>
      <c r="F6" s="15" t="s">
        <v>37</v>
      </c>
      <c r="G6" s="15"/>
      <c r="H6" s="15" t="s">
        <v>37</v>
      </c>
      <c r="I6" s="15"/>
      <c r="J6" s="15" t="s">
        <v>38</v>
      </c>
      <c r="K6" s="15"/>
      <c r="L6" s="18" t="s">
        <v>36</v>
      </c>
      <c r="M6" s="18"/>
      <c r="N6" s="15" t="s">
        <v>39</v>
      </c>
      <c r="O6" s="15"/>
      <c r="P6" s="18" t="s">
        <v>36</v>
      </c>
      <c r="Q6" s="19"/>
    </row>
    <row r="7" spans="1:17" x14ac:dyDescent="0.2">
      <c r="A7" s="20" t="s">
        <v>40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2"/>
    </row>
    <row r="8" spans="1:17" x14ac:dyDescent="0.2">
      <c r="A8" s="20" t="s">
        <v>41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</row>
    <row r="9" spans="1:17" x14ac:dyDescent="0.2">
      <c r="A9" s="11" t="s">
        <v>42</v>
      </c>
      <c r="B9" s="23">
        <f>SUM(B7:B8)</f>
        <v>0</v>
      </c>
      <c r="C9" s="23"/>
      <c r="D9" s="23">
        <f>SUM(D7:D8)</f>
        <v>0</v>
      </c>
      <c r="E9" s="23"/>
      <c r="F9" s="23">
        <f>SUM(F7:F8)</f>
        <v>0</v>
      </c>
      <c r="G9" s="23"/>
      <c r="H9" s="23">
        <f>SUM(H7:H8)</f>
        <v>0</v>
      </c>
      <c r="I9" s="23"/>
      <c r="J9" s="23">
        <f>SUM(J7:J8)</f>
        <v>0</v>
      </c>
      <c r="K9" s="23"/>
      <c r="L9" s="23">
        <f>SUM(L7:L8)</f>
        <v>0</v>
      </c>
      <c r="M9" s="23"/>
      <c r="N9" s="23">
        <f>SUM(N7:N8)</f>
        <v>0</v>
      </c>
      <c r="O9" s="23"/>
      <c r="P9" s="23">
        <f>SUM(P7:P8)</f>
        <v>0</v>
      </c>
      <c r="Q9" s="24"/>
    </row>
    <row r="10" spans="1:17" x14ac:dyDescent="0.2">
      <c r="A10" s="20" t="s">
        <v>43</v>
      </c>
      <c r="B10" s="25"/>
      <c r="C10" s="26">
        <f>TariefOpbouwBasisloon1*B10</f>
        <v>0</v>
      </c>
      <c r="D10" s="25"/>
      <c r="E10" s="26">
        <f>TariefOpbouwBasisloon2*D10</f>
        <v>0</v>
      </c>
      <c r="F10" s="25"/>
      <c r="G10" s="26">
        <f>TariefOpbouwBasisloon3*F10</f>
        <v>0</v>
      </c>
      <c r="H10" s="25"/>
      <c r="I10" s="26">
        <f>TariefOpbouwBasisloon4*H10</f>
        <v>0</v>
      </c>
      <c r="J10" s="25"/>
      <c r="K10" s="26">
        <f>TariefOpbouwBasisloon5*J10</f>
        <v>0</v>
      </c>
      <c r="L10" s="25"/>
      <c r="M10" s="26">
        <f>TariefOpbouwBasisloon6*L10</f>
        <v>0</v>
      </c>
      <c r="N10" s="25"/>
      <c r="O10" s="26">
        <f>TariefOpbouwBasisloon7*N10</f>
        <v>0</v>
      </c>
      <c r="P10" s="25"/>
      <c r="Q10" s="27">
        <f>TariefOpbouwBasisloon8*P10</f>
        <v>0</v>
      </c>
    </row>
    <row r="11" spans="1:17" x14ac:dyDescent="0.2">
      <c r="A11" s="20" t="s">
        <v>44</v>
      </c>
      <c r="B11" s="25"/>
      <c r="C11" s="26">
        <f>TariefOpbouwBasisloon1*B11</f>
        <v>0</v>
      </c>
      <c r="D11" s="25"/>
      <c r="E11" s="26">
        <f>TariefOpbouwBasisloon2*D11</f>
        <v>0</v>
      </c>
      <c r="F11" s="25"/>
      <c r="G11" s="26">
        <f>TariefOpbouwBasisloon3*F11</f>
        <v>0</v>
      </c>
      <c r="H11" s="25"/>
      <c r="I11" s="26">
        <f>TariefOpbouwBasisloon4*H11</f>
        <v>0</v>
      </c>
      <c r="J11" s="25"/>
      <c r="K11" s="26">
        <f>TariefOpbouwBasisloon5*J11</f>
        <v>0</v>
      </c>
      <c r="L11" s="25"/>
      <c r="M11" s="26">
        <f>TariefOpbouwBasisloon6*L11</f>
        <v>0</v>
      </c>
      <c r="N11" s="25"/>
      <c r="O11" s="26">
        <f>TariefOpbouwBasisloon7*N11</f>
        <v>0</v>
      </c>
      <c r="P11" s="25"/>
      <c r="Q11" s="27">
        <f>TariefOpbouwBasisloon8*P11</f>
        <v>0</v>
      </c>
    </row>
    <row r="12" spans="1:17" x14ac:dyDescent="0.2">
      <c r="A12" s="11" t="s">
        <v>45</v>
      </c>
      <c r="B12" s="23">
        <f>SUM(TariefOpbouwBasisloon1,C10:C11)</f>
        <v>0</v>
      </c>
      <c r="C12" s="23"/>
      <c r="D12" s="23">
        <f>SUM(TariefOpbouwBasisloon2,E10:E11)</f>
        <v>0</v>
      </c>
      <c r="E12" s="23"/>
      <c r="F12" s="23">
        <f>SUM(TariefOpbouwBasisloon3,G10:G11)</f>
        <v>0</v>
      </c>
      <c r="G12" s="23"/>
      <c r="H12" s="23">
        <f>SUM(TariefOpbouwBasisloon4,I10:I11)</f>
        <v>0</v>
      </c>
      <c r="I12" s="23"/>
      <c r="J12" s="23">
        <f>SUM(TariefOpbouwBasisloon5,K10:K11)</f>
        <v>0</v>
      </c>
      <c r="K12" s="23"/>
      <c r="L12" s="23">
        <f>SUM(TariefOpbouwBasisloon6,M10:M11)</f>
        <v>0</v>
      </c>
      <c r="M12" s="23"/>
      <c r="N12" s="23">
        <f>SUM(TariefOpbouwBasisloon7,O10:O11)</f>
        <v>0</v>
      </c>
      <c r="O12" s="23"/>
      <c r="P12" s="23">
        <f>SUM(TariefOpbouwBasisloon8,Q10:Q11)</f>
        <v>0</v>
      </c>
      <c r="Q12" s="24"/>
    </row>
    <row r="13" spans="1:17" x14ac:dyDescent="0.2">
      <c r="A13" s="20" t="s">
        <v>46</v>
      </c>
      <c r="B13" s="25"/>
      <c r="C13" s="26">
        <f>TariefOpbouwUurloon1*B13</f>
        <v>0</v>
      </c>
      <c r="D13" s="25"/>
      <c r="E13" s="26">
        <f>TariefOpbouwUurloon2*D13</f>
        <v>0</v>
      </c>
      <c r="F13" s="25"/>
      <c r="G13" s="26">
        <f>TariefOpbouwUurloon3*F13</f>
        <v>0</v>
      </c>
      <c r="H13" s="25"/>
      <c r="I13" s="26">
        <f>TariefOpbouwUurloon4*H13</f>
        <v>0</v>
      </c>
      <c r="J13" s="25"/>
      <c r="K13" s="26">
        <f>TariefOpbouwUurloon5*J13</f>
        <v>0</v>
      </c>
      <c r="L13" s="25"/>
      <c r="M13" s="26">
        <f>TariefOpbouwUurloon6*L13</f>
        <v>0</v>
      </c>
      <c r="N13" s="25"/>
      <c r="O13" s="26">
        <f>TariefOpbouwUurloon7*N13</f>
        <v>0</v>
      </c>
      <c r="P13" s="25"/>
      <c r="Q13" s="27">
        <f>TariefOpbouwUurloon8*P13</f>
        <v>0</v>
      </c>
    </row>
    <row r="14" spans="1:17" x14ac:dyDescent="0.2">
      <c r="A14" s="11" t="s">
        <v>47</v>
      </c>
      <c r="B14" s="23">
        <f>SUM(TariefOpbouwUurloon1,C13:C13)</f>
        <v>0</v>
      </c>
      <c r="C14" s="23"/>
      <c r="D14" s="23">
        <f>SUM(TariefOpbouwUurloon2,E13:E13)</f>
        <v>0</v>
      </c>
      <c r="E14" s="23"/>
      <c r="F14" s="23">
        <f>SUM(TariefOpbouwUurloon3,G13:G13)</f>
        <v>0</v>
      </c>
      <c r="G14" s="23"/>
      <c r="H14" s="23">
        <f>SUM(TariefOpbouwUurloon4,I13:I13)</f>
        <v>0</v>
      </c>
      <c r="I14" s="23"/>
      <c r="J14" s="23">
        <f>SUM(TariefOpbouwUurloon5,K13:K13)</f>
        <v>0</v>
      </c>
      <c r="K14" s="23"/>
      <c r="L14" s="23">
        <f>SUM(TariefOpbouwUurloon6,M13:M13)</f>
        <v>0</v>
      </c>
      <c r="M14" s="23"/>
      <c r="N14" s="23">
        <f>SUM(TariefOpbouwUurloon7,O13:O13)</f>
        <v>0</v>
      </c>
      <c r="O14" s="23"/>
      <c r="P14" s="23">
        <f>SUM(TariefOpbouwUurloon8,Q13:Q13)</f>
        <v>0</v>
      </c>
      <c r="Q14" s="24"/>
    </row>
    <row r="15" spans="1:17" x14ac:dyDescent="0.2">
      <c r="A15" s="20" t="s">
        <v>48</v>
      </c>
      <c r="B15" s="25"/>
      <c r="C15" s="26">
        <f>TariefOpbouwUurloonkosten1*B15</f>
        <v>0</v>
      </c>
      <c r="D15" s="25"/>
      <c r="E15" s="26">
        <f>TariefOpbouwUurloonkosten2*D15</f>
        <v>0</v>
      </c>
      <c r="F15" s="25"/>
      <c r="G15" s="26">
        <f>TariefOpbouwUurloonkosten3*F15</f>
        <v>0</v>
      </c>
      <c r="H15" s="25"/>
      <c r="I15" s="26">
        <f>TariefOpbouwUurloonkosten4*H15</f>
        <v>0</v>
      </c>
      <c r="J15" s="25"/>
      <c r="K15" s="26">
        <f>TariefOpbouwUurloonkosten5*J15</f>
        <v>0</v>
      </c>
      <c r="L15" s="25"/>
      <c r="M15" s="26">
        <f>TariefOpbouwUurloonkosten6*L15</f>
        <v>0</v>
      </c>
      <c r="N15" s="25"/>
      <c r="O15" s="26">
        <f>TariefOpbouwUurloonkosten7*N15</f>
        <v>0</v>
      </c>
      <c r="P15" s="25"/>
      <c r="Q15" s="27">
        <f>TariefOpbouwUurloonkosten8*P15</f>
        <v>0</v>
      </c>
    </row>
    <row r="16" spans="1:17" x14ac:dyDescent="0.2">
      <c r="A16" s="20" t="s">
        <v>49</v>
      </c>
      <c r="B16" s="25"/>
      <c r="C16" s="26">
        <f>TariefOpbouwUurloonkosten1*B16</f>
        <v>0</v>
      </c>
      <c r="D16" s="25"/>
      <c r="E16" s="26">
        <f>TariefOpbouwUurloonkosten2*D16</f>
        <v>0</v>
      </c>
      <c r="F16" s="25"/>
      <c r="G16" s="26">
        <f>TariefOpbouwUurloonkosten3*F16</f>
        <v>0</v>
      </c>
      <c r="H16" s="25"/>
      <c r="I16" s="26">
        <f>TariefOpbouwUurloonkosten4*H16</f>
        <v>0</v>
      </c>
      <c r="J16" s="25"/>
      <c r="K16" s="26">
        <f>TariefOpbouwUurloonkosten5*J16</f>
        <v>0</v>
      </c>
      <c r="L16" s="25"/>
      <c r="M16" s="26">
        <f>TariefOpbouwUurloonkosten6*L16</f>
        <v>0</v>
      </c>
      <c r="N16" s="25"/>
      <c r="O16" s="26">
        <f>TariefOpbouwUurloonkosten7*N16</f>
        <v>0</v>
      </c>
      <c r="P16" s="25"/>
      <c r="Q16" s="27">
        <f>TariefOpbouwUurloonkosten8*P16</f>
        <v>0</v>
      </c>
    </row>
    <row r="17" spans="1:17" x14ac:dyDescent="0.2">
      <c r="A17" s="20" t="s">
        <v>50</v>
      </c>
      <c r="B17" s="25"/>
      <c r="C17" s="26">
        <f>TariefOpbouwUurloonkosten1*B17</f>
        <v>0</v>
      </c>
      <c r="D17" s="25"/>
      <c r="E17" s="26">
        <f>TariefOpbouwUurloonkosten2*D17</f>
        <v>0</v>
      </c>
      <c r="F17" s="25"/>
      <c r="G17" s="26">
        <f>TariefOpbouwUurloonkosten3*F17</f>
        <v>0</v>
      </c>
      <c r="H17" s="25"/>
      <c r="I17" s="26">
        <f>TariefOpbouwUurloonkosten4*H17</f>
        <v>0</v>
      </c>
      <c r="J17" s="25"/>
      <c r="K17" s="26">
        <f>TariefOpbouwUurloonkosten5*J17</f>
        <v>0</v>
      </c>
      <c r="L17" s="25"/>
      <c r="M17" s="26">
        <f>TariefOpbouwUurloonkosten6*L17</f>
        <v>0</v>
      </c>
      <c r="N17" s="25"/>
      <c r="O17" s="26">
        <f>TariefOpbouwUurloonkosten7*N17</f>
        <v>0</v>
      </c>
      <c r="P17" s="25"/>
      <c r="Q17" s="27">
        <f>TariefOpbouwUurloonkosten8*P17</f>
        <v>0</v>
      </c>
    </row>
    <row r="18" spans="1:17" x14ac:dyDescent="0.2">
      <c r="A18" s="20" t="s">
        <v>51</v>
      </c>
      <c r="B18" s="25"/>
      <c r="C18" s="26">
        <f>TariefOpbouwUurloonkosten1*B18</f>
        <v>0</v>
      </c>
      <c r="D18" s="25"/>
      <c r="E18" s="26">
        <f>TariefOpbouwUurloonkosten2*D18</f>
        <v>0</v>
      </c>
      <c r="F18" s="25"/>
      <c r="G18" s="26">
        <f>TariefOpbouwUurloonkosten3*F18</f>
        <v>0</v>
      </c>
      <c r="H18" s="25"/>
      <c r="I18" s="26">
        <f>TariefOpbouwUurloonkosten4*H18</f>
        <v>0</v>
      </c>
      <c r="J18" s="25"/>
      <c r="K18" s="26">
        <f>TariefOpbouwUurloonkosten5*J18</f>
        <v>0</v>
      </c>
      <c r="L18" s="25"/>
      <c r="M18" s="26">
        <f>TariefOpbouwUurloonkosten6*L18</f>
        <v>0</v>
      </c>
      <c r="N18" s="25"/>
      <c r="O18" s="26">
        <f>TariefOpbouwUurloonkosten7*N18</f>
        <v>0</v>
      </c>
      <c r="P18" s="25"/>
      <c r="Q18" s="27">
        <f>TariefOpbouwUurloonkosten8*P18</f>
        <v>0</v>
      </c>
    </row>
    <row r="19" spans="1:17" x14ac:dyDescent="0.2">
      <c r="A19" s="11" t="s">
        <v>52</v>
      </c>
      <c r="B19" s="23">
        <f>SUM(TariefOpbouwUurloonkosten1,C15:C18)</f>
        <v>0</v>
      </c>
      <c r="C19" s="23"/>
      <c r="D19" s="23">
        <f>SUM(TariefOpbouwUurloonkosten2,E15:E18)</f>
        <v>0</v>
      </c>
      <c r="E19" s="23"/>
      <c r="F19" s="23">
        <f>SUM(TariefOpbouwUurloonkosten3,G15:G18)</f>
        <v>0</v>
      </c>
      <c r="G19" s="23"/>
      <c r="H19" s="23">
        <f>SUM(TariefOpbouwUurloonkosten4,I15:I18)</f>
        <v>0</v>
      </c>
      <c r="I19" s="23"/>
      <c r="J19" s="23">
        <f>SUM(TariefOpbouwUurloonkosten5,K15:K18)</f>
        <v>0</v>
      </c>
      <c r="K19" s="23"/>
      <c r="L19" s="23">
        <f>SUM(TariefOpbouwUurloonkosten6,M15:M18)</f>
        <v>0</v>
      </c>
      <c r="M19" s="23"/>
      <c r="N19" s="23">
        <f>SUM(TariefOpbouwUurloonkosten7,O15:O18)</f>
        <v>0</v>
      </c>
      <c r="O19" s="23"/>
      <c r="P19" s="23">
        <f>SUM(TariefOpbouwUurloonkosten8,Q15:Q18)</f>
        <v>0</v>
      </c>
      <c r="Q19" s="24"/>
    </row>
    <row r="20" spans="1:17" x14ac:dyDescent="0.2">
      <c r="A20" s="20" t="s">
        <v>53</v>
      </c>
      <c r="B20" s="25"/>
      <c r="C20" s="26">
        <f>TariefOpbouwTotaalLoonkosten1*B20</f>
        <v>0</v>
      </c>
      <c r="D20" s="25"/>
      <c r="E20" s="26">
        <f>TariefOpbouwTotaalLoonkosten2*D20</f>
        <v>0</v>
      </c>
      <c r="F20" s="25"/>
      <c r="G20" s="26">
        <f>TariefOpbouwTotaalLoonkosten3*F20</f>
        <v>0</v>
      </c>
      <c r="H20" s="25"/>
      <c r="I20" s="26">
        <f>TariefOpbouwTotaalLoonkosten4*H20</f>
        <v>0</v>
      </c>
      <c r="J20" s="25"/>
      <c r="K20" s="26">
        <f>TariefOpbouwTotaalLoonkosten5*J20</f>
        <v>0</v>
      </c>
      <c r="L20" s="25"/>
      <c r="M20" s="26">
        <f>TariefOpbouwTotaalLoonkosten6*L20</f>
        <v>0</v>
      </c>
      <c r="N20" s="25"/>
      <c r="O20" s="26">
        <f>TariefOpbouwTotaalLoonkosten7*N20</f>
        <v>0</v>
      </c>
      <c r="P20" s="25"/>
      <c r="Q20" s="27">
        <f>TariefOpbouwTotaalLoonkosten8*P20</f>
        <v>0</v>
      </c>
    </row>
    <row r="21" spans="1:17" x14ac:dyDescent="0.2">
      <c r="A21" s="20" t="s">
        <v>54</v>
      </c>
      <c r="B21" s="25"/>
      <c r="C21" s="26">
        <f>TariefOpbouwTotaalLoonkosten1*B21</f>
        <v>0</v>
      </c>
      <c r="D21" s="25"/>
      <c r="E21" s="26">
        <f>TariefOpbouwTotaalLoonkosten2*D21</f>
        <v>0</v>
      </c>
      <c r="F21" s="25"/>
      <c r="G21" s="26">
        <f>TariefOpbouwTotaalLoonkosten3*F21</f>
        <v>0</v>
      </c>
      <c r="H21" s="25"/>
      <c r="I21" s="26">
        <f>TariefOpbouwTotaalLoonkosten4*H21</f>
        <v>0</v>
      </c>
      <c r="J21" s="25"/>
      <c r="K21" s="26">
        <f>TariefOpbouwTotaalLoonkosten5*J21</f>
        <v>0</v>
      </c>
      <c r="L21" s="25"/>
      <c r="M21" s="26">
        <f>TariefOpbouwTotaalLoonkosten6*L21</f>
        <v>0</v>
      </c>
      <c r="N21" s="25"/>
      <c r="O21" s="26">
        <f>TariefOpbouwTotaalLoonkosten7*N21</f>
        <v>0</v>
      </c>
      <c r="P21" s="25"/>
      <c r="Q21" s="27">
        <f>TariefOpbouwTotaalLoonkosten8*P21</f>
        <v>0</v>
      </c>
    </row>
    <row r="22" spans="1:17" x14ac:dyDescent="0.2">
      <c r="A22" s="20" t="s">
        <v>55</v>
      </c>
      <c r="B22" s="25"/>
      <c r="C22" s="26">
        <f>TariefOpbouwTotaalLoonkosten1*B22</f>
        <v>0</v>
      </c>
      <c r="D22" s="25"/>
      <c r="E22" s="26">
        <f>TariefOpbouwTotaalLoonkosten2*D22</f>
        <v>0</v>
      </c>
      <c r="F22" s="25"/>
      <c r="G22" s="26">
        <f>TariefOpbouwTotaalLoonkosten3*F22</f>
        <v>0</v>
      </c>
      <c r="H22" s="25"/>
      <c r="I22" s="26">
        <f>TariefOpbouwTotaalLoonkosten4*H22</f>
        <v>0</v>
      </c>
      <c r="J22" s="25"/>
      <c r="K22" s="26">
        <f>TariefOpbouwTotaalLoonkosten5*J22</f>
        <v>0</v>
      </c>
      <c r="L22" s="25"/>
      <c r="M22" s="26">
        <f>TariefOpbouwTotaalLoonkosten6*L22</f>
        <v>0</v>
      </c>
      <c r="N22" s="25"/>
      <c r="O22" s="26">
        <f>TariefOpbouwTotaalLoonkosten7*N22</f>
        <v>0</v>
      </c>
      <c r="P22" s="25"/>
      <c r="Q22" s="27">
        <f>TariefOpbouwTotaalLoonkosten8*P22</f>
        <v>0</v>
      </c>
    </row>
    <row r="23" spans="1:17" x14ac:dyDescent="0.2">
      <c r="A23" s="20" t="s">
        <v>56</v>
      </c>
      <c r="B23" s="25"/>
      <c r="C23" s="26">
        <f>TariefOpbouwTotaalLoonkosten1*B23</f>
        <v>0</v>
      </c>
      <c r="D23" s="25"/>
      <c r="E23" s="26">
        <f>TariefOpbouwTotaalLoonkosten2*D23</f>
        <v>0</v>
      </c>
      <c r="F23" s="25"/>
      <c r="G23" s="26">
        <f>TariefOpbouwTotaalLoonkosten3*F23</f>
        <v>0</v>
      </c>
      <c r="H23" s="25"/>
      <c r="I23" s="26">
        <f>TariefOpbouwTotaalLoonkosten4*H23</f>
        <v>0</v>
      </c>
      <c r="J23" s="25"/>
      <c r="K23" s="26">
        <f>TariefOpbouwTotaalLoonkosten5*J23</f>
        <v>0</v>
      </c>
      <c r="L23" s="25"/>
      <c r="M23" s="26">
        <f>TariefOpbouwTotaalLoonkosten6*L23</f>
        <v>0</v>
      </c>
      <c r="N23" s="25"/>
      <c r="O23" s="26">
        <f>TariefOpbouwTotaalLoonkosten7*N23</f>
        <v>0</v>
      </c>
      <c r="P23" s="25"/>
      <c r="Q23" s="27">
        <f>TariefOpbouwTotaalLoonkosten8*P23</f>
        <v>0</v>
      </c>
    </row>
    <row r="24" spans="1:17" x14ac:dyDescent="0.2">
      <c r="A24" s="20" t="s">
        <v>57</v>
      </c>
      <c r="B24" s="25"/>
      <c r="C24" s="26">
        <f>TariefOpbouwTotaalLoonkosten1*B24</f>
        <v>0</v>
      </c>
      <c r="D24" s="25"/>
      <c r="E24" s="26">
        <f>TariefOpbouwTotaalLoonkosten2*D24</f>
        <v>0</v>
      </c>
      <c r="F24" s="25"/>
      <c r="G24" s="26">
        <f>TariefOpbouwTotaalLoonkosten3*F24</f>
        <v>0</v>
      </c>
      <c r="H24" s="25"/>
      <c r="I24" s="26">
        <f>TariefOpbouwTotaalLoonkosten4*H24</f>
        <v>0</v>
      </c>
      <c r="J24" s="25"/>
      <c r="K24" s="26">
        <f>TariefOpbouwTotaalLoonkosten5*J24</f>
        <v>0</v>
      </c>
      <c r="L24" s="25"/>
      <c r="M24" s="26">
        <f>TariefOpbouwTotaalLoonkosten6*L24</f>
        <v>0</v>
      </c>
      <c r="N24" s="25"/>
      <c r="O24" s="26">
        <f>TariefOpbouwTotaalLoonkosten7*N24</f>
        <v>0</v>
      </c>
      <c r="P24" s="25"/>
      <c r="Q24" s="27">
        <f>TariefOpbouwTotaalLoonkosten8*P24</f>
        <v>0</v>
      </c>
    </row>
    <row r="25" spans="1:17" x14ac:dyDescent="0.2">
      <c r="A25" s="20" t="s">
        <v>58</v>
      </c>
      <c r="B25" s="25"/>
      <c r="C25" s="26">
        <f>TariefOpbouwTotaalLoonkosten1*B25</f>
        <v>0</v>
      </c>
      <c r="D25" s="25"/>
      <c r="E25" s="26">
        <f>TariefOpbouwTotaalLoonkosten2*D25</f>
        <v>0</v>
      </c>
      <c r="F25" s="25"/>
      <c r="G25" s="26">
        <f>TariefOpbouwTotaalLoonkosten3*F25</f>
        <v>0</v>
      </c>
      <c r="H25" s="25"/>
      <c r="I25" s="26">
        <f>TariefOpbouwTotaalLoonkosten4*H25</f>
        <v>0</v>
      </c>
      <c r="J25" s="25"/>
      <c r="K25" s="26">
        <f>TariefOpbouwTotaalLoonkosten5*J25</f>
        <v>0</v>
      </c>
      <c r="L25" s="25"/>
      <c r="M25" s="26">
        <f>TariefOpbouwTotaalLoonkosten6*L25</f>
        <v>0</v>
      </c>
      <c r="N25" s="25"/>
      <c r="O25" s="26">
        <f>TariefOpbouwTotaalLoonkosten7*N25</f>
        <v>0</v>
      </c>
      <c r="P25" s="25"/>
      <c r="Q25" s="27">
        <f>TariefOpbouwTotaalLoonkosten8*P25</f>
        <v>0</v>
      </c>
    </row>
    <row r="26" spans="1:17" x14ac:dyDescent="0.2">
      <c r="A26" s="11" t="s">
        <v>59</v>
      </c>
      <c r="B26" s="23">
        <f>SUM(TariefOpbouwTotaalLoonkosten1,C20:C25)</f>
        <v>0</v>
      </c>
      <c r="C26" s="23"/>
      <c r="D26" s="23">
        <f>SUM(TariefOpbouwTotaalLoonkosten2,E20:E25)</f>
        <v>0</v>
      </c>
      <c r="E26" s="23"/>
      <c r="F26" s="23">
        <f>SUM(TariefOpbouwTotaalLoonkosten3,G20:G25)</f>
        <v>0</v>
      </c>
      <c r="G26" s="23"/>
      <c r="H26" s="23">
        <f>SUM(TariefOpbouwTotaalLoonkosten4,I20:I25)</f>
        <v>0</v>
      </c>
      <c r="I26" s="23"/>
      <c r="J26" s="23">
        <f>SUM(TariefOpbouwTotaalLoonkosten5,K20:K25)</f>
        <v>0</v>
      </c>
      <c r="K26" s="23"/>
      <c r="L26" s="23">
        <f>SUM(TariefOpbouwTotaalLoonkosten6,M20:M25)</f>
        <v>0</v>
      </c>
      <c r="M26" s="23"/>
      <c r="N26" s="23">
        <f>SUM(TariefOpbouwTotaalLoonkosten7,O20:O25)</f>
        <v>0</v>
      </c>
      <c r="O26" s="23"/>
      <c r="P26" s="23">
        <f>SUM(TariefOpbouwTotaalLoonkosten8,Q20:Q25)</f>
        <v>0</v>
      </c>
      <c r="Q26" s="24"/>
    </row>
    <row r="27" spans="1:17" x14ac:dyDescent="0.2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30"/>
    </row>
    <row r="28" spans="1:17" x14ac:dyDescent="0.2">
      <c r="A28" s="20" t="s">
        <v>60</v>
      </c>
      <c r="B28" s="25"/>
      <c r="C28" s="26">
        <f>TariefOpbouwDirecteKosten1*B28</f>
        <v>0</v>
      </c>
      <c r="D28" s="25"/>
      <c r="E28" s="26">
        <f>TariefOpbouwDirecteKosten2*D28</f>
        <v>0</v>
      </c>
      <c r="F28" s="25"/>
      <c r="G28" s="26">
        <f>TariefOpbouwDirecteKosten3*F28</f>
        <v>0</v>
      </c>
      <c r="H28" s="25"/>
      <c r="I28" s="26">
        <f>TariefOpbouwDirecteKosten4*H28</f>
        <v>0</v>
      </c>
      <c r="J28" s="25"/>
      <c r="K28" s="26">
        <f>TariefOpbouwDirecteKosten5*J28</f>
        <v>0</v>
      </c>
      <c r="L28" s="25"/>
      <c r="M28" s="26">
        <f>TariefOpbouwDirecteKosten6*L28</f>
        <v>0</v>
      </c>
      <c r="N28" s="25"/>
      <c r="O28" s="26">
        <f>TariefOpbouwDirecteKosten7*N28</f>
        <v>0</v>
      </c>
      <c r="P28" s="25"/>
      <c r="Q28" s="27">
        <f>TariefOpbouwDirecteKosten8*P28</f>
        <v>0</v>
      </c>
    </row>
    <row r="29" spans="1:17" x14ac:dyDescent="0.2">
      <c r="A29" s="20" t="s">
        <v>61</v>
      </c>
      <c r="B29" s="25"/>
      <c r="C29" s="26">
        <f>TariefOpbouwDirecteKosten1*B29</f>
        <v>0</v>
      </c>
      <c r="D29" s="25"/>
      <c r="E29" s="26">
        <f>TariefOpbouwDirecteKosten2*D29</f>
        <v>0</v>
      </c>
      <c r="F29" s="25"/>
      <c r="G29" s="26">
        <f>TariefOpbouwDirecteKosten3*F29</f>
        <v>0</v>
      </c>
      <c r="H29" s="25"/>
      <c r="I29" s="26">
        <f>TariefOpbouwDirecteKosten4*H29</f>
        <v>0</v>
      </c>
      <c r="J29" s="25"/>
      <c r="K29" s="26">
        <f>TariefOpbouwDirecteKosten5*J29</f>
        <v>0</v>
      </c>
      <c r="L29" s="25"/>
      <c r="M29" s="26">
        <f>TariefOpbouwDirecteKosten6*L29</f>
        <v>0</v>
      </c>
      <c r="N29" s="25"/>
      <c r="O29" s="26">
        <f>TariefOpbouwDirecteKosten7*N29</f>
        <v>0</v>
      </c>
      <c r="P29" s="25"/>
      <c r="Q29" s="27">
        <f>TariefOpbouwDirecteKosten8*P29</f>
        <v>0</v>
      </c>
    </row>
    <row r="30" spans="1:17" x14ac:dyDescent="0.2">
      <c r="A30" s="20" t="s">
        <v>62</v>
      </c>
      <c r="B30" s="25"/>
      <c r="C30" s="26">
        <f>TariefOpbouwDirecteKosten1*B30</f>
        <v>0</v>
      </c>
      <c r="D30" s="25"/>
      <c r="E30" s="26">
        <f>TariefOpbouwDirecteKosten2*D30</f>
        <v>0</v>
      </c>
      <c r="F30" s="25"/>
      <c r="G30" s="26">
        <f>TariefOpbouwDirecteKosten3*F30</f>
        <v>0</v>
      </c>
      <c r="H30" s="25"/>
      <c r="I30" s="26">
        <f>TariefOpbouwDirecteKosten4*H30</f>
        <v>0</v>
      </c>
      <c r="J30" s="25"/>
      <c r="K30" s="26">
        <f>TariefOpbouwDirecteKosten5*J30</f>
        <v>0</v>
      </c>
      <c r="L30" s="25"/>
      <c r="M30" s="26">
        <f>TariefOpbouwDirecteKosten6*L30</f>
        <v>0</v>
      </c>
      <c r="N30" s="25"/>
      <c r="O30" s="26">
        <f>TariefOpbouwDirecteKosten7*N30</f>
        <v>0</v>
      </c>
      <c r="P30" s="25"/>
      <c r="Q30" s="27">
        <f>TariefOpbouwDirecteKosten8*P30</f>
        <v>0</v>
      </c>
    </row>
    <row r="31" spans="1:17" x14ac:dyDescent="0.2">
      <c r="A31" s="20" t="s">
        <v>63</v>
      </c>
      <c r="B31" s="25"/>
      <c r="C31" s="26">
        <f>TariefOpbouwDirecteKosten1*B31</f>
        <v>0</v>
      </c>
      <c r="D31" s="25"/>
      <c r="E31" s="26">
        <f>TariefOpbouwDirecteKosten2*D31</f>
        <v>0</v>
      </c>
      <c r="F31" s="25"/>
      <c r="G31" s="26">
        <f>TariefOpbouwDirecteKosten3*F31</f>
        <v>0</v>
      </c>
      <c r="H31" s="25"/>
      <c r="I31" s="26">
        <f>TariefOpbouwDirecteKosten4*H31</f>
        <v>0</v>
      </c>
      <c r="J31" s="25"/>
      <c r="K31" s="26">
        <f>TariefOpbouwDirecteKosten5*J31</f>
        <v>0</v>
      </c>
      <c r="L31" s="25"/>
      <c r="M31" s="26">
        <f>TariefOpbouwDirecteKosten6*L31</f>
        <v>0</v>
      </c>
      <c r="N31" s="25"/>
      <c r="O31" s="26">
        <f>TariefOpbouwDirecteKosten7*N31</f>
        <v>0</v>
      </c>
      <c r="P31" s="25"/>
      <c r="Q31" s="27">
        <f>TariefOpbouwDirecteKosten8*P31</f>
        <v>0</v>
      </c>
    </row>
    <row r="32" spans="1:17" x14ac:dyDescent="0.2">
      <c r="A32" s="20" t="s">
        <v>64</v>
      </c>
      <c r="B32" s="25"/>
      <c r="C32" s="26">
        <f>TariefOpbouwDirecteKosten1*B32</f>
        <v>0</v>
      </c>
      <c r="D32" s="25"/>
      <c r="E32" s="26">
        <f>TariefOpbouwDirecteKosten2*D32</f>
        <v>0</v>
      </c>
      <c r="F32" s="25"/>
      <c r="G32" s="26">
        <f>TariefOpbouwDirecteKosten3*F32</f>
        <v>0</v>
      </c>
      <c r="H32" s="25"/>
      <c r="I32" s="26">
        <f>TariefOpbouwDirecteKosten4*H32</f>
        <v>0</v>
      </c>
      <c r="J32" s="25"/>
      <c r="K32" s="26">
        <f>TariefOpbouwDirecteKosten5*J32</f>
        <v>0</v>
      </c>
      <c r="L32" s="25"/>
      <c r="M32" s="26">
        <f>TariefOpbouwDirecteKosten6*L32</f>
        <v>0</v>
      </c>
      <c r="N32" s="25"/>
      <c r="O32" s="26">
        <f>TariefOpbouwDirecteKosten7*N32</f>
        <v>0</v>
      </c>
      <c r="P32" s="25"/>
      <c r="Q32" s="27">
        <f>TariefOpbouwDirecteKosten8*P32</f>
        <v>0</v>
      </c>
    </row>
    <row r="33" spans="1:17" x14ac:dyDescent="0.2">
      <c r="A33" s="20" t="s">
        <v>65</v>
      </c>
      <c r="B33" s="25"/>
      <c r="C33" s="26">
        <f>TariefOpbouwDirecteKosten1*B33</f>
        <v>0</v>
      </c>
      <c r="D33" s="25"/>
      <c r="E33" s="26">
        <f>TariefOpbouwDirecteKosten2*D33</f>
        <v>0</v>
      </c>
      <c r="F33" s="25"/>
      <c r="G33" s="26">
        <f>TariefOpbouwDirecteKosten3*F33</f>
        <v>0</v>
      </c>
      <c r="H33" s="25"/>
      <c r="I33" s="26">
        <f>TariefOpbouwDirecteKosten4*H33</f>
        <v>0</v>
      </c>
      <c r="J33" s="25"/>
      <c r="K33" s="26">
        <f>TariefOpbouwDirecteKosten5*J33</f>
        <v>0</v>
      </c>
      <c r="L33" s="25"/>
      <c r="M33" s="26">
        <f>TariefOpbouwDirecteKosten6*L33</f>
        <v>0</v>
      </c>
      <c r="N33" s="25"/>
      <c r="O33" s="26">
        <f>TariefOpbouwDirecteKosten7*N33</f>
        <v>0</v>
      </c>
      <c r="P33" s="25"/>
      <c r="Q33" s="27">
        <f>TariefOpbouwDirecteKosten8*P33</f>
        <v>0</v>
      </c>
    </row>
    <row r="34" spans="1:17" x14ac:dyDescent="0.2">
      <c r="A34" s="20" t="s">
        <v>66</v>
      </c>
      <c r="B34" s="25"/>
      <c r="C34" s="26">
        <f>TariefOpbouwDirecteKosten1*B34</f>
        <v>0</v>
      </c>
      <c r="D34" s="25"/>
      <c r="E34" s="26">
        <f>TariefOpbouwDirecteKosten2*D34</f>
        <v>0</v>
      </c>
      <c r="F34" s="25"/>
      <c r="G34" s="26">
        <f>TariefOpbouwDirecteKosten3*F34</f>
        <v>0</v>
      </c>
      <c r="H34" s="25"/>
      <c r="I34" s="26">
        <f>TariefOpbouwDirecteKosten4*H34</f>
        <v>0</v>
      </c>
      <c r="J34" s="25"/>
      <c r="K34" s="26">
        <f>TariefOpbouwDirecteKosten5*J34</f>
        <v>0</v>
      </c>
      <c r="L34" s="25"/>
      <c r="M34" s="26">
        <f>TariefOpbouwDirecteKosten6*L34</f>
        <v>0</v>
      </c>
      <c r="N34" s="25"/>
      <c r="O34" s="26">
        <f>TariefOpbouwDirecteKosten7*N34</f>
        <v>0</v>
      </c>
      <c r="P34" s="25"/>
      <c r="Q34" s="27">
        <f>TariefOpbouwDirecteKosten8*P34</f>
        <v>0</v>
      </c>
    </row>
    <row r="35" spans="1:17" x14ac:dyDescent="0.2">
      <c r="A35" s="11" t="s">
        <v>67</v>
      </c>
      <c r="B35" s="23">
        <f>SUM(C28:C34)</f>
        <v>0</v>
      </c>
      <c r="C35" s="23"/>
      <c r="D35" s="23">
        <f>SUM(E28:E34)</f>
        <v>0</v>
      </c>
      <c r="E35" s="23"/>
      <c r="F35" s="23">
        <f>SUM(G28:G34)</f>
        <v>0</v>
      </c>
      <c r="G35" s="23"/>
      <c r="H35" s="23">
        <f>SUM(I28:I34)</f>
        <v>0</v>
      </c>
      <c r="I35" s="23"/>
      <c r="J35" s="23">
        <f>SUM(K28:K34)</f>
        <v>0</v>
      </c>
      <c r="K35" s="23"/>
      <c r="L35" s="23">
        <f>SUM(M28:M34)</f>
        <v>0</v>
      </c>
      <c r="M35" s="23"/>
      <c r="N35" s="23">
        <f>SUM(O28:O34)</f>
        <v>0</v>
      </c>
      <c r="O35" s="23"/>
      <c r="P35" s="23">
        <f>SUM(Q28:Q34)</f>
        <v>0</v>
      </c>
      <c r="Q35" s="24"/>
    </row>
    <row r="36" spans="1:17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0"/>
    </row>
    <row r="37" spans="1:17" x14ac:dyDescent="0.2">
      <c r="A37" s="11" t="s">
        <v>68</v>
      </c>
      <c r="B37" s="25"/>
      <c r="C37" s="26">
        <f>(TariefOpbouwDirecteKosten1+TariefOpbouwIndirecteKosten1)*B37</f>
        <v>0</v>
      </c>
      <c r="D37" s="25"/>
      <c r="E37" s="26">
        <f>(TariefOpbouwDirecteKosten2+TariefOpbouwIndirecteKosten2)*D37</f>
        <v>0</v>
      </c>
      <c r="F37" s="25"/>
      <c r="G37" s="26">
        <f>(TariefOpbouwDirecteKosten3+TariefOpbouwIndirecteKosten3)*F37</f>
        <v>0</v>
      </c>
      <c r="H37" s="25"/>
      <c r="I37" s="26">
        <f>(TariefOpbouwDirecteKosten4+TariefOpbouwIndirecteKosten4)*H37</f>
        <v>0</v>
      </c>
      <c r="J37" s="25"/>
      <c r="K37" s="26">
        <f>(TariefOpbouwDirecteKosten5+TariefOpbouwIndirecteKosten5)*J37</f>
        <v>0</v>
      </c>
      <c r="L37" s="25"/>
      <c r="M37" s="26">
        <f>(TariefOpbouwDirecteKosten6+TariefOpbouwIndirecteKosten6)*L37</f>
        <v>0</v>
      </c>
      <c r="N37" s="25"/>
      <c r="O37" s="26">
        <f>(TariefOpbouwDirecteKosten7+TariefOpbouwIndirecteKosten7)*N37</f>
        <v>0</v>
      </c>
      <c r="P37" s="25"/>
      <c r="Q37" s="27">
        <f>(TariefOpbouwDirecteKosten8+TariefOpbouwIndirecteKosten8)*P37</f>
        <v>0</v>
      </c>
    </row>
    <row r="38" spans="1:17" x14ac:dyDescent="0.2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0"/>
    </row>
    <row r="39" spans="1:17" x14ac:dyDescent="0.2">
      <c r="A39" s="11" t="s">
        <v>69</v>
      </c>
      <c r="B39" s="23">
        <f>TariefOpbouwDirecteKosten1+TariefOpbouwIndirecteKosten1+TariefOpbouwRisicoWinst1</f>
        <v>0</v>
      </c>
      <c r="C39" s="23"/>
      <c r="D39" s="23">
        <f>TariefOpbouwDirecteKosten2+TariefOpbouwIndirecteKosten2+TariefOpbouwRisicoWinst2</f>
        <v>0</v>
      </c>
      <c r="E39" s="23"/>
      <c r="F39" s="23">
        <f>TariefOpbouwDirecteKosten3+TariefOpbouwIndirecteKosten3+TariefOpbouwRisicoWinst3</f>
        <v>0</v>
      </c>
      <c r="G39" s="23"/>
      <c r="H39" s="23">
        <f>TariefOpbouwDirecteKosten4+TariefOpbouwIndirecteKosten4+TariefOpbouwRisicoWinst4</f>
        <v>0</v>
      </c>
      <c r="I39" s="23"/>
      <c r="J39" s="23">
        <f>TariefOpbouwDirecteKosten5+TariefOpbouwIndirecteKosten5+TariefOpbouwRisicoWinst5</f>
        <v>0</v>
      </c>
      <c r="K39" s="23"/>
      <c r="L39" s="23">
        <f>TariefOpbouwDirecteKosten6+TariefOpbouwIndirecteKosten6+TariefOpbouwRisicoWinst6</f>
        <v>0</v>
      </c>
      <c r="M39" s="23"/>
      <c r="N39" s="23">
        <f>TariefOpbouwDirecteKosten7+TariefOpbouwIndirecteKosten7+TariefOpbouwRisicoWinst7</f>
        <v>0</v>
      </c>
      <c r="O39" s="23"/>
      <c r="P39" s="23">
        <f>TariefOpbouwDirecteKosten8+TariefOpbouwIndirecteKosten8+TariefOpbouwRisicoWinst8</f>
        <v>0</v>
      </c>
      <c r="Q39" s="24"/>
    </row>
    <row r="40" spans="1:17" x14ac:dyDescent="0.2">
      <c r="A40" s="11" t="s">
        <v>70</v>
      </c>
      <c r="B40" s="31" t="s">
        <v>71</v>
      </c>
      <c r="C40" s="31" t="s">
        <v>72</v>
      </c>
      <c r="D40" s="31" t="s">
        <v>71</v>
      </c>
      <c r="E40" s="31" t="s">
        <v>72</v>
      </c>
      <c r="F40" s="31" t="s">
        <v>71</v>
      </c>
      <c r="G40" s="31" t="s">
        <v>72</v>
      </c>
      <c r="H40" s="31" t="s">
        <v>71</v>
      </c>
      <c r="I40" s="31" t="s">
        <v>72</v>
      </c>
      <c r="J40" s="31" t="s">
        <v>71</v>
      </c>
      <c r="K40" s="31" t="s">
        <v>72</v>
      </c>
      <c r="L40" s="31" t="s">
        <v>71</v>
      </c>
      <c r="M40" s="31" t="s">
        <v>72</v>
      </c>
      <c r="N40" s="31" t="s">
        <v>71</v>
      </c>
      <c r="O40" s="31" t="s">
        <v>72</v>
      </c>
      <c r="P40" s="31" t="s">
        <v>71</v>
      </c>
      <c r="Q40" s="32" t="s">
        <v>72</v>
      </c>
    </row>
    <row r="41" spans="1:17" x14ac:dyDescent="0.2">
      <c r="A41" s="11" t="s">
        <v>73</v>
      </c>
      <c r="B41" s="33">
        <v>0.3</v>
      </c>
      <c r="C41" s="26">
        <f>((1+B41)*TariefOpbouwTotaalLoonkosten1+TariefOpbouwDirecteKosten1-TariefOpbouwTotaalLoonkosten1+TariefOpbouwIndirecteKosten1)*(1+TariefOpbouwRisicoWinstPercentage1)</f>
        <v>0</v>
      </c>
      <c r="D41" s="33">
        <v>0.3</v>
      </c>
      <c r="E41" s="26">
        <f>((1+D41)*TariefOpbouwTotaalLoonkosten2+TariefOpbouwDirecteKosten2-TariefOpbouwTotaalLoonkosten2+TariefOpbouwIndirecteKosten2)*(1+TariefOpbouwRisicoWinstPercentage2)</f>
        <v>0</v>
      </c>
      <c r="F41" s="33">
        <v>0.3</v>
      </c>
      <c r="G41" s="26">
        <f>((1+F41)*TariefOpbouwTotaalLoonkosten3+TariefOpbouwDirecteKosten3-TariefOpbouwTotaalLoonkosten3+TariefOpbouwIndirecteKosten3)*(1+TariefOpbouwRisicoWinstPercentage3)</f>
        <v>0</v>
      </c>
      <c r="H41" s="33">
        <v>0.3</v>
      </c>
      <c r="I41" s="26">
        <f>((1+H41)*TariefOpbouwTotaalLoonkosten4+TariefOpbouwDirecteKosten4-TariefOpbouwTotaalLoonkosten4+TariefOpbouwIndirecteKosten4)*(1+TariefOpbouwRisicoWinstPercentage4)</f>
        <v>0</v>
      </c>
      <c r="J41" s="33">
        <v>0.3</v>
      </c>
      <c r="K41" s="26">
        <f>((1+J41)*TariefOpbouwTotaalLoonkosten5+TariefOpbouwDirecteKosten5-TariefOpbouwTotaalLoonkosten5+TariefOpbouwIndirecteKosten5)*(1+TariefOpbouwRisicoWinstPercentage5)</f>
        <v>0</v>
      </c>
      <c r="L41" s="33">
        <v>0.3</v>
      </c>
      <c r="M41" s="26">
        <f>((1+L41)*TariefOpbouwTotaalLoonkosten6+TariefOpbouwDirecteKosten6-TariefOpbouwTotaalLoonkosten6+TariefOpbouwIndirecteKosten6)*(1+TariefOpbouwRisicoWinstPercentage6)</f>
        <v>0</v>
      </c>
      <c r="N41" s="33">
        <v>0.3</v>
      </c>
      <c r="O41" s="26">
        <f>((1+N41)*TariefOpbouwTotaalLoonkosten7+TariefOpbouwDirecteKosten7-TariefOpbouwTotaalLoonkosten7+TariefOpbouwIndirecteKosten7)*(1+TariefOpbouwRisicoWinstPercentage7)</f>
        <v>0</v>
      </c>
      <c r="P41" s="33">
        <v>0.3</v>
      </c>
      <c r="Q41" s="27">
        <f>((1+P41)*TariefOpbouwTotaalLoonkosten8+TariefOpbouwDirecteKosten8-TariefOpbouwTotaalLoonkosten8+TariefOpbouwIndirecteKosten8)*(1+TariefOpbouwRisicoWinstPercentage8)</f>
        <v>0</v>
      </c>
    </row>
    <row r="42" spans="1:17" x14ac:dyDescent="0.2">
      <c r="A42" s="11" t="s">
        <v>74</v>
      </c>
      <c r="B42" s="33">
        <v>0.5</v>
      </c>
      <c r="C42" s="26">
        <f>((1+B42)*TariefOpbouwTotaalLoonkosten1+TariefOpbouwDirecteKosten1-TariefOpbouwTotaalLoonkosten1+TariefOpbouwIndirecteKosten1)*(1+TariefOpbouwRisicoWinstPercentage1)</f>
        <v>0</v>
      </c>
      <c r="D42" s="33">
        <v>0.5</v>
      </c>
      <c r="E42" s="26">
        <f>((1+D42)*TariefOpbouwTotaalLoonkosten2+TariefOpbouwDirecteKosten2-TariefOpbouwTotaalLoonkosten2+TariefOpbouwIndirecteKosten2)*(1+TariefOpbouwRisicoWinstPercentage2)</f>
        <v>0</v>
      </c>
      <c r="F42" s="33">
        <v>0.5</v>
      </c>
      <c r="G42" s="26">
        <f>((1+F42)*TariefOpbouwTotaalLoonkosten3+TariefOpbouwDirecteKosten3-TariefOpbouwTotaalLoonkosten3+TariefOpbouwIndirecteKosten3)*(1+TariefOpbouwRisicoWinstPercentage3)</f>
        <v>0</v>
      </c>
      <c r="H42" s="33">
        <v>0.5</v>
      </c>
      <c r="I42" s="26">
        <f>((1+H42)*TariefOpbouwTotaalLoonkosten4+TariefOpbouwDirecteKosten4-TariefOpbouwTotaalLoonkosten4+TariefOpbouwIndirecteKosten4)*(1+TariefOpbouwRisicoWinstPercentage4)</f>
        <v>0</v>
      </c>
      <c r="J42" s="33">
        <v>0.5</v>
      </c>
      <c r="K42" s="26">
        <f>((1+J42)*TariefOpbouwTotaalLoonkosten5+TariefOpbouwDirecteKosten5-TariefOpbouwTotaalLoonkosten5+TariefOpbouwIndirecteKosten5)*(1+TariefOpbouwRisicoWinstPercentage5)</f>
        <v>0</v>
      </c>
      <c r="L42" s="33">
        <v>0.5</v>
      </c>
      <c r="M42" s="26">
        <f>((1+L42)*TariefOpbouwTotaalLoonkosten6+TariefOpbouwDirecteKosten6-TariefOpbouwTotaalLoonkosten6+TariefOpbouwIndirecteKosten6)*(1+TariefOpbouwRisicoWinstPercentage6)</f>
        <v>0</v>
      </c>
      <c r="N42" s="33">
        <v>0.5</v>
      </c>
      <c r="O42" s="26">
        <f>((1+N42)*TariefOpbouwTotaalLoonkosten7+TariefOpbouwDirecteKosten7-TariefOpbouwTotaalLoonkosten7+TariefOpbouwIndirecteKosten7)*(1+TariefOpbouwRisicoWinstPercentage7)</f>
        <v>0</v>
      </c>
      <c r="P42" s="33">
        <v>0.5</v>
      </c>
      <c r="Q42" s="27">
        <f>((1+P42)*TariefOpbouwTotaalLoonkosten8+TariefOpbouwDirecteKosten8-TariefOpbouwTotaalLoonkosten8+TariefOpbouwIndirecteKosten8)*(1+TariefOpbouwRisicoWinstPercentage8)</f>
        <v>0</v>
      </c>
    </row>
    <row r="43" spans="1:17" x14ac:dyDescent="0.2">
      <c r="A43" s="34" t="s">
        <v>75</v>
      </c>
      <c r="B43" s="35">
        <v>1.5</v>
      </c>
      <c r="C43" s="36">
        <f>((1+B43)*TariefOpbouwTotaalLoonkosten1+TariefOpbouwDirecteKosten1-TariefOpbouwTotaalLoonkosten1+TariefOpbouwIndirecteKosten1)*(1+TariefOpbouwRisicoWinstPercentage1)</f>
        <v>0</v>
      </c>
      <c r="D43" s="35">
        <v>1.5</v>
      </c>
      <c r="E43" s="36">
        <f>((1+D43)*TariefOpbouwTotaalLoonkosten2+TariefOpbouwDirecteKosten2-TariefOpbouwTotaalLoonkosten2+TariefOpbouwIndirecteKosten2)*(1+TariefOpbouwRisicoWinstPercentage2)</f>
        <v>0</v>
      </c>
      <c r="F43" s="35">
        <v>1.5</v>
      </c>
      <c r="G43" s="36">
        <f>((1+F43)*TariefOpbouwTotaalLoonkosten3+TariefOpbouwDirecteKosten3-TariefOpbouwTotaalLoonkosten3+TariefOpbouwIndirecteKosten3)*(1+TariefOpbouwRisicoWinstPercentage3)</f>
        <v>0</v>
      </c>
      <c r="H43" s="35">
        <v>1.5</v>
      </c>
      <c r="I43" s="36">
        <f>((1+H43)*TariefOpbouwTotaalLoonkosten4+TariefOpbouwDirecteKosten4-TariefOpbouwTotaalLoonkosten4+TariefOpbouwIndirecteKosten4)*(1+TariefOpbouwRisicoWinstPercentage4)</f>
        <v>0</v>
      </c>
      <c r="J43" s="35">
        <v>1.5</v>
      </c>
      <c r="K43" s="36">
        <f>((1+J43)*TariefOpbouwTotaalLoonkosten5+TariefOpbouwDirecteKosten5-TariefOpbouwTotaalLoonkosten5+TariefOpbouwIndirecteKosten5)*(1+TariefOpbouwRisicoWinstPercentage5)</f>
        <v>0</v>
      </c>
      <c r="L43" s="35">
        <v>1.5</v>
      </c>
      <c r="M43" s="36">
        <f>((1+L43)*TariefOpbouwTotaalLoonkosten6+TariefOpbouwDirecteKosten6-TariefOpbouwTotaalLoonkosten6+TariefOpbouwIndirecteKosten6)*(1+TariefOpbouwRisicoWinstPercentage6)</f>
        <v>0</v>
      </c>
      <c r="N43" s="35">
        <v>1.5</v>
      </c>
      <c r="O43" s="36">
        <f>((1+N43)*TariefOpbouwTotaalLoonkosten7+TariefOpbouwDirecteKosten7-TariefOpbouwTotaalLoonkosten7+TariefOpbouwIndirecteKosten7)*(1+TariefOpbouwRisicoWinstPercentage7)</f>
        <v>0</v>
      </c>
      <c r="P43" s="35">
        <v>1.5</v>
      </c>
      <c r="Q43" s="37">
        <f>((1+P43)*TariefOpbouwTotaalLoonkosten8+TariefOpbouwDirecteKosten8-TariefOpbouwTotaalLoonkosten8+TariefOpbouwIndirecteKosten8)*(1+TariefOpbouwRisicoWinstPercentage8)</f>
        <v>0</v>
      </c>
    </row>
    <row r="45" spans="1:17" ht="25.5" customHeight="1" x14ac:dyDescent="0.2">
      <c r="A45" s="8" t="s">
        <v>76</v>
      </c>
      <c r="B45" s="38" t="s">
        <v>77</v>
      </c>
      <c r="C45" s="38"/>
      <c r="D45" s="38" t="s">
        <v>78</v>
      </c>
      <c r="E45" s="38"/>
      <c r="F45" s="38" t="s">
        <v>79</v>
      </c>
      <c r="G45" s="39"/>
    </row>
    <row r="46" spans="1:17" x14ac:dyDescent="0.2">
      <c r="A46" s="28"/>
      <c r="B46" s="31" t="s">
        <v>80</v>
      </c>
      <c r="C46" s="31" t="s">
        <v>81</v>
      </c>
      <c r="D46" s="31" t="s">
        <v>80</v>
      </c>
      <c r="E46" s="31" t="s">
        <v>81</v>
      </c>
      <c r="F46" s="31" t="s">
        <v>80</v>
      </c>
      <c r="G46" s="32" t="s">
        <v>81</v>
      </c>
    </row>
    <row r="47" spans="1:17" x14ac:dyDescent="0.2">
      <c r="A47" s="40" t="str">
        <f>TariefOpbouwNaam1&amp;" "&amp;TariefOpbouwErvaring1</f>
        <v>Vakvolwassene &gt;3 dienstjaren</v>
      </c>
      <c r="B47" s="25"/>
      <c r="C47" s="26">
        <f>TariefOpbouwTarief1</f>
        <v>0</v>
      </c>
      <c r="D47" s="25"/>
      <c r="E47" s="26">
        <f>TariefOpbouwTarief1W</f>
        <v>0</v>
      </c>
      <c r="F47" s="25"/>
      <c r="G47" s="27">
        <f>TariefOpbouwTarief1X</f>
        <v>0</v>
      </c>
    </row>
    <row r="48" spans="1:17" x14ac:dyDescent="0.2">
      <c r="A48" s="40" t="str">
        <f>TariefOpbouwNaam2&amp;" "&amp;TariefOpbouwErvaring2</f>
        <v xml:space="preserve">Vakvolwassene </v>
      </c>
      <c r="B48" s="25"/>
      <c r="C48" s="26">
        <f>TariefOpbouwTarief2</f>
        <v>0</v>
      </c>
      <c r="D48" s="25"/>
      <c r="E48" s="26">
        <f>TariefOpbouwTarief2W</f>
        <v>0</v>
      </c>
      <c r="F48" s="25"/>
      <c r="G48" s="27">
        <f>TariefOpbouwTarief2X</f>
        <v>0</v>
      </c>
    </row>
    <row r="49" spans="1:7" x14ac:dyDescent="0.2">
      <c r="A49" s="40" t="str">
        <f>TariefOpbouwNaam3&amp;" "&amp;TariefOpbouwErvaring3</f>
        <v>Leiding (meewerkend) voorman/vrouw</v>
      </c>
      <c r="B49" s="25"/>
      <c r="C49" s="26">
        <f>TariefOpbouwTarief3</f>
        <v>0</v>
      </c>
      <c r="D49" s="25"/>
      <c r="E49" s="26">
        <f>TariefOpbouwTarief3W</f>
        <v>0</v>
      </c>
      <c r="F49" s="25"/>
      <c r="G49" s="27">
        <f>TariefOpbouwTarief3X</f>
        <v>0</v>
      </c>
    </row>
    <row r="50" spans="1:7" x14ac:dyDescent="0.2">
      <c r="A50" s="11" t="s">
        <v>82</v>
      </c>
      <c r="B50" s="41" t="str">
        <f>IF(SUM(B47:B49)=1,SUM(B47:B49),"ongeldig")</f>
        <v>ongeldig</v>
      </c>
      <c r="C50" s="26">
        <f>SUMPRODUCT(B47:B49,C47:C49)</f>
        <v>0</v>
      </c>
      <c r="D50" s="41" t="str">
        <f>IF(SUM(D47:D49)=1,SUM(D47:D49),"ongeldig")</f>
        <v>ongeldig</v>
      </c>
      <c r="E50" s="26">
        <f>SUMPRODUCT(D47:D49,E47:E49)</f>
        <v>0</v>
      </c>
      <c r="F50" s="41" t="str">
        <f>IF(SUM(F47:F49)=1,SUM(F47:F49),"ongeldig")</f>
        <v>ongeldig</v>
      </c>
      <c r="G50" s="27">
        <f>SUMPRODUCT(F47:F49,G47:G49)</f>
        <v>0</v>
      </c>
    </row>
    <row r="51" spans="1:7" x14ac:dyDescent="0.2">
      <c r="A51" s="40" t="str">
        <f>TariefOpbouwNaam4&amp;" "&amp;TariefOpbouwErvaring4</f>
        <v>Leiding (niet-meewerkend) voorman/vrouw</v>
      </c>
      <c r="B51" s="25"/>
      <c r="C51" s="26">
        <f>TariefOpbouwTarief4</f>
        <v>0</v>
      </c>
      <c r="D51" s="25"/>
      <c r="E51" s="26">
        <f>TariefOpbouwTarief4W</f>
        <v>0</v>
      </c>
      <c r="F51" s="25"/>
      <c r="G51" s="27">
        <f>TariefOpbouwTarief4X</f>
        <v>0</v>
      </c>
    </row>
    <row r="52" spans="1:7" x14ac:dyDescent="0.2">
      <c r="A52" s="40" t="str">
        <f>TariefOpbouwNaam5&amp;" "&amp;TariefOpbouwErvaring5</f>
        <v>Leiding (niet-meewerkend) objectleider</v>
      </c>
      <c r="B52" s="25"/>
      <c r="C52" s="26">
        <f>TariefOpbouwTarief5</f>
        <v>0</v>
      </c>
      <c r="D52" s="25"/>
      <c r="E52" s="26">
        <f>TariefOpbouwTarief5W</f>
        <v>0</v>
      </c>
      <c r="F52" s="25"/>
      <c r="G52" s="27">
        <f>TariefOpbouwTarief5X</f>
        <v>0</v>
      </c>
    </row>
    <row r="53" spans="1:7" x14ac:dyDescent="0.2">
      <c r="A53" s="34" t="s">
        <v>83</v>
      </c>
      <c r="B53" s="42">
        <f>TariefUitvoering1+IF(SUM(B51:B52)&gt;0,SUMPRODUCT(B51:B52,C51:C52))</f>
        <v>0</v>
      </c>
      <c r="C53" s="42"/>
      <c r="D53" s="42">
        <f>TariefUitvoering5+IF(SUM(D51:D52)&gt;0,SUMPRODUCT(D51:D52,E51:E52))</f>
        <v>0</v>
      </c>
      <c r="E53" s="42"/>
      <c r="F53" s="42">
        <f>TariefUitvoering6+IF(SUM(F51:F52)&gt;0,SUMPRODUCT(F51:F52,G51:G52))</f>
        <v>0</v>
      </c>
      <c r="G53" s="43"/>
    </row>
    <row r="55" spans="1:7" ht="38.25" customHeight="1" x14ac:dyDescent="0.2">
      <c r="A55" s="8" t="s">
        <v>84</v>
      </c>
      <c r="B55" s="38" t="s">
        <v>85</v>
      </c>
      <c r="C55" s="38"/>
      <c r="D55" s="38" t="s">
        <v>86</v>
      </c>
      <c r="E55" s="38"/>
      <c r="F55" s="38" t="s">
        <v>87</v>
      </c>
      <c r="G55" s="39"/>
    </row>
    <row r="56" spans="1:7" x14ac:dyDescent="0.2">
      <c r="A56" s="28"/>
      <c r="B56" s="31" t="s">
        <v>80</v>
      </c>
      <c r="C56" s="31" t="s">
        <v>81</v>
      </c>
      <c r="D56" s="31" t="s">
        <v>80</v>
      </c>
      <c r="E56" s="31" t="s">
        <v>81</v>
      </c>
      <c r="F56" s="31" t="s">
        <v>80</v>
      </c>
      <c r="G56" s="32" t="s">
        <v>81</v>
      </c>
    </row>
    <row r="57" spans="1:7" x14ac:dyDescent="0.2">
      <c r="A57" s="40" t="str">
        <f>TariefOpbouwNaam6&amp;" "&amp;TariefOpbouwErvaring6</f>
        <v xml:space="preserve">Vakvolwassene regie </v>
      </c>
      <c r="B57" s="25"/>
      <c r="C57" s="26">
        <f>TariefOpbouwTarief6</f>
        <v>0</v>
      </c>
      <c r="D57" s="25"/>
      <c r="E57" s="26">
        <f>TariefOpbouwTarief6</f>
        <v>0</v>
      </c>
      <c r="F57" s="25"/>
      <c r="G57" s="27">
        <f>TariefOpbouwTarief6</f>
        <v>0</v>
      </c>
    </row>
    <row r="58" spans="1:7" x14ac:dyDescent="0.2">
      <c r="A58" s="40" t="str">
        <f>TariefOpbouwNaam7&amp;" "&amp;TariefOpbouwErvaring7</f>
        <v>Vakvolwassene regie specialist</v>
      </c>
      <c r="B58" s="25"/>
      <c r="C58" s="26">
        <f>TariefOpbouwTarief7</f>
        <v>0</v>
      </c>
      <c r="D58" s="25"/>
      <c r="E58" s="26">
        <f>TariefOpbouwTarief7</f>
        <v>0</v>
      </c>
      <c r="F58" s="25"/>
      <c r="G58" s="27">
        <f>TariefOpbouwTarief7</f>
        <v>0</v>
      </c>
    </row>
    <row r="59" spans="1:7" x14ac:dyDescent="0.2">
      <c r="A59" s="11" t="s">
        <v>82</v>
      </c>
      <c r="B59" s="41" t="str">
        <f>IF(SUM(B57:B58)=1,SUM(B57:B58),"ongeldig")</f>
        <v>ongeldig</v>
      </c>
      <c r="C59" s="26">
        <f>SUMPRODUCT(B57:B58,C57:C58)</f>
        <v>0</v>
      </c>
      <c r="D59" s="41" t="str">
        <f>IF(SUM(D57:D58)=1,SUM(D57:D58),"ongeldig")</f>
        <v>ongeldig</v>
      </c>
      <c r="E59" s="26">
        <f>SUMPRODUCT(D57:D58,E57:E58)</f>
        <v>0</v>
      </c>
      <c r="F59" s="41" t="str">
        <f>IF(SUM(F57:F58)=1,SUM(F57:F58),"ongeldig")</f>
        <v>ongeldig</v>
      </c>
      <c r="G59" s="27">
        <f>SUMPRODUCT(F57:F58,G57:G58)</f>
        <v>0</v>
      </c>
    </row>
    <row r="60" spans="1:7" x14ac:dyDescent="0.2">
      <c r="A60" s="40" t="str">
        <f>TariefOpbouwNaam8&amp;" "&amp;TariefOpbouwErvaring8</f>
        <v xml:space="preserve">Leiding regie </v>
      </c>
      <c r="B60" s="25"/>
      <c r="C60" s="26">
        <f>TariefOpbouwTarief8</f>
        <v>0</v>
      </c>
      <c r="D60" s="25"/>
      <c r="E60" s="26">
        <f>TariefOpbouwTarief8</f>
        <v>0</v>
      </c>
      <c r="F60" s="25"/>
      <c r="G60" s="27">
        <f>TariefOpbouwTarief8</f>
        <v>0</v>
      </c>
    </row>
    <row r="61" spans="1:7" x14ac:dyDescent="0.2">
      <c r="A61" s="34" t="s">
        <v>88</v>
      </c>
      <c r="B61" s="42">
        <f>TariefUitvoering2+IF(SUM(B60:B60)&gt;0,SUMPRODUCT(B60:B60,C60:C60))</f>
        <v>0</v>
      </c>
      <c r="C61" s="42"/>
      <c r="D61" s="42">
        <f>TariefUitvoering3+IF(SUM(D60:D60)&gt;0,SUMPRODUCT(D60:D60,E60:E60))</f>
        <v>0</v>
      </c>
      <c r="E61" s="42"/>
      <c r="F61" s="42">
        <f>TariefUitvoering4+IF(SUM(F60:F60)&gt;0,SUMPRODUCT(F60:F60,G60:G60))</f>
        <v>0</v>
      </c>
      <c r="G61" s="43"/>
    </row>
  </sheetData>
  <sheetProtection algorithmName="SHA-512" hashValue="eVfQbokkoaulou+b01hSsRbIdrLQ08qtiW3g5i2bwFhdB9h6wNbk/HJFazjHvZiG27exQHLKOCXLBPdERu9nYA==" saltValue="Rh73bFhHVSIHv3i8a6j/fA==" spinCount="100000" sheet="1" objects="1" scenarios="1" autoFilter="0"/>
  <mergeCells count="116">
    <mergeCell ref="B55:C55"/>
    <mergeCell ref="D55:E55"/>
    <mergeCell ref="F55:G55"/>
    <mergeCell ref="B61:C61"/>
    <mergeCell ref="D61:E61"/>
    <mergeCell ref="F61:G61"/>
    <mergeCell ref="N39:O39"/>
    <mergeCell ref="P39:Q39"/>
    <mergeCell ref="B45:C45"/>
    <mergeCell ref="D45:E45"/>
    <mergeCell ref="F45:G45"/>
    <mergeCell ref="B53:C53"/>
    <mergeCell ref="D53:E53"/>
    <mergeCell ref="F53:G53"/>
    <mergeCell ref="B39:C39"/>
    <mergeCell ref="D39:E39"/>
    <mergeCell ref="F39:G39"/>
    <mergeCell ref="H39:I39"/>
    <mergeCell ref="J39:K39"/>
    <mergeCell ref="L39:M39"/>
    <mergeCell ref="N26:O26"/>
    <mergeCell ref="P26:Q26"/>
    <mergeCell ref="B35:C35"/>
    <mergeCell ref="D35:E35"/>
    <mergeCell ref="F35:G35"/>
    <mergeCell ref="H35:I35"/>
    <mergeCell ref="J35:K35"/>
    <mergeCell ref="L35:M35"/>
    <mergeCell ref="N35:O35"/>
    <mergeCell ref="P35:Q35"/>
    <mergeCell ref="B26:C26"/>
    <mergeCell ref="D26:E26"/>
    <mergeCell ref="F26:G26"/>
    <mergeCell ref="H26:I26"/>
    <mergeCell ref="J26:K26"/>
    <mergeCell ref="L26:M26"/>
    <mergeCell ref="N14:O14"/>
    <mergeCell ref="P14:Q14"/>
    <mergeCell ref="B19:C19"/>
    <mergeCell ref="D19:E19"/>
    <mergeCell ref="F19:G19"/>
    <mergeCell ref="H19:I19"/>
    <mergeCell ref="J19:K19"/>
    <mergeCell ref="L19:M19"/>
    <mergeCell ref="N19:O19"/>
    <mergeCell ref="P19:Q19"/>
    <mergeCell ref="B14:C14"/>
    <mergeCell ref="D14:E14"/>
    <mergeCell ref="F14:G14"/>
    <mergeCell ref="H14:I14"/>
    <mergeCell ref="J14:K14"/>
    <mergeCell ref="L14:M14"/>
    <mergeCell ref="N9:O9"/>
    <mergeCell ref="P9:Q9"/>
    <mergeCell ref="B12:C12"/>
    <mergeCell ref="D12:E12"/>
    <mergeCell ref="F12:G12"/>
    <mergeCell ref="H12:I12"/>
    <mergeCell ref="J12:K12"/>
    <mergeCell ref="L12:M12"/>
    <mergeCell ref="N12:O12"/>
    <mergeCell ref="P12:Q12"/>
    <mergeCell ref="B9:C9"/>
    <mergeCell ref="D9:E9"/>
    <mergeCell ref="F9:G9"/>
    <mergeCell ref="H9:I9"/>
    <mergeCell ref="J9:K9"/>
    <mergeCell ref="L9:M9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7:C7"/>
    <mergeCell ref="D7:E7"/>
    <mergeCell ref="F7:G7"/>
    <mergeCell ref="H7:I7"/>
    <mergeCell ref="J7:K7"/>
    <mergeCell ref="L7:M7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5:C5"/>
    <mergeCell ref="D5:E5"/>
    <mergeCell ref="F5:G5"/>
    <mergeCell ref="H5:I5"/>
    <mergeCell ref="J5:K5"/>
    <mergeCell ref="L5:M5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5" orientation="landscape" horizontalDpi="4294967295" verticalDpi="4294967295" r:id="rId1"/>
  <headerFooter>
    <oddFooter>&amp;LCentraal Museum Utrecht EA2026                              &amp;ROpmaakdatum: 19-03-2026
Intexso - Plantageweg 23E - Leusden
+31 (33) 2778485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0310-2136-4F7D-B4AA-258F2BE8E7B8}">
  <dimension ref="A1:H85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4.625" customWidth="1"/>
    <col min="4" max="4" width="50.625" customWidth="1"/>
    <col min="5" max="6" width="11.625" customWidth="1"/>
    <col min="7" max="7" width="9.625" customWidth="1"/>
    <col min="8" max="8" width="11.625" customWidth="1"/>
  </cols>
  <sheetData>
    <row r="1" spans="1:8" x14ac:dyDescent="0.2">
      <c r="A1" s="1" t="str">
        <f>CONCATENATE("Bijlage H.1: ",tabeltype," categorienormen")</f>
        <v>Bijlage H.1: Invultabel categorienormen</v>
      </c>
    </row>
    <row r="3" spans="1:8" ht="38.25" x14ac:dyDescent="0.2">
      <c r="A3" s="44" t="s">
        <v>89</v>
      </c>
      <c r="B3" s="44" t="s">
        <v>90</v>
      </c>
      <c r="C3" s="44" t="s">
        <v>91</v>
      </c>
      <c r="D3" s="44" t="s">
        <v>92</v>
      </c>
      <c r="E3" s="44" t="s">
        <v>93</v>
      </c>
      <c r="F3" s="44" t="s">
        <v>94</v>
      </c>
      <c r="G3" s="44" t="s">
        <v>95</v>
      </c>
      <c r="H3" s="44" t="s">
        <v>96</v>
      </c>
    </row>
    <row r="4" spans="1:8" x14ac:dyDescent="0.2">
      <c r="A4" s="45"/>
      <c r="B4" s="46"/>
      <c r="C4" s="46"/>
      <c r="D4" s="46"/>
      <c r="E4" s="46"/>
      <c r="F4" s="46"/>
      <c r="G4" s="46"/>
      <c r="H4" s="47"/>
    </row>
    <row r="5" spans="1:8" x14ac:dyDescent="0.2">
      <c r="A5" s="48" t="s">
        <v>97</v>
      </c>
      <c r="B5" s="49"/>
      <c r="C5" s="49"/>
      <c r="D5" s="49"/>
      <c r="E5" s="49"/>
      <c r="F5" s="49"/>
      <c r="G5" s="49"/>
      <c r="H5" s="50"/>
    </row>
    <row r="6" spans="1:8" x14ac:dyDescent="0.2">
      <c r="A6" s="51" t="s">
        <v>98</v>
      </c>
      <c r="B6" s="52" t="s">
        <v>99</v>
      </c>
      <c r="C6" s="51">
        <v>1</v>
      </c>
      <c r="D6" s="51" t="s">
        <v>100</v>
      </c>
      <c r="E6" s="53"/>
      <c r="F6" s="54"/>
      <c r="G6" s="51" t="s">
        <v>101</v>
      </c>
      <c r="H6" s="55">
        <f>Tariefopbouw1</f>
        <v>0</v>
      </c>
    </row>
    <row r="7" spans="1:8" x14ac:dyDescent="0.2">
      <c r="A7" s="56" t="s">
        <v>102</v>
      </c>
      <c r="B7" s="57" t="s">
        <v>99</v>
      </c>
      <c r="C7" s="56">
        <v>51</v>
      </c>
      <c r="D7" s="56" t="s">
        <v>103</v>
      </c>
      <c r="E7" s="58"/>
      <c r="F7" s="59"/>
      <c r="G7" s="56" t="s">
        <v>101</v>
      </c>
      <c r="H7" s="60">
        <f>Tariefopbouw1</f>
        <v>0</v>
      </c>
    </row>
    <row r="8" spans="1:8" x14ac:dyDescent="0.2">
      <c r="A8" s="56" t="s">
        <v>104</v>
      </c>
      <c r="B8" s="57" t="s">
        <v>99</v>
      </c>
      <c r="C8" s="56">
        <v>1</v>
      </c>
      <c r="D8" s="56" t="s">
        <v>105</v>
      </c>
      <c r="E8" s="58"/>
      <c r="F8" s="59"/>
      <c r="G8" s="56" t="s">
        <v>101</v>
      </c>
      <c r="H8" s="60">
        <f>Tariefopbouw1</f>
        <v>0</v>
      </c>
    </row>
    <row r="9" spans="1:8" x14ac:dyDescent="0.2">
      <c r="A9" s="56" t="s">
        <v>106</v>
      </c>
      <c r="B9" s="57" t="s">
        <v>99</v>
      </c>
      <c r="C9" s="56">
        <v>51</v>
      </c>
      <c r="D9" s="56" t="s">
        <v>107</v>
      </c>
      <c r="E9" s="58"/>
      <c r="F9" s="59"/>
      <c r="G9" s="56" t="s">
        <v>101</v>
      </c>
      <c r="H9" s="60">
        <f>Tariefopbouw1</f>
        <v>0</v>
      </c>
    </row>
    <row r="10" spans="1:8" x14ac:dyDescent="0.2">
      <c r="A10" s="56" t="s">
        <v>108</v>
      </c>
      <c r="B10" s="57" t="s">
        <v>109</v>
      </c>
      <c r="C10" s="56">
        <v>1</v>
      </c>
      <c r="D10" s="56" t="s">
        <v>110</v>
      </c>
      <c r="E10" s="58"/>
      <c r="F10" s="59"/>
      <c r="G10" s="56" t="s">
        <v>101</v>
      </c>
      <c r="H10" s="60">
        <f>Tariefopbouw1</f>
        <v>0</v>
      </c>
    </row>
    <row r="11" spans="1:8" x14ac:dyDescent="0.2">
      <c r="A11" s="56" t="s">
        <v>111</v>
      </c>
      <c r="B11" s="57" t="s">
        <v>109</v>
      </c>
      <c r="C11" s="56">
        <v>51</v>
      </c>
      <c r="D11" s="56" t="s">
        <v>112</v>
      </c>
      <c r="E11" s="58"/>
      <c r="F11" s="59"/>
      <c r="G11" s="56" t="s">
        <v>101</v>
      </c>
      <c r="H11" s="60">
        <f>Tariefopbouw1</f>
        <v>0</v>
      </c>
    </row>
    <row r="12" spans="1:8" x14ac:dyDescent="0.2">
      <c r="A12" s="56" t="s">
        <v>113</v>
      </c>
      <c r="B12" s="57" t="s">
        <v>109</v>
      </c>
      <c r="C12" s="56">
        <v>1</v>
      </c>
      <c r="D12" s="56" t="s">
        <v>114</v>
      </c>
      <c r="E12" s="58"/>
      <c r="F12" s="59"/>
      <c r="G12" s="56" t="s">
        <v>101</v>
      </c>
      <c r="H12" s="60">
        <f>Tariefopbouw1</f>
        <v>0</v>
      </c>
    </row>
    <row r="13" spans="1:8" x14ac:dyDescent="0.2">
      <c r="A13" s="56" t="s">
        <v>115</v>
      </c>
      <c r="B13" s="57" t="s">
        <v>109</v>
      </c>
      <c r="C13" s="56">
        <v>12</v>
      </c>
      <c r="D13" s="56" t="s">
        <v>116</v>
      </c>
      <c r="E13" s="58"/>
      <c r="F13" s="59"/>
      <c r="G13" s="56" t="s">
        <v>101</v>
      </c>
      <c r="H13" s="60">
        <f>Tariefopbouw1</f>
        <v>0</v>
      </c>
    </row>
    <row r="14" spans="1:8" x14ac:dyDescent="0.2">
      <c r="A14" s="56" t="s">
        <v>115</v>
      </c>
      <c r="B14" s="57" t="s">
        <v>109</v>
      </c>
      <c r="C14" s="56">
        <v>51</v>
      </c>
      <c r="D14" s="56" t="s">
        <v>116</v>
      </c>
      <c r="E14" s="58"/>
      <c r="F14" s="59"/>
      <c r="G14" s="56" t="s">
        <v>101</v>
      </c>
      <c r="H14" s="60">
        <f>Tariefopbouw1</f>
        <v>0</v>
      </c>
    </row>
    <row r="15" spans="1:8" x14ac:dyDescent="0.2">
      <c r="A15" s="56" t="s">
        <v>117</v>
      </c>
      <c r="B15" s="57" t="s">
        <v>109</v>
      </c>
      <c r="C15" s="56">
        <v>1</v>
      </c>
      <c r="D15" s="56" t="s">
        <v>118</v>
      </c>
      <c r="E15" s="58"/>
      <c r="F15" s="59"/>
      <c r="G15" s="56" t="s">
        <v>101</v>
      </c>
      <c r="H15" s="60">
        <f>Tariefopbouw1</f>
        <v>0</v>
      </c>
    </row>
    <row r="16" spans="1:8" x14ac:dyDescent="0.2">
      <c r="A16" s="56" t="s">
        <v>119</v>
      </c>
      <c r="B16" s="57" t="s">
        <v>109</v>
      </c>
      <c r="C16" s="56">
        <v>51</v>
      </c>
      <c r="D16" s="56" t="s">
        <v>120</v>
      </c>
      <c r="E16" s="58"/>
      <c r="F16" s="59"/>
      <c r="G16" s="56" t="s">
        <v>101</v>
      </c>
      <c r="H16" s="60">
        <f>Tariefopbouw1</f>
        <v>0</v>
      </c>
    </row>
    <row r="17" spans="1:8" x14ac:dyDescent="0.2">
      <c r="A17" s="56" t="s">
        <v>121</v>
      </c>
      <c r="B17" s="57" t="s">
        <v>109</v>
      </c>
      <c r="C17" s="56">
        <v>1</v>
      </c>
      <c r="D17" s="56" t="s">
        <v>122</v>
      </c>
      <c r="E17" s="58"/>
      <c r="F17" s="59"/>
      <c r="G17" s="56" t="s">
        <v>101</v>
      </c>
      <c r="H17" s="60">
        <f>Tariefopbouw1</f>
        <v>0</v>
      </c>
    </row>
    <row r="18" spans="1:8" x14ac:dyDescent="0.2">
      <c r="A18" s="56" t="s">
        <v>123</v>
      </c>
      <c r="B18" s="57" t="s">
        <v>109</v>
      </c>
      <c r="C18" s="56">
        <v>51</v>
      </c>
      <c r="D18" s="56" t="s">
        <v>124</v>
      </c>
      <c r="E18" s="58"/>
      <c r="F18" s="59"/>
      <c r="G18" s="56" t="s">
        <v>101</v>
      </c>
      <c r="H18" s="60">
        <f>Tariefopbouw1</f>
        <v>0</v>
      </c>
    </row>
    <row r="19" spans="1:8" x14ac:dyDescent="0.2">
      <c r="A19" s="56" t="s">
        <v>125</v>
      </c>
      <c r="B19" s="57" t="s">
        <v>126</v>
      </c>
      <c r="C19" s="56">
        <v>1</v>
      </c>
      <c r="D19" s="56" t="s">
        <v>127</v>
      </c>
      <c r="E19" s="58"/>
      <c r="F19" s="59"/>
      <c r="G19" s="56" t="s">
        <v>101</v>
      </c>
      <c r="H19" s="60">
        <f>Tariefopbouw1</f>
        <v>0</v>
      </c>
    </row>
    <row r="20" spans="1:8" x14ac:dyDescent="0.2">
      <c r="A20" s="56" t="s">
        <v>128</v>
      </c>
      <c r="B20" s="57" t="s">
        <v>126</v>
      </c>
      <c r="C20" s="56">
        <v>51</v>
      </c>
      <c r="D20" s="56" t="s">
        <v>129</v>
      </c>
      <c r="E20" s="58"/>
      <c r="F20" s="59"/>
      <c r="G20" s="56" t="s">
        <v>101</v>
      </c>
      <c r="H20" s="60">
        <f>Tariefopbouw1</f>
        <v>0</v>
      </c>
    </row>
    <row r="21" spans="1:8" x14ac:dyDescent="0.2">
      <c r="A21" s="56" t="s">
        <v>130</v>
      </c>
      <c r="B21" s="57" t="s">
        <v>126</v>
      </c>
      <c r="C21" s="56">
        <v>1</v>
      </c>
      <c r="D21" s="56" t="s">
        <v>131</v>
      </c>
      <c r="E21" s="58"/>
      <c r="F21" s="59"/>
      <c r="G21" s="56" t="s">
        <v>101</v>
      </c>
      <c r="H21" s="60">
        <f>Tariefopbouw1</f>
        <v>0</v>
      </c>
    </row>
    <row r="22" spans="1:8" x14ac:dyDescent="0.2">
      <c r="A22" s="56" t="s">
        <v>132</v>
      </c>
      <c r="B22" s="57" t="s">
        <v>126</v>
      </c>
      <c r="C22" s="56">
        <v>51</v>
      </c>
      <c r="D22" s="56" t="s">
        <v>133</v>
      </c>
      <c r="E22" s="58"/>
      <c r="F22" s="59"/>
      <c r="G22" s="56" t="s">
        <v>101</v>
      </c>
      <c r="H22" s="60">
        <f>Tariefopbouw1</f>
        <v>0</v>
      </c>
    </row>
    <row r="23" spans="1:8" x14ac:dyDescent="0.2">
      <c r="A23" s="56" t="s">
        <v>134</v>
      </c>
      <c r="B23" s="57" t="s">
        <v>126</v>
      </c>
      <c r="C23" s="56">
        <v>1</v>
      </c>
      <c r="D23" s="56" t="s">
        <v>135</v>
      </c>
      <c r="E23" s="58"/>
      <c r="F23" s="59"/>
      <c r="G23" s="56" t="s">
        <v>101</v>
      </c>
      <c r="H23" s="60">
        <f>Tariefopbouw1</f>
        <v>0</v>
      </c>
    </row>
    <row r="24" spans="1:8" x14ac:dyDescent="0.2">
      <c r="A24" s="56" t="s">
        <v>136</v>
      </c>
      <c r="B24" s="57" t="s">
        <v>126</v>
      </c>
      <c r="C24" s="56">
        <v>1</v>
      </c>
      <c r="D24" s="56" t="s">
        <v>137</v>
      </c>
      <c r="E24" s="58"/>
      <c r="F24" s="59"/>
      <c r="G24" s="56" t="s">
        <v>101</v>
      </c>
      <c r="H24" s="60">
        <f>Tariefopbouw1</f>
        <v>0</v>
      </c>
    </row>
    <row r="25" spans="1:8" x14ac:dyDescent="0.2">
      <c r="A25" s="56" t="s">
        <v>136</v>
      </c>
      <c r="B25" s="57" t="s">
        <v>126</v>
      </c>
      <c r="C25" s="56">
        <v>51</v>
      </c>
      <c r="D25" s="56" t="s">
        <v>137</v>
      </c>
      <c r="E25" s="58"/>
      <c r="F25" s="59"/>
      <c r="G25" s="56" t="s">
        <v>101</v>
      </c>
      <c r="H25" s="60">
        <f>Tariefopbouw1</f>
        <v>0</v>
      </c>
    </row>
    <row r="26" spans="1:8" x14ac:dyDescent="0.2">
      <c r="A26" s="56" t="s">
        <v>138</v>
      </c>
      <c r="B26" s="57" t="s">
        <v>126</v>
      </c>
      <c r="C26" s="56">
        <v>1</v>
      </c>
      <c r="D26" s="56" t="s">
        <v>139</v>
      </c>
      <c r="E26" s="58"/>
      <c r="F26" s="59"/>
      <c r="G26" s="56" t="s">
        <v>101</v>
      </c>
      <c r="H26" s="60">
        <f>Tariefopbouw1</f>
        <v>0</v>
      </c>
    </row>
    <row r="27" spans="1:8" x14ac:dyDescent="0.2">
      <c r="A27" s="56" t="s">
        <v>140</v>
      </c>
      <c r="B27" s="57" t="s">
        <v>126</v>
      </c>
      <c r="C27" s="56">
        <v>51</v>
      </c>
      <c r="D27" s="56" t="s">
        <v>141</v>
      </c>
      <c r="E27" s="58"/>
      <c r="F27" s="59"/>
      <c r="G27" s="56" t="s">
        <v>101</v>
      </c>
      <c r="H27" s="60">
        <f>Tariefopbouw1</f>
        <v>0</v>
      </c>
    </row>
    <row r="28" spans="1:8" x14ac:dyDescent="0.2">
      <c r="A28" s="56" t="s">
        <v>142</v>
      </c>
      <c r="B28" s="57" t="s">
        <v>126</v>
      </c>
      <c r="C28" s="56">
        <v>1</v>
      </c>
      <c r="D28" s="56" t="s">
        <v>143</v>
      </c>
      <c r="E28" s="58"/>
      <c r="F28" s="59"/>
      <c r="G28" s="56" t="s">
        <v>101</v>
      </c>
      <c r="H28" s="60">
        <f>Tariefopbouw1</f>
        <v>0</v>
      </c>
    </row>
    <row r="29" spans="1:8" x14ac:dyDescent="0.2">
      <c r="A29" s="56" t="s">
        <v>144</v>
      </c>
      <c r="B29" s="57" t="s">
        <v>126</v>
      </c>
      <c r="C29" s="56">
        <v>51</v>
      </c>
      <c r="D29" s="56" t="s">
        <v>145</v>
      </c>
      <c r="E29" s="58"/>
      <c r="F29" s="59"/>
      <c r="G29" s="56" t="s">
        <v>101</v>
      </c>
      <c r="H29" s="60">
        <f>Tariefopbouw1</f>
        <v>0</v>
      </c>
    </row>
    <row r="30" spans="1:8" x14ac:dyDescent="0.2">
      <c r="A30" s="56" t="s">
        <v>146</v>
      </c>
      <c r="B30" s="57" t="s">
        <v>126</v>
      </c>
      <c r="C30" s="56">
        <v>1</v>
      </c>
      <c r="D30" s="56" t="s">
        <v>147</v>
      </c>
      <c r="E30" s="58"/>
      <c r="F30" s="59"/>
      <c r="G30" s="56" t="s">
        <v>101</v>
      </c>
      <c r="H30" s="60">
        <f>Tariefopbouw1</f>
        <v>0</v>
      </c>
    </row>
    <row r="31" spans="1:8" x14ac:dyDescent="0.2">
      <c r="A31" s="56" t="s">
        <v>148</v>
      </c>
      <c r="B31" s="57" t="s">
        <v>126</v>
      </c>
      <c r="C31" s="56">
        <v>51</v>
      </c>
      <c r="D31" s="56" t="s">
        <v>149</v>
      </c>
      <c r="E31" s="58"/>
      <c r="F31" s="59"/>
      <c r="G31" s="56" t="s">
        <v>101</v>
      </c>
      <c r="H31" s="60">
        <f>Tariefopbouw1</f>
        <v>0</v>
      </c>
    </row>
    <row r="32" spans="1:8" x14ac:dyDescent="0.2">
      <c r="A32" s="56" t="s">
        <v>150</v>
      </c>
      <c r="B32" s="57" t="s">
        <v>126</v>
      </c>
      <c r="C32" s="56">
        <v>1</v>
      </c>
      <c r="D32" s="56" t="s">
        <v>151</v>
      </c>
      <c r="E32" s="58"/>
      <c r="F32" s="59"/>
      <c r="G32" s="56" t="s">
        <v>101</v>
      </c>
      <c r="H32" s="60">
        <f>Tariefopbouw1</f>
        <v>0</v>
      </c>
    </row>
    <row r="33" spans="1:8" x14ac:dyDescent="0.2">
      <c r="A33" s="56" t="s">
        <v>152</v>
      </c>
      <c r="B33" s="57" t="s">
        <v>126</v>
      </c>
      <c r="C33" s="56">
        <v>51</v>
      </c>
      <c r="D33" s="56" t="s">
        <v>153</v>
      </c>
      <c r="E33" s="58"/>
      <c r="F33" s="59"/>
      <c r="G33" s="56" t="s">
        <v>101</v>
      </c>
      <c r="H33" s="60">
        <f>Tariefopbouw1</f>
        <v>0</v>
      </c>
    </row>
    <row r="34" spans="1:8" x14ac:dyDescent="0.2">
      <c r="A34" s="56" t="s">
        <v>154</v>
      </c>
      <c r="B34" s="57" t="s">
        <v>126</v>
      </c>
      <c r="C34" s="56">
        <v>1</v>
      </c>
      <c r="D34" s="56" t="s">
        <v>155</v>
      </c>
      <c r="E34" s="58"/>
      <c r="F34" s="59"/>
      <c r="G34" s="56" t="s">
        <v>101</v>
      </c>
      <c r="H34" s="60">
        <f>Tariefopbouw1</f>
        <v>0</v>
      </c>
    </row>
    <row r="35" spans="1:8" x14ac:dyDescent="0.2">
      <c r="A35" s="56" t="s">
        <v>156</v>
      </c>
      <c r="B35" s="57" t="s">
        <v>126</v>
      </c>
      <c r="C35" s="56">
        <v>51</v>
      </c>
      <c r="D35" s="56" t="s">
        <v>157</v>
      </c>
      <c r="E35" s="58"/>
      <c r="F35" s="59"/>
      <c r="G35" s="56" t="s">
        <v>101</v>
      </c>
      <c r="H35" s="60">
        <f>Tariefopbouw1</f>
        <v>0</v>
      </c>
    </row>
    <row r="36" spans="1:8" x14ac:dyDescent="0.2">
      <c r="A36" s="56" t="s">
        <v>158</v>
      </c>
      <c r="B36" s="57" t="s">
        <v>126</v>
      </c>
      <c r="C36" s="56">
        <v>1</v>
      </c>
      <c r="D36" s="56" t="s">
        <v>159</v>
      </c>
      <c r="E36" s="58"/>
      <c r="F36" s="59"/>
      <c r="G36" s="56" t="s">
        <v>101</v>
      </c>
      <c r="H36" s="60">
        <f>Tariefopbouw1</f>
        <v>0</v>
      </c>
    </row>
    <row r="37" spans="1:8" x14ac:dyDescent="0.2">
      <c r="A37" s="56" t="s">
        <v>160</v>
      </c>
      <c r="B37" s="57" t="s">
        <v>126</v>
      </c>
      <c r="C37" s="56">
        <v>2</v>
      </c>
      <c r="D37" s="56" t="s">
        <v>161</v>
      </c>
      <c r="E37" s="58"/>
      <c r="F37" s="59"/>
      <c r="G37" s="56" t="s">
        <v>101</v>
      </c>
      <c r="H37" s="60">
        <f>Tariefopbouw1</f>
        <v>0</v>
      </c>
    </row>
    <row r="38" spans="1:8" x14ac:dyDescent="0.2">
      <c r="A38" s="56" t="s">
        <v>160</v>
      </c>
      <c r="B38" s="57" t="s">
        <v>126</v>
      </c>
      <c r="C38" s="56">
        <v>12</v>
      </c>
      <c r="D38" s="56" t="s">
        <v>161</v>
      </c>
      <c r="E38" s="58"/>
      <c r="F38" s="59"/>
      <c r="G38" s="56" t="s">
        <v>101</v>
      </c>
      <c r="H38" s="60">
        <f>Tariefopbouw1</f>
        <v>0</v>
      </c>
    </row>
    <row r="39" spans="1:8" x14ac:dyDescent="0.2">
      <c r="A39" s="56" t="s">
        <v>160</v>
      </c>
      <c r="B39" s="57" t="s">
        <v>126</v>
      </c>
      <c r="C39" s="56">
        <v>51</v>
      </c>
      <c r="D39" s="56" t="s">
        <v>161</v>
      </c>
      <c r="E39" s="58"/>
      <c r="F39" s="59"/>
      <c r="G39" s="56" t="s">
        <v>101</v>
      </c>
      <c r="H39" s="60">
        <f>Tariefopbouw1</f>
        <v>0</v>
      </c>
    </row>
    <row r="40" spans="1:8" x14ac:dyDescent="0.2">
      <c r="A40" s="56" t="s">
        <v>162</v>
      </c>
      <c r="B40" s="57" t="s">
        <v>126</v>
      </c>
      <c r="C40" s="56">
        <v>1</v>
      </c>
      <c r="D40" s="56" t="s">
        <v>163</v>
      </c>
      <c r="E40" s="58"/>
      <c r="F40" s="59"/>
      <c r="G40" s="56" t="s">
        <v>101</v>
      </c>
      <c r="H40" s="60">
        <f>Tariefopbouw1</f>
        <v>0</v>
      </c>
    </row>
    <row r="41" spans="1:8" x14ac:dyDescent="0.2">
      <c r="A41" s="56" t="s">
        <v>164</v>
      </c>
      <c r="B41" s="57" t="s">
        <v>126</v>
      </c>
      <c r="C41" s="56">
        <v>51</v>
      </c>
      <c r="D41" s="56" t="s">
        <v>165</v>
      </c>
      <c r="E41" s="58"/>
      <c r="F41" s="59"/>
      <c r="G41" s="56" t="s">
        <v>101</v>
      </c>
      <c r="H41" s="60">
        <f>Tariefopbouw1</f>
        <v>0</v>
      </c>
    </row>
    <row r="42" spans="1:8" x14ac:dyDescent="0.2">
      <c r="A42" s="56" t="s">
        <v>166</v>
      </c>
      <c r="B42" s="57" t="s">
        <v>167</v>
      </c>
      <c r="C42" s="56">
        <v>1</v>
      </c>
      <c r="D42" s="56" t="s">
        <v>168</v>
      </c>
      <c r="E42" s="58"/>
      <c r="F42" s="59"/>
      <c r="G42" s="56" t="s">
        <v>101</v>
      </c>
      <c r="H42" s="60">
        <f>Tariefopbouw1</f>
        <v>0</v>
      </c>
    </row>
    <row r="43" spans="1:8" x14ac:dyDescent="0.2">
      <c r="A43" s="56" t="s">
        <v>169</v>
      </c>
      <c r="B43" s="57" t="s">
        <v>167</v>
      </c>
      <c r="C43" s="56">
        <v>51</v>
      </c>
      <c r="D43" s="56" t="s">
        <v>170</v>
      </c>
      <c r="E43" s="58"/>
      <c r="F43" s="59"/>
      <c r="G43" s="56" t="s">
        <v>101</v>
      </c>
      <c r="H43" s="60">
        <f>Tariefopbouw1</f>
        <v>0</v>
      </c>
    </row>
    <row r="44" spans="1:8" x14ac:dyDescent="0.2">
      <c r="A44" s="56" t="s">
        <v>171</v>
      </c>
      <c r="B44" s="57" t="s">
        <v>167</v>
      </c>
      <c r="C44" s="56">
        <v>1</v>
      </c>
      <c r="D44" s="56" t="s">
        <v>172</v>
      </c>
      <c r="E44" s="58"/>
      <c r="F44" s="59"/>
      <c r="G44" s="56" t="s">
        <v>101</v>
      </c>
      <c r="H44" s="60">
        <f>Tariefopbouw1</f>
        <v>0</v>
      </c>
    </row>
    <row r="45" spans="1:8" x14ac:dyDescent="0.2">
      <c r="A45" s="56" t="s">
        <v>173</v>
      </c>
      <c r="B45" s="57" t="s">
        <v>167</v>
      </c>
      <c r="C45" s="56">
        <v>51</v>
      </c>
      <c r="D45" s="56" t="s">
        <v>174</v>
      </c>
      <c r="E45" s="58"/>
      <c r="F45" s="59"/>
      <c r="G45" s="56" t="s">
        <v>101</v>
      </c>
      <c r="H45" s="60">
        <f>Tariefopbouw1</f>
        <v>0</v>
      </c>
    </row>
    <row r="46" spans="1:8" x14ac:dyDescent="0.2">
      <c r="A46" s="56" t="s">
        <v>175</v>
      </c>
      <c r="B46" s="57" t="s">
        <v>167</v>
      </c>
      <c r="C46" s="56">
        <v>1</v>
      </c>
      <c r="D46" s="56" t="s">
        <v>176</v>
      </c>
      <c r="E46" s="58"/>
      <c r="F46" s="59"/>
      <c r="G46" s="56" t="s">
        <v>101</v>
      </c>
      <c r="H46" s="60">
        <f>Tariefopbouw1</f>
        <v>0</v>
      </c>
    </row>
    <row r="47" spans="1:8" x14ac:dyDescent="0.2">
      <c r="A47" s="56" t="s">
        <v>177</v>
      </c>
      <c r="B47" s="57" t="s">
        <v>167</v>
      </c>
      <c r="C47" s="56">
        <v>51</v>
      </c>
      <c r="D47" s="56" t="s">
        <v>178</v>
      </c>
      <c r="E47" s="58"/>
      <c r="F47" s="59"/>
      <c r="G47" s="56" t="s">
        <v>101</v>
      </c>
      <c r="H47" s="60">
        <f>Tariefopbouw1</f>
        <v>0</v>
      </c>
    </row>
    <row r="48" spans="1:8" x14ac:dyDescent="0.2">
      <c r="A48" s="56" t="s">
        <v>179</v>
      </c>
      <c r="B48" s="57" t="s">
        <v>167</v>
      </c>
      <c r="C48" s="56">
        <v>1</v>
      </c>
      <c r="D48" s="56" t="s">
        <v>180</v>
      </c>
      <c r="E48" s="58"/>
      <c r="F48" s="59"/>
      <c r="G48" s="56" t="s">
        <v>101</v>
      </c>
      <c r="H48" s="60">
        <f>Tariefopbouw1</f>
        <v>0</v>
      </c>
    </row>
    <row r="49" spans="1:8" x14ac:dyDescent="0.2">
      <c r="A49" s="61" t="s">
        <v>181</v>
      </c>
      <c r="B49" s="62" t="s">
        <v>167</v>
      </c>
      <c r="C49" s="61">
        <v>51</v>
      </c>
      <c r="D49" s="61" t="s">
        <v>182</v>
      </c>
      <c r="E49" s="63"/>
      <c r="F49" s="64"/>
      <c r="G49" s="61" t="s">
        <v>101</v>
      </c>
      <c r="H49" s="65">
        <f>Tariefopbouw1</f>
        <v>0</v>
      </c>
    </row>
    <row r="50" spans="1:8" x14ac:dyDescent="0.2">
      <c r="A50" s="45"/>
      <c r="B50" s="46"/>
      <c r="C50" s="46"/>
      <c r="D50" s="46"/>
      <c r="E50" s="46"/>
      <c r="F50" s="46"/>
      <c r="G50" s="46"/>
      <c r="H50" s="47"/>
    </row>
    <row r="51" spans="1:8" x14ac:dyDescent="0.2">
      <c r="A51" s="48" t="s">
        <v>183</v>
      </c>
      <c r="B51" s="49"/>
      <c r="C51" s="49"/>
      <c r="D51" s="49"/>
      <c r="E51" s="49"/>
      <c r="F51" s="49"/>
      <c r="G51" s="49"/>
      <c r="H51" s="50"/>
    </row>
    <row r="52" spans="1:8" x14ac:dyDescent="0.2">
      <c r="A52" s="51" t="s">
        <v>184</v>
      </c>
      <c r="B52" s="52" t="s">
        <v>99</v>
      </c>
      <c r="C52" s="51">
        <v>1</v>
      </c>
      <c r="D52" s="51" t="s">
        <v>185</v>
      </c>
      <c r="E52" s="53"/>
      <c r="F52" s="54"/>
      <c r="G52" s="51" t="s">
        <v>101</v>
      </c>
      <c r="H52" s="55">
        <f>Tariefopbouw6</f>
        <v>0</v>
      </c>
    </row>
    <row r="53" spans="1:8" x14ac:dyDescent="0.2">
      <c r="A53" s="56" t="s">
        <v>186</v>
      </c>
      <c r="B53" s="57" t="s">
        <v>99</v>
      </c>
      <c r="C53" s="56">
        <v>1</v>
      </c>
      <c r="D53" s="56" t="s">
        <v>187</v>
      </c>
      <c r="E53" s="58"/>
      <c r="F53" s="59"/>
      <c r="G53" s="56" t="s">
        <v>101</v>
      </c>
      <c r="H53" s="60">
        <f>Tariefopbouw6</f>
        <v>0</v>
      </c>
    </row>
    <row r="54" spans="1:8" x14ac:dyDescent="0.2">
      <c r="A54" s="56" t="s">
        <v>188</v>
      </c>
      <c r="B54" s="57" t="s">
        <v>109</v>
      </c>
      <c r="C54" s="56">
        <v>1</v>
      </c>
      <c r="D54" s="56" t="s">
        <v>110</v>
      </c>
      <c r="E54" s="58"/>
      <c r="F54" s="59"/>
      <c r="G54" s="56" t="s">
        <v>101</v>
      </c>
      <c r="H54" s="60">
        <f>Tariefopbouw6</f>
        <v>0</v>
      </c>
    </row>
    <row r="55" spans="1:8" x14ac:dyDescent="0.2">
      <c r="A55" s="56" t="s">
        <v>189</v>
      </c>
      <c r="B55" s="57" t="s">
        <v>109</v>
      </c>
      <c r="C55" s="56">
        <v>1</v>
      </c>
      <c r="D55" s="56" t="s">
        <v>114</v>
      </c>
      <c r="E55" s="58"/>
      <c r="F55" s="59"/>
      <c r="G55" s="56" t="s">
        <v>101</v>
      </c>
      <c r="H55" s="60">
        <f>Tariefopbouw6</f>
        <v>0</v>
      </c>
    </row>
    <row r="56" spans="1:8" x14ac:dyDescent="0.2">
      <c r="A56" s="56" t="s">
        <v>190</v>
      </c>
      <c r="B56" s="57" t="s">
        <v>109</v>
      </c>
      <c r="C56" s="56">
        <v>1</v>
      </c>
      <c r="D56" s="56" t="s">
        <v>118</v>
      </c>
      <c r="E56" s="58"/>
      <c r="F56" s="59"/>
      <c r="G56" s="56" t="s">
        <v>101</v>
      </c>
      <c r="H56" s="60">
        <f>Tariefopbouw1</f>
        <v>0</v>
      </c>
    </row>
    <row r="57" spans="1:8" x14ac:dyDescent="0.2">
      <c r="A57" s="56" t="s">
        <v>191</v>
      </c>
      <c r="B57" s="57" t="s">
        <v>109</v>
      </c>
      <c r="C57" s="56">
        <v>1</v>
      </c>
      <c r="D57" s="56" t="s">
        <v>192</v>
      </c>
      <c r="E57" s="58"/>
      <c r="F57" s="59"/>
      <c r="G57" s="56" t="s">
        <v>101</v>
      </c>
      <c r="H57" s="60">
        <f>Tariefopbouw1</f>
        <v>0</v>
      </c>
    </row>
    <row r="58" spans="1:8" x14ac:dyDescent="0.2">
      <c r="A58" s="56" t="s">
        <v>193</v>
      </c>
      <c r="B58" s="57" t="s">
        <v>126</v>
      </c>
      <c r="C58" s="56">
        <v>1</v>
      </c>
      <c r="D58" s="56" t="s">
        <v>127</v>
      </c>
      <c r="E58" s="58"/>
      <c r="F58" s="59"/>
      <c r="G58" s="56" t="s">
        <v>101</v>
      </c>
      <c r="H58" s="60">
        <f>Tariefopbouw6</f>
        <v>0</v>
      </c>
    </row>
    <row r="59" spans="1:8" x14ac:dyDescent="0.2">
      <c r="A59" s="56" t="s">
        <v>194</v>
      </c>
      <c r="B59" s="57" t="s">
        <v>126</v>
      </c>
      <c r="C59" s="56">
        <v>1</v>
      </c>
      <c r="D59" s="56" t="s">
        <v>131</v>
      </c>
      <c r="E59" s="58"/>
      <c r="F59" s="59"/>
      <c r="G59" s="56" t="s">
        <v>101</v>
      </c>
      <c r="H59" s="60">
        <f>Tariefopbouw6</f>
        <v>0</v>
      </c>
    </row>
    <row r="60" spans="1:8" x14ac:dyDescent="0.2">
      <c r="A60" s="56" t="s">
        <v>195</v>
      </c>
      <c r="B60" s="57" t="s">
        <v>126</v>
      </c>
      <c r="C60" s="56">
        <v>1</v>
      </c>
      <c r="D60" s="56" t="s">
        <v>139</v>
      </c>
      <c r="E60" s="58"/>
      <c r="F60" s="59"/>
      <c r="G60" s="56" t="s">
        <v>101</v>
      </c>
      <c r="H60" s="60">
        <f>Tariefopbouw6</f>
        <v>0</v>
      </c>
    </row>
    <row r="61" spans="1:8" x14ac:dyDescent="0.2">
      <c r="A61" s="56" t="s">
        <v>196</v>
      </c>
      <c r="B61" s="57" t="s">
        <v>126</v>
      </c>
      <c r="C61" s="56">
        <v>1</v>
      </c>
      <c r="D61" s="56" t="s">
        <v>147</v>
      </c>
      <c r="E61" s="58"/>
      <c r="F61" s="59"/>
      <c r="G61" s="56" t="s">
        <v>101</v>
      </c>
      <c r="H61" s="60">
        <f>Tariefopbouw6</f>
        <v>0</v>
      </c>
    </row>
    <row r="62" spans="1:8" x14ac:dyDescent="0.2">
      <c r="A62" s="56" t="s">
        <v>197</v>
      </c>
      <c r="B62" s="57" t="s">
        <v>126</v>
      </c>
      <c r="C62" s="56">
        <v>1</v>
      </c>
      <c r="D62" s="56" t="s">
        <v>151</v>
      </c>
      <c r="E62" s="58"/>
      <c r="F62" s="59"/>
      <c r="G62" s="56" t="s">
        <v>101</v>
      </c>
      <c r="H62" s="60">
        <f>Tariefopbouw6</f>
        <v>0</v>
      </c>
    </row>
    <row r="63" spans="1:8" x14ac:dyDescent="0.2">
      <c r="A63" s="56" t="s">
        <v>198</v>
      </c>
      <c r="B63" s="57" t="s">
        <v>126</v>
      </c>
      <c r="C63" s="56">
        <v>1</v>
      </c>
      <c r="D63" s="56" t="s">
        <v>155</v>
      </c>
      <c r="E63" s="58"/>
      <c r="F63" s="59"/>
      <c r="G63" s="56" t="s">
        <v>101</v>
      </c>
      <c r="H63" s="60">
        <f>Tariefopbouw6</f>
        <v>0</v>
      </c>
    </row>
    <row r="64" spans="1:8" x14ac:dyDescent="0.2">
      <c r="A64" s="56" t="s">
        <v>199</v>
      </c>
      <c r="B64" s="57" t="s">
        <v>126</v>
      </c>
      <c r="C64" s="56">
        <v>1</v>
      </c>
      <c r="D64" s="56" t="s">
        <v>159</v>
      </c>
      <c r="E64" s="58"/>
      <c r="F64" s="59"/>
      <c r="G64" s="56" t="s">
        <v>101</v>
      </c>
      <c r="H64" s="60">
        <f>Tariefopbouw6</f>
        <v>0</v>
      </c>
    </row>
    <row r="65" spans="1:8" x14ac:dyDescent="0.2">
      <c r="A65" s="56" t="s">
        <v>200</v>
      </c>
      <c r="B65" s="57" t="s">
        <v>167</v>
      </c>
      <c r="C65" s="56">
        <v>1</v>
      </c>
      <c r="D65" s="56" t="s">
        <v>168</v>
      </c>
      <c r="E65" s="58"/>
      <c r="F65" s="59"/>
      <c r="G65" s="56" t="s">
        <v>101</v>
      </c>
      <c r="H65" s="60">
        <f>Tariefopbouw6</f>
        <v>0</v>
      </c>
    </row>
    <row r="66" spans="1:8" x14ac:dyDescent="0.2">
      <c r="A66" s="56" t="s">
        <v>201</v>
      </c>
      <c r="B66" s="57" t="s">
        <v>167</v>
      </c>
      <c r="C66" s="56">
        <v>1</v>
      </c>
      <c r="D66" s="56" t="s">
        <v>202</v>
      </c>
      <c r="E66" s="58"/>
      <c r="F66" s="59"/>
      <c r="G66" s="56" t="s">
        <v>101</v>
      </c>
      <c r="H66" s="60">
        <f>Tariefopbouw1</f>
        <v>0</v>
      </c>
    </row>
    <row r="67" spans="1:8" x14ac:dyDescent="0.2">
      <c r="A67" s="61" t="s">
        <v>203</v>
      </c>
      <c r="B67" s="62" t="s">
        <v>167</v>
      </c>
      <c r="C67" s="61">
        <v>1</v>
      </c>
      <c r="D67" s="61" t="s">
        <v>180</v>
      </c>
      <c r="E67" s="63"/>
      <c r="F67" s="64"/>
      <c r="G67" s="61" t="s">
        <v>101</v>
      </c>
      <c r="H67" s="65">
        <f>Tariefopbouw1</f>
        <v>0</v>
      </c>
    </row>
    <row r="68" spans="1:8" x14ac:dyDescent="0.2">
      <c r="A68" s="45"/>
      <c r="B68" s="46"/>
      <c r="C68" s="46"/>
      <c r="D68" s="46"/>
      <c r="E68" s="46"/>
      <c r="F68" s="46"/>
      <c r="G68" s="46"/>
      <c r="H68" s="47"/>
    </row>
    <row r="69" spans="1:8" x14ac:dyDescent="0.2">
      <c r="A69" s="48" t="s">
        <v>204</v>
      </c>
      <c r="B69" s="49"/>
      <c r="C69" s="49"/>
      <c r="D69" s="49"/>
      <c r="E69" s="49"/>
      <c r="F69" s="49"/>
      <c r="G69" s="49"/>
      <c r="H69" s="50"/>
    </row>
    <row r="70" spans="1:8" x14ac:dyDescent="0.2">
      <c r="A70" s="51" t="s">
        <v>205</v>
      </c>
      <c r="B70" s="52" t="s">
        <v>99</v>
      </c>
      <c r="C70" s="51">
        <v>1</v>
      </c>
      <c r="D70" s="51" t="s">
        <v>185</v>
      </c>
      <c r="E70" s="53"/>
      <c r="F70" s="54"/>
      <c r="G70" s="51" t="s">
        <v>101</v>
      </c>
      <c r="H70" s="55">
        <f>Tariefopbouw5</f>
        <v>0</v>
      </c>
    </row>
    <row r="71" spans="1:8" x14ac:dyDescent="0.2">
      <c r="A71" s="56" t="s">
        <v>206</v>
      </c>
      <c r="B71" s="57" t="s">
        <v>99</v>
      </c>
      <c r="C71" s="56">
        <v>1</v>
      </c>
      <c r="D71" s="56" t="s">
        <v>187</v>
      </c>
      <c r="E71" s="58"/>
      <c r="F71" s="59"/>
      <c r="G71" s="56" t="s">
        <v>101</v>
      </c>
      <c r="H71" s="60">
        <f>Tariefopbouw5</f>
        <v>0</v>
      </c>
    </row>
    <row r="72" spans="1:8" x14ac:dyDescent="0.2">
      <c r="A72" s="56" t="s">
        <v>207</v>
      </c>
      <c r="B72" s="57" t="s">
        <v>109</v>
      </c>
      <c r="C72" s="56">
        <v>1</v>
      </c>
      <c r="D72" s="56" t="s">
        <v>110</v>
      </c>
      <c r="E72" s="58"/>
      <c r="F72" s="59"/>
      <c r="G72" s="56" t="s">
        <v>101</v>
      </c>
      <c r="H72" s="60">
        <f>Tariefopbouw5</f>
        <v>0</v>
      </c>
    </row>
    <row r="73" spans="1:8" x14ac:dyDescent="0.2">
      <c r="A73" s="56" t="s">
        <v>208</v>
      </c>
      <c r="B73" s="57" t="s">
        <v>109</v>
      </c>
      <c r="C73" s="56">
        <v>1</v>
      </c>
      <c r="D73" s="56" t="s">
        <v>114</v>
      </c>
      <c r="E73" s="58"/>
      <c r="F73" s="59"/>
      <c r="G73" s="56" t="s">
        <v>101</v>
      </c>
      <c r="H73" s="60">
        <f>Tariefopbouw5</f>
        <v>0</v>
      </c>
    </row>
    <row r="74" spans="1:8" x14ac:dyDescent="0.2">
      <c r="A74" s="56" t="s">
        <v>209</v>
      </c>
      <c r="B74" s="57" t="s">
        <v>109</v>
      </c>
      <c r="C74" s="56">
        <v>1</v>
      </c>
      <c r="D74" s="56" t="s">
        <v>118</v>
      </c>
      <c r="E74" s="58"/>
      <c r="F74" s="59"/>
      <c r="G74" s="56" t="s">
        <v>101</v>
      </c>
      <c r="H74" s="60">
        <f>Tariefopbouw1</f>
        <v>0</v>
      </c>
    </row>
    <row r="75" spans="1:8" x14ac:dyDescent="0.2">
      <c r="A75" s="56" t="s">
        <v>210</v>
      </c>
      <c r="B75" s="57" t="s">
        <v>109</v>
      </c>
      <c r="C75" s="56">
        <v>1</v>
      </c>
      <c r="D75" s="56" t="s">
        <v>122</v>
      </c>
      <c r="E75" s="58"/>
      <c r="F75" s="59"/>
      <c r="G75" s="56" t="s">
        <v>101</v>
      </c>
      <c r="H75" s="60">
        <f>Tariefopbouw1</f>
        <v>0</v>
      </c>
    </row>
    <row r="76" spans="1:8" x14ac:dyDescent="0.2">
      <c r="A76" s="56" t="s">
        <v>211</v>
      </c>
      <c r="B76" s="57" t="s">
        <v>126</v>
      </c>
      <c r="C76" s="56">
        <v>1</v>
      </c>
      <c r="D76" s="56" t="s">
        <v>127</v>
      </c>
      <c r="E76" s="58"/>
      <c r="F76" s="59"/>
      <c r="G76" s="56" t="s">
        <v>101</v>
      </c>
      <c r="H76" s="60">
        <f>Tariefopbouw5</f>
        <v>0</v>
      </c>
    </row>
    <row r="77" spans="1:8" x14ac:dyDescent="0.2">
      <c r="A77" s="56" t="s">
        <v>212</v>
      </c>
      <c r="B77" s="57" t="s">
        <v>126</v>
      </c>
      <c r="C77" s="56">
        <v>1</v>
      </c>
      <c r="D77" s="56" t="s">
        <v>131</v>
      </c>
      <c r="E77" s="58"/>
      <c r="F77" s="59"/>
      <c r="G77" s="56" t="s">
        <v>101</v>
      </c>
      <c r="H77" s="60">
        <f>Tariefopbouw5</f>
        <v>0</v>
      </c>
    </row>
    <row r="78" spans="1:8" x14ac:dyDescent="0.2">
      <c r="A78" s="56" t="s">
        <v>213</v>
      </c>
      <c r="B78" s="57" t="s">
        <v>126</v>
      </c>
      <c r="C78" s="56">
        <v>1</v>
      </c>
      <c r="D78" s="56" t="s">
        <v>139</v>
      </c>
      <c r="E78" s="58"/>
      <c r="F78" s="59"/>
      <c r="G78" s="56" t="s">
        <v>101</v>
      </c>
      <c r="H78" s="60">
        <f>Tariefopbouw5</f>
        <v>0</v>
      </c>
    </row>
    <row r="79" spans="1:8" x14ac:dyDescent="0.2">
      <c r="A79" s="56" t="s">
        <v>214</v>
      </c>
      <c r="B79" s="57" t="s">
        <v>126</v>
      </c>
      <c r="C79" s="56">
        <v>1</v>
      </c>
      <c r="D79" s="56" t="s">
        <v>147</v>
      </c>
      <c r="E79" s="58"/>
      <c r="F79" s="59"/>
      <c r="G79" s="56" t="s">
        <v>101</v>
      </c>
      <c r="H79" s="60">
        <f>Tariefopbouw5</f>
        <v>0</v>
      </c>
    </row>
    <row r="80" spans="1:8" x14ac:dyDescent="0.2">
      <c r="A80" s="56" t="s">
        <v>215</v>
      </c>
      <c r="B80" s="57" t="s">
        <v>126</v>
      </c>
      <c r="C80" s="56">
        <v>1</v>
      </c>
      <c r="D80" s="56" t="s">
        <v>151</v>
      </c>
      <c r="E80" s="58"/>
      <c r="F80" s="59"/>
      <c r="G80" s="56" t="s">
        <v>101</v>
      </c>
      <c r="H80" s="60">
        <f>Tariefopbouw5</f>
        <v>0</v>
      </c>
    </row>
    <row r="81" spans="1:8" x14ac:dyDescent="0.2">
      <c r="A81" s="56" t="s">
        <v>216</v>
      </c>
      <c r="B81" s="57" t="s">
        <v>126</v>
      </c>
      <c r="C81" s="56">
        <v>1</v>
      </c>
      <c r="D81" s="56" t="s">
        <v>155</v>
      </c>
      <c r="E81" s="58"/>
      <c r="F81" s="59"/>
      <c r="G81" s="56" t="s">
        <v>101</v>
      </c>
      <c r="H81" s="60">
        <f>Tariefopbouw5</f>
        <v>0</v>
      </c>
    </row>
    <row r="82" spans="1:8" x14ac:dyDescent="0.2">
      <c r="A82" s="56" t="s">
        <v>217</v>
      </c>
      <c r="B82" s="57" t="s">
        <v>126</v>
      </c>
      <c r="C82" s="56">
        <v>1</v>
      </c>
      <c r="D82" s="56" t="s">
        <v>159</v>
      </c>
      <c r="E82" s="58"/>
      <c r="F82" s="59"/>
      <c r="G82" s="56" t="s">
        <v>101</v>
      </c>
      <c r="H82" s="60">
        <f>Tariefopbouw5</f>
        <v>0</v>
      </c>
    </row>
    <row r="83" spans="1:8" x14ac:dyDescent="0.2">
      <c r="A83" s="56" t="s">
        <v>218</v>
      </c>
      <c r="B83" s="57" t="s">
        <v>167</v>
      </c>
      <c r="C83" s="56">
        <v>1</v>
      </c>
      <c r="D83" s="56" t="s">
        <v>168</v>
      </c>
      <c r="E83" s="58"/>
      <c r="F83" s="59"/>
      <c r="G83" s="56" t="s">
        <v>101</v>
      </c>
      <c r="H83" s="60">
        <f>Tariefopbouw5</f>
        <v>0</v>
      </c>
    </row>
    <row r="84" spans="1:8" x14ac:dyDescent="0.2">
      <c r="A84" s="56" t="s">
        <v>219</v>
      </c>
      <c r="B84" s="57" t="s">
        <v>167</v>
      </c>
      <c r="C84" s="56">
        <v>1</v>
      </c>
      <c r="D84" s="56" t="s">
        <v>176</v>
      </c>
      <c r="E84" s="58"/>
      <c r="F84" s="59"/>
      <c r="G84" s="56" t="s">
        <v>101</v>
      </c>
      <c r="H84" s="60">
        <f>Tariefopbouw1</f>
        <v>0</v>
      </c>
    </row>
    <row r="85" spans="1:8" x14ac:dyDescent="0.2">
      <c r="A85" s="61" t="s">
        <v>220</v>
      </c>
      <c r="B85" s="62" t="s">
        <v>167</v>
      </c>
      <c r="C85" s="61">
        <v>1</v>
      </c>
      <c r="D85" s="61" t="s">
        <v>180</v>
      </c>
      <c r="E85" s="63"/>
      <c r="F85" s="64"/>
      <c r="G85" s="61" t="s">
        <v>101</v>
      </c>
      <c r="H85" s="65">
        <f>Tariefopbouw1</f>
        <v>0</v>
      </c>
    </row>
  </sheetData>
  <sheetProtection algorithmName="SHA-512" hashValue="oUfNRKONtU4/slJf23KEcAVbov3XBRhHW2jDBkWiZHypzWuUJuD7snEIPyrBWr2Sjf3CUTpokHqBSw3o9Qxr9A==" saltValue="CK5eCpI20SlaCQlRhQHUXA==" spinCount="100000" sheet="1" objects="1" scenarios="1" autoFilter="0"/>
  <pageMargins left="0.7" right="0.7" top="0.75" bottom="0.75" header="0.3" footer="0.3"/>
  <pageSetup paperSize="9" scale="70" orientation="landscape" horizontalDpi="4294967295" verticalDpi="4294967295" r:id="rId1"/>
  <headerFooter>
    <oddFooter>&amp;LCentraal Museum Utrecht EA2026                              &amp;ROpmaakdatum: 19-03-2026
Intexso - Plantageweg 23E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02D8D-FE68-4993-98C3-8E479B2C4832}">
  <dimension ref="A1:M102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12.625" customWidth="1"/>
    <col min="4" max="4" width="35.625" customWidth="1"/>
    <col min="5" max="5" width="12.625" customWidth="1"/>
    <col min="6" max="7" width="11.625" customWidth="1"/>
    <col min="8" max="8" width="9.625" customWidth="1"/>
    <col min="9" max="11" width="11.625" customWidth="1"/>
    <col min="12" max="12" width="12.625" customWidth="1"/>
    <col min="13" max="13" width="14.625" customWidth="1"/>
  </cols>
  <sheetData>
    <row r="1" spans="1:13" x14ac:dyDescent="0.2">
      <c r="A1" s="1" t="str">
        <f>CONCATENATE("Bijlage H.2: ",tabeltype," regulier werk")</f>
        <v>Bijlage H.2: Invultabel regulier werk</v>
      </c>
    </row>
    <row r="3" spans="1:13" ht="38.25" x14ac:dyDescent="0.2">
      <c r="A3" s="44" t="s">
        <v>221</v>
      </c>
      <c r="B3" s="44" t="s">
        <v>7</v>
      </c>
      <c r="C3" s="44" t="s">
        <v>222</v>
      </c>
      <c r="D3" s="44" t="s">
        <v>92</v>
      </c>
      <c r="E3" s="44" t="s">
        <v>223</v>
      </c>
      <c r="F3" s="44" t="s">
        <v>224</v>
      </c>
      <c r="G3" s="44" t="s">
        <v>93</v>
      </c>
      <c r="H3" s="44" t="s">
        <v>95</v>
      </c>
      <c r="I3" s="44" t="s">
        <v>96</v>
      </c>
      <c r="J3" s="44" t="s">
        <v>225</v>
      </c>
      <c r="K3" s="44" t="s">
        <v>226</v>
      </c>
      <c r="L3" s="44" t="s">
        <v>227</v>
      </c>
      <c r="M3" s="44" t="s">
        <v>228</v>
      </c>
    </row>
    <row r="4" spans="1:13" x14ac:dyDescent="0.2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7"/>
    </row>
    <row r="5" spans="1:13" x14ac:dyDescent="0.2">
      <c r="A5" s="48" t="s">
        <v>97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50"/>
    </row>
    <row r="6" spans="1:13" x14ac:dyDescent="0.2">
      <c r="A6" s="51" t="s">
        <v>229</v>
      </c>
      <c r="B6" s="51" t="s">
        <v>15</v>
      </c>
      <c r="C6" s="51" t="s">
        <v>230</v>
      </c>
      <c r="D6" s="51" t="s">
        <v>231</v>
      </c>
      <c r="E6" s="66">
        <v>45.55</v>
      </c>
      <c r="F6" s="66">
        <f>E6*VLOOKUP(B6,dagsoorttabel1,2,FALSE)</f>
        <v>4.5549999999999997</v>
      </c>
      <c r="G6" s="67">
        <f>catpn_1_BKHV_51</f>
        <v>0</v>
      </c>
      <c r="H6" s="51" t="s">
        <v>101</v>
      </c>
      <c r="I6" s="55">
        <f>cattf_1_BKHV_51</f>
        <v>0</v>
      </c>
      <c r="J6" s="66">
        <f>IF(OR(ISBLANK(G6),G6=0),0,F6/ROUND(G6,4))</f>
        <v>0</v>
      </c>
      <c r="K6" s="55">
        <f>ROUND(I6,2)*J6</f>
        <v>0</v>
      </c>
      <c r="L6" s="66">
        <f>J6*dagenperjaar1</f>
        <v>0</v>
      </c>
      <c r="M6" s="55">
        <f>L6*ROUND(I6,2)</f>
        <v>0</v>
      </c>
    </row>
    <row r="7" spans="1:13" x14ac:dyDescent="0.2">
      <c r="A7" s="56" t="s">
        <v>229</v>
      </c>
      <c r="B7" s="56" t="s">
        <v>13</v>
      </c>
      <c r="C7" s="56" t="s">
        <v>230</v>
      </c>
      <c r="D7" s="56" t="s">
        <v>231</v>
      </c>
      <c r="E7" s="68">
        <v>74.900000000000006</v>
      </c>
      <c r="F7" s="68">
        <f>E7*VLOOKUP(B7,dagsoorttabel1,2,FALSE)</f>
        <v>29.960000000000004</v>
      </c>
      <c r="G7" s="69">
        <f>IF(AND(catpn_1_BKHB_1&gt;0,catpn_1_BKHV_51&gt;0),(dagenperjaar1*VLOOKUP(B7,dagsoorttabel1,2,FALSE))/(((dagenperjaar1*VLOOKUP(B7,dagsoorttabel1,2,FALSE))-catfd_1_BKHV_51)/catpn_1_BKHB_1+catfd_1_BKHV_51/catpn_1_BKHV_51),0)</f>
        <v>0</v>
      </c>
      <c r="H7" s="56" t="s">
        <v>101</v>
      </c>
      <c r="I7" s="60">
        <f>IF(AND(catpn_1_BKHB_1&gt;0,catpn_1_BKHV_51&gt;0),(cattf_1_BKHB_1*((dagenperjaar1*VLOOKUP(B7,dagsoorttabel1,2,FALSE))-catfd_1_BKHV_51)/catpn_1_BKHB_1+cattf_1_BKHV_51*catfd_1_BKHV_51/catpn_1_BKHV_51)/(((dagenperjaar1*VLOOKUP(B7,dagsoorttabel1,2,FALSE))-catfd_1_BKHV_51)/catpn_1_BKHB_1+catfd_1_BKHV_51/catpn_1_BKHV_51),0)</f>
        <v>0</v>
      </c>
      <c r="J7" s="68">
        <f>IF(OR(ISBLANK(G7),G7=0),0,F7/ROUND(G7,4))</f>
        <v>0</v>
      </c>
      <c r="K7" s="60">
        <f>ROUND(I7,2)*J7</f>
        <v>0</v>
      </c>
      <c r="L7" s="68">
        <f>J7*dagenperjaar1</f>
        <v>0</v>
      </c>
      <c r="M7" s="60">
        <f>L7*ROUND(I7,2)</f>
        <v>0</v>
      </c>
    </row>
    <row r="8" spans="1:13" x14ac:dyDescent="0.2">
      <c r="A8" s="56" t="s">
        <v>229</v>
      </c>
      <c r="B8" s="56" t="s">
        <v>10</v>
      </c>
      <c r="C8" s="56" t="s">
        <v>230</v>
      </c>
      <c r="D8" s="56" t="s">
        <v>231</v>
      </c>
      <c r="E8" s="68">
        <v>12.39</v>
      </c>
      <c r="F8" s="68">
        <f>E8*VLOOKUP(B8,dagsoorttabel1,2,FALSE)</f>
        <v>9.9120000000000008</v>
      </c>
      <c r="G8" s="69">
        <f>IF(AND(catpn_1_BKZB_1&gt;0,catpn_1_BKHV_51&gt;0),(dagenperjaar1*VLOOKUP(B8,dagsoorttabel1,2,FALSE))/(((dagenperjaar1*VLOOKUP(B8,dagsoorttabel1,2,FALSE))-catfd_1_BKHV_51)/catpn_1_BKZB_1+catfd_1_BKHV_51/catpn_1_BKHV_51),0)</f>
        <v>0</v>
      </c>
      <c r="H8" s="56" t="s">
        <v>101</v>
      </c>
      <c r="I8" s="60">
        <f>IF(AND(catpn_1_BKZB_1&gt;0,catpn_1_BKHV_51&gt;0),(cattf_1_BKZB_1*((dagenperjaar1*VLOOKUP(B8,dagsoorttabel1,2,FALSE))-catfd_1_BKHV_51)/catpn_1_BKZB_1+cattf_1_BKHV_51*catfd_1_BKHV_51/catpn_1_BKHV_51)/(((dagenperjaar1*VLOOKUP(B8,dagsoorttabel1,2,FALSE))-catfd_1_BKHV_51)/catpn_1_BKZB_1+catfd_1_BKHV_51/catpn_1_BKHV_51),0)</f>
        <v>0</v>
      </c>
      <c r="J8" s="68">
        <f>IF(OR(ISBLANK(G8),G8=0),0,F8/ROUND(G8,4))</f>
        <v>0</v>
      </c>
      <c r="K8" s="60">
        <f>ROUND(I8,2)*J8</f>
        <v>0</v>
      </c>
      <c r="L8" s="68">
        <f>J8*dagenperjaar1</f>
        <v>0</v>
      </c>
      <c r="M8" s="60">
        <f>L8*ROUND(I8,2)</f>
        <v>0</v>
      </c>
    </row>
    <row r="9" spans="1:13" x14ac:dyDescent="0.2">
      <c r="A9" s="56" t="s">
        <v>229</v>
      </c>
      <c r="B9" s="56" t="s">
        <v>9</v>
      </c>
      <c r="C9" s="56" t="s">
        <v>230</v>
      </c>
      <c r="D9" s="56" t="s">
        <v>231</v>
      </c>
      <c r="E9" s="68">
        <v>108</v>
      </c>
      <c r="F9" s="68">
        <f>E9*VLOOKUP(B9,dagsoorttabel1,2,FALSE)</f>
        <v>108</v>
      </c>
      <c r="G9" s="69">
        <f>IF(AND(catpn_1_BKHB_1&gt;0,catpn_1_BKHV_51&gt;0),(dagenperjaar1*VLOOKUP(B9,dagsoorttabel1,2,FALSE))/(((dagenperjaar1*VLOOKUP(B9,dagsoorttabel1,2,FALSE))-catfd_1_BKHV_51)/catpn_1_BKHB_1+catfd_1_BKHV_51/catpn_1_BKHV_51),0)</f>
        <v>0</v>
      </c>
      <c r="H9" s="56" t="s">
        <v>101</v>
      </c>
      <c r="I9" s="60">
        <f>IF(AND(catpn_1_BKHB_1&gt;0,catpn_1_BKHV_51&gt;0),(cattf_1_BKHB_1*((dagenperjaar1*VLOOKUP(B9,dagsoorttabel1,2,FALSE))-catfd_1_BKHV_51)/catpn_1_BKHB_1+cattf_1_BKHV_51*catfd_1_BKHV_51/catpn_1_BKHV_51)/(((dagenperjaar1*VLOOKUP(B9,dagsoorttabel1,2,FALSE))-catfd_1_BKHV_51)/catpn_1_BKHB_1+catfd_1_BKHV_51/catpn_1_BKHV_51),0)</f>
        <v>0</v>
      </c>
      <c r="J9" s="68">
        <f>IF(OR(ISBLANK(G9),G9=0),0,F9/ROUND(G9,4))</f>
        <v>0</v>
      </c>
      <c r="K9" s="60">
        <f>ROUND(I9,2)*J9</f>
        <v>0</v>
      </c>
      <c r="L9" s="68">
        <f>J9*dagenperjaar1</f>
        <v>0</v>
      </c>
      <c r="M9" s="60">
        <f>L9*ROUND(I9,2)</f>
        <v>0</v>
      </c>
    </row>
    <row r="10" spans="1:13" x14ac:dyDescent="0.2">
      <c r="A10" s="56" t="s">
        <v>232</v>
      </c>
      <c r="B10" s="56" t="s">
        <v>13</v>
      </c>
      <c r="C10" s="56" t="s">
        <v>230</v>
      </c>
      <c r="D10" s="56" t="s">
        <v>233</v>
      </c>
      <c r="E10" s="68">
        <v>668</v>
      </c>
      <c r="F10" s="68">
        <f>E10*VLOOKUP(B10,dagsoorttabel1,2,FALSE)</f>
        <v>267.2</v>
      </c>
      <c r="G10" s="69">
        <f>IF(AND(catpn_1_BKZB_1&gt;0,catpn_1_BKZV_51&gt;0),(dagenperjaar1*VLOOKUP(B10,dagsoorttabel1,2,FALSE))/(((dagenperjaar1*VLOOKUP(B10,dagsoorttabel1,2,FALSE))-catfd_1_BKZV_51)/catpn_1_BKZB_1+catfd_1_BKZV_51/catpn_1_BKZV_51),0)</f>
        <v>0</v>
      </c>
      <c r="H10" s="56" t="s">
        <v>101</v>
      </c>
      <c r="I10" s="60">
        <f>IF(AND(catpn_1_BKZB_1&gt;0,catpn_1_BKZV_51&gt;0),(cattf_1_BKZB_1*((dagenperjaar1*VLOOKUP(B10,dagsoorttabel1,2,FALSE))-catfd_1_BKZV_51)/catpn_1_BKZB_1+cattf_1_BKZV_51*catfd_1_BKZV_51/catpn_1_BKZV_51)/(((dagenperjaar1*VLOOKUP(B10,dagsoorttabel1,2,FALSE))-catfd_1_BKZV_51)/catpn_1_BKZB_1+catfd_1_BKZV_51/catpn_1_BKZV_51),0)</f>
        <v>0</v>
      </c>
      <c r="J10" s="68">
        <f>IF(OR(ISBLANK(G10),G10=0),0,F10/ROUND(G10,4))</f>
        <v>0</v>
      </c>
      <c r="K10" s="60">
        <f>ROUND(I10,2)*J10</f>
        <v>0</v>
      </c>
      <c r="L10" s="68">
        <f>J10*dagenperjaar1</f>
        <v>0</v>
      </c>
      <c r="M10" s="60">
        <f>L10*ROUND(I10,2)</f>
        <v>0</v>
      </c>
    </row>
    <row r="11" spans="1:13" x14ac:dyDescent="0.2">
      <c r="A11" s="56" t="s">
        <v>234</v>
      </c>
      <c r="B11" s="56" t="s">
        <v>13</v>
      </c>
      <c r="C11" s="56" t="s">
        <v>230</v>
      </c>
      <c r="D11" s="56" t="s">
        <v>235</v>
      </c>
      <c r="E11" s="68">
        <v>50</v>
      </c>
      <c r="F11" s="68">
        <f>E11*VLOOKUP(B11,dagsoorttabel1,2,FALSE)</f>
        <v>20</v>
      </c>
      <c r="G11" s="69">
        <f>IF(AND(catpn_1_BVHB_1&gt;0,catpn_1_BVHV_51&gt;0),(dagenperjaar1*VLOOKUP(B11,dagsoorttabel1,2,FALSE))/(((dagenperjaar1*VLOOKUP(B11,dagsoorttabel1,2,FALSE))-catfd_1_BVHV_51)/catpn_1_BVHB_1+catfd_1_BVHV_51/catpn_1_BVHV_51),0)</f>
        <v>0</v>
      </c>
      <c r="H11" s="56" t="s">
        <v>101</v>
      </c>
      <c r="I11" s="60">
        <f>IF(AND(catpn_1_BVHB_1&gt;0,catpn_1_BVHV_51&gt;0),(cattf_1_BVHB_1*((dagenperjaar1*VLOOKUP(B11,dagsoorttabel1,2,FALSE))-catfd_1_BVHV_51)/catpn_1_BVHB_1+cattf_1_BVHV_51*catfd_1_BVHV_51/catpn_1_BVHV_51)/(((dagenperjaar1*VLOOKUP(B11,dagsoorttabel1,2,FALSE))-catfd_1_BVHV_51)/catpn_1_BVHB_1+catfd_1_BVHV_51/catpn_1_BVHV_51),0)</f>
        <v>0</v>
      </c>
      <c r="J11" s="68">
        <f>IF(OR(ISBLANK(G11),G11=0),0,F11/ROUND(G11,4))</f>
        <v>0</v>
      </c>
      <c r="K11" s="60">
        <f>ROUND(I11,2)*J11</f>
        <v>0</v>
      </c>
      <c r="L11" s="68">
        <f>J11*dagenperjaar1</f>
        <v>0</v>
      </c>
      <c r="M11" s="60">
        <f>L11*ROUND(I11,2)</f>
        <v>0</v>
      </c>
    </row>
    <row r="12" spans="1:13" x14ac:dyDescent="0.2">
      <c r="A12" s="56" t="s">
        <v>234</v>
      </c>
      <c r="B12" s="56" t="s">
        <v>10</v>
      </c>
      <c r="C12" s="56" t="s">
        <v>230</v>
      </c>
      <c r="D12" s="56" t="s">
        <v>235</v>
      </c>
      <c r="E12" s="68">
        <v>14.79</v>
      </c>
      <c r="F12" s="68">
        <f>E12*VLOOKUP(B12,dagsoorttabel1,2,FALSE)</f>
        <v>11.832000000000001</v>
      </c>
      <c r="G12" s="69">
        <f>IF(AND(catpn_1_BVHB_1&gt;0,catpn_1_BVHV_51&gt;0),(dagenperjaar1*VLOOKUP(B12,dagsoorttabel1,2,FALSE))/(((dagenperjaar1*VLOOKUP(B12,dagsoorttabel1,2,FALSE))-catfd_1_BVHV_51)/catpn_1_BVHB_1+catfd_1_BVHV_51/catpn_1_BVHV_51),0)</f>
        <v>0</v>
      </c>
      <c r="H12" s="56" t="s">
        <v>101</v>
      </c>
      <c r="I12" s="60">
        <f>IF(AND(catpn_1_BVHB_1&gt;0,catpn_1_BVHV_51&gt;0),(cattf_1_BVHB_1*((dagenperjaar1*VLOOKUP(B12,dagsoorttabel1,2,FALSE))-catfd_1_BVHV_51)/catpn_1_BVHB_1+cattf_1_BVHV_51*catfd_1_BVHV_51/catpn_1_BVHV_51)/(((dagenperjaar1*VLOOKUP(B12,dagsoorttabel1,2,FALSE))-catfd_1_BVHV_51)/catpn_1_BVHB_1+catfd_1_BVHV_51/catpn_1_BVHV_51),0)</f>
        <v>0</v>
      </c>
      <c r="J12" s="68">
        <f>IF(OR(ISBLANK(G12),G12=0),0,F12/ROUND(G12,4))</f>
        <v>0</v>
      </c>
      <c r="K12" s="60">
        <f>ROUND(I12,2)*J12</f>
        <v>0</v>
      </c>
      <c r="L12" s="68">
        <f>J12*dagenperjaar1</f>
        <v>0</v>
      </c>
      <c r="M12" s="60">
        <f>L12*ROUND(I12,2)</f>
        <v>0</v>
      </c>
    </row>
    <row r="13" spans="1:13" x14ac:dyDescent="0.2">
      <c r="A13" s="56" t="s">
        <v>236</v>
      </c>
      <c r="B13" s="56" t="s">
        <v>15</v>
      </c>
      <c r="C13" s="56" t="s">
        <v>230</v>
      </c>
      <c r="D13" s="56" t="s">
        <v>237</v>
      </c>
      <c r="E13" s="68">
        <v>2.5</v>
      </c>
      <c r="F13" s="68">
        <f>E13*VLOOKUP(B13,dagsoorttabel1,2,FALSE)</f>
        <v>0.25</v>
      </c>
      <c r="G13" s="69">
        <f>catpn_1_KPHV_51</f>
        <v>0</v>
      </c>
      <c r="H13" s="56" t="s">
        <v>101</v>
      </c>
      <c r="I13" s="60">
        <f>cattf_1_KPHV_51</f>
        <v>0</v>
      </c>
      <c r="J13" s="68">
        <f>IF(OR(ISBLANK(G13),G13=0),0,F13/ROUND(G13,4))</f>
        <v>0</v>
      </c>
      <c r="K13" s="60">
        <f>ROUND(I13,2)*J13</f>
        <v>0</v>
      </c>
      <c r="L13" s="68">
        <f>J13*dagenperjaar1</f>
        <v>0</v>
      </c>
      <c r="M13" s="60">
        <f>L13*ROUND(I13,2)</f>
        <v>0</v>
      </c>
    </row>
    <row r="14" spans="1:13" x14ac:dyDescent="0.2">
      <c r="A14" s="56" t="s">
        <v>236</v>
      </c>
      <c r="B14" s="56" t="s">
        <v>10</v>
      </c>
      <c r="C14" s="56" t="s">
        <v>230</v>
      </c>
      <c r="D14" s="56" t="s">
        <v>237</v>
      </c>
      <c r="E14" s="68">
        <v>5.26</v>
      </c>
      <c r="F14" s="68">
        <f>E14*VLOOKUP(B14,dagsoorttabel1,2,FALSE)</f>
        <v>4.2080000000000002</v>
      </c>
      <c r="G14" s="69">
        <f>IF(AND(catpn_1_KPHB_1&gt;0,catpn_1_KPHV_51&gt;0),(dagenperjaar1*VLOOKUP(B14,dagsoorttabel1,2,FALSE))/(((dagenperjaar1*VLOOKUP(B14,dagsoorttabel1,2,FALSE))-catfd_1_KPHV_51)/catpn_1_KPHB_1+catfd_1_KPHV_51/catpn_1_KPHV_51),0)</f>
        <v>0</v>
      </c>
      <c r="H14" s="56" t="s">
        <v>101</v>
      </c>
      <c r="I14" s="60">
        <f>IF(AND(catpn_1_KPHB_1&gt;0,catpn_1_KPHV_51&gt;0),(cattf_1_KPHB_1*((dagenperjaar1*VLOOKUP(B14,dagsoorttabel1,2,FALSE))-catfd_1_KPHV_51)/catpn_1_KPHB_1+cattf_1_KPHV_51*catfd_1_KPHV_51/catpn_1_KPHV_51)/(((dagenperjaar1*VLOOKUP(B14,dagsoorttabel1,2,FALSE))-catfd_1_KPHV_51)/catpn_1_KPHB_1+catfd_1_KPHV_51/catpn_1_KPHV_51),0)</f>
        <v>0</v>
      </c>
      <c r="J14" s="68">
        <f>IF(OR(ISBLANK(G14),G14=0),0,F14/ROUND(G14,4))</f>
        <v>0</v>
      </c>
      <c r="K14" s="60">
        <f>ROUND(I14,2)*J14</f>
        <v>0</v>
      </c>
      <c r="L14" s="68">
        <f>J14*dagenperjaar1</f>
        <v>0</v>
      </c>
      <c r="M14" s="60">
        <f>L14*ROUND(I14,2)</f>
        <v>0</v>
      </c>
    </row>
    <row r="15" spans="1:13" x14ac:dyDescent="0.2">
      <c r="A15" s="56" t="s">
        <v>236</v>
      </c>
      <c r="B15" s="56" t="s">
        <v>9</v>
      </c>
      <c r="C15" s="56" t="s">
        <v>230</v>
      </c>
      <c r="D15" s="56" t="s">
        <v>237</v>
      </c>
      <c r="E15" s="68">
        <v>18.899999999999999</v>
      </c>
      <c r="F15" s="68">
        <f>E15*VLOOKUP(B15,dagsoorttabel1,2,FALSE)</f>
        <v>18.899999999999999</v>
      </c>
      <c r="G15" s="69">
        <f>IF(AND(catpn_1_KPHB_1&gt;0,catpn_1_KPHV_51&gt;0),(dagenperjaar1*VLOOKUP(B15,dagsoorttabel1,2,FALSE))/(((dagenperjaar1*VLOOKUP(B15,dagsoorttabel1,2,FALSE))-catfd_1_KPHV_51)/catpn_1_KPHB_1+catfd_1_KPHV_51/catpn_1_KPHV_51),0)</f>
        <v>0</v>
      </c>
      <c r="H15" s="56" t="s">
        <v>101</v>
      </c>
      <c r="I15" s="60">
        <f>IF(AND(catpn_1_KPHB_1&gt;0,catpn_1_KPHV_51&gt;0),(cattf_1_KPHB_1*((dagenperjaar1*VLOOKUP(B15,dagsoorttabel1,2,FALSE))-catfd_1_KPHV_51)/catpn_1_KPHB_1+cattf_1_KPHV_51*catfd_1_KPHV_51/catpn_1_KPHV_51)/(((dagenperjaar1*VLOOKUP(B15,dagsoorttabel1,2,FALSE))-catfd_1_KPHV_51)/catpn_1_KPHB_1+catfd_1_KPHV_51/catpn_1_KPHV_51),0)</f>
        <v>0</v>
      </c>
      <c r="J15" s="68">
        <f>IF(OR(ISBLANK(G15),G15=0),0,F15/ROUND(G15,4))</f>
        <v>0</v>
      </c>
      <c r="K15" s="60">
        <f>ROUND(I15,2)*J15</f>
        <v>0</v>
      </c>
      <c r="L15" s="68">
        <f>J15*dagenperjaar1</f>
        <v>0</v>
      </c>
      <c r="M15" s="60">
        <f>L15*ROUND(I15,2)</f>
        <v>0</v>
      </c>
    </row>
    <row r="16" spans="1:13" x14ac:dyDescent="0.2">
      <c r="A16" s="56" t="s">
        <v>238</v>
      </c>
      <c r="B16" s="56" t="s">
        <v>10</v>
      </c>
      <c r="C16" s="56" t="s">
        <v>230</v>
      </c>
      <c r="D16" s="56" t="s">
        <v>239</v>
      </c>
      <c r="E16" s="68">
        <v>133</v>
      </c>
      <c r="F16" s="68">
        <f>E16*VLOOKUP(B16,dagsoorttabel1,2,FALSE)</f>
        <v>106.4</v>
      </c>
      <c r="G16" s="69">
        <f>IF(AND(catpn_1_KRHB_1&gt;0,catpn_1_KRHV_51&gt;0),(dagenperjaar1*VLOOKUP(B16,dagsoorttabel1,2,FALSE))/(((dagenperjaar1*VLOOKUP(B16,dagsoorttabel1,2,FALSE))-catfd_1_KRHV_51)/catpn_1_KRHB_1+catfd_1_KRHV_51/catpn_1_KRHV_51),0)</f>
        <v>0</v>
      </c>
      <c r="H16" s="56" t="s">
        <v>101</v>
      </c>
      <c r="I16" s="60">
        <f>IF(AND(catpn_1_KRHB_1&gt;0,catpn_1_KRHV_51&gt;0),(cattf_1_KRHB_1*((dagenperjaar1*VLOOKUP(B16,dagsoorttabel1,2,FALSE))-catfd_1_KRHV_51)/catpn_1_KRHB_1+cattf_1_KRHV_51*catfd_1_KRHV_51/catpn_1_KRHV_51)/(((dagenperjaar1*VLOOKUP(B16,dagsoorttabel1,2,FALSE))-catfd_1_KRHV_51)/catpn_1_KRHB_1+catfd_1_KRHV_51/catpn_1_KRHV_51),0)</f>
        <v>0</v>
      </c>
      <c r="J16" s="68">
        <f>IF(OR(ISBLANK(G16),G16=0),0,F16/ROUND(G16,4))</f>
        <v>0</v>
      </c>
      <c r="K16" s="60">
        <f>ROUND(I16,2)*J16</f>
        <v>0</v>
      </c>
      <c r="L16" s="68">
        <f>J16*dagenperjaar1</f>
        <v>0</v>
      </c>
      <c r="M16" s="60">
        <f>L16*ROUND(I16,2)</f>
        <v>0</v>
      </c>
    </row>
    <row r="17" spans="1:13" x14ac:dyDescent="0.2">
      <c r="A17" s="56" t="s">
        <v>238</v>
      </c>
      <c r="B17" s="56" t="s">
        <v>9</v>
      </c>
      <c r="C17" s="56" t="s">
        <v>230</v>
      </c>
      <c r="D17" s="56" t="s">
        <v>239</v>
      </c>
      <c r="E17" s="68">
        <v>256.7</v>
      </c>
      <c r="F17" s="68">
        <f>E17*VLOOKUP(B17,dagsoorttabel1,2,FALSE)</f>
        <v>256.7</v>
      </c>
      <c r="G17" s="69">
        <f>IF(AND(catpn_1_KRHB_1&gt;0,catpn_1_KRHV_51&gt;0),(dagenperjaar1*VLOOKUP(B17,dagsoorttabel1,2,FALSE))/(((dagenperjaar1*VLOOKUP(B17,dagsoorttabel1,2,FALSE))-catfd_1_KRHV_51)/catpn_1_KRHB_1+catfd_1_KRHV_51/catpn_1_KRHV_51),0)</f>
        <v>0</v>
      </c>
      <c r="H17" s="56" t="s">
        <v>101</v>
      </c>
      <c r="I17" s="60">
        <f>IF(AND(catpn_1_KRHB_1&gt;0,catpn_1_KRHV_51&gt;0),(cattf_1_KRHB_1*((dagenperjaar1*VLOOKUP(B17,dagsoorttabel1,2,FALSE))-catfd_1_KRHV_51)/catpn_1_KRHB_1+cattf_1_KRHV_51*catfd_1_KRHV_51/catpn_1_KRHV_51)/(((dagenperjaar1*VLOOKUP(B17,dagsoorttabel1,2,FALSE))-catfd_1_KRHV_51)/catpn_1_KRHB_1+catfd_1_KRHV_51/catpn_1_KRHV_51),0)</f>
        <v>0</v>
      </c>
      <c r="J17" s="68">
        <f>IF(OR(ISBLANK(G17),G17=0),0,F17/ROUND(G17,4))</f>
        <v>0</v>
      </c>
      <c r="K17" s="60">
        <f>ROUND(I17,2)*J17</f>
        <v>0</v>
      </c>
      <c r="L17" s="68">
        <f>J17*dagenperjaar1</f>
        <v>0</v>
      </c>
      <c r="M17" s="60">
        <f>L17*ROUND(I17,2)</f>
        <v>0</v>
      </c>
    </row>
    <row r="18" spans="1:13" x14ac:dyDescent="0.2">
      <c r="A18" s="56" t="s">
        <v>240</v>
      </c>
      <c r="B18" s="56" t="s">
        <v>9</v>
      </c>
      <c r="C18" s="56" t="s">
        <v>230</v>
      </c>
      <c r="D18" s="56" t="s">
        <v>241</v>
      </c>
      <c r="E18" s="68">
        <v>207.2</v>
      </c>
      <c r="F18" s="68">
        <f>E18*VLOOKUP(B18,dagsoorttabel1,2,FALSE)</f>
        <v>207.2</v>
      </c>
      <c r="G18" s="69">
        <f>IF(AND(catpn_1_LAHB_1&gt;0,catpn_1_LAHV_51&gt;0),(dagenperjaar1*VLOOKUP(B18,dagsoorttabel1,2,FALSE))/(((dagenperjaar1*VLOOKUP(B18,dagsoorttabel1,2,FALSE))-catfd_1_LAHV_51)/catpn_1_LAHB_1+catfd_1_LAHV_51/catpn_1_LAHV_51),0)</f>
        <v>0</v>
      </c>
      <c r="H18" s="56" t="s">
        <v>101</v>
      </c>
      <c r="I18" s="60">
        <f>IF(AND(catpn_1_LAHB_1&gt;0,catpn_1_LAHV_51&gt;0),(cattf_1_LAHB_1*((dagenperjaar1*VLOOKUP(B18,dagsoorttabel1,2,FALSE))-catfd_1_LAHV_51)/catpn_1_LAHB_1+cattf_1_LAHV_51*catfd_1_LAHV_51/catpn_1_LAHV_51)/(((dagenperjaar1*VLOOKUP(B18,dagsoorttabel1,2,FALSE))-catfd_1_LAHV_51)/catpn_1_LAHB_1+catfd_1_LAHV_51/catpn_1_LAHV_51),0)</f>
        <v>0</v>
      </c>
      <c r="J18" s="68">
        <f>IF(OR(ISBLANK(G18),G18=0),0,F18/ROUND(G18,4))</f>
        <v>0</v>
      </c>
      <c r="K18" s="60">
        <f>ROUND(I18,2)*J18</f>
        <v>0</v>
      </c>
      <c r="L18" s="68">
        <f>J18*dagenperjaar1</f>
        <v>0</v>
      </c>
      <c r="M18" s="60">
        <f>L18*ROUND(I18,2)</f>
        <v>0</v>
      </c>
    </row>
    <row r="19" spans="1:13" x14ac:dyDescent="0.2">
      <c r="A19" s="56" t="s">
        <v>242</v>
      </c>
      <c r="B19" s="56" t="s">
        <v>16</v>
      </c>
      <c r="C19" s="56" t="s">
        <v>230</v>
      </c>
      <c r="D19" s="56" t="s">
        <v>243</v>
      </c>
      <c r="E19" s="68">
        <v>90</v>
      </c>
      <c r="F19" s="68">
        <f>E19*VLOOKUP(B19,dagsoorttabel1,2,FALSE)</f>
        <v>4.1538461538461542</v>
      </c>
      <c r="G19" s="69">
        <f>catpn_1_MEHV_12</f>
        <v>0</v>
      </c>
      <c r="H19" s="56" t="s">
        <v>101</v>
      </c>
      <c r="I19" s="60">
        <f>cattf_1_MEHV_12</f>
        <v>0</v>
      </c>
      <c r="J19" s="68">
        <f>IF(OR(ISBLANK(G19),G19=0),0,F19/ROUND(G19,4))</f>
        <v>0</v>
      </c>
      <c r="K19" s="60">
        <f>ROUND(I19,2)*J19</f>
        <v>0</v>
      </c>
      <c r="L19" s="68">
        <f>J19*dagenperjaar1</f>
        <v>0</v>
      </c>
      <c r="M19" s="60">
        <f>L19*ROUND(I19,2)</f>
        <v>0</v>
      </c>
    </row>
    <row r="20" spans="1:13" x14ac:dyDescent="0.2">
      <c r="A20" s="56" t="s">
        <v>242</v>
      </c>
      <c r="B20" s="56" t="s">
        <v>10</v>
      </c>
      <c r="C20" s="56" t="s">
        <v>230</v>
      </c>
      <c r="D20" s="56" t="s">
        <v>243</v>
      </c>
      <c r="E20" s="68">
        <v>1745.1</v>
      </c>
      <c r="F20" s="68">
        <f>E20*VLOOKUP(B20,dagsoorttabel1,2,FALSE)</f>
        <v>1396.08</v>
      </c>
      <c r="G20" s="69">
        <f>IF(AND(catpn_1_MEHB_1&gt;0,catpn_1_MEHV_51&gt;0),(dagenperjaar1*VLOOKUP(B20,dagsoorttabel1,2,FALSE))/(((dagenperjaar1*VLOOKUP(B20,dagsoorttabel1,2,FALSE))-catfd_1_MEHV_51)/catpn_1_MEHB_1+catfd_1_MEHV_51/catpn_1_MEHV_51),0)</f>
        <v>0</v>
      </c>
      <c r="H20" s="56" t="s">
        <v>101</v>
      </c>
      <c r="I20" s="60">
        <f>IF(AND(catpn_1_MEHB_1&gt;0,catpn_1_MEHV_51&gt;0),(cattf_1_MEHB_1*((dagenperjaar1*VLOOKUP(B20,dagsoorttabel1,2,FALSE))-catfd_1_MEHV_51)/catpn_1_MEHB_1+cattf_1_MEHV_51*catfd_1_MEHV_51/catpn_1_MEHV_51)/(((dagenperjaar1*VLOOKUP(B20,dagsoorttabel1,2,FALSE))-catfd_1_MEHV_51)/catpn_1_MEHB_1+catfd_1_MEHV_51/catpn_1_MEHV_51),0)</f>
        <v>0</v>
      </c>
      <c r="J20" s="68">
        <f>IF(OR(ISBLANK(G20),G20=0),0,F20/ROUND(G20,4))</f>
        <v>0</v>
      </c>
      <c r="K20" s="60">
        <f>ROUND(I20,2)*J20</f>
        <v>0</v>
      </c>
      <c r="L20" s="68">
        <f>J20*dagenperjaar1</f>
        <v>0</v>
      </c>
      <c r="M20" s="60">
        <f>L20*ROUND(I20,2)</f>
        <v>0</v>
      </c>
    </row>
    <row r="21" spans="1:13" x14ac:dyDescent="0.2">
      <c r="A21" s="56" t="s">
        <v>244</v>
      </c>
      <c r="B21" s="56" t="s">
        <v>9</v>
      </c>
      <c r="C21" s="56" t="s">
        <v>230</v>
      </c>
      <c r="D21" s="56" t="s">
        <v>245</v>
      </c>
      <c r="E21" s="68">
        <v>1014.4000000000001</v>
      </c>
      <c r="F21" s="68">
        <f>E21*VLOOKUP(B21,dagsoorttabel1,2,FALSE)</f>
        <v>1014.4000000000001</v>
      </c>
      <c r="G21" s="69">
        <f>IF(AND(catpn_1_MEZB_1&gt;0,catpn_1_MEZV_51&gt;0),(dagenperjaar1*VLOOKUP(B21,dagsoorttabel1,2,FALSE))/(((dagenperjaar1*VLOOKUP(B21,dagsoorttabel1,2,FALSE))-catfd_1_MEZV_51)/catpn_1_MEZB_1+catfd_1_MEZV_51/catpn_1_MEZV_51),0)</f>
        <v>0</v>
      </c>
      <c r="H21" s="56" t="s">
        <v>101</v>
      </c>
      <c r="I21" s="60">
        <f>IF(AND(catpn_1_MEZB_1&gt;0,catpn_1_MEZV_51&gt;0),(cattf_1_MEZB_1*((dagenperjaar1*VLOOKUP(B21,dagsoorttabel1,2,FALSE))-catfd_1_MEZV_51)/catpn_1_MEZB_1+cattf_1_MEZV_51*catfd_1_MEZV_51/catpn_1_MEZV_51)/(((dagenperjaar1*VLOOKUP(B21,dagsoorttabel1,2,FALSE))-catfd_1_MEZV_51)/catpn_1_MEZB_1+catfd_1_MEZV_51/catpn_1_MEZV_51),0)</f>
        <v>0</v>
      </c>
      <c r="J21" s="68">
        <f>IF(OR(ISBLANK(G21),G21=0),0,F21/ROUND(G21,4))</f>
        <v>0</v>
      </c>
      <c r="K21" s="60">
        <f>ROUND(I21,2)*J21</f>
        <v>0</v>
      </c>
      <c r="L21" s="68">
        <f>J21*dagenperjaar1</f>
        <v>0</v>
      </c>
      <c r="M21" s="60">
        <f>L21*ROUND(I21,2)</f>
        <v>0</v>
      </c>
    </row>
    <row r="22" spans="1:13" x14ac:dyDescent="0.2">
      <c r="A22" s="56" t="s">
        <v>246</v>
      </c>
      <c r="B22" s="56" t="s">
        <v>9</v>
      </c>
      <c r="C22" s="56" t="s">
        <v>230</v>
      </c>
      <c r="D22" s="56" t="s">
        <v>247</v>
      </c>
      <c r="E22" s="68">
        <v>792</v>
      </c>
      <c r="F22" s="68">
        <f>E22*VLOOKUP(B22,dagsoorttabel1,2,FALSE)</f>
        <v>792</v>
      </c>
      <c r="G22" s="69">
        <f>IF(AND(catpn_1_NMEHB_1&gt;0,catpn_1_NMEHV_51&gt;0),(dagenperjaar1*VLOOKUP(B22,dagsoorttabel1,2,FALSE))/(((dagenperjaar1*VLOOKUP(B22,dagsoorttabel1,2,FALSE))-catfd_1_NMEHV_51)/catpn_1_NMEHB_1+catfd_1_NMEHV_51/catpn_1_NMEHV_51),0)</f>
        <v>0</v>
      </c>
      <c r="H22" s="56" t="s">
        <v>101</v>
      </c>
      <c r="I22" s="60">
        <f>IF(AND(catpn_1_NMEHB_1&gt;0,catpn_1_NMEHV_51&gt;0),(cattf_1_NMEHB_1*((dagenperjaar1*VLOOKUP(B22,dagsoorttabel1,2,FALSE))-catfd_1_NMEHV_51)/catpn_1_NMEHB_1+cattf_1_NMEHV_51*catfd_1_NMEHV_51/catpn_1_NMEHV_51)/(((dagenperjaar1*VLOOKUP(B22,dagsoorttabel1,2,FALSE))-catfd_1_NMEHV_51)/catpn_1_NMEHB_1+catfd_1_NMEHV_51/catpn_1_NMEHV_51),0)</f>
        <v>0</v>
      </c>
      <c r="J22" s="68">
        <f>IF(OR(ISBLANK(G22),G22=0),0,F22/ROUND(G22,4))</f>
        <v>0</v>
      </c>
      <c r="K22" s="60">
        <f>ROUND(I22,2)*J22</f>
        <v>0</v>
      </c>
      <c r="L22" s="68">
        <f>J22*dagenperjaar1</f>
        <v>0</v>
      </c>
      <c r="M22" s="60">
        <f>L22*ROUND(I22,2)</f>
        <v>0</v>
      </c>
    </row>
    <row r="23" spans="1:13" x14ac:dyDescent="0.2">
      <c r="A23" s="56" t="s">
        <v>248</v>
      </c>
      <c r="B23" s="56" t="s">
        <v>22</v>
      </c>
      <c r="C23" s="56" t="s">
        <v>230</v>
      </c>
      <c r="D23" s="56" t="s">
        <v>249</v>
      </c>
      <c r="E23" s="68">
        <v>6.6</v>
      </c>
      <c r="F23" s="68">
        <f>E23*VLOOKUP(B23,dagsoorttabel1,2,FALSE)</f>
        <v>2.5384615384615384E-2</v>
      </c>
      <c r="G23" s="69">
        <f>catpn_1_OAHV_1</f>
        <v>0</v>
      </c>
      <c r="H23" s="56" t="s">
        <v>101</v>
      </c>
      <c r="I23" s="60">
        <f>cattf_1_OAHV_1</f>
        <v>0</v>
      </c>
      <c r="J23" s="68">
        <f>IF(OR(ISBLANK(G23),G23=0),0,F23/ROUND(G23,4))</f>
        <v>0</v>
      </c>
      <c r="K23" s="60">
        <f>ROUND(I23,2)*J23</f>
        <v>0</v>
      </c>
      <c r="L23" s="68">
        <f>J23*dagenperjaar1</f>
        <v>0</v>
      </c>
      <c r="M23" s="60">
        <f>L23*ROUND(I23,2)</f>
        <v>0</v>
      </c>
    </row>
    <row r="24" spans="1:13" x14ac:dyDescent="0.2">
      <c r="A24" s="56" t="s">
        <v>248</v>
      </c>
      <c r="B24" s="56" t="s">
        <v>14</v>
      </c>
      <c r="C24" s="56" t="s">
        <v>230</v>
      </c>
      <c r="D24" s="56" t="s">
        <v>249</v>
      </c>
      <c r="E24" s="68">
        <v>152.19999999999999</v>
      </c>
      <c r="F24" s="68">
        <f>E24*VLOOKUP(B24,dagsoorttabel1,2,FALSE)</f>
        <v>30.439999999999998</v>
      </c>
      <c r="G24" s="69">
        <f>IF(AND(catpn_1_OAHB_1&gt;0,catpn_1_OAHV_51&gt;0),(dagenperjaar1*VLOOKUP(B24,dagsoorttabel1,2,FALSE))/(((dagenperjaar1*VLOOKUP(B24,dagsoorttabel1,2,FALSE))-catfd_1_OAHV_51)/catpn_1_OAHB_1+catfd_1_OAHV_51/catpn_1_OAHV_51),0)</f>
        <v>0</v>
      </c>
      <c r="H24" s="56" t="s">
        <v>101</v>
      </c>
      <c r="I24" s="60">
        <f>IF(AND(catpn_1_OAHB_1&gt;0,catpn_1_OAHV_51&gt;0),(cattf_1_OAHB_1*((dagenperjaar1*VLOOKUP(B24,dagsoorttabel1,2,FALSE))-catfd_1_OAHV_51)/catpn_1_OAHB_1+cattf_1_OAHV_51*catfd_1_OAHV_51/catpn_1_OAHV_51)/(((dagenperjaar1*VLOOKUP(B24,dagsoorttabel1,2,FALSE))-catfd_1_OAHV_51)/catpn_1_OAHB_1+catfd_1_OAHV_51/catpn_1_OAHV_51),0)</f>
        <v>0</v>
      </c>
      <c r="J24" s="68">
        <f>IF(OR(ISBLANK(G24),G24=0),0,F24/ROUND(G24,4))</f>
        <v>0</v>
      </c>
      <c r="K24" s="60">
        <f>ROUND(I24,2)*J24</f>
        <v>0</v>
      </c>
      <c r="L24" s="68">
        <f>J24*dagenperjaar1</f>
        <v>0</v>
      </c>
      <c r="M24" s="60">
        <f>L24*ROUND(I24,2)</f>
        <v>0</v>
      </c>
    </row>
    <row r="25" spans="1:13" x14ac:dyDescent="0.2">
      <c r="A25" s="56" t="s">
        <v>248</v>
      </c>
      <c r="B25" s="56" t="s">
        <v>17</v>
      </c>
      <c r="C25" s="56" t="s">
        <v>230</v>
      </c>
      <c r="D25" s="56" t="s">
        <v>249</v>
      </c>
      <c r="E25" s="68">
        <v>220.6</v>
      </c>
      <c r="F25" s="68">
        <f>E25*VLOOKUP(B25,dagsoorttabel1,2,FALSE)</f>
        <v>5.0907692307692312</v>
      </c>
      <c r="G25" s="69">
        <f>catpn_1_OAHV_1</f>
        <v>0</v>
      </c>
      <c r="H25" s="56" t="s">
        <v>101</v>
      </c>
      <c r="I25" s="60">
        <f>cattf_1_OAHV_1</f>
        <v>0</v>
      </c>
      <c r="J25" s="68">
        <f>IF(OR(ISBLANK(G25),G25=0),0,F25/ROUND(G25,4))</f>
        <v>0</v>
      </c>
      <c r="K25" s="60">
        <f>ROUND(I25,2)*J25</f>
        <v>0</v>
      </c>
      <c r="L25" s="68">
        <f>J25*dagenperjaar1</f>
        <v>0</v>
      </c>
      <c r="M25" s="60">
        <f>L25*ROUND(I25,2)</f>
        <v>0</v>
      </c>
    </row>
    <row r="26" spans="1:13" x14ac:dyDescent="0.2">
      <c r="A26" s="56" t="s">
        <v>250</v>
      </c>
      <c r="B26" s="56" t="s">
        <v>9</v>
      </c>
      <c r="C26" s="56" t="s">
        <v>230</v>
      </c>
      <c r="D26" s="56" t="s">
        <v>251</v>
      </c>
      <c r="E26" s="68">
        <v>26.9</v>
      </c>
      <c r="F26" s="68">
        <f>E26*VLOOKUP(B26,dagsoorttabel1,2,FALSE)</f>
        <v>26.9</v>
      </c>
      <c r="G26" s="69">
        <f>IF(AND(catpn_1_SKHB_1&gt;0,catpn_1_SKHV_51&gt;0),(dagenperjaar1*VLOOKUP(B26,dagsoorttabel1,2,FALSE))/(((dagenperjaar1*VLOOKUP(B26,dagsoorttabel1,2,FALSE))-catfd_1_SKHV_51)/catpn_1_SKHB_1+catfd_1_SKHV_51/catpn_1_SKHV_51),0)</f>
        <v>0</v>
      </c>
      <c r="H26" s="56" t="s">
        <v>101</v>
      </c>
      <c r="I26" s="60">
        <f>IF(AND(catpn_1_SKHB_1&gt;0,catpn_1_SKHV_51&gt;0),(cattf_1_SKHB_1*((dagenperjaar1*VLOOKUP(B26,dagsoorttabel1,2,FALSE))-catfd_1_SKHV_51)/catpn_1_SKHB_1+cattf_1_SKHV_51*catfd_1_SKHV_51/catpn_1_SKHV_51)/(((dagenperjaar1*VLOOKUP(B26,dagsoorttabel1,2,FALSE))-catfd_1_SKHV_51)/catpn_1_SKHB_1+catfd_1_SKHV_51/catpn_1_SKHV_51),0)</f>
        <v>0</v>
      </c>
      <c r="J26" s="68">
        <f>IF(OR(ISBLANK(G26),G26=0),0,F26/ROUND(G26,4))</f>
        <v>0</v>
      </c>
      <c r="K26" s="60">
        <f>ROUND(I26,2)*J26</f>
        <v>0</v>
      </c>
      <c r="L26" s="68">
        <f>J26*dagenperjaar1</f>
        <v>0</v>
      </c>
      <c r="M26" s="60">
        <f>L26*ROUND(I26,2)</f>
        <v>0</v>
      </c>
    </row>
    <row r="27" spans="1:13" x14ac:dyDescent="0.2">
      <c r="A27" s="56" t="s">
        <v>252</v>
      </c>
      <c r="B27" s="56" t="s">
        <v>15</v>
      </c>
      <c r="C27" s="56" t="s">
        <v>230</v>
      </c>
      <c r="D27" s="56" t="s">
        <v>253</v>
      </c>
      <c r="E27" s="68">
        <v>35.19</v>
      </c>
      <c r="F27" s="68">
        <f>E27*VLOOKUP(B27,dagsoorttabel1,2,FALSE)</f>
        <v>3.5190000000000001</v>
      </c>
      <c r="G27" s="69">
        <f>catpn_1_STHV_51</f>
        <v>0</v>
      </c>
      <c r="H27" s="56" t="s">
        <v>101</v>
      </c>
      <c r="I27" s="60">
        <f>cattf_1_STHV_51</f>
        <v>0</v>
      </c>
      <c r="J27" s="68">
        <f>IF(OR(ISBLANK(G27),G27=0),0,F27/ROUND(G27,4))</f>
        <v>0</v>
      </c>
      <c r="K27" s="60">
        <f>ROUND(I27,2)*J27</f>
        <v>0</v>
      </c>
      <c r="L27" s="68">
        <f>J27*dagenperjaar1</f>
        <v>0</v>
      </c>
      <c r="M27" s="60">
        <f>L27*ROUND(I27,2)</f>
        <v>0</v>
      </c>
    </row>
    <row r="28" spans="1:13" x14ac:dyDescent="0.2">
      <c r="A28" s="56" t="s">
        <v>252</v>
      </c>
      <c r="B28" s="56" t="s">
        <v>10</v>
      </c>
      <c r="C28" s="56" t="s">
        <v>230</v>
      </c>
      <c r="D28" s="56" t="s">
        <v>253</v>
      </c>
      <c r="E28" s="68">
        <v>1.74</v>
      </c>
      <c r="F28" s="68">
        <f>E28*VLOOKUP(B28,dagsoorttabel1,2,FALSE)</f>
        <v>1.3920000000000001</v>
      </c>
      <c r="G28" s="69">
        <f>IF(AND(catpn_1_STHB_1&gt;0,catpn_1_STHV_51&gt;0),(dagenperjaar1*VLOOKUP(B28,dagsoorttabel1,2,FALSE))/(((dagenperjaar1*VLOOKUP(B28,dagsoorttabel1,2,FALSE))-catfd_1_STHV_51)/catpn_1_STHB_1+catfd_1_STHV_51/catpn_1_STHV_51),0)</f>
        <v>0</v>
      </c>
      <c r="H28" s="56" t="s">
        <v>101</v>
      </c>
      <c r="I28" s="60">
        <f>IF(AND(catpn_1_STHB_1&gt;0,catpn_1_STHV_51&gt;0),(cattf_1_STHB_1*((dagenperjaar1*VLOOKUP(B28,dagsoorttabel1,2,FALSE))-catfd_1_STHV_51)/catpn_1_STHB_1+cattf_1_STHV_51*catfd_1_STHV_51/catpn_1_STHV_51)/(((dagenperjaar1*VLOOKUP(B28,dagsoorttabel1,2,FALSE))-catfd_1_STHV_51)/catpn_1_STHB_1+catfd_1_STHV_51/catpn_1_STHV_51),0)</f>
        <v>0</v>
      </c>
      <c r="J28" s="68">
        <f>IF(OR(ISBLANK(G28),G28=0),0,F28/ROUND(G28,4))</f>
        <v>0</v>
      </c>
      <c r="K28" s="60">
        <f>ROUND(I28,2)*J28</f>
        <v>0</v>
      </c>
      <c r="L28" s="68">
        <f>J28*dagenperjaar1</f>
        <v>0</v>
      </c>
      <c r="M28" s="60">
        <f>L28*ROUND(I28,2)</f>
        <v>0</v>
      </c>
    </row>
    <row r="29" spans="1:13" x14ac:dyDescent="0.2">
      <c r="A29" s="56" t="s">
        <v>252</v>
      </c>
      <c r="B29" s="56" t="s">
        <v>9</v>
      </c>
      <c r="C29" s="56" t="s">
        <v>230</v>
      </c>
      <c r="D29" s="56" t="s">
        <v>253</v>
      </c>
      <c r="E29" s="68">
        <v>189.7</v>
      </c>
      <c r="F29" s="68">
        <f>E29*VLOOKUP(B29,dagsoorttabel1,2,FALSE)</f>
        <v>189.7</v>
      </c>
      <c r="G29" s="69">
        <f>IF(AND(catpn_1_STHB_1&gt;0,catpn_1_STHV_51&gt;0),(dagenperjaar1*VLOOKUP(B29,dagsoorttabel1,2,FALSE))/(((dagenperjaar1*VLOOKUP(B29,dagsoorttabel1,2,FALSE))-catfd_1_STHV_51)/catpn_1_STHB_1+catfd_1_STHV_51/catpn_1_STHV_51),0)</f>
        <v>0</v>
      </c>
      <c r="H29" s="56" t="s">
        <v>101</v>
      </c>
      <c r="I29" s="60">
        <f>IF(AND(catpn_1_STHB_1&gt;0,catpn_1_STHV_51&gt;0),(cattf_1_STHB_1*((dagenperjaar1*VLOOKUP(B29,dagsoorttabel1,2,FALSE))-catfd_1_STHV_51)/catpn_1_STHB_1+cattf_1_STHV_51*catfd_1_STHV_51/catpn_1_STHV_51)/(((dagenperjaar1*VLOOKUP(B29,dagsoorttabel1,2,FALSE))-catfd_1_STHV_51)/catpn_1_STHB_1+catfd_1_STHV_51/catpn_1_STHV_51),0)</f>
        <v>0</v>
      </c>
      <c r="J29" s="68">
        <f>IF(OR(ISBLANK(G29),G29=0),0,F29/ROUND(G29,4))</f>
        <v>0</v>
      </c>
      <c r="K29" s="60">
        <f>ROUND(I29,2)*J29</f>
        <v>0</v>
      </c>
      <c r="L29" s="68">
        <f>J29*dagenperjaar1</f>
        <v>0</v>
      </c>
      <c r="M29" s="60">
        <f>L29*ROUND(I29,2)</f>
        <v>0</v>
      </c>
    </row>
    <row r="30" spans="1:13" x14ac:dyDescent="0.2">
      <c r="A30" s="56" t="s">
        <v>254</v>
      </c>
      <c r="B30" s="56" t="s">
        <v>10</v>
      </c>
      <c r="C30" s="56" t="s">
        <v>230</v>
      </c>
      <c r="D30" s="56" t="s">
        <v>255</v>
      </c>
      <c r="E30" s="68">
        <v>157.6</v>
      </c>
      <c r="F30" s="68">
        <f>E30*VLOOKUP(B30,dagsoorttabel1,2,FALSE)</f>
        <v>126.08</v>
      </c>
      <c r="G30" s="69">
        <f>catpn_1_STHB_1</f>
        <v>0</v>
      </c>
      <c r="H30" s="56" t="s">
        <v>101</v>
      </c>
      <c r="I30" s="60">
        <f>cattf_1_STHB_1</f>
        <v>0</v>
      </c>
      <c r="J30" s="68">
        <f>IF(OR(ISBLANK(G30),G30=0),0,F30/ROUND(G30,4))</f>
        <v>0</v>
      </c>
      <c r="K30" s="60">
        <f>ROUND(I30,2)*J30</f>
        <v>0</v>
      </c>
      <c r="L30" s="68">
        <f>J30*dagenperjaar1</f>
        <v>0</v>
      </c>
      <c r="M30" s="60">
        <f>L30*ROUND(I30,2)</f>
        <v>0</v>
      </c>
    </row>
    <row r="31" spans="1:13" x14ac:dyDescent="0.2">
      <c r="A31" s="56" t="s">
        <v>256</v>
      </c>
      <c r="B31" s="56" t="s">
        <v>14</v>
      </c>
      <c r="C31" s="56" t="s">
        <v>230</v>
      </c>
      <c r="D31" s="56" t="s">
        <v>257</v>
      </c>
      <c r="E31" s="68">
        <v>4.5</v>
      </c>
      <c r="F31" s="68">
        <f>E31*VLOOKUP(B31,dagsoorttabel1,2,FALSE)</f>
        <v>0.9</v>
      </c>
      <c r="G31" s="69">
        <f>IF(AND(catpn_1_VAHB_1&gt;0,catpn_1_VAHV_51&gt;0),(dagenperjaar1*VLOOKUP(B31,dagsoorttabel1,2,FALSE))/(((dagenperjaar1*VLOOKUP(B31,dagsoorttabel1,2,FALSE))-catfd_1_VAHV_51)/catpn_1_VAHB_1+catfd_1_VAHV_51/catpn_1_VAHV_51),0)</f>
        <v>0</v>
      </c>
      <c r="H31" s="56" t="s">
        <v>101</v>
      </c>
      <c r="I31" s="60">
        <f>IF(AND(catpn_1_VAHB_1&gt;0,catpn_1_VAHV_51&gt;0),(cattf_1_VAHB_1*((dagenperjaar1*VLOOKUP(B31,dagsoorttabel1,2,FALSE))-catfd_1_VAHV_51)/catpn_1_VAHB_1+cattf_1_VAHV_51*catfd_1_VAHV_51/catpn_1_VAHV_51)/(((dagenperjaar1*VLOOKUP(B31,dagsoorttabel1,2,FALSE))-catfd_1_VAHV_51)/catpn_1_VAHB_1+catfd_1_VAHV_51/catpn_1_VAHV_51),0)</f>
        <v>0</v>
      </c>
      <c r="J31" s="68">
        <f>IF(OR(ISBLANK(G31),G31=0),0,F31/ROUND(G31,4))</f>
        <v>0</v>
      </c>
      <c r="K31" s="60">
        <f>ROUND(I31,2)*J31</f>
        <v>0</v>
      </c>
      <c r="L31" s="68">
        <f>J31*dagenperjaar1</f>
        <v>0</v>
      </c>
      <c r="M31" s="60">
        <f>L31*ROUND(I31,2)</f>
        <v>0</v>
      </c>
    </row>
    <row r="32" spans="1:13" x14ac:dyDescent="0.2">
      <c r="A32" s="56" t="s">
        <v>256</v>
      </c>
      <c r="B32" s="56" t="s">
        <v>10</v>
      </c>
      <c r="C32" s="56" t="s">
        <v>230</v>
      </c>
      <c r="D32" s="56" t="s">
        <v>257</v>
      </c>
      <c r="E32" s="68">
        <v>386.44</v>
      </c>
      <c r="F32" s="68">
        <f>E32*VLOOKUP(B32,dagsoorttabel1,2,FALSE)</f>
        <v>309.15200000000004</v>
      </c>
      <c r="G32" s="69">
        <f>IF(AND(catpn_1_VAHB_1&gt;0,catpn_1_VAHV_51&gt;0),(dagenperjaar1*VLOOKUP(B32,dagsoorttabel1,2,FALSE))/(((dagenperjaar1*VLOOKUP(B32,dagsoorttabel1,2,FALSE))-catfd_1_VAHV_51)/catpn_1_VAHB_1+catfd_1_VAHV_51/catpn_1_VAHV_51),0)</f>
        <v>0</v>
      </c>
      <c r="H32" s="56" t="s">
        <v>101</v>
      </c>
      <c r="I32" s="60">
        <f>IF(AND(catpn_1_VAHB_1&gt;0,catpn_1_VAHV_51&gt;0),(cattf_1_VAHB_1*((dagenperjaar1*VLOOKUP(B32,dagsoorttabel1,2,FALSE))-catfd_1_VAHV_51)/catpn_1_VAHB_1+cattf_1_VAHV_51*catfd_1_VAHV_51/catpn_1_VAHV_51)/(((dagenperjaar1*VLOOKUP(B32,dagsoorttabel1,2,FALSE))-catfd_1_VAHV_51)/catpn_1_VAHB_1+catfd_1_VAHV_51/catpn_1_VAHV_51),0)</f>
        <v>0</v>
      </c>
      <c r="J32" s="68">
        <f>IF(OR(ISBLANK(G32),G32=0),0,F32/ROUND(G32,4))</f>
        <v>0</v>
      </c>
      <c r="K32" s="60">
        <f>ROUND(I32,2)*J32</f>
        <v>0</v>
      </c>
      <c r="L32" s="68">
        <f>J32*dagenperjaar1</f>
        <v>0</v>
      </c>
      <c r="M32" s="60">
        <f>L32*ROUND(I32,2)</f>
        <v>0</v>
      </c>
    </row>
    <row r="33" spans="1:13" x14ac:dyDescent="0.2">
      <c r="A33" s="56" t="s">
        <v>256</v>
      </c>
      <c r="B33" s="56" t="s">
        <v>9</v>
      </c>
      <c r="C33" s="56" t="s">
        <v>230</v>
      </c>
      <c r="D33" s="56" t="s">
        <v>257</v>
      </c>
      <c r="E33" s="68">
        <v>336.1</v>
      </c>
      <c r="F33" s="68">
        <f>E33*VLOOKUP(B33,dagsoorttabel1,2,FALSE)</f>
        <v>336.1</v>
      </c>
      <c r="G33" s="69">
        <f>IF(AND(catpn_1_VAHB_1&gt;0,catpn_1_VAHV_51&gt;0),(dagenperjaar1*VLOOKUP(B33,dagsoorttabel1,2,FALSE))/(((dagenperjaar1*VLOOKUP(B33,dagsoorttabel1,2,FALSE))-catfd_1_VAHV_51)/catpn_1_VAHB_1+catfd_1_VAHV_51/catpn_1_VAHV_51),0)</f>
        <v>0</v>
      </c>
      <c r="H33" s="56" t="s">
        <v>101</v>
      </c>
      <c r="I33" s="60">
        <f>IF(AND(catpn_1_VAHB_1&gt;0,catpn_1_VAHV_51&gt;0),(cattf_1_VAHB_1*((dagenperjaar1*VLOOKUP(B33,dagsoorttabel1,2,FALSE))-catfd_1_VAHV_51)/catpn_1_VAHB_1+cattf_1_VAHV_51*catfd_1_VAHV_51/catpn_1_VAHV_51)/(((dagenperjaar1*VLOOKUP(B33,dagsoorttabel1,2,FALSE))-catfd_1_VAHV_51)/catpn_1_VAHB_1+catfd_1_VAHV_51/catpn_1_VAHV_51),0)</f>
        <v>0</v>
      </c>
      <c r="J33" s="68">
        <f>IF(OR(ISBLANK(G33),G33=0),0,F33/ROUND(G33,4))</f>
        <v>0</v>
      </c>
      <c r="K33" s="60">
        <f>ROUND(I33,2)*J33</f>
        <v>0</v>
      </c>
      <c r="L33" s="68">
        <f>J33*dagenperjaar1</f>
        <v>0</v>
      </c>
      <c r="M33" s="60">
        <f>L33*ROUND(I33,2)</f>
        <v>0</v>
      </c>
    </row>
    <row r="34" spans="1:13" x14ac:dyDescent="0.2">
      <c r="A34" s="56" t="s">
        <v>258</v>
      </c>
      <c r="B34" s="56" t="s">
        <v>15</v>
      </c>
      <c r="C34" s="56" t="s">
        <v>230</v>
      </c>
      <c r="D34" s="56" t="s">
        <v>259</v>
      </c>
      <c r="E34" s="68">
        <v>24.32</v>
      </c>
      <c r="F34" s="68">
        <f>E34*VLOOKUP(B34,dagsoorttabel1,2,FALSE)</f>
        <v>2.4320000000000004</v>
      </c>
      <c r="G34" s="69">
        <f>catpn_1_VAZV_51</f>
        <v>0</v>
      </c>
      <c r="H34" s="56" t="s">
        <v>101</v>
      </c>
      <c r="I34" s="60">
        <f>cattf_1_VAZV_51</f>
        <v>0</v>
      </c>
      <c r="J34" s="68">
        <f>IF(OR(ISBLANK(G34),G34=0),0,F34/ROUND(G34,4))</f>
        <v>0</v>
      </c>
      <c r="K34" s="60">
        <f>ROUND(I34,2)*J34</f>
        <v>0</v>
      </c>
      <c r="L34" s="68">
        <f>J34*dagenperjaar1</f>
        <v>0</v>
      </c>
      <c r="M34" s="60">
        <f>L34*ROUND(I34,2)</f>
        <v>0</v>
      </c>
    </row>
    <row r="35" spans="1:13" x14ac:dyDescent="0.2">
      <c r="A35" s="56" t="s">
        <v>258</v>
      </c>
      <c r="B35" s="56" t="s">
        <v>9</v>
      </c>
      <c r="C35" s="56" t="s">
        <v>230</v>
      </c>
      <c r="D35" s="56" t="s">
        <v>259</v>
      </c>
      <c r="E35" s="68">
        <v>43.5</v>
      </c>
      <c r="F35" s="68">
        <f>E35*VLOOKUP(B35,dagsoorttabel1,2,FALSE)</f>
        <v>43.5</v>
      </c>
      <c r="G35" s="69">
        <f>IF(AND(catpn_1_VAZB_1&gt;0,catpn_1_VAZV_51&gt;0),(dagenperjaar1*VLOOKUP(B35,dagsoorttabel1,2,FALSE))/(((dagenperjaar1*VLOOKUP(B35,dagsoorttabel1,2,FALSE))-catfd_1_VAZV_51)/catpn_1_VAZB_1+catfd_1_VAZV_51/catpn_1_VAZV_51),0)</f>
        <v>0</v>
      </c>
      <c r="H35" s="56" t="s">
        <v>101</v>
      </c>
      <c r="I35" s="60">
        <f>IF(AND(catpn_1_VAZB_1&gt;0,catpn_1_VAZV_51&gt;0),(cattf_1_VAZB_1*((dagenperjaar1*VLOOKUP(B35,dagsoorttabel1,2,FALSE))-catfd_1_VAZV_51)/catpn_1_VAZB_1+cattf_1_VAZV_51*catfd_1_VAZV_51/catpn_1_VAZV_51)/(((dagenperjaar1*VLOOKUP(B35,dagsoorttabel1,2,FALSE))-catfd_1_VAZV_51)/catpn_1_VAZB_1+catfd_1_VAZV_51/catpn_1_VAZV_51),0)</f>
        <v>0</v>
      </c>
      <c r="J35" s="68">
        <f>IF(OR(ISBLANK(G35),G35=0),0,F35/ROUND(G35,4))</f>
        <v>0</v>
      </c>
      <c r="K35" s="60">
        <f>ROUND(I35,2)*J35</f>
        <v>0</v>
      </c>
      <c r="L35" s="68">
        <f>J35*dagenperjaar1</f>
        <v>0</v>
      </c>
      <c r="M35" s="60">
        <f>L35*ROUND(I35,2)</f>
        <v>0</v>
      </c>
    </row>
    <row r="36" spans="1:13" x14ac:dyDescent="0.2">
      <c r="A36" s="56" t="s">
        <v>260</v>
      </c>
      <c r="B36" s="56" t="s">
        <v>10</v>
      </c>
      <c r="C36" s="56" t="s">
        <v>230</v>
      </c>
      <c r="D36" s="56" t="s">
        <v>261</v>
      </c>
      <c r="E36" s="68">
        <v>60.04</v>
      </c>
      <c r="F36" s="68">
        <f>E36*VLOOKUP(B36,dagsoorttabel1,2,FALSE)</f>
        <v>48.032000000000004</v>
      </c>
      <c r="G36" s="69">
        <f>IF(AND(catpn_1_VEHB_1&gt;0,catpn_1_VEHV_51&gt;0),(dagenperjaar1*VLOOKUP(B36,dagsoorttabel1,2,FALSE))/(((dagenperjaar1*VLOOKUP(B36,dagsoorttabel1,2,FALSE))-catfd_1_VEHV_51)/catpn_1_VEHB_1+catfd_1_VEHV_51/catpn_1_VEHV_51),0)</f>
        <v>0</v>
      </c>
      <c r="H36" s="56" t="s">
        <v>101</v>
      </c>
      <c r="I36" s="60">
        <f>IF(AND(catpn_1_VEHB_1&gt;0,catpn_1_VEHV_51&gt;0),(cattf_1_VEHB_1*((dagenperjaar1*VLOOKUP(B36,dagsoorttabel1,2,FALSE))-catfd_1_VEHV_51)/catpn_1_VEHB_1+cattf_1_VEHV_51*catfd_1_VEHV_51/catpn_1_VEHV_51)/(((dagenperjaar1*VLOOKUP(B36,dagsoorttabel1,2,FALSE))-catfd_1_VEHV_51)/catpn_1_VEHB_1+catfd_1_VEHV_51/catpn_1_VEHV_51),0)</f>
        <v>0</v>
      </c>
      <c r="J36" s="68">
        <f>IF(OR(ISBLANK(G36),G36=0),0,F36/ROUND(G36,4))</f>
        <v>0</v>
      </c>
      <c r="K36" s="60">
        <f>ROUND(I36,2)*J36</f>
        <v>0</v>
      </c>
      <c r="L36" s="68">
        <f>J36*dagenperjaar1</f>
        <v>0</v>
      </c>
      <c r="M36" s="60">
        <f>L36*ROUND(I36,2)</f>
        <v>0</v>
      </c>
    </row>
    <row r="37" spans="1:13" x14ac:dyDescent="0.2">
      <c r="A37" s="56" t="s">
        <v>262</v>
      </c>
      <c r="B37" s="56" t="s">
        <v>9</v>
      </c>
      <c r="C37" s="56" t="s">
        <v>230</v>
      </c>
      <c r="D37" s="56" t="s">
        <v>263</v>
      </c>
      <c r="E37" s="68">
        <v>15</v>
      </c>
      <c r="F37" s="68">
        <f>E37*VLOOKUP(B37,dagsoorttabel1,2,FALSE)</f>
        <v>15</v>
      </c>
      <c r="G37" s="69">
        <f>IF(AND(catpn_1_VEZB_1&gt;0,catpn_1_VEZV_51&gt;0),(dagenperjaar1*VLOOKUP(B37,dagsoorttabel1,2,FALSE))/(((dagenperjaar1*VLOOKUP(B37,dagsoorttabel1,2,FALSE))-catfd_1_VEZV_51)/catpn_1_VEZB_1+catfd_1_VEZV_51/catpn_1_VEZV_51),0)</f>
        <v>0</v>
      </c>
      <c r="H37" s="56" t="s">
        <v>101</v>
      </c>
      <c r="I37" s="60">
        <f>IF(AND(catpn_1_VEZB_1&gt;0,catpn_1_VEZV_51&gt;0),(cattf_1_VEZB_1*((dagenperjaar1*VLOOKUP(B37,dagsoorttabel1,2,FALSE))-catfd_1_VEZV_51)/catpn_1_VEZB_1+cattf_1_VEZV_51*catfd_1_VEZV_51/catpn_1_VEZV_51)/(((dagenperjaar1*VLOOKUP(B37,dagsoorttabel1,2,FALSE))-catfd_1_VEZV_51)/catpn_1_VEZB_1+catfd_1_VEZV_51/catpn_1_VEZV_51),0)</f>
        <v>0</v>
      </c>
      <c r="J37" s="68">
        <f>IF(OR(ISBLANK(G37),G37=0),0,F37/ROUND(G37,4))</f>
        <v>0</v>
      </c>
      <c r="K37" s="60">
        <f>ROUND(I37,2)*J37</f>
        <v>0</v>
      </c>
      <c r="L37" s="68">
        <f>J37*dagenperjaar1</f>
        <v>0</v>
      </c>
      <c r="M37" s="60">
        <f>L37*ROUND(I37,2)</f>
        <v>0</v>
      </c>
    </row>
    <row r="38" spans="1:13" x14ac:dyDescent="0.2">
      <c r="A38" s="56" t="s">
        <v>264</v>
      </c>
      <c r="B38" s="56" t="s">
        <v>10</v>
      </c>
      <c r="C38" s="56" t="s">
        <v>230</v>
      </c>
      <c r="D38" s="56" t="s">
        <v>265</v>
      </c>
      <c r="E38" s="68">
        <v>34.5</v>
      </c>
      <c r="F38" s="68">
        <f>E38*VLOOKUP(B38,dagsoorttabel1,2,FALSE)</f>
        <v>27.6</v>
      </c>
      <c r="G38" s="69">
        <f>IF(AND(catpn_1_VLHB_1&gt;0,catpn_1_VLHV_51&gt;0),(dagenperjaar1*VLOOKUP(B38,dagsoorttabel1,2,FALSE))/(((dagenperjaar1*VLOOKUP(B38,dagsoorttabel1,2,FALSE))-catfd_1_VLHV_51)/catpn_1_VLHB_1+catfd_1_VLHV_51/catpn_1_VLHV_51),0)</f>
        <v>0</v>
      </c>
      <c r="H38" s="56" t="s">
        <v>101</v>
      </c>
      <c r="I38" s="60">
        <f>IF(AND(catpn_1_VLHB_1&gt;0,catpn_1_VLHV_51&gt;0),(cattf_1_VLHB_1*((dagenperjaar1*VLOOKUP(B38,dagsoorttabel1,2,FALSE))-catfd_1_VLHV_51)/catpn_1_VLHB_1+cattf_1_VLHV_51*catfd_1_VLHV_51/catpn_1_VLHV_51)/(((dagenperjaar1*VLOOKUP(B38,dagsoorttabel1,2,FALSE))-catfd_1_VLHV_51)/catpn_1_VLHB_1+catfd_1_VLHV_51/catpn_1_VLHV_51),0)</f>
        <v>0</v>
      </c>
      <c r="J38" s="68">
        <f>IF(OR(ISBLANK(G38),G38=0),0,F38/ROUND(G38,4))</f>
        <v>0</v>
      </c>
      <c r="K38" s="60">
        <f>ROUND(I38,2)*J38</f>
        <v>0</v>
      </c>
      <c r="L38" s="68">
        <f>J38*dagenperjaar1</f>
        <v>0</v>
      </c>
      <c r="M38" s="60">
        <f>L38*ROUND(I38,2)</f>
        <v>0</v>
      </c>
    </row>
    <row r="39" spans="1:13" x14ac:dyDescent="0.2">
      <c r="A39" s="56" t="s">
        <v>264</v>
      </c>
      <c r="B39" s="56" t="s">
        <v>9</v>
      </c>
      <c r="C39" s="56" t="s">
        <v>230</v>
      </c>
      <c r="D39" s="56" t="s">
        <v>265</v>
      </c>
      <c r="E39" s="68">
        <v>2.9</v>
      </c>
      <c r="F39" s="68">
        <f>E39*VLOOKUP(B39,dagsoorttabel1,2,FALSE)</f>
        <v>2.9</v>
      </c>
      <c r="G39" s="69">
        <f>IF(AND(catpn_1_VLHB_1&gt;0,catpn_1_VLHV_51&gt;0),(dagenperjaar1*VLOOKUP(B39,dagsoorttabel1,2,FALSE))/(((dagenperjaar1*VLOOKUP(B39,dagsoorttabel1,2,FALSE))-catfd_1_VLHV_51)/catpn_1_VLHB_1+catfd_1_VLHV_51/catpn_1_VLHV_51),0)</f>
        <v>0</v>
      </c>
      <c r="H39" s="56" t="s">
        <v>101</v>
      </c>
      <c r="I39" s="60">
        <f>IF(AND(catpn_1_VLHB_1&gt;0,catpn_1_VLHV_51&gt;0),(cattf_1_VLHB_1*((dagenperjaar1*VLOOKUP(B39,dagsoorttabel1,2,FALSE))-catfd_1_VLHV_51)/catpn_1_VLHB_1+cattf_1_VLHV_51*catfd_1_VLHV_51/catpn_1_VLHV_51)/(((dagenperjaar1*VLOOKUP(B39,dagsoorttabel1,2,FALSE))-catfd_1_VLHV_51)/catpn_1_VLHB_1+catfd_1_VLHV_51/catpn_1_VLHV_51),0)</f>
        <v>0</v>
      </c>
      <c r="J39" s="68">
        <f>IF(OR(ISBLANK(G39),G39=0),0,F39/ROUND(G39,4))</f>
        <v>0</v>
      </c>
      <c r="K39" s="60">
        <f>ROUND(I39,2)*J39</f>
        <v>0</v>
      </c>
      <c r="L39" s="68">
        <f>J39*dagenperjaar1</f>
        <v>0</v>
      </c>
      <c r="M39" s="60">
        <f>L39*ROUND(I39,2)</f>
        <v>0</v>
      </c>
    </row>
    <row r="40" spans="1:13" x14ac:dyDescent="0.2">
      <c r="A40" s="56" t="s">
        <v>266</v>
      </c>
      <c r="B40" s="56" t="s">
        <v>16</v>
      </c>
      <c r="C40" s="56" t="s">
        <v>230</v>
      </c>
      <c r="D40" s="56" t="s">
        <v>267</v>
      </c>
      <c r="E40" s="68">
        <v>1.4</v>
      </c>
      <c r="F40" s="68">
        <f>E40*VLOOKUP(B40,dagsoorttabel1,2,FALSE)</f>
        <v>6.4615384615384616E-2</v>
      </c>
      <c r="G40" s="69">
        <f>catpn_1_VTHV_12</f>
        <v>0</v>
      </c>
      <c r="H40" s="56" t="s">
        <v>101</v>
      </c>
      <c r="I40" s="60">
        <f>cattf_1_VTHV_12</f>
        <v>0</v>
      </c>
      <c r="J40" s="68">
        <f>IF(OR(ISBLANK(G40),G40=0),0,F40/ROUND(G40,4))</f>
        <v>0</v>
      </c>
      <c r="K40" s="60">
        <f>ROUND(I40,2)*J40</f>
        <v>0</v>
      </c>
      <c r="L40" s="68">
        <f>J40*dagenperjaar1</f>
        <v>0</v>
      </c>
      <c r="M40" s="60">
        <f>L40*ROUND(I40,2)</f>
        <v>0</v>
      </c>
    </row>
    <row r="41" spans="1:13" x14ac:dyDescent="0.2">
      <c r="A41" s="56" t="s">
        <v>266</v>
      </c>
      <c r="B41" s="56" t="s">
        <v>14</v>
      </c>
      <c r="C41" s="56" t="s">
        <v>230</v>
      </c>
      <c r="D41" s="56" t="s">
        <v>267</v>
      </c>
      <c r="E41" s="68">
        <v>16.7</v>
      </c>
      <c r="F41" s="68">
        <f>E41*VLOOKUP(B41,dagsoorttabel1,2,FALSE)</f>
        <v>3.34</v>
      </c>
      <c r="G41" s="69">
        <f>IF(AND(catpn_1_VTHB_1&gt;0,catpn_1_VTHV_51&gt;0),(dagenperjaar1*VLOOKUP(B41,dagsoorttabel1,2,FALSE))/(((dagenperjaar1*VLOOKUP(B41,dagsoorttabel1,2,FALSE))-catfd_1_VTHV_51)/catpn_1_VTHB_1+catfd_1_VTHV_51/catpn_1_VTHV_51),0)</f>
        <v>0</v>
      </c>
      <c r="H41" s="56" t="s">
        <v>101</v>
      </c>
      <c r="I41" s="60">
        <f>IF(AND(catpn_1_VTHB_1&gt;0,catpn_1_VTHV_51&gt;0),(cattf_1_VTHB_1*((dagenperjaar1*VLOOKUP(B41,dagsoorttabel1,2,FALSE))-catfd_1_VTHV_51)/catpn_1_VTHB_1+cattf_1_VTHV_51*catfd_1_VTHV_51/catpn_1_VTHV_51)/(((dagenperjaar1*VLOOKUP(B41,dagsoorttabel1,2,FALSE))-catfd_1_VTHV_51)/catpn_1_VTHB_1+catfd_1_VTHV_51/catpn_1_VTHV_51),0)</f>
        <v>0</v>
      </c>
      <c r="J41" s="68">
        <f>IF(OR(ISBLANK(G41),G41=0),0,F41/ROUND(G41,4))</f>
        <v>0</v>
      </c>
      <c r="K41" s="60">
        <f>ROUND(I41,2)*J41</f>
        <v>0</v>
      </c>
      <c r="L41" s="68">
        <f>J41*dagenperjaar1</f>
        <v>0</v>
      </c>
      <c r="M41" s="60">
        <f>L41*ROUND(I41,2)</f>
        <v>0</v>
      </c>
    </row>
    <row r="42" spans="1:13" x14ac:dyDescent="0.2">
      <c r="A42" s="56" t="s">
        <v>266</v>
      </c>
      <c r="B42" s="56" t="s">
        <v>15</v>
      </c>
      <c r="C42" s="56" t="s">
        <v>230</v>
      </c>
      <c r="D42" s="56" t="s">
        <v>267</v>
      </c>
      <c r="E42" s="68">
        <v>5.37</v>
      </c>
      <c r="F42" s="68">
        <f>E42*VLOOKUP(B42,dagsoorttabel1,2,FALSE)</f>
        <v>0.53700000000000003</v>
      </c>
      <c r="G42" s="69">
        <f>catpn_1_VTHV_12</f>
        <v>0</v>
      </c>
      <c r="H42" s="56" t="s">
        <v>101</v>
      </c>
      <c r="I42" s="60">
        <f>cattf_1_VTHV_12</f>
        <v>0</v>
      </c>
      <c r="J42" s="68">
        <f>IF(OR(ISBLANK(G42),G42=0),0,F42/ROUND(G42,4))</f>
        <v>0</v>
      </c>
      <c r="K42" s="60">
        <f>ROUND(I42,2)*J42</f>
        <v>0</v>
      </c>
      <c r="L42" s="68">
        <f>J42*dagenperjaar1</f>
        <v>0</v>
      </c>
      <c r="M42" s="60">
        <f>L42*ROUND(I42,2)</f>
        <v>0</v>
      </c>
    </row>
    <row r="43" spans="1:13" x14ac:dyDescent="0.2">
      <c r="A43" s="56" t="s">
        <v>266</v>
      </c>
      <c r="B43" s="56" t="s">
        <v>10</v>
      </c>
      <c r="C43" s="56" t="s">
        <v>230</v>
      </c>
      <c r="D43" s="56" t="s">
        <v>267</v>
      </c>
      <c r="E43" s="68">
        <v>355.20000000000005</v>
      </c>
      <c r="F43" s="68">
        <f>E43*VLOOKUP(B43,dagsoorttabel1,2,FALSE)</f>
        <v>284.16000000000003</v>
      </c>
      <c r="G43" s="69">
        <f>IF(AND(catpn_1_VTHB_1&gt;0,catpn_1_VTHV_51&gt;0),(dagenperjaar1*VLOOKUP(B43,dagsoorttabel1,2,FALSE))/(((dagenperjaar1*VLOOKUP(B43,dagsoorttabel1,2,FALSE))-catfd_1_VTHV_51)/catpn_1_VTHB_1+catfd_1_VTHV_51/catpn_1_VTHV_51),0)</f>
        <v>0</v>
      </c>
      <c r="H43" s="56" t="s">
        <v>101</v>
      </c>
      <c r="I43" s="60">
        <f>IF(AND(catpn_1_VTHB_1&gt;0,catpn_1_VTHV_51&gt;0),(cattf_1_VTHB_1*((dagenperjaar1*VLOOKUP(B43,dagsoorttabel1,2,FALSE))-catfd_1_VTHV_51)/catpn_1_VTHB_1+cattf_1_VTHV_51*catfd_1_VTHV_51/catpn_1_VTHV_51)/(((dagenperjaar1*VLOOKUP(B43,dagsoorttabel1,2,FALSE))-catfd_1_VTHV_51)/catpn_1_VTHB_1+catfd_1_VTHV_51/catpn_1_VTHV_51),0)</f>
        <v>0</v>
      </c>
      <c r="J43" s="68">
        <f>IF(OR(ISBLANK(G43),G43=0),0,F43/ROUND(G43,4))</f>
        <v>0</v>
      </c>
      <c r="K43" s="60">
        <f>ROUND(I43,2)*J43</f>
        <v>0</v>
      </c>
      <c r="L43" s="68">
        <f>J43*dagenperjaar1</f>
        <v>0</v>
      </c>
      <c r="M43" s="60">
        <f>L43*ROUND(I43,2)</f>
        <v>0</v>
      </c>
    </row>
    <row r="44" spans="1:13" x14ac:dyDescent="0.2">
      <c r="A44" s="56" t="s">
        <v>266</v>
      </c>
      <c r="B44" s="56" t="s">
        <v>9</v>
      </c>
      <c r="C44" s="56" t="s">
        <v>230</v>
      </c>
      <c r="D44" s="56" t="s">
        <v>267</v>
      </c>
      <c r="E44" s="68">
        <v>111.19999999999999</v>
      </c>
      <c r="F44" s="68">
        <f>E44*VLOOKUP(B44,dagsoorttabel1,2,FALSE)</f>
        <v>111.19999999999999</v>
      </c>
      <c r="G44" s="69">
        <f>IF(AND(catpn_1_VTHB_1&gt;0,catpn_1_VTHV_51&gt;0),(dagenperjaar1*VLOOKUP(B44,dagsoorttabel1,2,FALSE))/(((dagenperjaar1*VLOOKUP(B44,dagsoorttabel1,2,FALSE))-catfd_1_VTHV_51)/catpn_1_VTHB_1+catfd_1_VTHV_51/catpn_1_VTHV_51),0)</f>
        <v>0</v>
      </c>
      <c r="H44" s="56" t="s">
        <v>101</v>
      </c>
      <c r="I44" s="60">
        <f>IF(AND(catpn_1_VTHB_1&gt;0,catpn_1_VTHV_51&gt;0),(cattf_1_VTHB_1*((dagenperjaar1*VLOOKUP(B44,dagsoorttabel1,2,FALSE))-catfd_1_VTHV_51)/catpn_1_VTHB_1+cattf_1_VTHV_51*catfd_1_VTHV_51/catpn_1_VTHV_51)/(((dagenperjaar1*VLOOKUP(B44,dagsoorttabel1,2,FALSE))-catfd_1_VTHV_51)/catpn_1_VTHB_1+catfd_1_VTHV_51/catpn_1_VTHV_51),0)</f>
        <v>0</v>
      </c>
      <c r="J44" s="68">
        <f>IF(OR(ISBLANK(G44),G44=0),0,F44/ROUND(G44,4))</f>
        <v>0</v>
      </c>
      <c r="K44" s="60">
        <f>ROUND(I44,2)*J44</f>
        <v>0</v>
      </c>
      <c r="L44" s="68">
        <f>J44*dagenperjaar1</f>
        <v>0</v>
      </c>
      <c r="M44" s="60">
        <f>L44*ROUND(I44,2)</f>
        <v>0</v>
      </c>
    </row>
    <row r="45" spans="1:13" x14ac:dyDescent="0.2">
      <c r="A45" s="56" t="s">
        <v>266</v>
      </c>
      <c r="B45" s="56" t="s">
        <v>17</v>
      </c>
      <c r="C45" s="56" t="s">
        <v>230</v>
      </c>
      <c r="D45" s="56" t="s">
        <v>267</v>
      </c>
      <c r="E45" s="68">
        <v>7.8</v>
      </c>
      <c r="F45" s="68">
        <f>E45*VLOOKUP(B45,dagsoorttabel1,2,FALSE)</f>
        <v>0.18</v>
      </c>
      <c r="G45" s="69">
        <f>catpn_1_VTHV_2</f>
        <v>0</v>
      </c>
      <c r="H45" s="56" t="s">
        <v>101</v>
      </c>
      <c r="I45" s="60">
        <f>cattf_1_VTHV_2</f>
        <v>0</v>
      </c>
      <c r="J45" s="68">
        <f>IF(OR(ISBLANK(G45),G45=0),0,F45/ROUND(G45,4))</f>
        <v>0</v>
      </c>
      <c r="K45" s="60">
        <f>ROUND(I45,2)*J45</f>
        <v>0</v>
      </c>
      <c r="L45" s="68">
        <f>J45*dagenperjaar1</f>
        <v>0</v>
      </c>
      <c r="M45" s="60">
        <f>L45*ROUND(I45,2)</f>
        <v>0</v>
      </c>
    </row>
    <row r="46" spans="1:13" x14ac:dyDescent="0.2">
      <c r="A46" s="56" t="s">
        <v>268</v>
      </c>
      <c r="B46" s="56" t="s">
        <v>9</v>
      </c>
      <c r="C46" s="56" t="s">
        <v>230</v>
      </c>
      <c r="D46" s="56" t="s">
        <v>269</v>
      </c>
      <c r="E46" s="68">
        <v>12.4</v>
      </c>
      <c r="F46" s="68">
        <f>E46*VLOOKUP(B46,dagsoorttabel1,2,FALSE)</f>
        <v>12.4</v>
      </c>
      <c r="G46" s="69">
        <f>IF(AND(catpn_1_VTZB_1&gt;0,catpn_1_VTZV_51&gt;0),(dagenperjaar1*VLOOKUP(B46,dagsoorttabel1,2,FALSE))/(((dagenperjaar1*VLOOKUP(B46,dagsoorttabel1,2,FALSE))-catfd_1_VTZV_51)/catpn_1_VTZB_1+catfd_1_VTZV_51/catpn_1_VTZV_51),0)</f>
        <v>0</v>
      </c>
      <c r="H46" s="56" t="s">
        <v>101</v>
      </c>
      <c r="I46" s="60">
        <f>IF(AND(catpn_1_VTZB_1&gt;0,catpn_1_VTZV_51&gt;0),(cattf_1_VTZB_1*((dagenperjaar1*VLOOKUP(B46,dagsoorttabel1,2,FALSE))-catfd_1_VTZV_51)/catpn_1_VTZB_1+cattf_1_VTZV_51*catfd_1_VTZV_51/catpn_1_VTZV_51)/(((dagenperjaar1*VLOOKUP(B46,dagsoorttabel1,2,FALSE))-catfd_1_VTZV_51)/catpn_1_VTZB_1+catfd_1_VTZV_51/catpn_1_VTZV_51),0)</f>
        <v>0</v>
      </c>
      <c r="J46" s="68">
        <f>IF(OR(ISBLANK(G46),G46=0),0,F46/ROUND(G46,4))</f>
        <v>0</v>
      </c>
      <c r="K46" s="60">
        <f>ROUND(I46,2)*J46</f>
        <v>0</v>
      </c>
      <c r="L46" s="68">
        <f>J46*dagenperjaar1</f>
        <v>0</v>
      </c>
      <c r="M46" s="60">
        <f>L46*ROUND(I46,2)</f>
        <v>0</v>
      </c>
    </row>
    <row r="47" spans="1:13" x14ac:dyDescent="0.2">
      <c r="A47" s="56" t="s">
        <v>270</v>
      </c>
      <c r="B47" s="56" t="s">
        <v>10</v>
      </c>
      <c r="C47" s="56" t="s">
        <v>230</v>
      </c>
      <c r="D47" s="56" t="s">
        <v>271</v>
      </c>
      <c r="E47" s="68">
        <v>164.3</v>
      </c>
      <c r="F47" s="68">
        <f>E47*VLOOKUP(B47,dagsoorttabel1,2,FALSE)</f>
        <v>131.44000000000003</v>
      </c>
      <c r="G47" s="69">
        <f>IF(AND(catpn_1_WIHB_1&gt;0,catpn_1_WIHV_51&gt;0),(dagenperjaar1*VLOOKUP(B47,dagsoorttabel1,2,FALSE))/(((dagenperjaar1*VLOOKUP(B47,dagsoorttabel1,2,FALSE))-catfd_1_WIHV_51)/catpn_1_WIHB_1+catfd_1_WIHV_51/catpn_1_WIHV_51),0)</f>
        <v>0</v>
      </c>
      <c r="H47" s="56" t="s">
        <v>101</v>
      </c>
      <c r="I47" s="60">
        <f>IF(AND(catpn_1_WIHB_1&gt;0,catpn_1_WIHV_51&gt;0),(cattf_1_WIHB_1*((dagenperjaar1*VLOOKUP(B47,dagsoorttabel1,2,FALSE))-catfd_1_WIHV_51)/catpn_1_WIHB_1+cattf_1_WIHV_51*catfd_1_WIHV_51/catpn_1_WIHV_51)/(((dagenperjaar1*VLOOKUP(B47,dagsoorttabel1,2,FALSE))-catfd_1_WIHV_51)/catpn_1_WIHB_1+catfd_1_WIHV_51/catpn_1_WIHV_51),0)</f>
        <v>0</v>
      </c>
      <c r="J47" s="68">
        <f>IF(OR(ISBLANK(G47),G47=0),0,F47/ROUND(G47,4))</f>
        <v>0</v>
      </c>
      <c r="K47" s="60">
        <f>ROUND(I47,2)*J47</f>
        <v>0</v>
      </c>
      <c r="L47" s="68">
        <f>J47*dagenperjaar1</f>
        <v>0</v>
      </c>
      <c r="M47" s="60">
        <f>L47*ROUND(I47,2)</f>
        <v>0</v>
      </c>
    </row>
    <row r="48" spans="1:13" x14ac:dyDescent="0.2">
      <c r="A48" s="61" t="s">
        <v>272</v>
      </c>
      <c r="B48" s="61" t="s">
        <v>9</v>
      </c>
      <c r="C48" s="61" t="s">
        <v>273</v>
      </c>
      <c r="D48" s="61" t="s">
        <v>274</v>
      </c>
      <c r="E48" s="70">
        <v>1</v>
      </c>
      <c r="F48" s="70">
        <f>E48*VLOOKUP(B48,dagsoorttabel1,2,FALSE)</f>
        <v>1</v>
      </c>
      <c r="G48" s="71"/>
      <c r="H48" s="61" t="s">
        <v>275</v>
      </c>
      <c r="I48" s="65">
        <f>Tariefopbouw1</f>
        <v>0</v>
      </c>
      <c r="J48" s="70">
        <f>F48*ROUND(G48,4)/60</f>
        <v>0</v>
      </c>
      <c r="K48" s="65">
        <f>ROUND(I48,2)*J48</f>
        <v>0</v>
      </c>
      <c r="L48" s="70">
        <f>J48*dagenperjaar1</f>
        <v>0</v>
      </c>
      <c r="M48" s="65">
        <f>L48*ROUND(I48,2)</f>
        <v>0</v>
      </c>
    </row>
    <row r="49" spans="1:13" x14ac:dyDescent="0.2">
      <c r="A49" s="73" t="s">
        <v>276</v>
      </c>
      <c r="B49" s="74"/>
      <c r="C49" s="74"/>
      <c r="D49" s="74"/>
      <c r="E49" s="74"/>
      <c r="F49" s="74"/>
      <c r="G49" s="74"/>
      <c r="H49" s="74"/>
      <c r="I49" s="74"/>
      <c r="J49" s="75">
        <f>SUM(J6:J48)</f>
        <v>0</v>
      </c>
      <c r="K49" s="76">
        <f>SUM(K6:K48)</f>
        <v>0</v>
      </c>
      <c r="L49" s="75">
        <f>SUM(L6:L48)</f>
        <v>0</v>
      </c>
      <c r="M49" s="77">
        <f>SUM(M6:M48)</f>
        <v>0</v>
      </c>
    </row>
    <row r="50" spans="1:13" x14ac:dyDescent="0.2">
      <c r="A50" s="78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9"/>
    </row>
    <row r="51" spans="1:13" x14ac:dyDescent="0.2">
      <c r="A51" s="73" t="s">
        <v>277</v>
      </c>
      <c r="B51" s="74"/>
      <c r="C51" s="74"/>
      <c r="D51" s="74"/>
      <c r="E51" s="74"/>
      <c r="F51" s="74"/>
      <c r="G51" s="74"/>
      <c r="H51" s="74"/>
      <c r="I51" s="76">
        <f>IF(urenjaar1&gt;0,SUMIF(L6:L48,"&gt;0",M6:M48)/urenjaar1,0)</f>
        <v>0</v>
      </c>
      <c r="J51" s="74"/>
      <c r="K51" s="74"/>
      <c r="L51" s="74"/>
      <c r="M51" s="79"/>
    </row>
    <row r="52" spans="1:13" x14ac:dyDescent="0.2">
      <c r="A52" s="78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9"/>
    </row>
    <row r="53" spans="1:13" x14ac:dyDescent="0.2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7"/>
    </row>
    <row r="54" spans="1:13" x14ac:dyDescent="0.2">
      <c r="A54" s="48" t="s">
        <v>183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50"/>
    </row>
    <row r="55" spans="1:13" x14ac:dyDescent="0.2">
      <c r="A55" s="51" t="s">
        <v>278</v>
      </c>
      <c r="B55" s="51" t="s">
        <v>18</v>
      </c>
      <c r="C55" s="51" t="s">
        <v>230</v>
      </c>
      <c r="D55" s="51" t="s">
        <v>231</v>
      </c>
      <c r="E55" s="66">
        <v>12.39</v>
      </c>
      <c r="F55" s="66">
        <f>E55*VLOOKUP(B55,dagsoorttabel1,2,FALSE)</f>
        <v>0.23826923076923079</v>
      </c>
      <c r="G55" s="67">
        <f>catpn_2_XBKHB_1</f>
        <v>0</v>
      </c>
      <c r="H55" s="51" t="s">
        <v>101</v>
      </c>
      <c r="I55" s="55">
        <f>cattf_2_XBKHB_1</f>
        <v>0</v>
      </c>
      <c r="J55" s="66">
        <f>IF(OR(ISBLANK(G55),G55=0),0,F55/ROUND(G55,4))</f>
        <v>0</v>
      </c>
      <c r="K55" s="55">
        <f>ROUND(I55,2)*J55</f>
        <v>0</v>
      </c>
      <c r="L55" s="66">
        <f>J55*dagenperjaar1</f>
        <v>0</v>
      </c>
      <c r="M55" s="55">
        <f>L55*ROUND(I55,2)</f>
        <v>0</v>
      </c>
    </row>
    <row r="56" spans="1:13" x14ac:dyDescent="0.2">
      <c r="A56" s="56" t="s">
        <v>279</v>
      </c>
      <c r="B56" s="56" t="s">
        <v>18</v>
      </c>
      <c r="C56" s="56" t="s">
        <v>230</v>
      </c>
      <c r="D56" s="56" t="s">
        <v>235</v>
      </c>
      <c r="E56" s="68">
        <v>14.79</v>
      </c>
      <c r="F56" s="68">
        <f>E56*VLOOKUP(B56,dagsoorttabel1,2,FALSE)</f>
        <v>0.28442307692307695</v>
      </c>
      <c r="G56" s="69">
        <f>catpn_2_XBVHB_1</f>
        <v>0</v>
      </c>
      <c r="H56" s="56" t="s">
        <v>101</v>
      </c>
      <c r="I56" s="60">
        <f>cattf_2_XBVHB_1</f>
        <v>0</v>
      </c>
      <c r="J56" s="68">
        <f>IF(OR(ISBLANK(G56),G56=0),0,F56/ROUND(G56,4))</f>
        <v>0</v>
      </c>
      <c r="K56" s="60">
        <f>ROUND(I56,2)*J56</f>
        <v>0</v>
      </c>
      <c r="L56" s="68">
        <f>J56*dagenperjaar1</f>
        <v>0</v>
      </c>
      <c r="M56" s="60">
        <f>L56*ROUND(I56,2)</f>
        <v>0</v>
      </c>
    </row>
    <row r="57" spans="1:13" x14ac:dyDescent="0.2">
      <c r="A57" s="56" t="s">
        <v>280</v>
      </c>
      <c r="B57" s="56" t="s">
        <v>18</v>
      </c>
      <c r="C57" s="56" t="s">
        <v>230</v>
      </c>
      <c r="D57" s="56" t="s">
        <v>237</v>
      </c>
      <c r="E57" s="68">
        <v>21.759999999999998</v>
      </c>
      <c r="F57" s="68">
        <f>E57*VLOOKUP(B57,dagsoorttabel1,2,FALSE)</f>
        <v>0.41846153846153844</v>
      </c>
      <c r="G57" s="69">
        <f>catpn_2_XKPHB_1</f>
        <v>0</v>
      </c>
      <c r="H57" s="56" t="s">
        <v>101</v>
      </c>
      <c r="I57" s="60">
        <f>cattf_2_XKPHB_1</f>
        <v>0</v>
      </c>
      <c r="J57" s="68">
        <f>IF(OR(ISBLANK(G57),G57=0),0,F57/ROUND(G57,4))</f>
        <v>0</v>
      </c>
      <c r="K57" s="60">
        <f>ROUND(I57,2)*J57</f>
        <v>0</v>
      </c>
      <c r="L57" s="68">
        <f>J57*dagenperjaar1</f>
        <v>0</v>
      </c>
      <c r="M57" s="60">
        <f>L57*ROUND(I57,2)</f>
        <v>0</v>
      </c>
    </row>
    <row r="58" spans="1:13" x14ac:dyDescent="0.2">
      <c r="A58" s="56" t="s">
        <v>281</v>
      </c>
      <c r="B58" s="56" t="s">
        <v>18</v>
      </c>
      <c r="C58" s="56" t="s">
        <v>230</v>
      </c>
      <c r="D58" s="56" t="s">
        <v>239</v>
      </c>
      <c r="E58" s="68">
        <v>389.7</v>
      </c>
      <c r="F58" s="68">
        <f>E58*VLOOKUP(B58,dagsoorttabel1,2,FALSE)</f>
        <v>7.4942307692307697</v>
      </c>
      <c r="G58" s="69">
        <f>catpn_2_XKRHB_1</f>
        <v>0</v>
      </c>
      <c r="H58" s="56" t="s">
        <v>101</v>
      </c>
      <c r="I58" s="60">
        <f>cattf_2_XKRHB_1</f>
        <v>0</v>
      </c>
      <c r="J58" s="68">
        <f>IF(OR(ISBLANK(G58),G58=0),0,F58/ROUND(G58,4))</f>
        <v>0</v>
      </c>
      <c r="K58" s="60">
        <f>ROUND(I58,2)*J58</f>
        <v>0</v>
      </c>
      <c r="L58" s="68">
        <f>J58*dagenperjaar1</f>
        <v>0</v>
      </c>
      <c r="M58" s="60">
        <f>L58*ROUND(I58,2)</f>
        <v>0</v>
      </c>
    </row>
    <row r="59" spans="1:13" x14ac:dyDescent="0.2">
      <c r="A59" s="56" t="s">
        <v>282</v>
      </c>
      <c r="B59" s="56" t="s">
        <v>18</v>
      </c>
      <c r="C59" s="56" t="s">
        <v>230</v>
      </c>
      <c r="D59" s="56" t="s">
        <v>241</v>
      </c>
      <c r="E59" s="68">
        <v>119</v>
      </c>
      <c r="F59" s="68">
        <f>E59*VLOOKUP(B59,dagsoorttabel1,2,FALSE)</f>
        <v>2.2884615384615388</v>
      </c>
      <c r="G59" s="69">
        <f>catpn_2_XLAHB_1</f>
        <v>0</v>
      </c>
      <c r="H59" s="56" t="s">
        <v>101</v>
      </c>
      <c r="I59" s="60">
        <f>cattf_2_XLAHB_1</f>
        <v>0</v>
      </c>
      <c r="J59" s="68">
        <f>IF(OR(ISBLANK(G59),G59=0),0,F59/ROUND(G59,4))</f>
        <v>0</v>
      </c>
      <c r="K59" s="60">
        <f>ROUND(I59,2)*J59</f>
        <v>0</v>
      </c>
      <c r="L59" s="68">
        <f>J59*dagenperjaar1</f>
        <v>0</v>
      </c>
      <c r="M59" s="60">
        <f>L59*ROUND(I59,2)</f>
        <v>0</v>
      </c>
    </row>
    <row r="60" spans="1:13" x14ac:dyDescent="0.2">
      <c r="A60" s="56" t="s">
        <v>283</v>
      </c>
      <c r="B60" s="56" t="s">
        <v>18</v>
      </c>
      <c r="C60" s="56" t="s">
        <v>230</v>
      </c>
      <c r="D60" s="56" t="s">
        <v>243</v>
      </c>
      <c r="E60" s="68">
        <v>1745.1</v>
      </c>
      <c r="F60" s="68">
        <f>E60*VLOOKUP(B60,dagsoorttabel1,2,FALSE)</f>
        <v>33.559615384615384</v>
      </c>
      <c r="G60" s="69">
        <f>catpn_2_XMEHB_1</f>
        <v>0</v>
      </c>
      <c r="H60" s="56" t="s">
        <v>101</v>
      </c>
      <c r="I60" s="60">
        <f>cattf_2_XMEHB_1</f>
        <v>0</v>
      </c>
      <c r="J60" s="68">
        <f>IF(OR(ISBLANK(G60),G60=0),0,F60/ROUND(G60,4))</f>
        <v>0</v>
      </c>
      <c r="K60" s="60">
        <f>ROUND(I60,2)*J60</f>
        <v>0</v>
      </c>
      <c r="L60" s="68">
        <f>J60*dagenperjaar1</f>
        <v>0</v>
      </c>
      <c r="M60" s="60">
        <f>L60*ROUND(I60,2)</f>
        <v>0</v>
      </c>
    </row>
    <row r="61" spans="1:13" x14ac:dyDescent="0.2">
      <c r="A61" s="56" t="s">
        <v>284</v>
      </c>
      <c r="B61" s="56" t="s">
        <v>18</v>
      </c>
      <c r="C61" s="56" t="s">
        <v>230</v>
      </c>
      <c r="D61" s="56" t="s">
        <v>245</v>
      </c>
      <c r="E61" s="68">
        <v>1014.4000000000001</v>
      </c>
      <c r="F61" s="68">
        <f>E61*VLOOKUP(B61,dagsoorttabel1,2,FALSE)</f>
        <v>19.507692307692309</v>
      </c>
      <c r="G61" s="69">
        <f>catpn_2_XMEZB_1</f>
        <v>0</v>
      </c>
      <c r="H61" s="56" t="s">
        <v>101</v>
      </c>
      <c r="I61" s="60">
        <f>cattf_2_XMEZB_1</f>
        <v>0</v>
      </c>
      <c r="J61" s="68">
        <f>IF(OR(ISBLANK(G61),G61=0),0,F61/ROUND(G61,4))</f>
        <v>0</v>
      </c>
      <c r="K61" s="60">
        <f>ROUND(I61,2)*J61</f>
        <v>0</v>
      </c>
      <c r="L61" s="68">
        <f>J61*dagenperjaar1</f>
        <v>0</v>
      </c>
      <c r="M61" s="60">
        <f>L61*ROUND(I61,2)</f>
        <v>0</v>
      </c>
    </row>
    <row r="62" spans="1:13" x14ac:dyDescent="0.2">
      <c r="A62" s="56" t="s">
        <v>285</v>
      </c>
      <c r="B62" s="56" t="s">
        <v>18</v>
      </c>
      <c r="C62" s="56" t="s">
        <v>230</v>
      </c>
      <c r="D62" s="56" t="s">
        <v>286</v>
      </c>
      <c r="E62" s="68">
        <v>792</v>
      </c>
      <c r="F62" s="68">
        <f>E62*VLOOKUP(B62,dagsoorttabel1,2,FALSE)</f>
        <v>15.230769230769232</v>
      </c>
      <c r="G62" s="69">
        <f>catpn_2_XNMHB_1</f>
        <v>0</v>
      </c>
      <c r="H62" s="56" t="s">
        <v>101</v>
      </c>
      <c r="I62" s="60">
        <f>cattf_2_XNMHB_1</f>
        <v>0</v>
      </c>
      <c r="J62" s="68">
        <f>IF(OR(ISBLANK(G62),G62=0),0,F62/ROUND(G62,4))</f>
        <v>0</v>
      </c>
      <c r="K62" s="60">
        <f>ROUND(I62,2)*J62</f>
        <v>0</v>
      </c>
      <c r="L62" s="68">
        <f>J62*dagenperjaar1</f>
        <v>0</v>
      </c>
      <c r="M62" s="60">
        <f>L62*ROUND(I62,2)</f>
        <v>0</v>
      </c>
    </row>
    <row r="63" spans="1:13" x14ac:dyDescent="0.2">
      <c r="A63" s="56" t="s">
        <v>287</v>
      </c>
      <c r="B63" s="56" t="s">
        <v>18</v>
      </c>
      <c r="C63" s="56" t="s">
        <v>230</v>
      </c>
      <c r="D63" s="56" t="s">
        <v>251</v>
      </c>
      <c r="E63" s="68">
        <v>26.9</v>
      </c>
      <c r="F63" s="68">
        <f>E63*VLOOKUP(B63,dagsoorttabel1,2,FALSE)</f>
        <v>0.51730769230769236</v>
      </c>
      <c r="G63" s="69">
        <f>catpn_2_XSKHB_1</f>
        <v>0</v>
      </c>
      <c r="H63" s="56" t="s">
        <v>101</v>
      </c>
      <c r="I63" s="60">
        <f>cattf_2_XSKHB_1</f>
        <v>0</v>
      </c>
      <c r="J63" s="68">
        <f>IF(OR(ISBLANK(G63),G63=0),0,F63/ROUND(G63,4))</f>
        <v>0</v>
      </c>
      <c r="K63" s="60">
        <f>ROUND(I63,2)*J63</f>
        <v>0</v>
      </c>
      <c r="L63" s="68">
        <f>J63*dagenperjaar1</f>
        <v>0</v>
      </c>
      <c r="M63" s="60">
        <f>L63*ROUND(I63,2)</f>
        <v>0</v>
      </c>
    </row>
    <row r="64" spans="1:13" x14ac:dyDescent="0.2">
      <c r="A64" s="56" t="s">
        <v>288</v>
      </c>
      <c r="B64" s="56" t="s">
        <v>18</v>
      </c>
      <c r="C64" s="56" t="s">
        <v>230</v>
      </c>
      <c r="D64" s="56" t="s">
        <v>253</v>
      </c>
      <c r="E64" s="68">
        <v>172.64000000000001</v>
      </c>
      <c r="F64" s="68">
        <f>E64*VLOOKUP(B64,dagsoorttabel1,2,FALSE)</f>
        <v>3.3200000000000003</v>
      </c>
      <c r="G64" s="69">
        <f>catpn_2_XSTHB_1</f>
        <v>0</v>
      </c>
      <c r="H64" s="56" t="s">
        <v>101</v>
      </c>
      <c r="I64" s="60">
        <f>cattf_2_XSTHB_1</f>
        <v>0</v>
      </c>
      <c r="J64" s="68">
        <f>IF(OR(ISBLANK(G64),G64=0),0,F64/ROUND(G64,4))</f>
        <v>0</v>
      </c>
      <c r="K64" s="60">
        <f>ROUND(I64,2)*J64</f>
        <v>0</v>
      </c>
      <c r="L64" s="68">
        <f>J64*dagenperjaar1</f>
        <v>0</v>
      </c>
      <c r="M64" s="60">
        <f>L64*ROUND(I64,2)</f>
        <v>0</v>
      </c>
    </row>
    <row r="65" spans="1:13" x14ac:dyDescent="0.2">
      <c r="A65" s="56" t="s">
        <v>289</v>
      </c>
      <c r="B65" s="56" t="s">
        <v>18</v>
      </c>
      <c r="C65" s="56" t="s">
        <v>230</v>
      </c>
      <c r="D65" s="56" t="s">
        <v>255</v>
      </c>
      <c r="E65" s="68">
        <v>157.6</v>
      </c>
      <c r="F65" s="68">
        <f>E65*VLOOKUP(B65,dagsoorttabel1,2,FALSE)</f>
        <v>3.0307692307692307</v>
      </c>
      <c r="G65" s="69">
        <f>catpn_2_XSTHB_1</f>
        <v>0</v>
      </c>
      <c r="H65" s="56" t="s">
        <v>101</v>
      </c>
      <c r="I65" s="60">
        <f>cattf_2_XSTHB_1</f>
        <v>0</v>
      </c>
      <c r="J65" s="68">
        <f>IF(OR(ISBLANK(G65),G65=0),0,F65/ROUND(G65,4))</f>
        <v>0</v>
      </c>
      <c r="K65" s="60">
        <f>ROUND(I65,2)*J65</f>
        <v>0</v>
      </c>
      <c r="L65" s="68">
        <f>J65*dagenperjaar1</f>
        <v>0</v>
      </c>
      <c r="M65" s="60">
        <f>L65*ROUND(I65,2)</f>
        <v>0</v>
      </c>
    </row>
    <row r="66" spans="1:13" x14ac:dyDescent="0.2">
      <c r="A66" s="56" t="s">
        <v>290</v>
      </c>
      <c r="B66" s="56" t="s">
        <v>18</v>
      </c>
      <c r="C66" s="56" t="s">
        <v>230</v>
      </c>
      <c r="D66" s="56" t="s">
        <v>257</v>
      </c>
      <c r="E66" s="68">
        <v>624.33999999999992</v>
      </c>
      <c r="F66" s="68">
        <f>E66*VLOOKUP(B66,dagsoorttabel1,2,FALSE)</f>
        <v>12.00653846153846</v>
      </c>
      <c r="G66" s="69">
        <f>catpn_2_XVAHB_1</f>
        <v>0</v>
      </c>
      <c r="H66" s="56" t="s">
        <v>101</v>
      </c>
      <c r="I66" s="60">
        <f>cattf_2_XVAHB_1</f>
        <v>0</v>
      </c>
      <c r="J66" s="68">
        <f>IF(OR(ISBLANK(G66),G66=0),0,F66/ROUND(G66,4))</f>
        <v>0</v>
      </c>
      <c r="K66" s="60">
        <f>ROUND(I66,2)*J66</f>
        <v>0</v>
      </c>
      <c r="L66" s="68">
        <f>J66*dagenperjaar1</f>
        <v>0</v>
      </c>
      <c r="M66" s="60">
        <f>L66*ROUND(I66,2)</f>
        <v>0</v>
      </c>
    </row>
    <row r="67" spans="1:13" x14ac:dyDescent="0.2">
      <c r="A67" s="56" t="s">
        <v>291</v>
      </c>
      <c r="B67" s="56" t="s">
        <v>18</v>
      </c>
      <c r="C67" s="56" t="s">
        <v>230</v>
      </c>
      <c r="D67" s="56" t="s">
        <v>261</v>
      </c>
      <c r="E67" s="68">
        <v>60.04</v>
      </c>
      <c r="F67" s="68">
        <f>E67*VLOOKUP(B67,dagsoorttabel1,2,FALSE)</f>
        <v>1.1546153846153846</v>
      </c>
      <c r="G67" s="69">
        <f>catpn_2_XVEHB_1</f>
        <v>0</v>
      </c>
      <c r="H67" s="56" t="s">
        <v>101</v>
      </c>
      <c r="I67" s="60">
        <f>cattf_2_XVEHB_1</f>
        <v>0</v>
      </c>
      <c r="J67" s="68">
        <f>IF(OR(ISBLANK(G67),G67=0),0,F67/ROUND(G67,4))</f>
        <v>0</v>
      </c>
      <c r="K67" s="60">
        <f>ROUND(I67,2)*J67</f>
        <v>0</v>
      </c>
      <c r="L67" s="68">
        <f>J67*dagenperjaar1</f>
        <v>0</v>
      </c>
      <c r="M67" s="60">
        <f>L67*ROUND(I67,2)</f>
        <v>0</v>
      </c>
    </row>
    <row r="68" spans="1:13" x14ac:dyDescent="0.2">
      <c r="A68" s="56" t="s">
        <v>292</v>
      </c>
      <c r="B68" s="56" t="s">
        <v>18</v>
      </c>
      <c r="C68" s="56" t="s">
        <v>230</v>
      </c>
      <c r="D68" s="56" t="s">
        <v>263</v>
      </c>
      <c r="E68" s="68">
        <v>15</v>
      </c>
      <c r="F68" s="68">
        <f>E68*VLOOKUP(B68,dagsoorttabel1,2,FALSE)</f>
        <v>0.28846153846153849</v>
      </c>
      <c r="G68" s="69">
        <f>catpn_2_XVEZB_1</f>
        <v>0</v>
      </c>
      <c r="H68" s="56" t="s">
        <v>101</v>
      </c>
      <c r="I68" s="60">
        <f>cattf_2_XVEZB_1</f>
        <v>0</v>
      </c>
      <c r="J68" s="68">
        <f>IF(OR(ISBLANK(G68),G68=0),0,F68/ROUND(G68,4))</f>
        <v>0</v>
      </c>
      <c r="K68" s="60">
        <f>ROUND(I68,2)*J68</f>
        <v>0</v>
      </c>
      <c r="L68" s="68">
        <f>J68*dagenperjaar1</f>
        <v>0</v>
      </c>
      <c r="M68" s="60">
        <f>L68*ROUND(I68,2)</f>
        <v>0</v>
      </c>
    </row>
    <row r="69" spans="1:13" x14ac:dyDescent="0.2">
      <c r="A69" s="56" t="s">
        <v>293</v>
      </c>
      <c r="B69" s="56" t="s">
        <v>18</v>
      </c>
      <c r="C69" s="56" t="s">
        <v>230</v>
      </c>
      <c r="D69" s="56" t="s">
        <v>265</v>
      </c>
      <c r="E69" s="68">
        <v>34.5</v>
      </c>
      <c r="F69" s="68">
        <f>E69*VLOOKUP(B69,dagsoorttabel1,2,FALSE)</f>
        <v>0.66346153846153855</v>
      </c>
      <c r="G69" s="69">
        <f>catpn_2_XVLHB_1</f>
        <v>0</v>
      </c>
      <c r="H69" s="56" t="s">
        <v>101</v>
      </c>
      <c r="I69" s="60">
        <f>cattf_2_XVLHB_1</f>
        <v>0</v>
      </c>
      <c r="J69" s="68">
        <f>IF(OR(ISBLANK(G69),G69=0),0,F69/ROUND(G69,4))</f>
        <v>0</v>
      </c>
      <c r="K69" s="60">
        <f>ROUND(I69,2)*J69</f>
        <v>0</v>
      </c>
      <c r="L69" s="68">
        <f>J69*dagenperjaar1</f>
        <v>0</v>
      </c>
      <c r="M69" s="60">
        <f>L69*ROUND(I69,2)</f>
        <v>0</v>
      </c>
    </row>
    <row r="70" spans="1:13" x14ac:dyDescent="0.2">
      <c r="A70" s="56" t="s">
        <v>294</v>
      </c>
      <c r="B70" s="56" t="s">
        <v>18</v>
      </c>
      <c r="C70" s="56" t="s">
        <v>230</v>
      </c>
      <c r="D70" s="56" t="s">
        <v>267</v>
      </c>
      <c r="E70" s="68">
        <v>388.20000000000005</v>
      </c>
      <c r="F70" s="68">
        <f>E70*VLOOKUP(B70,dagsoorttabel1,2,FALSE)</f>
        <v>7.4653846153846164</v>
      </c>
      <c r="G70" s="69">
        <f>catpn_2_XVTHB_1</f>
        <v>0</v>
      </c>
      <c r="H70" s="56" t="s">
        <v>101</v>
      </c>
      <c r="I70" s="60">
        <f>cattf_2_XVTHB_1</f>
        <v>0</v>
      </c>
      <c r="J70" s="68">
        <f>IF(OR(ISBLANK(G70),G70=0),0,F70/ROUND(G70,4))</f>
        <v>0</v>
      </c>
      <c r="K70" s="60">
        <f>ROUND(I70,2)*J70</f>
        <v>0</v>
      </c>
      <c r="L70" s="68">
        <f>J70*dagenperjaar1</f>
        <v>0</v>
      </c>
      <c r="M70" s="60">
        <f>L70*ROUND(I70,2)</f>
        <v>0</v>
      </c>
    </row>
    <row r="71" spans="1:13" x14ac:dyDescent="0.2">
      <c r="A71" s="56" t="s">
        <v>295</v>
      </c>
      <c r="B71" s="56" t="s">
        <v>18</v>
      </c>
      <c r="C71" s="56" t="s">
        <v>230</v>
      </c>
      <c r="D71" s="56" t="s">
        <v>296</v>
      </c>
      <c r="E71" s="68">
        <v>164.3</v>
      </c>
      <c r="F71" s="68">
        <f>E71*VLOOKUP(B71,dagsoorttabel1,2,FALSE)</f>
        <v>3.1596153846153849</v>
      </c>
      <c r="G71" s="69">
        <f>catpn_2_XWINB_1</f>
        <v>0</v>
      </c>
      <c r="H71" s="56" t="s">
        <v>101</v>
      </c>
      <c r="I71" s="60">
        <f>cattf_2_XWINB_1</f>
        <v>0</v>
      </c>
      <c r="J71" s="68">
        <f>IF(OR(ISBLANK(G71),G71=0),0,F71/ROUND(G71,4))</f>
        <v>0</v>
      </c>
      <c r="K71" s="60">
        <f>ROUND(I71,2)*J71</f>
        <v>0</v>
      </c>
      <c r="L71" s="68">
        <f>J71*dagenperjaar1</f>
        <v>0</v>
      </c>
      <c r="M71" s="60">
        <f>L71*ROUND(I71,2)</f>
        <v>0</v>
      </c>
    </row>
    <row r="72" spans="1:13" x14ac:dyDescent="0.2">
      <c r="A72" s="61" t="s">
        <v>297</v>
      </c>
      <c r="B72" s="61" t="s">
        <v>18</v>
      </c>
      <c r="C72" s="61" t="s">
        <v>273</v>
      </c>
      <c r="D72" s="61" t="s">
        <v>298</v>
      </c>
      <c r="E72" s="70">
        <v>1</v>
      </c>
      <c r="F72" s="70">
        <f>E72*VLOOKUP(B72,dagsoorttabel1,2,FALSE)</f>
        <v>1.9230769230769232E-2</v>
      </c>
      <c r="G72" s="71"/>
      <c r="H72" s="61" t="s">
        <v>275</v>
      </c>
      <c r="I72" s="65">
        <f>Tariefopbouw1</f>
        <v>0</v>
      </c>
      <c r="J72" s="70">
        <f>F72*ROUND(G72,4)/60</f>
        <v>0</v>
      </c>
      <c r="K72" s="65">
        <f>ROUND(I72,2)*J72</f>
        <v>0</v>
      </c>
      <c r="L72" s="70">
        <f>J72*dagenperjaar1</f>
        <v>0</v>
      </c>
      <c r="M72" s="65">
        <f>L72*ROUND(I72,2)</f>
        <v>0</v>
      </c>
    </row>
    <row r="73" spans="1:13" x14ac:dyDescent="0.2">
      <c r="A73" s="73" t="s">
        <v>299</v>
      </c>
      <c r="B73" s="74"/>
      <c r="C73" s="74"/>
      <c r="D73" s="74"/>
      <c r="E73" s="74"/>
      <c r="F73" s="74"/>
      <c r="G73" s="74"/>
      <c r="H73" s="74"/>
      <c r="I73" s="74"/>
      <c r="J73" s="75">
        <f>SUM(J55:J72)</f>
        <v>0</v>
      </c>
      <c r="K73" s="76">
        <f>SUM(K55:K72)</f>
        <v>0</v>
      </c>
      <c r="L73" s="75">
        <f>SUM(L55:L72)</f>
        <v>0</v>
      </c>
      <c r="M73" s="77">
        <f>SUM(M55:M72)</f>
        <v>0</v>
      </c>
    </row>
    <row r="74" spans="1:13" x14ac:dyDescent="0.2">
      <c r="A74" s="78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9"/>
    </row>
    <row r="75" spans="1:13" x14ac:dyDescent="0.2">
      <c r="A75" s="73" t="s">
        <v>300</v>
      </c>
      <c r="B75" s="74"/>
      <c r="C75" s="74"/>
      <c r="D75" s="74"/>
      <c r="E75" s="74"/>
      <c r="F75" s="74"/>
      <c r="G75" s="74"/>
      <c r="H75" s="74"/>
      <c r="I75" s="76">
        <f>IF(urenjaar2&gt;0,SUMIF(L55:L72,"&gt;0",M55:M72)/urenjaar2,0)</f>
        <v>0</v>
      </c>
      <c r="J75" s="74"/>
      <c r="K75" s="74"/>
      <c r="L75" s="74"/>
      <c r="M75" s="79"/>
    </row>
    <row r="76" spans="1:13" x14ac:dyDescent="0.2">
      <c r="A76" s="78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9"/>
    </row>
    <row r="77" spans="1:13" x14ac:dyDescent="0.2">
      <c r="A77" s="45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7"/>
    </row>
    <row r="78" spans="1:13" x14ac:dyDescent="0.2">
      <c r="A78" s="48" t="s">
        <v>204</v>
      </c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50"/>
    </row>
    <row r="79" spans="1:13" x14ac:dyDescent="0.2">
      <c r="A79" s="51" t="s">
        <v>301</v>
      </c>
      <c r="B79" s="51" t="s">
        <v>13</v>
      </c>
      <c r="C79" s="51" t="s">
        <v>230</v>
      </c>
      <c r="D79" s="51" t="s">
        <v>231</v>
      </c>
      <c r="E79" s="66">
        <v>12.39</v>
      </c>
      <c r="F79" s="66">
        <f>E79*VLOOKUP(B79,dagsoorttabel1,2,FALSE)</f>
        <v>4.9560000000000004</v>
      </c>
      <c r="G79" s="67">
        <f>catpn_3_WKBHB_1</f>
        <v>0</v>
      </c>
      <c r="H79" s="51" t="s">
        <v>101</v>
      </c>
      <c r="I79" s="55">
        <f>cattf_3_WKBHB_1</f>
        <v>0</v>
      </c>
      <c r="J79" s="66">
        <f>IF(OR(ISBLANK(G79),G79=0),0,F79/ROUND(G79,4))</f>
        <v>0</v>
      </c>
      <c r="K79" s="55">
        <f>ROUND(I79,2)*J79</f>
        <v>0</v>
      </c>
      <c r="L79" s="66">
        <f>J79*dagenperjaar1</f>
        <v>0</v>
      </c>
      <c r="M79" s="55">
        <f>L79*ROUND(I79,2)</f>
        <v>0</v>
      </c>
    </row>
    <row r="80" spans="1:13" x14ac:dyDescent="0.2">
      <c r="A80" s="56" t="s">
        <v>302</v>
      </c>
      <c r="B80" s="56" t="s">
        <v>13</v>
      </c>
      <c r="C80" s="56" t="s">
        <v>230</v>
      </c>
      <c r="D80" s="56" t="s">
        <v>235</v>
      </c>
      <c r="E80" s="68">
        <v>14.79</v>
      </c>
      <c r="F80" s="68">
        <f>E80*VLOOKUP(B80,dagsoorttabel1,2,FALSE)</f>
        <v>5.9160000000000004</v>
      </c>
      <c r="G80" s="69">
        <f>catpn_3_WVBHB_1</f>
        <v>0</v>
      </c>
      <c r="H80" s="56" t="s">
        <v>101</v>
      </c>
      <c r="I80" s="60">
        <f>cattf_3_WVBHB_1</f>
        <v>0</v>
      </c>
      <c r="J80" s="68">
        <f>IF(OR(ISBLANK(G80),G80=0),0,F80/ROUND(G80,4))</f>
        <v>0</v>
      </c>
      <c r="K80" s="60">
        <f>ROUND(I80,2)*J80</f>
        <v>0</v>
      </c>
      <c r="L80" s="68">
        <f>J80*dagenperjaar1</f>
        <v>0</v>
      </c>
      <c r="M80" s="60">
        <f>L80*ROUND(I80,2)</f>
        <v>0</v>
      </c>
    </row>
    <row r="81" spans="1:13" x14ac:dyDescent="0.2">
      <c r="A81" s="56" t="s">
        <v>303</v>
      </c>
      <c r="B81" s="56" t="s">
        <v>13</v>
      </c>
      <c r="C81" s="56" t="s">
        <v>230</v>
      </c>
      <c r="D81" s="56" t="s">
        <v>237</v>
      </c>
      <c r="E81" s="68">
        <v>21.759999999999998</v>
      </c>
      <c r="F81" s="68">
        <f>E81*VLOOKUP(B81,dagsoorttabel1,2,FALSE)</f>
        <v>8.7039999999999988</v>
      </c>
      <c r="G81" s="69">
        <f>catpn_3_WKPHB_1</f>
        <v>0</v>
      </c>
      <c r="H81" s="56" t="s">
        <v>101</v>
      </c>
      <c r="I81" s="60">
        <f>cattf_3_WKPHB_1</f>
        <v>0</v>
      </c>
      <c r="J81" s="68">
        <f>IF(OR(ISBLANK(G81),G81=0),0,F81/ROUND(G81,4))</f>
        <v>0</v>
      </c>
      <c r="K81" s="60">
        <f>ROUND(I81,2)*J81</f>
        <v>0</v>
      </c>
      <c r="L81" s="68">
        <f>J81*dagenperjaar1</f>
        <v>0</v>
      </c>
      <c r="M81" s="60">
        <f>L81*ROUND(I81,2)</f>
        <v>0</v>
      </c>
    </row>
    <row r="82" spans="1:13" x14ac:dyDescent="0.2">
      <c r="A82" s="56" t="s">
        <v>304</v>
      </c>
      <c r="B82" s="56" t="s">
        <v>13</v>
      </c>
      <c r="C82" s="56" t="s">
        <v>230</v>
      </c>
      <c r="D82" s="56" t="s">
        <v>239</v>
      </c>
      <c r="E82" s="68">
        <v>389.7</v>
      </c>
      <c r="F82" s="68">
        <f>E82*VLOOKUP(B82,dagsoorttabel1,2,FALSE)</f>
        <v>155.88</v>
      </c>
      <c r="G82" s="69">
        <f>catpn_3_WKRHB_1</f>
        <v>0</v>
      </c>
      <c r="H82" s="56" t="s">
        <v>101</v>
      </c>
      <c r="I82" s="60">
        <f>cattf_3_WKRHB_1</f>
        <v>0</v>
      </c>
      <c r="J82" s="68">
        <f>IF(OR(ISBLANK(G82),G82=0),0,F82/ROUND(G82,4))</f>
        <v>0</v>
      </c>
      <c r="K82" s="60">
        <f>ROUND(I82,2)*J82</f>
        <v>0</v>
      </c>
      <c r="L82" s="68">
        <f>J82*dagenperjaar1</f>
        <v>0</v>
      </c>
      <c r="M82" s="60">
        <f>L82*ROUND(I82,2)</f>
        <v>0</v>
      </c>
    </row>
    <row r="83" spans="1:13" x14ac:dyDescent="0.2">
      <c r="A83" s="56" t="s">
        <v>305</v>
      </c>
      <c r="B83" s="56" t="s">
        <v>13</v>
      </c>
      <c r="C83" s="56" t="s">
        <v>230</v>
      </c>
      <c r="D83" s="56" t="s">
        <v>241</v>
      </c>
      <c r="E83" s="68">
        <v>119</v>
      </c>
      <c r="F83" s="68">
        <f>E83*VLOOKUP(B83,dagsoorttabel1,2,FALSE)</f>
        <v>47.6</v>
      </c>
      <c r="G83" s="69">
        <f>catpn_3_WLAHB_1</f>
        <v>0</v>
      </c>
      <c r="H83" s="56" t="s">
        <v>101</v>
      </c>
      <c r="I83" s="60">
        <f>cattf_3_WLAHB_1</f>
        <v>0</v>
      </c>
      <c r="J83" s="68">
        <f>IF(OR(ISBLANK(G83),G83=0),0,F83/ROUND(G83,4))</f>
        <v>0</v>
      </c>
      <c r="K83" s="60">
        <f>ROUND(I83,2)*J83</f>
        <v>0</v>
      </c>
      <c r="L83" s="68">
        <f>J83*dagenperjaar1</f>
        <v>0</v>
      </c>
      <c r="M83" s="60">
        <f>L83*ROUND(I83,2)</f>
        <v>0</v>
      </c>
    </row>
    <row r="84" spans="1:13" x14ac:dyDescent="0.2">
      <c r="A84" s="56" t="s">
        <v>306</v>
      </c>
      <c r="B84" s="56" t="s">
        <v>13</v>
      </c>
      <c r="C84" s="56" t="s">
        <v>230</v>
      </c>
      <c r="D84" s="56" t="s">
        <v>243</v>
      </c>
      <c r="E84" s="68">
        <v>1745.1</v>
      </c>
      <c r="F84" s="68">
        <f>E84*VLOOKUP(B84,dagsoorttabel1,2,FALSE)</f>
        <v>698.04</v>
      </c>
      <c r="G84" s="69">
        <f>catpn_3_WMEHB_1</f>
        <v>0</v>
      </c>
      <c r="H84" s="56" t="s">
        <v>101</v>
      </c>
      <c r="I84" s="60">
        <f>cattf_3_WMEHB_1</f>
        <v>0</v>
      </c>
      <c r="J84" s="68">
        <f>IF(OR(ISBLANK(G84),G84=0),0,F84/ROUND(G84,4))</f>
        <v>0</v>
      </c>
      <c r="K84" s="60">
        <f>ROUND(I84,2)*J84</f>
        <v>0</v>
      </c>
      <c r="L84" s="68">
        <f>J84*dagenperjaar1</f>
        <v>0</v>
      </c>
      <c r="M84" s="60">
        <f>L84*ROUND(I84,2)</f>
        <v>0</v>
      </c>
    </row>
    <row r="85" spans="1:13" x14ac:dyDescent="0.2">
      <c r="A85" s="56" t="s">
        <v>307</v>
      </c>
      <c r="B85" s="56" t="s">
        <v>13</v>
      </c>
      <c r="C85" s="56" t="s">
        <v>230</v>
      </c>
      <c r="D85" s="56" t="s">
        <v>245</v>
      </c>
      <c r="E85" s="68">
        <v>1014.4000000000001</v>
      </c>
      <c r="F85" s="68">
        <f>E85*VLOOKUP(B85,dagsoorttabel1,2,FALSE)</f>
        <v>405.76000000000005</v>
      </c>
      <c r="G85" s="69">
        <f>catpn_3_WMEZB_1</f>
        <v>0</v>
      </c>
      <c r="H85" s="56" t="s">
        <v>101</v>
      </c>
      <c r="I85" s="60">
        <f>cattf_3_WMEZB_1</f>
        <v>0</v>
      </c>
      <c r="J85" s="68">
        <f>IF(OR(ISBLANK(G85),G85=0),0,F85/ROUND(G85,4))</f>
        <v>0</v>
      </c>
      <c r="K85" s="60">
        <f>ROUND(I85,2)*J85</f>
        <v>0</v>
      </c>
      <c r="L85" s="68">
        <f>J85*dagenperjaar1</f>
        <v>0</v>
      </c>
      <c r="M85" s="60">
        <f>L85*ROUND(I85,2)</f>
        <v>0</v>
      </c>
    </row>
    <row r="86" spans="1:13" x14ac:dyDescent="0.2">
      <c r="A86" s="56" t="s">
        <v>308</v>
      </c>
      <c r="B86" s="56" t="s">
        <v>13</v>
      </c>
      <c r="C86" s="56" t="s">
        <v>230</v>
      </c>
      <c r="D86" s="56" t="s">
        <v>286</v>
      </c>
      <c r="E86" s="68">
        <v>792</v>
      </c>
      <c r="F86" s="68">
        <f>E86*VLOOKUP(B86,dagsoorttabel1,2,FALSE)</f>
        <v>316.8</v>
      </c>
      <c r="G86" s="69">
        <f>catpn_3_WNMHB_1</f>
        <v>0</v>
      </c>
      <c r="H86" s="56" t="s">
        <v>101</v>
      </c>
      <c r="I86" s="60">
        <f>cattf_3_WNMHB_1</f>
        <v>0</v>
      </c>
      <c r="J86" s="68">
        <f>IF(OR(ISBLANK(G86),G86=0),0,F86/ROUND(G86,4))</f>
        <v>0</v>
      </c>
      <c r="K86" s="60">
        <f>ROUND(I86,2)*J86</f>
        <v>0</v>
      </c>
      <c r="L86" s="68">
        <f>J86*dagenperjaar1</f>
        <v>0</v>
      </c>
      <c r="M86" s="60">
        <f>L86*ROUND(I86,2)</f>
        <v>0</v>
      </c>
    </row>
    <row r="87" spans="1:13" x14ac:dyDescent="0.2">
      <c r="A87" s="56" t="s">
        <v>309</v>
      </c>
      <c r="B87" s="56" t="s">
        <v>13</v>
      </c>
      <c r="C87" s="56" t="s">
        <v>230</v>
      </c>
      <c r="D87" s="56" t="s">
        <v>251</v>
      </c>
      <c r="E87" s="68">
        <v>26.9</v>
      </c>
      <c r="F87" s="68">
        <f>E87*VLOOKUP(B87,dagsoorttabel1,2,FALSE)</f>
        <v>10.76</v>
      </c>
      <c r="G87" s="69">
        <f>catpn_3_WSKHB_1</f>
        <v>0</v>
      </c>
      <c r="H87" s="56" t="s">
        <v>101</v>
      </c>
      <c r="I87" s="60">
        <f>cattf_3_WSKHB_1</f>
        <v>0</v>
      </c>
      <c r="J87" s="68">
        <f>IF(OR(ISBLANK(G87),G87=0),0,F87/ROUND(G87,4))</f>
        <v>0</v>
      </c>
      <c r="K87" s="60">
        <f>ROUND(I87,2)*J87</f>
        <v>0</v>
      </c>
      <c r="L87" s="68">
        <f>J87*dagenperjaar1</f>
        <v>0</v>
      </c>
      <c r="M87" s="60">
        <f>L87*ROUND(I87,2)</f>
        <v>0</v>
      </c>
    </row>
    <row r="88" spans="1:13" x14ac:dyDescent="0.2">
      <c r="A88" s="56" t="s">
        <v>310</v>
      </c>
      <c r="B88" s="56" t="s">
        <v>13</v>
      </c>
      <c r="C88" s="56" t="s">
        <v>230</v>
      </c>
      <c r="D88" s="56" t="s">
        <v>253</v>
      </c>
      <c r="E88" s="68">
        <v>172.64000000000001</v>
      </c>
      <c r="F88" s="68">
        <f>E88*VLOOKUP(B88,dagsoorttabel1,2,FALSE)</f>
        <v>69.056000000000012</v>
      </c>
      <c r="G88" s="69">
        <f>catpn_3_WSTHB_1</f>
        <v>0</v>
      </c>
      <c r="H88" s="56" t="s">
        <v>101</v>
      </c>
      <c r="I88" s="60">
        <f>cattf_3_WSTHB_1</f>
        <v>0</v>
      </c>
      <c r="J88" s="68">
        <f>IF(OR(ISBLANK(G88),G88=0),0,F88/ROUND(G88,4))</f>
        <v>0</v>
      </c>
      <c r="K88" s="60">
        <f>ROUND(I88,2)*J88</f>
        <v>0</v>
      </c>
      <c r="L88" s="68">
        <f>J88*dagenperjaar1</f>
        <v>0</v>
      </c>
      <c r="M88" s="60">
        <f>L88*ROUND(I88,2)</f>
        <v>0</v>
      </c>
    </row>
    <row r="89" spans="1:13" x14ac:dyDescent="0.2">
      <c r="A89" s="56" t="s">
        <v>311</v>
      </c>
      <c r="B89" s="56" t="s">
        <v>13</v>
      </c>
      <c r="C89" s="56" t="s">
        <v>230</v>
      </c>
      <c r="D89" s="56" t="s">
        <v>312</v>
      </c>
      <c r="E89" s="68">
        <v>157.6</v>
      </c>
      <c r="F89" s="68">
        <f>E89*VLOOKUP(B89,dagsoorttabel1,2,FALSE)</f>
        <v>63.04</v>
      </c>
      <c r="G89" s="69">
        <f>catpn_3_WSTHB_1</f>
        <v>0</v>
      </c>
      <c r="H89" s="56" t="s">
        <v>101</v>
      </c>
      <c r="I89" s="60">
        <f>cattf_3_WSTHB_1</f>
        <v>0</v>
      </c>
      <c r="J89" s="68">
        <f>IF(OR(ISBLANK(G89),G89=0),0,F89/ROUND(G89,4))</f>
        <v>0</v>
      </c>
      <c r="K89" s="60">
        <f>ROUND(I89,2)*J89</f>
        <v>0</v>
      </c>
      <c r="L89" s="68">
        <f>J89*dagenperjaar1</f>
        <v>0</v>
      </c>
      <c r="M89" s="60">
        <f>L89*ROUND(I89,2)</f>
        <v>0</v>
      </c>
    </row>
    <row r="90" spans="1:13" x14ac:dyDescent="0.2">
      <c r="A90" s="56" t="s">
        <v>313</v>
      </c>
      <c r="B90" s="56" t="s">
        <v>13</v>
      </c>
      <c r="C90" s="56" t="s">
        <v>230</v>
      </c>
      <c r="D90" s="56" t="s">
        <v>257</v>
      </c>
      <c r="E90" s="68">
        <v>624.33999999999992</v>
      </c>
      <c r="F90" s="68">
        <f>E90*VLOOKUP(B90,dagsoorttabel1,2,FALSE)</f>
        <v>249.73599999999999</v>
      </c>
      <c r="G90" s="69">
        <f>catpn_3_WVAHB_1</f>
        <v>0</v>
      </c>
      <c r="H90" s="56" t="s">
        <v>101</v>
      </c>
      <c r="I90" s="60">
        <f>cattf_3_WVAHB_1</f>
        <v>0</v>
      </c>
      <c r="J90" s="68">
        <f>IF(OR(ISBLANK(G90),G90=0),0,F90/ROUND(G90,4))</f>
        <v>0</v>
      </c>
      <c r="K90" s="60">
        <f>ROUND(I90,2)*J90</f>
        <v>0</v>
      </c>
      <c r="L90" s="68">
        <f>J90*dagenperjaar1</f>
        <v>0</v>
      </c>
      <c r="M90" s="60">
        <f>L90*ROUND(I90,2)</f>
        <v>0</v>
      </c>
    </row>
    <row r="91" spans="1:13" x14ac:dyDescent="0.2">
      <c r="A91" s="56" t="s">
        <v>314</v>
      </c>
      <c r="B91" s="56" t="s">
        <v>13</v>
      </c>
      <c r="C91" s="56" t="s">
        <v>230</v>
      </c>
      <c r="D91" s="56" t="s">
        <v>261</v>
      </c>
      <c r="E91" s="68">
        <v>60.04</v>
      </c>
      <c r="F91" s="68">
        <f>E91*VLOOKUP(B91,dagsoorttabel1,2,FALSE)</f>
        <v>24.016000000000002</v>
      </c>
      <c r="G91" s="69">
        <f>catpn_3_WVEHB_1</f>
        <v>0</v>
      </c>
      <c r="H91" s="56" t="s">
        <v>101</v>
      </c>
      <c r="I91" s="60">
        <f>cattf_3_WVEHB_1</f>
        <v>0</v>
      </c>
      <c r="J91" s="68">
        <f>IF(OR(ISBLANK(G91),G91=0),0,F91/ROUND(G91,4))</f>
        <v>0</v>
      </c>
      <c r="K91" s="60">
        <f>ROUND(I91,2)*J91</f>
        <v>0</v>
      </c>
      <c r="L91" s="68">
        <f>J91*dagenperjaar1</f>
        <v>0</v>
      </c>
      <c r="M91" s="60">
        <f>L91*ROUND(I91,2)</f>
        <v>0</v>
      </c>
    </row>
    <row r="92" spans="1:13" x14ac:dyDescent="0.2">
      <c r="A92" s="56" t="s">
        <v>315</v>
      </c>
      <c r="B92" s="56" t="s">
        <v>13</v>
      </c>
      <c r="C92" s="56" t="s">
        <v>230</v>
      </c>
      <c r="D92" s="56" t="s">
        <v>263</v>
      </c>
      <c r="E92" s="68">
        <v>15</v>
      </c>
      <c r="F92" s="68">
        <f>E92*VLOOKUP(B92,dagsoorttabel1,2,FALSE)</f>
        <v>6</v>
      </c>
      <c r="G92" s="69">
        <f>catpn_3_WVEZB_1</f>
        <v>0</v>
      </c>
      <c r="H92" s="56" t="s">
        <v>101</v>
      </c>
      <c r="I92" s="60">
        <f>cattf_3_WVEZB_1</f>
        <v>0</v>
      </c>
      <c r="J92" s="68">
        <f>IF(OR(ISBLANK(G92),G92=0),0,F92/ROUND(G92,4))</f>
        <v>0</v>
      </c>
      <c r="K92" s="60">
        <f>ROUND(I92,2)*J92</f>
        <v>0</v>
      </c>
      <c r="L92" s="68">
        <f>J92*dagenperjaar1</f>
        <v>0</v>
      </c>
      <c r="M92" s="60">
        <f>L92*ROUND(I92,2)</f>
        <v>0</v>
      </c>
    </row>
    <row r="93" spans="1:13" x14ac:dyDescent="0.2">
      <c r="A93" s="56" t="s">
        <v>316</v>
      </c>
      <c r="B93" s="56" t="s">
        <v>13</v>
      </c>
      <c r="C93" s="56" t="s">
        <v>230</v>
      </c>
      <c r="D93" s="56" t="s">
        <v>265</v>
      </c>
      <c r="E93" s="68">
        <v>34.5</v>
      </c>
      <c r="F93" s="68">
        <f>E93*VLOOKUP(B93,dagsoorttabel1,2,FALSE)</f>
        <v>13.8</v>
      </c>
      <c r="G93" s="69">
        <f>catpn_3_WVLHB_1</f>
        <v>0</v>
      </c>
      <c r="H93" s="56" t="s">
        <v>101</v>
      </c>
      <c r="I93" s="60">
        <f>cattf_3_WVLHB_1</f>
        <v>0</v>
      </c>
      <c r="J93" s="68">
        <f>IF(OR(ISBLANK(G93),G93=0),0,F93/ROUND(G93,4))</f>
        <v>0</v>
      </c>
      <c r="K93" s="60">
        <f>ROUND(I93,2)*J93</f>
        <v>0</v>
      </c>
      <c r="L93" s="68">
        <f>J93*dagenperjaar1</f>
        <v>0</v>
      </c>
      <c r="M93" s="60">
        <f>L93*ROUND(I93,2)</f>
        <v>0</v>
      </c>
    </row>
    <row r="94" spans="1:13" x14ac:dyDescent="0.2">
      <c r="A94" s="56" t="s">
        <v>317</v>
      </c>
      <c r="B94" s="56" t="s">
        <v>13</v>
      </c>
      <c r="C94" s="56" t="s">
        <v>230</v>
      </c>
      <c r="D94" s="56" t="s">
        <v>267</v>
      </c>
      <c r="E94" s="68">
        <v>388.20000000000005</v>
      </c>
      <c r="F94" s="68">
        <f>E94*VLOOKUP(B94,dagsoorttabel1,2,FALSE)</f>
        <v>155.28000000000003</v>
      </c>
      <c r="G94" s="69">
        <f>catpn_3_WVTHB_1</f>
        <v>0</v>
      </c>
      <c r="H94" s="56" t="s">
        <v>101</v>
      </c>
      <c r="I94" s="60">
        <f>cattf_3_WVTHB_1</f>
        <v>0</v>
      </c>
      <c r="J94" s="68">
        <f>IF(OR(ISBLANK(G94),G94=0),0,F94/ROUND(G94,4))</f>
        <v>0</v>
      </c>
      <c r="K94" s="60">
        <f>ROUND(I94,2)*J94</f>
        <v>0</v>
      </c>
      <c r="L94" s="68">
        <f>J94*dagenperjaar1</f>
        <v>0</v>
      </c>
      <c r="M94" s="60">
        <f>L94*ROUND(I94,2)</f>
        <v>0</v>
      </c>
    </row>
    <row r="95" spans="1:13" x14ac:dyDescent="0.2">
      <c r="A95" s="56" t="s">
        <v>318</v>
      </c>
      <c r="B95" s="56" t="s">
        <v>13</v>
      </c>
      <c r="C95" s="56" t="s">
        <v>230</v>
      </c>
      <c r="D95" s="56" t="s">
        <v>296</v>
      </c>
      <c r="E95" s="68">
        <v>164.3</v>
      </c>
      <c r="F95" s="68">
        <f>E95*VLOOKUP(B95,dagsoorttabel1,2,FALSE)</f>
        <v>65.720000000000013</v>
      </c>
      <c r="G95" s="69">
        <f>catpn_3_WWIHB_1</f>
        <v>0</v>
      </c>
      <c r="H95" s="56" t="s">
        <v>101</v>
      </c>
      <c r="I95" s="60">
        <f>cattf_3_WWIHB_1</f>
        <v>0</v>
      </c>
      <c r="J95" s="68">
        <f>IF(OR(ISBLANK(G95),G95=0),0,F95/ROUND(G95,4))</f>
        <v>0</v>
      </c>
      <c r="K95" s="60">
        <f>ROUND(I95,2)*J95</f>
        <v>0</v>
      </c>
      <c r="L95" s="68">
        <f>J95*dagenperjaar1</f>
        <v>0</v>
      </c>
      <c r="M95" s="60">
        <f>L95*ROUND(I95,2)</f>
        <v>0</v>
      </c>
    </row>
    <row r="96" spans="1:13" x14ac:dyDescent="0.2">
      <c r="A96" s="61" t="s">
        <v>319</v>
      </c>
      <c r="B96" s="61" t="s">
        <v>13</v>
      </c>
      <c r="C96" s="61" t="s">
        <v>273</v>
      </c>
      <c r="D96" s="61" t="s">
        <v>320</v>
      </c>
      <c r="E96" s="70">
        <v>1</v>
      </c>
      <c r="F96" s="70">
        <f>E96*VLOOKUP(B96,dagsoorttabel1,2,FALSE)</f>
        <v>0.4</v>
      </c>
      <c r="G96" s="71"/>
      <c r="H96" s="61" t="s">
        <v>275</v>
      </c>
      <c r="I96" s="65">
        <f>Tariefopbouw1</f>
        <v>0</v>
      </c>
      <c r="J96" s="70">
        <f>F96*ROUND(G96,4)/60</f>
        <v>0</v>
      </c>
      <c r="K96" s="65">
        <f>ROUND(I96,2)*J96</f>
        <v>0</v>
      </c>
      <c r="L96" s="70">
        <f>J96*dagenperjaar1</f>
        <v>0</v>
      </c>
      <c r="M96" s="65">
        <f>L96*ROUND(I96,2)</f>
        <v>0</v>
      </c>
    </row>
    <row r="97" spans="1:13" x14ac:dyDescent="0.2">
      <c r="A97" s="73" t="s">
        <v>321</v>
      </c>
      <c r="B97" s="74"/>
      <c r="C97" s="74"/>
      <c r="D97" s="74"/>
      <c r="E97" s="74"/>
      <c r="F97" s="74"/>
      <c r="G97" s="74"/>
      <c r="H97" s="74"/>
      <c r="I97" s="74"/>
      <c r="J97" s="75">
        <f>SUM(J79:J96)</f>
        <v>0</v>
      </c>
      <c r="K97" s="76">
        <f>SUM(K79:K96)</f>
        <v>0</v>
      </c>
      <c r="L97" s="75">
        <f>SUM(L79:L96)</f>
        <v>0</v>
      </c>
      <c r="M97" s="77">
        <f>SUM(M79:M96)</f>
        <v>0</v>
      </c>
    </row>
    <row r="98" spans="1:13" x14ac:dyDescent="0.2">
      <c r="A98" s="78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9"/>
    </row>
    <row r="99" spans="1:13" x14ac:dyDescent="0.2">
      <c r="A99" s="73" t="s">
        <v>322</v>
      </c>
      <c r="B99" s="74"/>
      <c r="C99" s="74"/>
      <c r="D99" s="74"/>
      <c r="E99" s="74"/>
      <c r="F99" s="74"/>
      <c r="G99" s="74"/>
      <c r="H99" s="74"/>
      <c r="I99" s="76">
        <f>IF(urenjaar3&gt;0,SUMIF(L79:L96,"&gt;0",M79:M96)/urenjaar3,0)</f>
        <v>0</v>
      </c>
      <c r="J99" s="74"/>
      <c r="K99" s="74"/>
      <c r="L99" s="74"/>
      <c r="M99" s="79"/>
    </row>
    <row r="100" spans="1:13" x14ac:dyDescent="0.2">
      <c r="A100" s="78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9"/>
    </row>
    <row r="102" spans="1:13" x14ac:dyDescent="0.2">
      <c r="A102" s="73" t="s">
        <v>323</v>
      </c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5">
        <f>urenjaar1+urenjaar2+urenjaar3</f>
        <v>0</v>
      </c>
      <c r="M102" s="76">
        <f>prijsjaar1+prijsjaar2+prijsjaar3</f>
        <v>0</v>
      </c>
    </row>
  </sheetData>
  <sheetProtection algorithmName="SHA-512" hashValue="vOwW2zKNPEQC0ejILp37xwQSx1p+r05N4cQxoM2TncvDkqssASo1pI+/xYL/Is6O2MsRF0Chy+0y8EKhoyY+Gw==" saltValue="lub1JU12jX7CngiF+ehXNQ==" spinCount="100000" sheet="1" objects="1" scenarios="1" autoFilter="0"/>
  <pageMargins left="0.7" right="0.7" top="0.75" bottom="0.75" header="0.3" footer="0.3"/>
  <pageSetup paperSize="9" scale="70" orientation="landscape" horizontalDpi="4294967295" verticalDpi="4294967295" r:id="rId1"/>
  <headerFooter>
    <oddFooter>&amp;LCentraal Museum Utrecht EA2026                              &amp;ROpmaakdatum: 19-03-2026
Intexso - Plantageweg 23E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47903-EB6E-4A96-85AC-BE604E98EA96}">
  <dimension ref="A1:S416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2.75" x14ac:dyDescent="0.2"/>
  <cols>
    <col min="1" max="1" width="8.625" customWidth="1"/>
    <col min="2" max="3" width="7.625" customWidth="1"/>
    <col min="4" max="4" width="10.625" customWidth="1"/>
    <col min="5" max="5" width="25.625" customWidth="1"/>
    <col min="6" max="6" width="11.625" customWidth="1"/>
    <col min="7" max="7" width="7.625" customWidth="1"/>
    <col min="8" max="8" width="6.625" customWidth="1"/>
    <col min="9" max="9" width="8.625" customWidth="1"/>
    <col min="10" max="10" width="40.625" customWidth="1"/>
    <col min="11" max="12" width="10.625" customWidth="1"/>
    <col min="13" max="13" width="11.625" customWidth="1"/>
    <col min="14" max="14" width="9.625" customWidth="1"/>
    <col min="15" max="17" width="11.625" customWidth="1"/>
    <col min="18" max="18" width="12.625" customWidth="1"/>
    <col min="19" max="19" width="14.625" customWidth="1"/>
  </cols>
  <sheetData>
    <row r="1" spans="1:19" x14ac:dyDescent="0.2">
      <c r="A1" s="1" t="str">
        <f>CONCATENATE("Bijlage H.3: ",tabeltype," ruimten werkdag")</f>
        <v>Bijlage H.3: Invultabel ruimten werkdag</v>
      </c>
    </row>
    <row r="3" spans="1:19" ht="38.25" x14ac:dyDescent="0.2">
      <c r="A3" s="80" t="s">
        <v>324</v>
      </c>
      <c r="B3" s="44" t="s">
        <v>325</v>
      </c>
      <c r="C3" s="44" t="s">
        <v>326</v>
      </c>
      <c r="D3" s="44" t="s">
        <v>327</v>
      </c>
      <c r="E3" s="44" t="s">
        <v>328</v>
      </c>
      <c r="F3" s="44" t="s">
        <v>329</v>
      </c>
      <c r="G3" s="44" t="s">
        <v>221</v>
      </c>
      <c r="H3" s="44" t="s">
        <v>7</v>
      </c>
      <c r="I3" s="44" t="s">
        <v>330</v>
      </c>
      <c r="J3" s="44" t="s">
        <v>331</v>
      </c>
      <c r="K3" s="44" t="s">
        <v>223</v>
      </c>
      <c r="L3" s="44" t="s">
        <v>224</v>
      </c>
      <c r="M3" s="44" t="s">
        <v>93</v>
      </c>
      <c r="N3" s="44" t="s">
        <v>95</v>
      </c>
      <c r="O3" s="44" t="s">
        <v>96</v>
      </c>
      <c r="P3" s="44" t="s">
        <v>225</v>
      </c>
      <c r="Q3" s="44" t="s">
        <v>226</v>
      </c>
      <c r="R3" s="44" t="s">
        <v>227</v>
      </c>
      <c r="S3" s="81" t="s">
        <v>228</v>
      </c>
    </row>
    <row r="4" spans="1:19" x14ac:dyDescent="0.2">
      <c r="A4" s="82" t="s">
        <v>332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72"/>
    </row>
    <row r="5" spans="1:19" x14ac:dyDescent="0.2">
      <c r="A5" s="83" t="s">
        <v>333</v>
      </c>
      <c r="B5" s="84" t="s">
        <v>334</v>
      </c>
      <c r="C5" s="84" t="s">
        <v>335</v>
      </c>
      <c r="D5" s="84" t="s">
        <v>336</v>
      </c>
      <c r="E5" s="85" t="s">
        <v>337</v>
      </c>
      <c r="F5" s="84" t="s">
        <v>338</v>
      </c>
      <c r="G5" s="84" t="s">
        <v>339</v>
      </c>
      <c r="H5" s="84"/>
      <c r="I5" s="84"/>
      <c r="J5" s="84"/>
      <c r="K5" s="86">
        <v>16</v>
      </c>
      <c r="L5" s="86"/>
      <c r="M5" s="87"/>
      <c r="N5" s="84"/>
      <c r="O5" s="88"/>
      <c r="P5" s="86"/>
      <c r="Q5" s="88"/>
      <c r="R5" s="89"/>
      <c r="S5" s="90"/>
    </row>
    <row r="6" spans="1:19" x14ac:dyDescent="0.2">
      <c r="A6" s="91" t="s">
        <v>333</v>
      </c>
      <c r="B6" s="92" t="s">
        <v>334</v>
      </c>
      <c r="C6" s="92" t="s">
        <v>335</v>
      </c>
      <c r="D6" s="92" t="s">
        <v>340</v>
      </c>
      <c r="E6" s="93" t="s">
        <v>341</v>
      </c>
      <c r="F6" s="92" t="s">
        <v>342</v>
      </c>
      <c r="G6" s="92" t="s">
        <v>256</v>
      </c>
      <c r="H6" s="92" t="s">
        <v>10</v>
      </c>
      <c r="I6" s="92" t="s">
        <v>230</v>
      </c>
      <c r="J6" s="93" t="s">
        <v>257</v>
      </c>
      <c r="K6" s="94">
        <v>25.3</v>
      </c>
      <c r="L6" s="94">
        <f>K6*VLOOKUP(H6,dagsoorttabel1,2,FALSE)</f>
        <v>20.240000000000002</v>
      </c>
      <c r="M6" s="95">
        <f>prodnorm39</f>
        <v>0</v>
      </c>
      <c r="N6" s="92" t="s">
        <v>101</v>
      </c>
      <c r="O6" s="26">
        <f>uurtarief39</f>
        <v>0</v>
      </c>
      <c r="P6" s="94" t="e">
        <f>IF(ISBLANK(M6),0,L6/ROUND(M6,4))</f>
        <v>#DIV/0!</v>
      </c>
      <c r="Q6" s="26" t="e">
        <f>ROUND(O6,2)*P6</f>
        <v>#DIV/0!</v>
      </c>
      <c r="R6" s="94" t="e">
        <f>P6*dagenperjaar1</f>
        <v>#DIV/0!</v>
      </c>
      <c r="S6" s="27" t="e">
        <f>R6*ROUND(O6,2)</f>
        <v>#DIV/0!</v>
      </c>
    </row>
    <row r="7" spans="1:19" x14ac:dyDescent="0.2">
      <c r="A7" s="91" t="s">
        <v>333</v>
      </c>
      <c r="B7" s="92" t="s">
        <v>334</v>
      </c>
      <c r="C7" s="92" t="s">
        <v>335</v>
      </c>
      <c r="D7" s="92" t="s">
        <v>343</v>
      </c>
      <c r="E7" s="93" t="s">
        <v>344</v>
      </c>
      <c r="F7" s="92" t="s">
        <v>342</v>
      </c>
      <c r="G7" s="92" t="s">
        <v>252</v>
      </c>
      <c r="H7" s="92" t="s">
        <v>9</v>
      </c>
      <c r="I7" s="92" t="s">
        <v>230</v>
      </c>
      <c r="J7" s="93" t="s">
        <v>253</v>
      </c>
      <c r="K7" s="94">
        <v>1.1000000000000001</v>
      </c>
      <c r="L7" s="94">
        <f>K7*VLOOKUP(H7,dagsoorttabel1,2,FALSE)</f>
        <v>1.1000000000000001</v>
      </c>
      <c r="M7" s="95">
        <f>prodnorm36</f>
        <v>0</v>
      </c>
      <c r="N7" s="92" t="s">
        <v>101</v>
      </c>
      <c r="O7" s="26">
        <f>uurtarief36</f>
        <v>0</v>
      </c>
      <c r="P7" s="94" t="e">
        <f>IF(ISBLANK(M7),0,L7/ROUND(M7,4))</f>
        <v>#DIV/0!</v>
      </c>
      <c r="Q7" s="26" t="e">
        <f>ROUND(O7,2)*P7</f>
        <v>#DIV/0!</v>
      </c>
      <c r="R7" s="94" t="e">
        <f>P7*dagenperjaar1</f>
        <v>#DIV/0!</v>
      </c>
      <c r="S7" s="27" t="e">
        <f>R7*ROUND(O7,2)</f>
        <v>#DIV/0!</v>
      </c>
    </row>
    <row r="8" spans="1:19" x14ac:dyDescent="0.2">
      <c r="A8" s="91" t="s">
        <v>333</v>
      </c>
      <c r="B8" s="92" t="s">
        <v>334</v>
      </c>
      <c r="C8" s="92" t="s">
        <v>335</v>
      </c>
      <c r="D8" s="92" t="s">
        <v>343</v>
      </c>
      <c r="E8" s="93" t="s">
        <v>344</v>
      </c>
      <c r="F8" s="92" t="s">
        <v>342</v>
      </c>
      <c r="G8" s="92" t="s">
        <v>254</v>
      </c>
      <c r="H8" s="92" t="s">
        <v>10</v>
      </c>
      <c r="I8" s="92" t="s">
        <v>230</v>
      </c>
      <c r="J8" s="93" t="s">
        <v>255</v>
      </c>
      <c r="K8" s="94">
        <v>1.1000000000000001</v>
      </c>
      <c r="L8" s="94">
        <f>K8*VLOOKUP(H8,dagsoorttabel1,2,FALSE)</f>
        <v>0.88000000000000012</v>
      </c>
      <c r="M8" s="95">
        <f>prodnorm37</f>
        <v>0</v>
      </c>
      <c r="N8" s="92" t="s">
        <v>101</v>
      </c>
      <c r="O8" s="26">
        <f>uurtarief37</f>
        <v>0</v>
      </c>
      <c r="P8" s="94" t="e">
        <f>IF(ISBLANK(M8),0,L8/ROUND(M8,4))</f>
        <v>#DIV/0!</v>
      </c>
      <c r="Q8" s="26" t="e">
        <f>ROUND(O8,2)*P8</f>
        <v>#DIV/0!</v>
      </c>
      <c r="R8" s="94" t="e">
        <f>P8*dagenperjaar1</f>
        <v>#DIV/0!</v>
      </c>
      <c r="S8" s="27" t="e">
        <f>R8*ROUND(O8,2)</f>
        <v>#DIV/0!</v>
      </c>
    </row>
    <row r="9" spans="1:19" x14ac:dyDescent="0.2">
      <c r="A9" s="91" t="s">
        <v>333</v>
      </c>
      <c r="B9" s="92" t="s">
        <v>334</v>
      </c>
      <c r="C9" s="92" t="s">
        <v>335</v>
      </c>
      <c r="D9" s="92" t="s">
        <v>345</v>
      </c>
      <c r="E9" s="93" t="s">
        <v>344</v>
      </c>
      <c r="F9" s="92" t="s">
        <v>342</v>
      </c>
      <c r="G9" s="92" t="s">
        <v>252</v>
      </c>
      <c r="H9" s="92" t="s">
        <v>9</v>
      </c>
      <c r="I9" s="92" t="s">
        <v>230</v>
      </c>
      <c r="J9" s="93" t="s">
        <v>253</v>
      </c>
      <c r="K9" s="94">
        <v>1.1000000000000001</v>
      </c>
      <c r="L9" s="94">
        <f>K9*VLOOKUP(H9,dagsoorttabel1,2,FALSE)</f>
        <v>1.1000000000000001</v>
      </c>
      <c r="M9" s="95">
        <f>prodnorm36</f>
        <v>0</v>
      </c>
      <c r="N9" s="92" t="s">
        <v>101</v>
      </c>
      <c r="O9" s="26">
        <f>uurtarief36</f>
        <v>0</v>
      </c>
      <c r="P9" s="94" t="e">
        <f>IF(ISBLANK(M9),0,L9/ROUND(M9,4))</f>
        <v>#DIV/0!</v>
      </c>
      <c r="Q9" s="26" t="e">
        <f>ROUND(O9,2)*P9</f>
        <v>#DIV/0!</v>
      </c>
      <c r="R9" s="94" t="e">
        <f>P9*dagenperjaar1</f>
        <v>#DIV/0!</v>
      </c>
      <c r="S9" s="27" t="e">
        <f>R9*ROUND(O9,2)</f>
        <v>#DIV/0!</v>
      </c>
    </row>
    <row r="10" spans="1:19" x14ac:dyDescent="0.2">
      <c r="A10" s="91" t="s">
        <v>333</v>
      </c>
      <c r="B10" s="92" t="s">
        <v>334</v>
      </c>
      <c r="C10" s="92" t="s">
        <v>335</v>
      </c>
      <c r="D10" s="92" t="s">
        <v>345</v>
      </c>
      <c r="E10" s="93" t="s">
        <v>344</v>
      </c>
      <c r="F10" s="92" t="s">
        <v>342</v>
      </c>
      <c r="G10" s="92" t="s">
        <v>254</v>
      </c>
      <c r="H10" s="92" t="s">
        <v>10</v>
      </c>
      <c r="I10" s="92" t="s">
        <v>230</v>
      </c>
      <c r="J10" s="93" t="s">
        <v>255</v>
      </c>
      <c r="K10" s="94">
        <v>1.1000000000000001</v>
      </c>
      <c r="L10" s="94">
        <f>K10*VLOOKUP(H10,dagsoorttabel1,2,FALSE)</f>
        <v>0.88000000000000012</v>
      </c>
      <c r="M10" s="95">
        <f>prodnorm37</f>
        <v>0</v>
      </c>
      <c r="N10" s="92" t="s">
        <v>101</v>
      </c>
      <c r="O10" s="26">
        <f>uurtarief37</f>
        <v>0</v>
      </c>
      <c r="P10" s="94" t="e">
        <f>IF(ISBLANK(M10),0,L10/ROUND(M10,4))</f>
        <v>#DIV/0!</v>
      </c>
      <c r="Q10" s="26" t="e">
        <f>ROUND(O10,2)*P10</f>
        <v>#DIV/0!</v>
      </c>
      <c r="R10" s="94" t="e">
        <f>P10*dagenperjaar1</f>
        <v>#DIV/0!</v>
      </c>
      <c r="S10" s="27" t="e">
        <f>R10*ROUND(O10,2)</f>
        <v>#DIV/0!</v>
      </c>
    </row>
    <row r="11" spans="1:19" x14ac:dyDescent="0.2">
      <c r="A11" s="91" t="s">
        <v>333</v>
      </c>
      <c r="B11" s="92" t="s">
        <v>334</v>
      </c>
      <c r="C11" s="92" t="s">
        <v>335</v>
      </c>
      <c r="D11" s="92" t="s">
        <v>346</v>
      </c>
      <c r="E11" s="93" t="s">
        <v>344</v>
      </c>
      <c r="F11" s="92" t="s">
        <v>342</v>
      </c>
      <c r="G11" s="92" t="s">
        <v>252</v>
      </c>
      <c r="H11" s="92" t="s">
        <v>9</v>
      </c>
      <c r="I11" s="92" t="s">
        <v>230</v>
      </c>
      <c r="J11" s="93" t="s">
        <v>253</v>
      </c>
      <c r="K11" s="94">
        <v>1.1000000000000001</v>
      </c>
      <c r="L11" s="94">
        <f>K11*VLOOKUP(H11,dagsoorttabel1,2,FALSE)</f>
        <v>1.1000000000000001</v>
      </c>
      <c r="M11" s="95">
        <f>prodnorm36</f>
        <v>0</v>
      </c>
      <c r="N11" s="92" t="s">
        <v>101</v>
      </c>
      <c r="O11" s="26">
        <f>uurtarief36</f>
        <v>0</v>
      </c>
      <c r="P11" s="94" t="e">
        <f>IF(ISBLANK(M11),0,L11/ROUND(M11,4))</f>
        <v>#DIV/0!</v>
      </c>
      <c r="Q11" s="26" t="e">
        <f>ROUND(O11,2)*P11</f>
        <v>#DIV/0!</v>
      </c>
      <c r="R11" s="94" t="e">
        <f>P11*dagenperjaar1</f>
        <v>#DIV/0!</v>
      </c>
      <c r="S11" s="27" t="e">
        <f>R11*ROUND(O11,2)</f>
        <v>#DIV/0!</v>
      </c>
    </row>
    <row r="12" spans="1:19" x14ac:dyDescent="0.2">
      <c r="A12" s="91" t="s">
        <v>333</v>
      </c>
      <c r="B12" s="92" t="s">
        <v>334</v>
      </c>
      <c r="C12" s="92" t="s">
        <v>335</v>
      </c>
      <c r="D12" s="92" t="s">
        <v>346</v>
      </c>
      <c r="E12" s="93" t="s">
        <v>344</v>
      </c>
      <c r="F12" s="92" t="s">
        <v>342</v>
      </c>
      <c r="G12" s="92" t="s">
        <v>254</v>
      </c>
      <c r="H12" s="92" t="s">
        <v>10</v>
      </c>
      <c r="I12" s="92" t="s">
        <v>230</v>
      </c>
      <c r="J12" s="93" t="s">
        <v>255</v>
      </c>
      <c r="K12" s="94">
        <v>1.1000000000000001</v>
      </c>
      <c r="L12" s="94">
        <f>K12*VLOOKUP(H12,dagsoorttabel1,2,FALSE)</f>
        <v>0.88000000000000012</v>
      </c>
      <c r="M12" s="95">
        <f>prodnorm37</f>
        <v>0</v>
      </c>
      <c r="N12" s="92" t="s">
        <v>101</v>
      </c>
      <c r="O12" s="26">
        <f>uurtarief37</f>
        <v>0</v>
      </c>
      <c r="P12" s="94" t="e">
        <f>IF(ISBLANK(M12),0,L12/ROUND(M12,4))</f>
        <v>#DIV/0!</v>
      </c>
      <c r="Q12" s="26" t="e">
        <f>ROUND(O12,2)*P12</f>
        <v>#DIV/0!</v>
      </c>
      <c r="R12" s="94" t="e">
        <f>P12*dagenperjaar1</f>
        <v>#DIV/0!</v>
      </c>
      <c r="S12" s="27" t="e">
        <f>R12*ROUND(O12,2)</f>
        <v>#DIV/0!</v>
      </c>
    </row>
    <row r="13" spans="1:19" ht="25.5" x14ac:dyDescent="0.2">
      <c r="A13" s="91" t="s">
        <v>333</v>
      </c>
      <c r="B13" s="92" t="s">
        <v>334</v>
      </c>
      <c r="C13" s="92" t="s">
        <v>335</v>
      </c>
      <c r="D13" s="92" t="s">
        <v>347</v>
      </c>
      <c r="E13" s="93" t="s">
        <v>348</v>
      </c>
      <c r="F13" s="92" t="s">
        <v>349</v>
      </c>
      <c r="G13" s="92" t="s">
        <v>252</v>
      </c>
      <c r="H13" s="92" t="s">
        <v>9</v>
      </c>
      <c r="I13" s="92" t="s">
        <v>230</v>
      </c>
      <c r="J13" s="93" t="s">
        <v>253</v>
      </c>
      <c r="K13" s="94">
        <v>5.2</v>
      </c>
      <c r="L13" s="94">
        <f>K13*VLOOKUP(H13,dagsoorttabel1,2,FALSE)</f>
        <v>5.2</v>
      </c>
      <c r="M13" s="95">
        <f>prodnorm36</f>
        <v>0</v>
      </c>
      <c r="N13" s="92" t="s">
        <v>101</v>
      </c>
      <c r="O13" s="26">
        <f>uurtarief36</f>
        <v>0</v>
      </c>
      <c r="P13" s="94" t="e">
        <f>IF(ISBLANK(M13),0,L13/ROUND(M13,4))</f>
        <v>#DIV/0!</v>
      </c>
      <c r="Q13" s="26" t="e">
        <f>ROUND(O13,2)*P13</f>
        <v>#DIV/0!</v>
      </c>
      <c r="R13" s="94" t="e">
        <f>P13*dagenperjaar1</f>
        <v>#DIV/0!</v>
      </c>
      <c r="S13" s="27" t="e">
        <f>R13*ROUND(O13,2)</f>
        <v>#DIV/0!</v>
      </c>
    </row>
    <row r="14" spans="1:19" ht="25.5" x14ac:dyDescent="0.2">
      <c r="A14" s="91" t="s">
        <v>333</v>
      </c>
      <c r="B14" s="92" t="s">
        <v>334</v>
      </c>
      <c r="C14" s="92" t="s">
        <v>335</v>
      </c>
      <c r="D14" s="92" t="s">
        <v>347</v>
      </c>
      <c r="E14" s="93" t="s">
        <v>348</v>
      </c>
      <c r="F14" s="92" t="s">
        <v>349</v>
      </c>
      <c r="G14" s="92" t="s">
        <v>254</v>
      </c>
      <c r="H14" s="92" t="s">
        <v>10</v>
      </c>
      <c r="I14" s="92" t="s">
        <v>230</v>
      </c>
      <c r="J14" s="93" t="s">
        <v>255</v>
      </c>
      <c r="K14" s="94">
        <v>5.2</v>
      </c>
      <c r="L14" s="94">
        <f>K14*VLOOKUP(H14,dagsoorttabel1,2,FALSE)</f>
        <v>4.16</v>
      </c>
      <c r="M14" s="95">
        <f>prodnorm37</f>
        <v>0</v>
      </c>
      <c r="N14" s="92" t="s">
        <v>101</v>
      </c>
      <c r="O14" s="26">
        <f>uurtarief37</f>
        <v>0</v>
      </c>
      <c r="P14" s="94" t="e">
        <f>IF(ISBLANK(M14),0,L14/ROUND(M14,4))</f>
        <v>#DIV/0!</v>
      </c>
      <c r="Q14" s="26" t="e">
        <f>ROUND(O14,2)*P14</f>
        <v>#DIV/0!</v>
      </c>
      <c r="R14" s="94" t="e">
        <f>P14*dagenperjaar1</f>
        <v>#DIV/0!</v>
      </c>
      <c r="S14" s="27" t="e">
        <f>R14*ROUND(O14,2)</f>
        <v>#DIV/0!</v>
      </c>
    </row>
    <row r="15" spans="1:19" ht="25.5" x14ac:dyDescent="0.2">
      <c r="A15" s="91" t="s">
        <v>333</v>
      </c>
      <c r="B15" s="92" t="s">
        <v>334</v>
      </c>
      <c r="C15" s="92" t="s">
        <v>335</v>
      </c>
      <c r="D15" s="92" t="s">
        <v>350</v>
      </c>
      <c r="E15" s="93" t="s">
        <v>351</v>
      </c>
      <c r="F15" s="92" t="s">
        <v>349</v>
      </c>
      <c r="G15" s="92" t="s">
        <v>252</v>
      </c>
      <c r="H15" s="92" t="s">
        <v>9</v>
      </c>
      <c r="I15" s="92" t="s">
        <v>230</v>
      </c>
      <c r="J15" s="93" t="s">
        <v>253</v>
      </c>
      <c r="K15" s="94">
        <v>5.3</v>
      </c>
      <c r="L15" s="94">
        <f>K15*VLOOKUP(H15,dagsoorttabel1,2,FALSE)</f>
        <v>5.3</v>
      </c>
      <c r="M15" s="95">
        <f>prodnorm36</f>
        <v>0</v>
      </c>
      <c r="N15" s="92" t="s">
        <v>101</v>
      </c>
      <c r="O15" s="26">
        <f>uurtarief36</f>
        <v>0</v>
      </c>
      <c r="P15" s="94" t="e">
        <f>IF(ISBLANK(M15),0,L15/ROUND(M15,4))</f>
        <v>#DIV/0!</v>
      </c>
      <c r="Q15" s="26" t="e">
        <f>ROUND(O15,2)*P15</f>
        <v>#DIV/0!</v>
      </c>
      <c r="R15" s="94" t="e">
        <f>P15*dagenperjaar1</f>
        <v>#DIV/0!</v>
      </c>
      <c r="S15" s="27" t="e">
        <f>R15*ROUND(O15,2)</f>
        <v>#DIV/0!</v>
      </c>
    </row>
    <row r="16" spans="1:19" ht="25.5" x14ac:dyDescent="0.2">
      <c r="A16" s="91" t="s">
        <v>333</v>
      </c>
      <c r="B16" s="92" t="s">
        <v>334</v>
      </c>
      <c r="C16" s="92" t="s">
        <v>335</v>
      </c>
      <c r="D16" s="92" t="s">
        <v>350</v>
      </c>
      <c r="E16" s="93" t="s">
        <v>351</v>
      </c>
      <c r="F16" s="92" t="s">
        <v>349</v>
      </c>
      <c r="G16" s="92" t="s">
        <v>254</v>
      </c>
      <c r="H16" s="92" t="s">
        <v>10</v>
      </c>
      <c r="I16" s="92" t="s">
        <v>230</v>
      </c>
      <c r="J16" s="93" t="s">
        <v>255</v>
      </c>
      <c r="K16" s="94">
        <v>5.3</v>
      </c>
      <c r="L16" s="94">
        <f>K16*VLOOKUP(H16,dagsoorttabel1,2,FALSE)</f>
        <v>4.24</v>
      </c>
      <c r="M16" s="95">
        <f>prodnorm37</f>
        <v>0</v>
      </c>
      <c r="N16" s="92" t="s">
        <v>101</v>
      </c>
      <c r="O16" s="26">
        <f>uurtarief37</f>
        <v>0</v>
      </c>
      <c r="P16" s="94" t="e">
        <f>IF(ISBLANK(M16),0,L16/ROUND(M16,4))</f>
        <v>#DIV/0!</v>
      </c>
      <c r="Q16" s="26" t="e">
        <f>ROUND(O16,2)*P16</f>
        <v>#DIV/0!</v>
      </c>
      <c r="R16" s="94" t="e">
        <f>P16*dagenperjaar1</f>
        <v>#DIV/0!</v>
      </c>
      <c r="S16" s="27" t="e">
        <f>R16*ROUND(O16,2)</f>
        <v>#DIV/0!</v>
      </c>
    </row>
    <row r="17" spans="1:19" x14ac:dyDescent="0.2">
      <c r="A17" s="91" t="s">
        <v>333</v>
      </c>
      <c r="B17" s="92" t="s">
        <v>334</v>
      </c>
      <c r="C17" s="92" t="s">
        <v>335</v>
      </c>
      <c r="D17" s="92" t="s">
        <v>352</v>
      </c>
      <c r="E17" s="93" t="s">
        <v>353</v>
      </c>
      <c r="F17" s="92" t="s">
        <v>342</v>
      </c>
      <c r="G17" s="92" t="s">
        <v>252</v>
      </c>
      <c r="H17" s="92" t="s">
        <v>9</v>
      </c>
      <c r="I17" s="92" t="s">
        <v>230</v>
      </c>
      <c r="J17" s="93" t="s">
        <v>253</v>
      </c>
      <c r="K17" s="94">
        <v>1.1000000000000001</v>
      </c>
      <c r="L17" s="94">
        <f>K17*VLOOKUP(H17,dagsoorttabel1,2,FALSE)</f>
        <v>1.1000000000000001</v>
      </c>
      <c r="M17" s="95">
        <f>prodnorm36</f>
        <v>0</v>
      </c>
      <c r="N17" s="92" t="s">
        <v>101</v>
      </c>
      <c r="O17" s="26">
        <f>uurtarief36</f>
        <v>0</v>
      </c>
      <c r="P17" s="94" t="e">
        <f>IF(ISBLANK(M17),0,L17/ROUND(M17,4))</f>
        <v>#DIV/0!</v>
      </c>
      <c r="Q17" s="26" t="e">
        <f>ROUND(O17,2)*P17</f>
        <v>#DIV/0!</v>
      </c>
      <c r="R17" s="94" t="e">
        <f>P17*dagenperjaar1</f>
        <v>#DIV/0!</v>
      </c>
      <c r="S17" s="27" t="e">
        <f>R17*ROUND(O17,2)</f>
        <v>#DIV/0!</v>
      </c>
    </row>
    <row r="18" spans="1:19" x14ac:dyDescent="0.2">
      <c r="A18" s="91" t="s">
        <v>333</v>
      </c>
      <c r="B18" s="92" t="s">
        <v>334</v>
      </c>
      <c r="C18" s="92" t="s">
        <v>335</v>
      </c>
      <c r="D18" s="92" t="s">
        <v>352</v>
      </c>
      <c r="E18" s="93" t="s">
        <v>353</v>
      </c>
      <c r="F18" s="92" t="s">
        <v>342</v>
      </c>
      <c r="G18" s="92" t="s">
        <v>254</v>
      </c>
      <c r="H18" s="92" t="s">
        <v>10</v>
      </c>
      <c r="I18" s="92" t="s">
        <v>230</v>
      </c>
      <c r="J18" s="93" t="s">
        <v>255</v>
      </c>
      <c r="K18" s="94">
        <v>1.1000000000000001</v>
      </c>
      <c r="L18" s="94">
        <f>K18*VLOOKUP(H18,dagsoorttabel1,2,FALSE)</f>
        <v>0.88000000000000012</v>
      </c>
      <c r="M18" s="95">
        <f>prodnorm37</f>
        <v>0</v>
      </c>
      <c r="N18" s="92" t="s">
        <v>101</v>
      </c>
      <c r="O18" s="26">
        <f>uurtarief37</f>
        <v>0</v>
      </c>
      <c r="P18" s="94" t="e">
        <f>IF(ISBLANK(M18),0,L18/ROUND(M18,4))</f>
        <v>#DIV/0!</v>
      </c>
      <c r="Q18" s="26" t="e">
        <f>ROUND(O18,2)*P18</f>
        <v>#DIV/0!</v>
      </c>
      <c r="R18" s="94" t="e">
        <f>P18*dagenperjaar1</f>
        <v>#DIV/0!</v>
      </c>
      <c r="S18" s="27" t="e">
        <f>R18*ROUND(O18,2)</f>
        <v>#DIV/0!</v>
      </c>
    </row>
    <row r="19" spans="1:19" x14ac:dyDescent="0.2">
      <c r="A19" s="91" t="s">
        <v>333</v>
      </c>
      <c r="B19" s="92" t="s">
        <v>334</v>
      </c>
      <c r="C19" s="92" t="s">
        <v>335</v>
      </c>
      <c r="D19" s="92" t="s">
        <v>354</v>
      </c>
      <c r="E19" s="93" t="s">
        <v>353</v>
      </c>
      <c r="F19" s="92" t="s">
        <v>342</v>
      </c>
      <c r="G19" s="92" t="s">
        <v>252</v>
      </c>
      <c r="H19" s="92" t="s">
        <v>9</v>
      </c>
      <c r="I19" s="92" t="s">
        <v>230</v>
      </c>
      <c r="J19" s="93" t="s">
        <v>253</v>
      </c>
      <c r="K19" s="94">
        <v>1.1000000000000001</v>
      </c>
      <c r="L19" s="94">
        <f>K19*VLOOKUP(H19,dagsoorttabel1,2,FALSE)</f>
        <v>1.1000000000000001</v>
      </c>
      <c r="M19" s="95">
        <f>prodnorm36</f>
        <v>0</v>
      </c>
      <c r="N19" s="92" t="s">
        <v>101</v>
      </c>
      <c r="O19" s="26">
        <f>uurtarief36</f>
        <v>0</v>
      </c>
      <c r="P19" s="94" t="e">
        <f>IF(ISBLANK(M19),0,L19/ROUND(M19,4))</f>
        <v>#DIV/0!</v>
      </c>
      <c r="Q19" s="26" t="e">
        <f>ROUND(O19,2)*P19</f>
        <v>#DIV/0!</v>
      </c>
      <c r="R19" s="94" t="e">
        <f>P19*dagenperjaar1</f>
        <v>#DIV/0!</v>
      </c>
      <c r="S19" s="27" t="e">
        <f>R19*ROUND(O19,2)</f>
        <v>#DIV/0!</v>
      </c>
    </row>
    <row r="20" spans="1:19" x14ac:dyDescent="0.2">
      <c r="A20" s="91" t="s">
        <v>333</v>
      </c>
      <c r="B20" s="92" t="s">
        <v>334</v>
      </c>
      <c r="C20" s="92" t="s">
        <v>335</v>
      </c>
      <c r="D20" s="92" t="s">
        <v>354</v>
      </c>
      <c r="E20" s="93" t="s">
        <v>353</v>
      </c>
      <c r="F20" s="92" t="s">
        <v>342</v>
      </c>
      <c r="G20" s="92" t="s">
        <v>254</v>
      </c>
      <c r="H20" s="92" t="s">
        <v>10</v>
      </c>
      <c r="I20" s="92" t="s">
        <v>230</v>
      </c>
      <c r="J20" s="93" t="s">
        <v>255</v>
      </c>
      <c r="K20" s="94">
        <v>1.1000000000000001</v>
      </c>
      <c r="L20" s="94">
        <f>K20*VLOOKUP(H20,dagsoorttabel1,2,FALSE)</f>
        <v>0.88000000000000012</v>
      </c>
      <c r="M20" s="95">
        <f>prodnorm37</f>
        <v>0</v>
      </c>
      <c r="N20" s="92" t="s">
        <v>101</v>
      </c>
      <c r="O20" s="26">
        <f>uurtarief37</f>
        <v>0</v>
      </c>
      <c r="P20" s="94" t="e">
        <f>IF(ISBLANK(M20),0,L20/ROUND(M20,4))</f>
        <v>#DIV/0!</v>
      </c>
      <c r="Q20" s="26" t="e">
        <f>ROUND(O20,2)*P20</f>
        <v>#DIV/0!</v>
      </c>
      <c r="R20" s="94" t="e">
        <f>P20*dagenperjaar1</f>
        <v>#DIV/0!</v>
      </c>
      <c r="S20" s="27" t="e">
        <f>R20*ROUND(O20,2)</f>
        <v>#DIV/0!</v>
      </c>
    </row>
    <row r="21" spans="1:19" x14ac:dyDescent="0.2">
      <c r="A21" s="91" t="s">
        <v>333</v>
      </c>
      <c r="B21" s="92" t="s">
        <v>334</v>
      </c>
      <c r="C21" s="92" t="s">
        <v>335</v>
      </c>
      <c r="D21" s="92" t="s">
        <v>355</v>
      </c>
      <c r="E21" s="93" t="s">
        <v>353</v>
      </c>
      <c r="F21" s="92" t="s">
        <v>342</v>
      </c>
      <c r="G21" s="92" t="s">
        <v>252</v>
      </c>
      <c r="H21" s="92" t="s">
        <v>9</v>
      </c>
      <c r="I21" s="92" t="s">
        <v>230</v>
      </c>
      <c r="J21" s="93" t="s">
        <v>253</v>
      </c>
      <c r="K21" s="94">
        <v>1.1000000000000001</v>
      </c>
      <c r="L21" s="94">
        <f>K21*VLOOKUP(H21,dagsoorttabel1,2,FALSE)</f>
        <v>1.1000000000000001</v>
      </c>
      <c r="M21" s="95">
        <f>prodnorm36</f>
        <v>0</v>
      </c>
      <c r="N21" s="92" t="s">
        <v>101</v>
      </c>
      <c r="O21" s="26">
        <f>uurtarief36</f>
        <v>0</v>
      </c>
      <c r="P21" s="94" t="e">
        <f>IF(ISBLANK(M21),0,L21/ROUND(M21,4))</f>
        <v>#DIV/0!</v>
      </c>
      <c r="Q21" s="26" t="e">
        <f>ROUND(O21,2)*P21</f>
        <v>#DIV/0!</v>
      </c>
      <c r="R21" s="94" t="e">
        <f>P21*dagenperjaar1</f>
        <v>#DIV/0!</v>
      </c>
      <c r="S21" s="27" t="e">
        <f>R21*ROUND(O21,2)</f>
        <v>#DIV/0!</v>
      </c>
    </row>
    <row r="22" spans="1:19" x14ac:dyDescent="0.2">
      <c r="A22" s="91" t="s">
        <v>333</v>
      </c>
      <c r="B22" s="92" t="s">
        <v>334</v>
      </c>
      <c r="C22" s="92" t="s">
        <v>335</v>
      </c>
      <c r="D22" s="92" t="s">
        <v>355</v>
      </c>
      <c r="E22" s="93" t="s">
        <v>353</v>
      </c>
      <c r="F22" s="92" t="s">
        <v>342</v>
      </c>
      <c r="G22" s="92" t="s">
        <v>254</v>
      </c>
      <c r="H22" s="92" t="s">
        <v>10</v>
      </c>
      <c r="I22" s="92" t="s">
        <v>230</v>
      </c>
      <c r="J22" s="93" t="s">
        <v>255</v>
      </c>
      <c r="K22" s="94">
        <v>1.1000000000000001</v>
      </c>
      <c r="L22" s="94">
        <f>K22*VLOOKUP(H22,dagsoorttabel1,2,FALSE)</f>
        <v>0.88000000000000012</v>
      </c>
      <c r="M22" s="95">
        <f>prodnorm37</f>
        <v>0</v>
      </c>
      <c r="N22" s="92" t="s">
        <v>101</v>
      </c>
      <c r="O22" s="26">
        <f>uurtarief37</f>
        <v>0</v>
      </c>
      <c r="P22" s="94" t="e">
        <f>IF(ISBLANK(M22),0,L22/ROUND(M22,4))</f>
        <v>#DIV/0!</v>
      </c>
      <c r="Q22" s="26" t="e">
        <f>ROUND(O22,2)*P22</f>
        <v>#DIV/0!</v>
      </c>
      <c r="R22" s="94" t="e">
        <f>P22*dagenperjaar1</f>
        <v>#DIV/0!</v>
      </c>
      <c r="S22" s="27" t="e">
        <f>R22*ROUND(O22,2)</f>
        <v>#DIV/0!</v>
      </c>
    </row>
    <row r="23" spans="1:19" x14ac:dyDescent="0.2">
      <c r="A23" s="91" t="s">
        <v>333</v>
      </c>
      <c r="B23" s="92" t="s">
        <v>334</v>
      </c>
      <c r="C23" s="92" t="s">
        <v>335</v>
      </c>
      <c r="D23" s="92" t="s">
        <v>356</v>
      </c>
      <c r="E23" s="93" t="s">
        <v>357</v>
      </c>
      <c r="F23" s="92" t="s">
        <v>342</v>
      </c>
      <c r="G23" s="92" t="s">
        <v>252</v>
      </c>
      <c r="H23" s="92" t="s">
        <v>9</v>
      </c>
      <c r="I23" s="92" t="s">
        <v>230</v>
      </c>
      <c r="J23" s="93" t="s">
        <v>253</v>
      </c>
      <c r="K23" s="94">
        <v>5.2</v>
      </c>
      <c r="L23" s="94">
        <f>K23*VLOOKUP(H23,dagsoorttabel1,2,FALSE)</f>
        <v>5.2</v>
      </c>
      <c r="M23" s="95">
        <f>prodnorm36</f>
        <v>0</v>
      </c>
      <c r="N23" s="92" t="s">
        <v>101</v>
      </c>
      <c r="O23" s="26">
        <f>uurtarief36</f>
        <v>0</v>
      </c>
      <c r="P23" s="94" t="e">
        <f>IF(ISBLANK(M23),0,L23/ROUND(M23,4))</f>
        <v>#DIV/0!</v>
      </c>
      <c r="Q23" s="26" t="e">
        <f>ROUND(O23,2)*P23</f>
        <v>#DIV/0!</v>
      </c>
      <c r="R23" s="94" t="e">
        <f>P23*dagenperjaar1</f>
        <v>#DIV/0!</v>
      </c>
      <c r="S23" s="27" t="e">
        <f>R23*ROUND(O23,2)</f>
        <v>#DIV/0!</v>
      </c>
    </row>
    <row r="24" spans="1:19" x14ac:dyDescent="0.2">
      <c r="A24" s="91" t="s">
        <v>333</v>
      </c>
      <c r="B24" s="92" t="s">
        <v>334</v>
      </c>
      <c r="C24" s="92" t="s">
        <v>335</v>
      </c>
      <c r="D24" s="92" t="s">
        <v>356</v>
      </c>
      <c r="E24" s="93" t="s">
        <v>357</v>
      </c>
      <c r="F24" s="92" t="s">
        <v>342</v>
      </c>
      <c r="G24" s="92" t="s">
        <v>254</v>
      </c>
      <c r="H24" s="92" t="s">
        <v>10</v>
      </c>
      <c r="I24" s="92" t="s">
        <v>230</v>
      </c>
      <c r="J24" s="93" t="s">
        <v>255</v>
      </c>
      <c r="K24" s="94">
        <v>5.2</v>
      </c>
      <c r="L24" s="94">
        <f>K24*VLOOKUP(H24,dagsoorttabel1,2,FALSE)</f>
        <v>4.16</v>
      </c>
      <c r="M24" s="95">
        <f>prodnorm37</f>
        <v>0</v>
      </c>
      <c r="N24" s="92" t="s">
        <v>101</v>
      </c>
      <c r="O24" s="26">
        <f>uurtarief37</f>
        <v>0</v>
      </c>
      <c r="P24" s="94" t="e">
        <f>IF(ISBLANK(M24),0,L24/ROUND(M24,4))</f>
        <v>#DIV/0!</v>
      </c>
      <c r="Q24" s="26" t="e">
        <f>ROUND(O24,2)*P24</f>
        <v>#DIV/0!</v>
      </c>
      <c r="R24" s="94" t="e">
        <f>P24*dagenperjaar1</f>
        <v>#DIV/0!</v>
      </c>
      <c r="S24" s="27" t="e">
        <f>R24*ROUND(O24,2)</f>
        <v>#DIV/0!</v>
      </c>
    </row>
    <row r="25" spans="1:19" x14ac:dyDescent="0.2">
      <c r="A25" s="91" t="s">
        <v>333</v>
      </c>
      <c r="B25" s="92" t="s">
        <v>334</v>
      </c>
      <c r="C25" s="92" t="s">
        <v>335</v>
      </c>
      <c r="D25" s="92" t="s">
        <v>358</v>
      </c>
      <c r="E25" s="93" t="s">
        <v>359</v>
      </c>
      <c r="F25" s="92" t="s">
        <v>338</v>
      </c>
      <c r="G25" s="92" t="s">
        <v>339</v>
      </c>
      <c r="H25" s="92"/>
      <c r="I25" s="92"/>
      <c r="J25" s="92"/>
      <c r="K25" s="94">
        <v>43</v>
      </c>
      <c r="L25" s="94"/>
      <c r="M25" s="95"/>
      <c r="N25" s="92"/>
      <c r="O25" s="26"/>
      <c r="P25" s="94"/>
      <c r="Q25" s="26"/>
      <c r="R25" s="96"/>
      <c r="S25" s="27"/>
    </row>
    <row r="26" spans="1:19" x14ac:dyDescent="0.2">
      <c r="A26" s="91" t="s">
        <v>333</v>
      </c>
      <c r="B26" s="92" t="s">
        <v>334</v>
      </c>
      <c r="C26" s="92" t="s">
        <v>335</v>
      </c>
      <c r="D26" s="92" t="s">
        <v>360</v>
      </c>
      <c r="E26" s="93" t="s">
        <v>361</v>
      </c>
      <c r="F26" s="92" t="s">
        <v>338</v>
      </c>
      <c r="G26" s="92" t="s">
        <v>339</v>
      </c>
      <c r="H26" s="92"/>
      <c r="I26" s="92"/>
      <c r="J26" s="92"/>
      <c r="K26" s="94">
        <v>17</v>
      </c>
      <c r="L26" s="94"/>
      <c r="M26" s="95"/>
      <c r="N26" s="92"/>
      <c r="O26" s="26"/>
      <c r="P26" s="94"/>
      <c r="Q26" s="26"/>
      <c r="R26" s="96"/>
      <c r="S26" s="27"/>
    </row>
    <row r="27" spans="1:19" x14ac:dyDescent="0.2">
      <c r="A27" s="91" t="s">
        <v>333</v>
      </c>
      <c r="B27" s="92" t="s">
        <v>334</v>
      </c>
      <c r="C27" s="92" t="s">
        <v>335</v>
      </c>
      <c r="D27" s="92" t="s">
        <v>362</v>
      </c>
      <c r="E27" s="93" t="s">
        <v>363</v>
      </c>
      <c r="F27" s="92" t="s">
        <v>364</v>
      </c>
      <c r="G27" s="92" t="s">
        <v>256</v>
      </c>
      <c r="H27" s="92" t="s">
        <v>10</v>
      </c>
      <c r="I27" s="92" t="s">
        <v>230</v>
      </c>
      <c r="J27" s="93" t="s">
        <v>257</v>
      </c>
      <c r="K27" s="94">
        <v>30.7</v>
      </c>
      <c r="L27" s="94">
        <f>K27*VLOOKUP(H27,dagsoorttabel1,2,FALSE)</f>
        <v>24.560000000000002</v>
      </c>
      <c r="M27" s="95">
        <f>prodnorm39</f>
        <v>0</v>
      </c>
      <c r="N27" s="92" t="s">
        <v>101</v>
      </c>
      <c r="O27" s="26">
        <f>uurtarief39</f>
        <v>0</v>
      </c>
      <c r="P27" s="94" t="e">
        <f>IF(ISBLANK(M27),0,L27/ROUND(M27,4))</f>
        <v>#DIV/0!</v>
      </c>
      <c r="Q27" s="26" t="e">
        <f>ROUND(O27,2)*P27</f>
        <v>#DIV/0!</v>
      </c>
      <c r="R27" s="94" t="e">
        <f>P27*dagenperjaar1</f>
        <v>#DIV/0!</v>
      </c>
      <c r="S27" s="27" t="e">
        <f>R27*ROUND(O27,2)</f>
        <v>#DIV/0!</v>
      </c>
    </row>
    <row r="28" spans="1:19" x14ac:dyDescent="0.2">
      <c r="A28" s="91" t="s">
        <v>333</v>
      </c>
      <c r="B28" s="92" t="s">
        <v>334</v>
      </c>
      <c r="C28" s="92" t="s">
        <v>335</v>
      </c>
      <c r="D28" s="92" t="s">
        <v>365</v>
      </c>
      <c r="E28" s="93" t="s">
        <v>366</v>
      </c>
      <c r="F28" s="92" t="s">
        <v>338</v>
      </c>
      <c r="G28" s="92" t="s">
        <v>339</v>
      </c>
      <c r="H28" s="92"/>
      <c r="I28" s="92"/>
      <c r="J28" s="92"/>
      <c r="K28" s="94">
        <v>38</v>
      </c>
      <c r="L28" s="94"/>
      <c r="M28" s="95"/>
      <c r="N28" s="92"/>
      <c r="O28" s="26"/>
      <c r="P28" s="94"/>
      <c r="Q28" s="26"/>
      <c r="R28" s="96"/>
      <c r="S28" s="27"/>
    </row>
    <row r="29" spans="1:19" x14ac:dyDescent="0.2">
      <c r="A29" s="91" t="s">
        <v>333</v>
      </c>
      <c r="B29" s="92" t="s">
        <v>334</v>
      </c>
      <c r="C29" s="92" t="s">
        <v>335</v>
      </c>
      <c r="D29" s="92" t="s">
        <v>367</v>
      </c>
      <c r="E29" s="93" t="s">
        <v>368</v>
      </c>
      <c r="F29" s="92" t="s">
        <v>338</v>
      </c>
      <c r="G29" s="92" t="s">
        <v>339</v>
      </c>
      <c r="H29" s="92"/>
      <c r="I29" s="92"/>
      <c r="J29" s="92"/>
      <c r="K29" s="94">
        <v>38</v>
      </c>
      <c r="L29" s="94"/>
      <c r="M29" s="95"/>
      <c r="N29" s="92"/>
      <c r="O29" s="26"/>
      <c r="P29" s="94"/>
      <c r="Q29" s="26"/>
      <c r="R29" s="96"/>
      <c r="S29" s="27"/>
    </row>
    <row r="30" spans="1:19" x14ac:dyDescent="0.2">
      <c r="A30" s="91" t="s">
        <v>333</v>
      </c>
      <c r="B30" s="92" t="s">
        <v>334</v>
      </c>
      <c r="C30" s="92" t="s">
        <v>335</v>
      </c>
      <c r="D30" s="92" t="s">
        <v>369</v>
      </c>
      <c r="E30" s="93" t="s">
        <v>370</v>
      </c>
      <c r="F30" s="92" t="s">
        <v>338</v>
      </c>
      <c r="G30" s="92" t="s">
        <v>339</v>
      </c>
      <c r="H30" s="92"/>
      <c r="I30" s="92"/>
      <c r="J30" s="92"/>
      <c r="K30" s="94">
        <v>99</v>
      </c>
      <c r="L30" s="94"/>
      <c r="M30" s="95"/>
      <c r="N30" s="92"/>
      <c r="O30" s="26"/>
      <c r="P30" s="94"/>
      <c r="Q30" s="26"/>
      <c r="R30" s="96"/>
      <c r="S30" s="27"/>
    </row>
    <row r="31" spans="1:19" x14ac:dyDescent="0.2">
      <c r="A31" s="91" t="s">
        <v>333</v>
      </c>
      <c r="B31" s="92" t="s">
        <v>334</v>
      </c>
      <c r="C31" s="92" t="s">
        <v>335</v>
      </c>
      <c r="D31" s="92" t="s">
        <v>371</v>
      </c>
      <c r="E31" s="93" t="s">
        <v>372</v>
      </c>
      <c r="F31" s="92" t="s">
        <v>338</v>
      </c>
      <c r="G31" s="92" t="s">
        <v>339</v>
      </c>
      <c r="H31" s="92"/>
      <c r="I31" s="92"/>
      <c r="J31" s="92"/>
      <c r="K31" s="94">
        <v>33</v>
      </c>
      <c r="L31" s="94"/>
      <c r="M31" s="95"/>
      <c r="N31" s="92"/>
      <c r="O31" s="26"/>
      <c r="P31" s="94"/>
      <c r="Q31" s="26"/>
      <c r="R31" s="96"/>
      <c r="S31" s="27"/>
    </row>
    <row r="32" spans="1:19" x14ac:dyDescent="0.2">
      <c r="A32" s="91" t="s">
        <v>333</v>
      </c>
      <c r="B32" s="92" t="s">
        <v>334</v>
      </c>
      <c r="C32" s="92" t="s">
        <v>335</v>
      </c>
      <c r="D32" s="92" t="s">
        <v>373</v>
      </c>
      <c r="E32" s="93" t="s">
        <v>374</v>
      </c>
      <c r="F32" s="92" t="s">
        <v>364</v>
      </c>
      <c r="G32" s="92" t="s">
        <v>339</v>
      </c>
      <c r="H32" s="92"/>
      <c r="I32" s="92"/>
      <c r="J32" s="92"/>
      <c r="K32" s="94">
        <v>16</v>
      </c>
      <c r="L32" s="94"/>
      <c r="M32" s="95"/>
      <c r="N32" s="92"/>
      <c r="O32" s="26"/>
      <c r="P32" s="94"/>
      <c r="Q32" s="26"/>
      <c r="R32" s="96"/>
      <c r="S32" s="27"/>
    </row>
    <row r="33" spans="1:19" x14ac:dyDescent="0.2">
      <c r="A33" s="91" t="s">
        <v>333</v>
      </c>
      <c r="B33" s="92" t="s">
        <v>334</v>
      </c>
      <c r="C33" s="92" t="s">
        <v>335</v>
      </c>
      <c r="D33" s="92" t="s">
        <v>375</v>
      </c>
      <c r="E33" s="93" t="s">
        <v>376</v>
      </c>
      <c r="F33" s="92" t="s">
        <v>342</v>
      </c>
      <c r="G33" s="92" t="s">
        <v>252</v>
      </c>
      <c r="H33" s="92" t="s">
        <v>9</v>
      </c>
      <c r="I33" s="92" t="s">
        <v>230</v>
      </c>
      <c r="J33" s="93" t="s">
        <v>253</v>
      </c>
      <c r="K33" s="94">
        <v>1.2</v>
      </c>
      <c r="L33" s="94">
        <f>K33*VLOOKUP(H33,dagsoorttabel1,2,FALSE)</f>
        <v>1.2</v>
      </c>
      <c r="M33" s="95">
        <f>prodnorm36</f>
        <v>0</v>
      </c>
      <c r="N33" s="92" t="s">
        <v>101</v>
      </c>
      <c r="O33" s="26">
        <f>uurtarief36</f>
        <v>0</v>
      </c>
      <c r="P33" s="94" t="e">
        <f>IF(ISBLANK(M33),0,L33/ROUND(M33,4))</f>
        <v>#DIV/0!</v>
      </c>
      <c r="Q33" s="26" t="e">
        <f>ROUND(O33,2)*P33</f>
        <v>#DIV/0!</v>
      </c>
      <c r="R33" s="94" t="e">
        <f>P33*dagenperjaar1</f>
        <v>#DIV/0!</v>
      </c>
      <c r="S33" s="27" t="e">
        <f>R33*ROUND(O33,2)</f>
        <v>#DIV/0!</v>
      </c>
    </row>
    <row r="34" spans="1:19" x14ac:dyDescent="0.2">
      <c r="A34" s="91" t="s">
        <v>333</v>
      </c>
      <c r="B34" s="92" t="s">
        <v>334</v>
      </c>
      <c r="C34" s="92" t="s">
        <v>335</v>
      </c>
      <c r="D34" s="92" t="s">
        <v>375</v>
      </c>
      <c r="E34" s="93" t="s">
        <v>376</v>
      </c>
      <c r="F34" s="92" t="s">
        <v>342</v>
      </c>
      <c r="G34" s="92" t="s">
        <v>254</v>
      </c>
      <c r="H34" s="92" t="s">
        <v>10</v>
      </c>
      <c r="I34" s="92" t="s">
        <v>230</v>
      </c>
      <c r="J34" s="93" t="s">
        <v>255</v>
      </c>
      <c r="K34" s="94">
        <v>1.2</v>
      </c>
      <c r="L34" s="94">
        <f>K34*VLOOKUP(H34,dagsoorttabel1,2,FALSE)</f>
        <v>0.96</v>
      </c>
      <c r="M34" s="95">
        <f>prodnorm37</f>
        <v>0</v>
      </c>
      <c r="N34" s="92" t="s">
        <v>101</v>
      </c>
      <c r="O34" s="26">
        <f>uurtarief37</f>
        <v>0</v>
      </c>
      <c r="P34" s="94" t="e">
        <f>IF(ISBLANK(M34),0,L34/ROUND(M34,4))</f>
        <v>#DIV/0!</v>
      </c>
      <c r="Q34" s="26" t="e">
        <f>ROUND(O34,2)*P34</f>
        <v>#DIV/0!</v>
      </c>
      <c r="R34" s="94" t="e">
        <f>P34*dagenperjaar1</f>
        <v>#DIV/0!</v>
      </c>
      <c r="S34" s="27" t="e">
        <f>R34*ROUND(O34,2)</f>
        <v>#DIV/0!</v>
      </c>
    </row>
    <row r="35" spans="1:19" x14ac:dyDescent="0.2">
      <c r="A35" s="91" t="s">
        <v>333</v>
      </c>
      <c r="B35" s="92" t="s">
        <v>334</v>
      </c>
      <c r="C35" s="92" t="s">
        <v>335</v>
      </c>
      <c r="D35" s="92" t="s">
        <v>377</v>
      </c>
      <c r="E35" s="93" t="s">
        <v>376</v>
      </c>
      <c r="F35" s="92" t="s">
        <v>342</v>
      </c>
      <c r="G35" s="92" t="s">
        <v>252</v>
      </c>
      <c r="H35" s="92" t="s">
        <v>9</v>
      </c>
      <c r="I35" s="92" t="s">
        <v>230</v>
      </c>
      <c r="J35" s="93" t="s">
        <v>253</v>
      </c>
      <c r="K35" s="94">
        <v>1.2</v>
      </c>
      <c r="L35" s="94">
        <f>K35*VLOOKUP(H35,dagsoorttabel1,2,FALSE)</f>
        <v>1.2</v>
      </c>
      <c r="M35" s="95">
        <f>prodnorm36</f>
        <v>0</v>
      </c>
      <c r="N35" s="92" t="s">
        <v>101</v>
      </c>
      <c r="O35" s="26">
        <f>uurtarief36</f>
        <v>0</v>
      </c>
      <c r="P35" s="94" t="e">
        <f>IF(ISBLANK(M35),0,L35/ROUND(M35,4))</f>
        <v>#DIV/0!</v>
      </c>
      <c r="Q35" s="26" t="e">
        <f>ROUND(O35,2)*P35</f>
        <v>#DIV/0!</v>
      </c>
      <c r="R35" s="94" t="e">
        <f>P35*dagenperjaar1</f>
        <v>#DIV/0!</v>
      </c>
      <c r="S35" s="27" t="e">
        <f>R35*ROUND(O35,2)</f>
        <v>#DIV/0!</v>
      </c>
    </row>
    <row r="36" spans="1:19" x14ac:dyDescent="0.2">
      <c r="A36" s="91" t="s">
        <v>333</v>
      </c>
      <c r="B36" s="92" t="s">
        <v>334</v>
      </c>
      <c r="C36" s="92" t="s">
        <v>335</v>
      </c>
      <c r="D36" s="92" t="s">
        <v>377</v>
      </c>
      <c r="E36" s="93" t="s">
        <v>376</v>
      </c>
      <c r="F36" s="92" t="s">
        <v>342</v>
      </c>
      <c r="G36" s="92" t="s">
        <v>254</v>
      </c>
      <c r="H36" s="92" t="s">
        <v>10</v>
      </c>
      <c r="I36" s="92" t="s">
        <v>230</v>
      </c>
      <c r="J36" s="93" t="s">
        <v>255</v>
      </c>
      <c r="K36" s="94">
        <v>1.2</v>
      </c>
      <c r="L36" s="94">
        <f>K36*VLOOKUP(H36,dagsoorttabel1,2,FALSE)</f>
        <v>0.96</v>
      </c>
      <c r="M36" s="95">
        <f>prodnorm37</f>
        <v>0</v>
      </c>
      <c r="N36" s="92" t="s">
        <v>101</v>
      </c>
      <c r="O36" s="26">
        <f>uurtarief37</f>
        <v>0</v>
      </c>
      <c r="P36" s="94" t="e">
        <f>IF(ISBLANK(M36),0,L36/ROUND(M36,4))</f>
        <v>#DIV/0!</v>
      </c>
      <c r="Q36" s="26" t="e">
        <f>ROUND(O36,2)*P36</f>
        <v>#DIV/0!</v>
      </c>
      <c r="R36" s="94" t="e">
        <f>P36*dagenperjaar1</f>
        <v>#DIV/0!</v>
      </c>
      <c r="S36" s="27" t="e">
        <f>R36*ROUND(O36,2)</f>
        <v>#DIV/0!</v>
      </c>
    </row>
    <row r="37" spans="1:19" x14ac:dyDescent="0.2">
      <c r="A37" s="91" t="s">
        <v>333</v>
      </c>
      <c r="B37" s="92" t="s">
        <v>334</v>
      </c>
      <c r="C37" s="92" t="s">
        <v>335</v>
      </c>
      <c r="D37" s="92" t="s">
        <v>378</v>
      </c>
      <c r="E37" s="93" t="s">
        <v>379</v>
      </c>
      <c r="F37" s="92" t="s">
        <v>342</v>
      </c>
      <c r="G37" s="92" t="s">
        <v>339</v>
      </c>
      <c r="H37" s="92"/>
      <c r="I37" s="92"/>
      <c r="J37" s="92"/>
      <c r="K37" s="94">
        <v>1</v>
      </c>
      <c r="L37" s="94"/>
      <c r="M37" s="95"/>
      <c r="N37" s="92"/>
      <c r="O37" s="26"/>
      <c r="P37" s="94"/>
      <c r="Q37" s="26"/>
      <c r="R37" s="96"/>
      <c r="S37" s="27"/>
    </row>
    <row r="38" spans="1:19" x14ac:dyDescent="0.2">
      <c r="A38" s="91" t="s">
        <v>333</v>
      </c>
      <c r="B38" s="92" t="s">
        <v>334</v>
      </c>
      <c r="C38" s="92" t="s">
        <v>335</v>
      </c>
      <c r="D38" s="92" t="s">
        <v>380</v>
      </c>
      <c r="E38" s="93" t="s">
        <v>381</v>
      </c>
      <c r="F38" s="92" t="s">
        <v>342</v>
      </c>
      <c r="G38" s="92" t="s">
        <v>248</v>
      </c>
      <c r="H38" s="92" t="s">
        <v>22</v>
      </c>
      <c r="I38" s="92" t="s">
        <v>230</v>
      </c>
      <c r="J38" s="93" t="s">
        <v>249</v>
      </c>
      <c r="K38" s="94">
        <v>1.3</v>
      </c>
      <c r="L38" s="94">
        <f>K38*VLOOKUP(H38,dagsoorttabel1,2,FALSE)</f>
        <v>5.0000000000000001E-3</v>
      </c>
      <c r="M38" s="95">
        <f>prodnorm30</f>
        <v>0</v>
      </c>
      <c r="N38" s="92" t="s">
        <v>101</v>
      </c>
      <c r="O38" s="26">
        <f>uurtarief30</f>
        <v>0</v>
      </c>
      <c r="P38" s="94" t="e">
        <f>IF(ISBLANK(M38),0,L38/ROUND(M38,4))</f>
        <v>#DIV/0!</v>
      </c>
      <c r="Q38" s="26" t="e">
        <f>ROUND(O38,2)*P38</f>
        <v>#DIV/0!</v>
      </c>
      <c r="R38" s="94" t="e">
        <f>P38*dagenperjaar1</f>
        <v>#DIV/0!</v>
      </c>
      <c r="S38" s="27" t="e">
        <f>R38*ROUND(O38,2)</f>
        <v>#DIV/0!</v>
      </c>
    </row>
    <row r="39" spans="1:19" x14ac:dyDescent="0.2">
      <c r="A39" s="91" t="s">
        <v>333</v>
      </c>
      <c r="B39" s="92" t="s">
        <v>334</v>
      </c>
      <c r="C39" s="92" t="s">
        <v>335</v>
      </c>
      <c r="D39" s="92" t="s">
        <v>382</v>
      </c>
      <c r="E39" s="93" t="s">
        <v>381</v>
      </c>
      <c r="F39" s="92" t="s">
        <v>349</v>
      </c>
      <c r="G39" s="92" t="s">
        <v>248</v>
      </c>
      <c r="H39" s="92" t="s">
        <v>22</v>
      </c>
      <c r="I39" s="92" t="s">
        <v>230</v>
      </c>
      <c r="J39" s="93" t="s">
        <v>249</v>
      </c>
      <c r="K39" s="94">
        <v>5.3</v>
      </c>
      <c r="L39" s="94">
        <f>K39*VLOOKUP(H39,dagsoorttabel1,2,FALSE)</f>
        <v>2.0384615384615386E-2</v>
      </c>
      <c r="M39" s="95">
        <f>prodnorm30</f>
        <v>0</v>
      </c>
      <c r="N39" s="92" t="s">
        <v>101</v>
      </c>
      <c r="O39" s="26">
        <f>uurtarief30</f>
        <v>0</v>
      </c>
      <c r="P39" s="94" t="e">
        <f>IF(ISBLANK(M39),0,L39/ROUND(M39,4))</f>
        <v>#DIV/0!</v>
      </c>
      <c r="Q39" s="26" t="e">
        <f>ROUND(O39,2)*P39</f>
        <v>#DIV/0!</v>
      </c>
      <c r="R39" s="94" t="e">
        <f>P39*dagenperjaar1</f>
        <v>#DIV/0!</v>
      </c>
      <c r="S39" s="27" t="e">
        <f>R39*ROUND(O39,2)</f>
        <v>#DIV/0!</v>
      </c>
    </row>
    <row r="40" spans="1:19" x14ac:dyDescent="0.2">
      <c r="A40" s="91" t="s">
        <v>333</v>
      </c>
      <c r="B40" s="92" t="s">
        <v>334</v>
      </c>
      <c r="C40" s="92" t="s">
        <v>335</v>
      </c>
      <c r="D40" s="92" t="s">
        <v>383</v>
      </c>
      <c r="E40" s="93" t="s">
        <v>384</v>
      </c>
      <c r="F40" s="92" t="s">
        <v>349</v>
      </c>
      <c r="G40" s="92" t="s">
        <v>252</v>
      </c>
      <c r="H40" s="92" t="s">
        <v>9</v>
      </c>
      <c r="I40" s="92" t="s">
        <v>230</v>
      </c>
      <c r="J40" s="93" t="s">
        <v>253</v>
      </c>
      <c r="K40" s="94">
        <v>5.4</v>
      </c>
      <c r="L40" s="94">
        <f>K40*VLOOKUP(H40,dagsoorttabel1,2,FALSE)</f>
        <v>5.4</v>
      </c>
      <c r="M40" s="95">
        <f>prodnorm36</f>
        <v>0</v>
      </c>
      <c r="N40" s="92" t="s">
        <v>101</v>
      </c>
      <c r="O40" s="26">
        <f>uurtarief36</f>
        <v>0</v>
      </c>
      <c r="P40" s="94" t="e">
        <f>IF(ISBLANK(M40),0,L40/ROUND(M40,4))</f>
        <v>#DIV/0!</v>
      </c>
      <c r="Q40" s="26" t="e">
        <f>ROUND(O40,2)*P40</f>
        <v>#DIV/0!</v>
      </c>
      <c r="R40" s="94" t="e">
        <f>P40*dagenperjaar1</f>
        <v>#DIV/0!</v>
      </c>
      <c r="S40" s="27" t="e">
        <f>R40*ROUND(O40,2)</f>
        <v>#DIV/0!</v>
      </c>
    </row>
    <row r="41" spans="1:19" x14ac:dyDescent="0.2">
      <c r="A41" s="91" t="s">
        <v>333</v>
      </c>
      <c r="B41" s="92" t="s">
        <v>334</v>
      </c>
      <c r="C41" s="92" t="s">
        <v>335</v>
      </c>
      <c r="D41" s="92" t="s">
        <v>383</v>
      </c>
      <c r="E41" s="93" t="s">
        <v>384</v>
      </c>
      <c r="F41" s="92" t="s">
        <v>349</v>
      </c>
      <c r="G41" s="92" t="s">
        <v>254</v>
      </c>
      <c r="H41" s="92" t="s">
        <v>10</v>
      </c>
      <c r="I41" s="92" t="s">
        <v>230</v>
      </c>
      <c r="J41" s="93" t="s">
        <v>255</v>
      </c>
      <c r="K41" s="94">
        <v>5.4</v>
      </c>
      <c r="L41" s="94">
        <f>K41*VLOOKUP(H41,dagsoorttabel1,2,FALSE)</f>
        <v>4.32</v>
      </c>
      <c r="M41" s="95">
        <f>prodnorm37</f>
        <v>0</v>
      </c>
      <c r="N41" s="92" t="s">
        <v>101</v>
      </c>
      <c r="O41" s="26">
        <f>uurtarief37</f>
        <v>0</v>
      </c>
      <c r="P41" s="94" t="e">
        <f>IF(ISBLANK(M41),0,L41/ROUND(M41,4))</f>
        <v>#DIV/0!</v>
      </c>
      <c r="Q41" s="26" t="e">
        <f>ROUND(O41,2)*P41</f>
        <v>#DIV/0!</v>
      </c>
      <c r="R41" s="94" t="e">
        <f>P41*dagenperjaar1</f>
        <v>#DIV/0!</v>
      </c>
      <c r="S41" s="27" t="e">
        <f>R41*ROUND(O41,2)</f>
        <v>#DIV/0!</v>
      </c>
    </row>
    <row r="42" spans="1:19" x14ac:dyDescent="0.2">
      <c r="A42" s="91" t="s">
        <v>333</v>
      </c>
      <c r="B42" s="92" t="s">
        <v>334</v>
      </c>
      <c r="C42" s="92" t="s">
        <v>335</v>
      </c>
      <c r="D42" s="92" t="s">
        <v>385</v>
      </c>
      <c r="E42" s="93" t="s">
        <v>386</v>
      </c>
      <c r="F42" s="92" t="s">
        <v>364</v>
      </c>
      <c r="G42" s="92" t="s">
        <v>256</v>
      </c>
      <c r="H42" s="92" t="s">
        <v>10</v>
      </c>
      <c r="I42" s="92" t="s">
        <v>230</v>
      </c>
      <c r="J42" s="93" t="s">
        <v>257</v>
      </c>
      <c r="K42" s="94">
        <v>34.1</v>
      </c>
      <c r="L42" s="94">
        <f>K42*VLOOKUP(H42,dagsoorttabel1,2,FALSE)</f>
        <v>27.28</v>
      </c>
      <c r="M42" s="95">
        <f>prodnorm39</f>
        <v>0</v>
      </c>
      <c r="N42" s="92" t="s">
        <v>101</v>
      </c>
      <c r="O42" s="26">
        <f>uurtarief39</f>
        <v>0</v>
      </c>
      <c r="P42" s="94" t="e">
        <f>IF(ISBLANK(M42),0,L42/ROUND(M42,4))</f>
        <v>#DIV/0!</v>
      </c>
      <c r="Q42" s="26" t="e">
        <f>ROUND(O42,2)*P42</f>
        <v>#DIV/0!</v>
      </c>
      <c r="R42" s="94" t="e">
        <f>P42*dagenperjaar1</f>
        <v>#DIV/0!</v>
      </c>
      <c r="S42" s="27" t="e">
        <f>R42*ROUND(O42,2)</f>
        <v>#DIV/0!</v>
      </c>
    </row>
    <row r="43" spans="1:19" x14ac:dyDescent="0.2">
      <c r="A43" s="91" t="s">
        <v>333</v>
      </c>
      <c r="B43" s="92" t="s">
        <v>334</v>
      </c>
      <c r="C43" s="92" t="s">
        <v>335</v>
      </c>
      <c r="D43" s="92" t="s">
        <v>387</v>
      </c>
      <c r="E43" s="93" t="s">
        <v>388</v>
      </c>
      <c r="F43" s="92" t="s">
        <v>338</v>
      </c>
      <c r="G43" s="92" t="s">
        <v>339</v>
      </c>
      <c r="H43" s="92"/>
      <c r="I43" s="92"/>
      <c r="J43" s="92"/>
      <c r="K43" s="94">
        <v>9</v>
      </c>
      <c r="L43" s="94"/>
      <c r="M43" s="95"/>
      <c r="N43" s="92"/>
      <c r="O43" s="26"/>
      <c r="P43" s="94"/>
      <c r="Q43" s="26"/>
      <c r="R43" s="96"/>
      <c r="S43" s="27"/>
    </row>
    <row r="44" spans="1:19" x14ac:dyDescent="0.2">
      <c r="A44" s="91" t="s">
        <v>333</v>
      </c>
      <c r="B44" s="92" t="s">
        <v>334</v>
      </c>
      <c r="C44" s="92" t="s">
        <v>335</v>
      </c>
      <c r="D44" s="92" t="s">
        <v>389</v>
      </c>
      <c r="E44" s="93" t="s">
        <v>390</v>
      </c>
      <c r="F44" s="92" t="s">
        <v>338</v>
      </c>
      <c r="G44" s="92" t="s">
        <v>266</v>
      </c>
      <c r="H44" s="92" t="s">
        <v>10</v>
      </c>
      <c r="I44" s="92" t="s">
        <v>230</v>
      </c>
      <c r="J44" s="93" t="s">
        <v>267</v>
      </c>
      <c r="K44" s="94">
        <v>7.3</v>
      </c>
      <c r="L44" s="94">
        <f>K44*VLOOKUP(H44,dagsoorttabel1,2,FALSE)</f>
        <v>5.84</v>
      </c>
      <c r="M44" s="95">
        <f>prodnorm50</f>
        <v>0</v>
      </c>
      <c r="N44" s="92" t="s">
        <v>101</v>
      </c>
      <c r="O44" s="26">
        <f>uurtarief50</f>
        <v>0</v>
      </c>
      <c r="P44" s="94" t="e">
        <f>IF(ISBLANK(M44),0,L44/ROUND(M44,4))</f>
        <v>#DIV/0!</v>
      </c>
      <c r="Q44" s="26" t="e">
        <f>ROUND(O44,2)*P44</f>
        <v>#DIV/0!</v>
      </c>
      <c r="R44" s="94" t="e">
        <f>P44*dagenperjaar1</f>
        <v>#DIV/0!</v>
      </c>
      <c r="S44" s="27" t="e">
        <f>R44*ROUND(O44,2)</f>
        <v>#DIV/0!</v>
      </c>
    </row>
    <row r="45" spans="1:19" x14ac:dyDescent="0.2">
      <c r="A45" s="91" t="s">
        <v>333</v>
      </c>
      <c r="B45" s="92" t="s">
        <v>334</v>
      </c>
      <c r="C45" s="92" t="s">
        <v>335</v>
      </c>
      <c r="D45" s="92" t="s">
        <v>391</v>
      </c>
      <c r="E45" s="93" t="s">
        <v>392</v>
      </c>
      <c r="F45" s="92" t="s">
        <v>338</v>
      </c>
      <c r="G45" s="92" t="s">
        <v>339</v>
      </c>
      <c r="H45" s="92"/>
      <c r="I45" s="92"/>
      <c r="J45" s="92"/>
      <c r="K45" s="94">
        <v>2</v>
      </c>
      <c r="L45" s="94"/>
      <c r="M45" s="95"/>
      <c r="N45" s="92"/>
      <c r="O45" s="26"/>
      <c r="P45" s="94"/>
      <c r="Q45" s="26"/>
      <c r="R45" s="96"/>
      <c r="S45" s="27"/>
    </row>
    <row r="46" spans="1:19" x14ac:dyDescent="0.2">
      <c r="A46" s="91" t="s">
        <v>333</v>
      </c>
      <c r="B46" s="92" t="s">
        <v>334</v>
      </c>
      <c r="C46" s="92" t="s">
        <v>393</v>
      </c>
      <c r="D46" s="92" t="s">
        <v>394</v>
      </c>
      <c r="E46" s="93" t="s">
        <v>395</v>
      </c>
      <c r="F46" s="92" t="s">
        <v>364</v>
      </c>
      <c r="G46" s="92" t="s">
        <v>339</v>
      </c>
      <c r="H46" s="92"/>
      <c r="I46" s="92"/>
      <c r="J46" s="92"/>
      <c r="K46" s="94">
        <v>17.100000000000001</v>
      </c>
      <c r="L46" s="94"/>
      <c r="M46" s="95"/>
      <c r="N46" s="92"/>
      <c r="O46" s="26"/>
      <c r="P46" s="94"/>
      <c r="Q46" s="26"/>
      <c r="R46" s="96"/>
      <c r="S46" s="27"/>
    </row>
    <row r="47" spans="1:19" x14ac:dyDescent="0.2">
      <c r="A47" s="91" t="s">
        <v>333</v>
      </c>
      <c r="B47" s="92" t="s">
        <v>334</v>
      </c>
      <c r="C47" s="92" t="s">
        <v>393</v>
      </c>
      <c r="D47" s="92" t="s">
        <v>396</v>
      </c>
      <c r="E47" s="93" t="s">
        <v>397</v>
      </c>
      <c r="F47" s="92" t="s">
        <v>342</v>
      </c>
      <c r="G47" s="92" t="s">
        <v>256</v>
      </c>
      <c r="H47" s="92" t="s">
        <v>10</v>
      </c>
      <c r="I47" s="92" t="s">
        <v>230</v>
      </c>
      <c r="J47" s="93" t="s">
        <v>257</v>
      </c>
      <c r="K47" s="94">
        <v>8</v>
      </c>
      <c r="L47" s="94">
        <f>K47*VLOOKUP(H47,dagsoorttabel1,2,FALSE)</f>
        <v>6.4</v>
      </c>
      <c r="M47" s="95">
        <f>prodnorm39</f>
        <v>0</v>
      </c>
      <c r="N47" s="92" t="s">
        <v>101</v>
      </c>
      <c r="O47" s="26">
        <f>uurtarief39</f>
        <v>0</v>
      </c>
      <c r="P47" s="94" t="e">
        <f>IF(ISBLANK(M47),0,L47/ROUND(M47,4))</f>
        <v>#DIV/0!</v>
      </c>
      <c r="Q47" s="26" t="e">
        <f>ROUND(O47,2)*P47</f>
        <v>#DIV/0!</v>
      </c>
      <c r="R47" s="94" t="e">
        <f>P47*dagenperjaar1</f>
        <v>#DIV/0!</v>
      </c>
      <c r="S47" s="27" t="e">
        <f>R47*ROUND(O47,2)</f>
        <v>#DIV/0!</v>
      </c>
    </row>
    <row r="48" spans="1:19" x14ac:dyDescent="0.2">
      <c r="A48" s="91" t="s">
        <v>333</v>
      </c>
      <c r="B48" s="92" t="s">
        <v>334</v>
      </c>
      <c r="C48" s="92" t="s">
        <v>393</v>
      </c>
      <c r="D48" s="92" t="s">
        <v>398</v>
      </c>
      <c r="E48" s="93" t="s">
        <v>399</v>
      </c>
      <c r="F48" s="92" t="s">
        <v>364</v>
      </c>
      <c r="G48" s="92" t="s">
        <v>242</v>
      </c>
      <c r="H48" s="92" t="s">
        <v>10</v>
      </c>
      <c r="I48" s="92" t="s">
        <v>230</v>
      </c>
      <c r="J48" s="93" t="s">
        <v>243</v>
      </c>
      <c r="K48" s="94">
        <v>67.8</v>
      </c>
      <c r="L48" s="94">
        <f>K48*VLOOKUP(H48,dagsoorttabel1,2,FALSE)</f>
        <v>54.24</v>
      </c>
      <c r="M48" s="95">
        <f>prodnorm27</f>
        <v>0</v>
      </c>
      <c r="N48" s="92" t="s">
        <v>101</v>
      </c>
      <c r="O48" s="26">
        <f>uurtarief27</f>
        <v>0</v>
      </c>
      <c r="P48" s="94" t="e">
        <f>IF(ISBLANK(M48),0,L48/ROUND(M48,4))</f>
        <v>#DIV/0!</v>
      </c>
      <c r="Q48" s="26" t="e">
        <f>ROUND(O48,2)*P48</f>
        <v>#DIV/0!</v>
      </c>
      <c r="R48" s="94" t="e">
        <f>P48*dagenperjaar1</f>
        <v>#DIV/0!</v>
      </c>
      <c r="S48" s="27" t="e">
        <f>R48*ROUND(O48,2)</f>
        <v>#DIV/0!</v>
      </c>
    </row>
    <row r="49" spans="1:19" x14ac:dyDescent="0.2">
      <c r="A49" s="91" t="s">
        <v>333</v>
      </c>
      <c r="B49" s="92" t="s">
        <v>334</v>
      </c>
      <c r="C49" s="92" t="s">
        <v>393</v>
      </c>
      <c r="D49" s="92" t="s">
        <v>400</v>
      </c>
      <c r="E49" s="93" t="s">
        <v>401</v>
      </c>
      <c r="F49" s="92" t="s">
        <v>364</v>
      </c>
      <c r="G49" s="92" t="s">
        <v>242</v>
      </c>
      <c r="H49" s="92" t="s">
        <v>10</v>
      </c>
      <c r="I49" s="92" t="s">
        <v>230</v>
      </c>
      <c r="J49" s="93" t="s">
        <v>243</v>
      </c>
      <c r="K49" s="94">
        <v>40.700000000000003</v>
      </c>
      <c r="L49" s="94">
        <f>K49*VLOOKUP(H49,dagsoorttabel1,2,FALSE)</f>
        <v>32.56</v>
      </c>
      <c r="M49" s="95">
        <f>prodnorm27</f>
        <v>0</v>
      </c>
      <c r="N49" s="92" t="s">
        <v>101</v>
      </c>
      <c r="O49" s="26">
        <f>uurtarief27</f>
        <v>0</v>
      </c>
      <c r="P49" s="94" t="e">
        <f>IF(ISBLANK(M49),0,L49/ROUND(M49,4))</f>
        <v>#DIV/0!</v>
      </c>
      <c r="Q49" s="26" t="e">
        <f>ROUND(O49,2)*P49</f>
        <v>#DIV/0!</v>
      </c>
      <c r="R49" s="94" t="e">
        <f>P49*dagenperjaar1</f>
        <v>#DIV/0!</v>
      </c>
      <c r="S49" s="27" t="e">
        <f>R49*ROUND(O49,2)</f>
        <v>#DIV/0!</v>
      </c>
    </row>
    <row r="50" spans="1:19" x14ac:dyDescent="0.2">
      <c r="A50" s="91" t="s">
        <v>333</v>
      </c>
      <c r="B50" s="92" t="s">
        <v>334</v>
      </c>
      <c r="C50" s="92" t="s">
        <v>393</v>
      </c>
      <c r="D50" s="92" t="s">
        <v>402</v>
      </c>
      <c r="E50" s="93" t="s">
        <v>403</v>
      </c>
      <c r="F50" s="92" t="s">
        <v>364</v>
      </c>
      <c r="G50" s="92" t="s">
        <v>242</v>
      </c>
      <c r="H50" s="92" t="s">
        <v>10</v>
      </c>
      <c r="I50" s="92" t="s">
        <v>230</v>
      </c>
      <c r="J50" s="93" t="s">
        <v>243</v>
      </c>
      <c r="K50" s="94">
        <v>68</v>
      </c>
      <c r="L50" s="94">
        <f>K50*VLOOKUP(H50,dagsoorttabel1,2,FALSE)</f>
        <v>54.400000000000006</v>
      </c>
      <c r="M50" s="95">
        <f>prodnorm27</f>
        <v>0</v>
      </c>
      <c r="N50" s="92" t="s">
        <v>101</v>
      </c>
      <c r="O50" s="26">
        <f>uurtarief27</f>
        <v>0</v>
      </c>
      <c r="P50" s="94" t="e">
        <f>IF(ISBLANK(M50),0,L50/ROUND(M50,4))</f>
        <v>#DIV/0!</v>
      </c>
      <c r="Q50" s="26" t="e">
        <f>ROUND(O50,2)*P50</f>
        <v>#DIV/0!</v>
      </c>
      <c r="R50" s="94" t="e">
        <f>P50*dagenperjaar1</f>
        <v>#DIV/0!</v>
      </c>
      <c r="S50" s="27" t="e">
        <f>R50*ROUND(O50,2)</f>
        <v>#DIV/0!</v>
      </c>
    </row>
    <row r="51" spans="1:19" x14ac:dyDescent="0.2">
      <c r="A51" s="91" t="s">
        <v>333</v>
      </c>
      <c r="B51" s="92" t="s">
        <v>334</v>
      </c>
      <c r="C51" s="92" t="s">
        <v>393</v>
      </c>
      <c r="D51" s="92" t="s">
        <v>404</v>
      </c>
      <c r="E51" s="93" t="s">
        <v>405</v>
      </c>
      <c r="F51" s="92" t="s">
        <v>364</v>
      </c>
      <c r="G51" s="92" t="s">
        <v>242</v>
      </c>
      <c r="H51" s="92" t="s">
        <v>10</v>
      </c>
      <c r="I51" s="92" t="s">
        <v>230</v>
      </c>
      <c r="J51" s="93" t="s">
        <v>243</v>
      </c>
      <c r="K51" s="94">
        <v>41.1</v>
      </c>
      <c r="L51" s="94">
        <f>K51*VLOOKUP(H51,dagsoorttabel1,2,FALSE)</f>
        <v>32.880000000000003</v>
      </c>
      <c r="M51" s="95">
        <f>prodnorm27</f>
        <v>0</v>
      </c>
      <c r="N51" s="92" t="s">
        <v>101</v>
      </c>
      <c r="O51" s="26">
        <f>uurtarief27</f>
        <v>0</v>
      </c>
      <c r="P51" s="94" t="e">
        <f>IF(ISBLANK(M51),0,L51/ROUND(M51,4))</f>
        <v>#DIV/0!</v>
      </c>
      <c r="Q51" s="26" t="e">
        <f>ROUND(O51,2)*P51</f>
        <v>#DIV/0!</v>
      </c>
      <c r="R51" s="94" t="e">
        <f>P51*dagenperjaar1</f>
        <v>#DIV/0!</v>
      </c>
      <c r="S51" s="27" t="e">
        <f>R51*ROUND(O51,2)</f>
        <v>#DIV/0!</v>
      </c>
    </row>
    <row r="52" spans="1:19" x14ac:dyDescent="0.2">
      <c r="A52" s="91" t="s">
        <v>333</v>
      </c>
      <c r="B52" s="92" t="s">
        <v>334</v>
      </c>
      <c r="C52" s="92" t="s">
        <v>393</v>
      </c>
      <c r="D52" s="92" t="s">
        <v>406</v>
      </c>
      <c r="E52" s="93" t="s">
        <v>407</v>
      </c>
      <c r="F52" s="92" t="s">
        <v>364</v>
      </c>
      <c r="G52" s="92" t="s">
        <v>242</v>
      </c>
      <c r="H52" s="92" t="s">
        <v>10</v>
      </c>
      <c r="I52" s="92" t="s">
        <v>230</v>
      </c>
      <c r="J52" s="93" t="s">
        <v>243</v>
      </c>
      <c r="K52" s="94">
        <v>43.1</v>
      </c>
      <c r="L52" s="94">
        <f>K52*VLOOKUP(H52,dagsoorttabel1,2,FALSE)</f>
        <v>34.480000000000004</v>
      </c>
      <c r="M52" s="95">
        <f>prodnorm27</f>
        <v>0</v>
      </c>
      <c r="N52" s="92" t="s">
        <v>101</v>
      </c>
      <c r="O52" s="26">
        <f>uurtarief27</f>
        <v>0</v>
      </c>
      <c r="P52" s="94" t="e">
        <f>IF(ISBLANK(M52),0,L52/ROUND(M52,4))</f>
        <v>#DIV/0!</v>
      </c>
      <c r="Q52" s="26" t="e">
        <f>ROUND(O52,2)*P52</f>
        <v>#DIV/0!</v>
      </c>
      <c r="R52" s="94" t="e">
        <f>P52*dagenperjaar1</f>
        <v>#DIV/0!</v>
      </c>
      <c r="S52" s="27" t="e">
        <f>R52*ROUND(O52,2)</f>
        <v>#DIV/0!</v>
      </c>
    </row>
    <row r="53" spans="1:19" x14ac:dyDescent="0.2">
      <c r="A53" s="91" t="s">
        <v>333</v>
      </c>
      <c r="B53" s="92" t="s">
        <v>334</v>
      </c>
      <c r="C53" s="92" t="s">
        <v>393</v>
      </c>
      <c r="D53" s="92" t="s">
        <v>408</v>
      </c>
      <c r="E53" s="93" t="s">
        <v>409</v>
      </c>
      <c r="F53" s="92" t="s">
        <v>364</v>
      </c>
      <c r="G53" s="92" t="s">
        <v>242</v>
      </c>
      <c r="H53" s="92" t="s">
        <v>10</v>
      </c>
      <c r="I53" s="92" t="s">
        <v>230</v>
      </c>
      <c r="J53" s="93" t="s">
        <v>243</v>
      </c>
      <c r="K53" s="94">
        <v>50.6</v>
      </c>
      <c r="L53" s="94">
        <f>K53*VLOOKUP(H53,dagsoorttabel1,2,FALSE)</f>
        <v>40.480000000000004</v>
      </c>
      <c r="M53" s="95">
        <f>prodnorm27</f>
        <v>0</v>
      </c>
      <c r="N53" s="92" t="s">
        <v>101</v>
      </c>
      <c r="O53" s="26">
        <f>uurtarief27</f>
        <v>0</v>
      </c>
      <c r="P53" s="94" t="e">
        <f>IF(ISBLANK(M53),0,L53/ROUND(M53,4))</f>
        <v>#DIV/0!</v>
      </c>
      <c r="Q53" s="26" t="e">
        <f>ROUND(O53,2)*P53</f>
        <v>#DIV/0!</v>
      </c>
      <c r="R53" s="94" t="e">
        <f>P53*dagenperjaar1</f>
        <v>#DIV/0!</v>
      </c>
      <c r="S53" s="27" t="e">
        <f>R53*ROUND(O53,2)</f>
        <v>#DIV/0!</v>
      </c>
    </row>
    <row r="54" spans="1:19" x14ac:dyDescent="0.2">
      <c r="A54" s="91" t="s">
        <v>333</v>
      </c>
      <c r="B54" s="92" t="s">
        <v>334</v>
      </c>
      <c r="C54" s="92" t="s">
        <v>393</v>
      </c>
      <c r="D54" s="92" t="s">
        <v>410</v>
      </c>
      <c r="E54" s="93" t="s">
        <v>411</v>
      </c>
      <c r="F54" s="92" t="s">
        <v>364</v>
      </c>
      <c r="G54" s="92" t="s">
        <v>242</v>
      </c>
      <c r="H54" s="92" t="s">
        <v>10</v>
      </c>
      <c r="I54" s="92" t="s">
        <v>230</v>
      </c>
      <c r="J54" s="93" t="s">
        <v>243</v>
      </c>
      <c r="K54" s="94">
        <v>48.8</v>
      </c>
      <c r="L54" s="94">
        <f>K54*VLOOKUP(H54,dagsoorttabel1,2,FALSE)</f>
        <v>39.04</v>
      </c>
      <c r="M54" s="95">
        <f>prodnorm27</f>
        <v>0</v>
      </c>
      <c r="N54" s="92" t="s">
        <v>101</v>
      </c>
      <c r="O54" s="26">
        <f>uurtarief27</f>
        <v>0</v>
      </c>
      <c r="P54" s="94" t="e">
        <f>IF(ISBLANK(M54),0,L54/ROUND(M54,4))</f>
        <v>#DIV/0!</v>
      </c>
      <c r="Q54" s="26" t="e">
        <f>ROUND(O54,2)*P54</f>
        <v>#DIV/0!</v>
      </c>
      <c r="R54" s="94" t="e">
        <f>P54*dagenperjaar1</f>
        <v>#DIV/0!</v>
      </c>
      <c r="S54" s="27" t="e">
        <f>R54*ROUND(O54,2)</f>
        <v>#DIV/0!</v>
      </c>
    </row>
    <row r="55" spans="1:19" x14ac:dyDescent="0.2">
      <c r="A55" s="91" t="s">
        <v>333</v>
      </c>
      <c r="B55" s="92" t="s">
        <v>334</v>
      </c>
      <c r="C55" s="92" t="s">
        <v>393</v>
      </c>
      <c r="D55" s="92" t="s">
        <v>412</v>
      </c>
      <c r="E55" s="93" t="s">
        <v>413</v>
      </c>
      <c r="F55" s="92" t="s">
        <v>364</v>
      </c>
      <c r="G55" s="92" t="s">
        <v>242</v>
      </c>
      <c r="H55" s="92" t="s">
        <v>10</v>
      </c>
      <c r="I55" s="92" t="s">
        <v>230</v>
      </c>
      <c r="J55" s="93" t="s">
        <v>243</v>
      </c>
      <c r="K55" s="94">
        <v>50.5</v>
      </c>
      <c r="L55" s="94">
        <f>K55*VLOOKUP(H55,dagsoorttabel1,2,FALSE)</f>
        <v>40.400000000000006</v>
      </c>
      <c r="M55" s="95">
        <f>prodnorm27</f>
        <v>0</v>
      </c>
      <c r="N55" s="92" t="s">
        <v>101</v>
      </c>
      <c r="O55" s="26">
        <f>uurtarief27</f>
        <v>0</v>
      </c>
      <c r="P55" s="94" t="e">
        <f>IF(ISBLANK(M55),0,L55/ROUND(M55,4))</f>
        <v>#DIV/0!</v>
      </c>
      <c r="Q55" s="26" t="e">
        <f>ROUND(O55,2)*P55</f>
        <v>#DIV/0!</v>
      </c>
      <c r="R55" s="94" t="e">
        <f>P55*dagenperjaar1</f>
        <v>#DIV/0!</v>
      </c>
      <c r="S55" s="27" t="e">
        <f>R55*ROUND(O55,2)</f>
        <v>#DIV/0!</v>
      </c>
    </row>
    <row r="56" spans="1:19" x14ac:dyDescent="0.2">
      <c r="A56" s="91" t="s">
        <v>333</v>
      </c>
      <c r="B56" s="92" t="s">
        <v>334</v>
      </c>
      <c r="C56" s="92" t="s">
        <v>393</v>
      </c>
      <c r="D56" s="92" t="s">
        <v>414</v>
      </c>
      <c r="E56" s="93" t="s">
        <v>415</v>
      </c>
      <c r="F56" s="92" t="s">
        <v>416</v>
      </c>
      <c r="G56" s="92" t="s">
        <v>256</v>
      </c>
      <c r="H56" s="92" t="s">
        <v>10</v>
      </c>
      <c r="I56" s="92" t="s">
        <v>230</v>
      </c>
      <c r="J56" s="93" t="s">
        <v>257</v>
      </c>
      <c r="K56" s="94">
        <v>12.8</v>
      </c>
      <c r="L56" s="94">
        <f>K56*VLOOKUP(H56,dagsoorttabel1,2,FALSE)</f>
        <v>10.240000000000002</v>
      </c>
      <c r="M56" s="95">
        <f>prodnorm39</f>
        <v>0</v>
      </c>
      <c r="N56" s="92" t="s">
        <v>101</v>
      </c>
      <c r="O56" s="26">
        <f>uurtarief39</f>
        <v>0</v>
      </c>
      <c r="P56" s="94" t="e">
        <f>IF(ISBLANK(M56),0,L56/ROUND(M56,4))</f>
        <v>#DIV/0!</v>
      </c>
      <c r="Q56" s="26" t="e">
        <f>ROUND(O56,2)*P56</f>
        <v>#DIV/0!</v>
      </c>
      <c r="R56" s="94" t="e">
        <f>P56*dagenperjaar1</f>
        <v>#DIV/0!</v>
      </c>
      <c r="S56" s="27" t="e">
        <f>R56*ROUND(O56,2)</f>
        <v>#DIV/0!</v>
      </c>
    </row>
    <row r="57" spans="1:19" x14ac:dyDescent="0.2">
      <c r="A57" s="91" t="s">
        <v>333</v>
      </c>
      <c r="B57" s="92" t="s">
        <v>334</v>
      </c>
      <c r="C57" s="92" t="s">
        <v>393</v>
      </c>
      <c r="D57" s="92" t="s">
        <v>417</v>
      </c>
      <c r="E57" s="93" t="s">
        <v>418</v>
      </c>
      <c r="F57" s="92" t="s">
        <v>342</v>
      </c>
      <c r="G57" s="92" t="s">
        <v>266</v>
      </c>
      <c r="H57" s="92" t="s">
        <v>10</v>
      </c>
      <c r="I57" s="92" t="s">
        <v>230</v>
      </c>
      <c r="J57" s="93" t="s">
        <v>267</v>
      </c>
      <c r="K57" s="94">
        <v>9.1</v>
      </c>
      <c r="L57" s="94">
        <f>K57*VLOOKUP(H57,dagsoorttabel1,2,FALSE)</f>
        <v>7.28</v>
      </c>
      <c r="M57" s="95">
        <f>prodnorm50</f>
        <v>0</v>
      </c>
      <c r="N57" s="92" t="s">
        <v>101</v>
      </c>
      <c r="O57" s="26">
        <f>uurtarief50</f>
        <v>0</v>
      </c>
      <c r="P57" s="94" t="e">
        <f>IF(ISBLANK(M57),0,L57/ROUND(M57,4))</f>
        <v>#DIV/0!</v>
      </c>
      <c r="Q57" s="26" t="e">
        <f>ROUND(O57,2)*P57</f>
        <v>#DIV/0!</v>
      </c>
      <c r="R57" s="94" t="e">
        <f>P57*dagenperjaar1</f>
        <v>#DIV/0!</v>
      </c>
      <c r="S57" s="27" t="e">
        <f>R57*ROUND(O57,2)</f>
        <v>#DIV/0!</v>
      </c>
    </row>
    <row r="58" spans="1:19" x14ac:dyDescent="0.2">
      <c r="A58" s="91" t="s">
        <v>333</v>
      </c>
      <c r="B58" s="92" t="s">
        <v>334</v>
      </c>
      <c r="C58" s="92" t="s">
        <v>419</v>
      </c>
      <c r="D58" s="92" t="s">
        <v>420</v>
      </c>
      <c r="E58" s="93" t="s">
        <v>421</v>
      </c>
      <c r="F58" s="92" t="s">
        <v>364</v>
      </c>
      <c r="G58" s="92" t="s">
        <v>242</v>
      </c>
      <c r="H58" s="92" t="s">
        <v>10</v>
      </c>
      <c r="I58" s="92" t="s">
        <v>230</v>
      </c>
      <c r="J58" s="93" t="s">
        <v>243</v>
      </c>
      <c r="K58" s="94">
        <v>20</v>
      </c>
      <c r="L58" s="94">
        <f>K58*VLOOKUP(H58,dagsoorttabel1,2,FALSE)</f>
        <v>16</v>
      </c>
      <c r="M58" s="95">
        <f>prodnorm27</f>
        <v>0</v>
      </c>
      <c r="N58" s="92" t="s">
        <v>101</v>
      </c>
      <c r="O58" s="26">
        <f>uurtarief27</f>
        <v>0</v>
      </c>
      <c r="P58" s="94" t="e">
        <f>IF(ISBLANK(M58),0,L58/ROUND(M58,4))</f>
        <v>#DIV/0!</v>
      </c>
      <c r="Q58" s="26" t="e">
        <f>ROUND(O58,2)*P58</f>
        <v>#DIV/0!</v>
      </c>
      <c r="R58" s="94" t="e">
        <f>P58*dagenperjaar1</f>
        <v>#DIV/0!</v>
      </c>
      <c r="S58" s="27" t="e">
        <f>R58*ROUND(O58,2)</f>
        <v>#DIV/0!</v>
      </c>
    </row>
    <row r="59" spans="1:19" x14ac:dyDescent="0.2">
      <c r="A59" s="91" t="s">
        <v>333</v>
      </c>
      <c r="B59" s="92" t="s">
        <v>334</v>
      </c>
      <c r="C59" s="92" t="s">
        <v>419</v>
      </c>
      <c r="D59" s="92" t="s">
        <v>422</v>
      </c>
      <c r="E59" s="93" t="s">
        <v>423</v>
      </c>
      <c r="F59" s="92" t="s">
        <v>364</v>
      </c>
      <c r="G59" s="92" t="s">
        <v>242</v>
      </c>
      <c r="H59" s="92" t="s">
        <v>10</v>
      </c>
      <c r="I59" s="92" t="s">
        <v>230</v>
      </c>
      <c r="J59" s="93" t="s">
        <v>243</v>
      </c>
      <c r="K59" s="94">
        <v>9.6999999999999993</v>
      </c>
      <c r="L59" s="94">
        <f>K59*VLOOKUP(H59,dagsoorttabel1,2,FALSE)</f>
        <v>7.76</v>
      </c>
      <c r="M59" s="95">
        <f>prodnorm27</f>
        <v>0</v>
      </c>
      <c r="N59" s="92" t="s">
        <v>101</v>
      </c>
      <c r="O59" s="26">
        <f>uurtarief27</f>
        <v>0</v>
      </c>
      <c r="P59" s="94" t="e">
        <f>IF(ISBLANK(M59),0,L59/ROUND(M59,4))</f>
        <v>#DIV/0!</v>
      </c>
      <c r="Q59" s="26" t="e">
        <f>ROUND(O59,2)*P59</f>
        <v>#DIV/0!</v>
      </c>
      <c r="R59" s="94" t="e">
        <f>P59*dagenperjaar1</f>
        <v>#DIV/0!</v>
      </c>
      <c r="S59" s="27" t="e">
        <f>R59*ROUND(O59,2)</f>
        <v>#DIV/0!</v>
      </c>
    </row>
    <row r="60" spans="1:19" x14ac:dyDescent="0.2">
      <c r="A60" s="91" t="s">
        <v>333</v>
      </c>
      <c r="B60" s="92" t="s">
        <v>334</v>
      </c>
      <c r="C60" s="92" t="s">
        <v>419</v>
      </c>
      <c r="D60" s="92" t="s">
        <v>424</v>
      </c>
      <c r="E60" s="93" t="s">
        <v>425</v>
      </c>
      <c r="F60" s="92" t="s">
        <v>364</v>
      </c>
      <c r="G60" s="92" t="s">
        <v>242</v>
      </c>
      <c r="H60" s="92" t="s">
        <v>10</v>
      </c>
      <c r="I60" s="92" t="s">
        <v>230</v>
      </c>
      <c r="J60" s="93" t="s">
        <v>243</v>
      </c>
      <c r="K60" s="94">
        <v>62.2</v>
      </c>
      <c r="L60" s="94">
        <f>K60*VLOOKUP(H60,dagsoorttabel1,2,FALSE)</f>
        <v>49.760000000000005</v>
      </c>
      <c r="M60" s="95">
        <f>prodnorm27</f>
        <v>0</v>
      </c>
      <c r="N60" s="92" t="s">
        <v>101</v>
      </c>
      <c r="O60" s="26">
        <f>uurtarief27</f>
        <v>0</v>
      </c>
      <c r="P60" s="94" t="e">
        <f>IF(ISBLANK(M60),0,L60/ROUND(M60,4))</f>
        <v>#DIV/0!</v>
      </c>
      <c r="Q60" s="26" t="e">
        <f>ROUND(O60,2)*P60</f>
        <v>#DIV/0!</v>
      </c>
      <c r="R60" s="94" t="e">
        <f>P60*dagenperjaar1</f>
        <v>#DIV/0!</v>
      </c>
      <c r="S60" s="27" t="e">
        <f>R60*ROUND(O60,2)</f>
        <v>#DIV/0!</v>
      </c>
    </row>
    <row r="61" spans="1:19" x14ac:dyDescent="0.2">
      <c r="A61" s="91" t="s">
        <v>333</v>
      </c>
      <c r="B61" s="92" t="s">
        <v>334</v>
      </c>
      <c r="C61" s="92" t="s">
        <v>419</v>
      </c>
      <c r="D61" s="92" t="s">
        <v>426</v>
      </c>
      <c r="E61" s="93" t="s">
        <v>427</v>
      </c>
      <c r="F61" s="92" t="s">
        <v>364</v>
      </c>
      <c r="G61" s="92" t="s">
        <v>242</v>
      </c>
      <c r="H61" s="92" t="s">
        <v>10</v>
      </c>
      <c r="I61" s="92" t="s">
        <v>230</v>
      </c>
      <c r="J61" s="93" t="s">
        <v>243</v>
      </c>
      <c r="K61" s="94">
        <v>64.2</v>
      </c>
      <c r="L61" s="94">
        <f>K61*VLOOKUP(H61,dagsoorttabel1,2,FALSE)</f>
        <v>51.360000000000007</v>
      </c>
      <c r="M61" s="95">
        <f>prodnorm27</f>
        <v>0</v>
      </c>
      <c r="N61" s="92" t="s">
        <v>101</v>
      </c>
      <c r="O61" s="26">
        <f>uurtarief27</f>
        <v>0</v>
      </c>
      <c r="P61" s="94" t="e">
        <f>IF(ISBLANK(M61),0,L61/ROUND(M61,4))</f>
        <v>#DIV/0!</v>
      </c>
      <c r="Q61" s="26" t="e">
        <f>ROUND(O61,2)*P61</f>
        <v>#DIV/0!</v>
      </c>
      <c r="R61" s="94" t="e">
        <f>P61*dagenperjaar1</f>
        <v>#DIV/0!</v>
      </c>
      <c r="S61" s="27" t="e">
        <f>R61*ROUND(O61,2)</f>
        <v>#DIV/0!</v>
      </c>
    </row>
    <row r="62" spans="1:19" x14ac:dyDescent="0.2">
      <c r="A62" s="91" t="s">
        <v>333</v>
      </c>
      <c r="B62" s="92" t="s">
        <v>334</v>
      </c>
      <c r="C62" s="92" t="s">
        <v>419</v>
      </c>
      <c r="D62" s="92" t="s">
        <v>428</v>
      </c>
      <c r="E62" s="93" t="s">
        <v>429</v>
      </c>
      <c r="F62" s="92" t="s">
        <v>364</v>
      </c>
      <c r="G62" s="92" t="s">
        <v>242</v>
      </c>
      <c r="H62" s="92" t="s">
        <v>10</v>
      </c>
      <c r="I62" s="92" t="s">
        <v>230</v>
      </c>
      <c r="J62" s="93" t="s">
        <v>243</v>
      </c>
      <c r="K62" s="94">
        <v>57.3</v>
      </c>
      <c r="L62" s="94">
        <f>K62*VLOOKUP(H62,dagsoorttabel1,2,FALSE)</f>
        <v>45.84</v>
      </c>
      <c r="M62" s="95">
        <f>prodnorm27</f>
        <v>0</v>
      </c>
      <c r="N62" s="92" t="s">
        <v>101</v>
      </c>
      <c r="O62" s="26">
        <f>uurtarief27</f>
        <v>0</v>
      </c>
      <c r="P62" s="94" t="e">
        <f>IF(ISBLANK(M62),0,L62/ROUND(M62,4))</f>
        <v>#DIV/0!</v>
      </c>
      <c r="Q62" s="26" t="e">
        <f>ROUND(O62,2)*P62</f>
        <v>#DIV/0!</v>
      </c>
      <c r="R62" s="94" t="e">
        <f>P62*dagenperjaar1</f>
        <v>#DIV/0!</v>
      </c>
      <c r="S62" s="27" t="e">
        <f>R62*ROUND(O62,2)</f>
        <v>#DIV/0!</v>
      </c>
    </row>
    <row r="63" spans="1:19" x14ac:dyDescent="0.2">
      <c r="A63" s="91" t="s">
        <v>333</v>
      </c>
      <c r="B63" s="92" t="s">
        <v>334</v>
      </c>
      <c r="C63" s="92" t="s">
        <v>419</v>
      </c>
      <c r="D63" s="92" t="s">
        <v>430</v>
      </c>
      <c r="E63" s="93" t="s">
        <v>431</v>
      </c>
      <c r="F63" s="92" t="s">
        <v>364</v>
      </c>
      <c r="G63" s="92" t="s">
        <v>242</v>
      </c>
      <c r="H63" s="92" t="s">
        <v>10</v>
      </c>
      <c r="I63" s="92" t="s">
        <v>230</v>
      </c>
      <c r="J63" s="93" t="s">
        <v>243</v>
      </c>
      <c r="K63" s="94">
        <v>40.6</v>
      </c>
      <c r="L63" s="94">
        <f>K63*VLOOKUP(H63,dagsoorttabel1,2,FALSE)</f>
        <v>32.480000000000004</v>
      </c>
      <c r="M63" s="95">
        <f>prodnorm27</f>
        <v>0</v>
      </c>
      <c r="N63" s="92" t="s">
        <v>101</v>
      </c>
      <c r="O63" s="26">
        <f>uurtarief27</f>
        <v>0</v>
      </c>
      <c r="P63" s="94" t="e">
        <f>IF(ISBLANK(M63),0,L63/ROUND(M63,4))</f>
        <v>#DIV/0!</v>
      </c>
      <c r="Q63" s="26" t="e">
        <f>ROUND(O63,2)*P63</f>
        <v>#DIV/0!</v>
      </c>
      <c r="R63" s="94" t="e">
        <f>P63*dagenperjaar1</f>
        <v>#DIV/0!</v>
      </c>
      <c r="S63" s="27" t="e">
        <f>R63*ROUND(O63,2)</f>
        <v>#DIV/0!</v>
      </c>
    </row>
    <row r="64" spans="1:19" x14ac:dyDescent="0.2">
      <c r="A64" s="91" t="s">
        <v>333</v>
      </c>
      <c r="B64" s="92" t="s">
        <v>334</v>
      </c>
      <c r="C64" s="92" t="s">
        <v>419</v>
      </c>
      <c r="D64" s="92" t="s">
        <v>432</v>
      </c>
      <c r="E64" s="93" t="s">
        <v>433</v>
      </c>
      <c r="F64" s="92" t="s">
        <v>364</v>
      </c>
      <c r="G64" s="92" t="s">
        <v>242</v>
      </c>
      <c r="H64" s="92" t="s">
        <v>10</v>
      </c>
      <c r="I64" s="92" t="s">
        <v>230</v>
      </c>
      <c r="J64" s="93" t="s">
        <v>243</v>
      </c>
      <c r="K64" s="94">
        <v>51.3</v>
      </c>
      <c r="L64" s="94">
        <f>K64*VLOOKUP(H64,dagsoorttabel1,2,FALSE)</f>
        <v>41.04</v>
      </c>
      <c r="M64" s="95">
        <f>prodnorm27</f>
        <v>0</v>
      </c>
      <c r="N64" s="92" t="s">
        <v>101</v>
      </c>
      <c r="O64" s="26">
        <f>uurtarief27</f>
        <v>0</v>
      </c>
      <c r="P64" s="94" t="e">
        <f>IF(ISBLANK(M64),0,L64/ROUND(M64,4))</f>
        <v>#DIV/0!</v>
      </c>
      <c r="Q64" s="26" t="e">
        <f>ROUND(O64,2)*P64</f>
        <v>#DIV/0!</v>
      </c>
      <c r="R64" s="94" t="e">
        <f>P64*dagenperjaar1</f>
        <v>#DIV/0!</v>
      </c>
      <c r="S64" s="27" t="e">
        <f>R64*ROUND(O64,2)</f>
        <v>#DIV/0!</v>
      </c>
    </row>
    <row r="65" spans="1:19" x14ac:dyDescent="0.2">
      <c r="A65" s="91" t="s">
        <v>333</v>
      </c>
      <c r="B65" s="92" t="s">
        <v>334</v>
      </c>
      <c r="C65" s="92" t="s">
        <v>419</v>
      </c>
      <c r="D65" s="92" t="s">
        <v>434</v>
      </c>
      <c r="E65" s="93" t="s">
        <v>435</v>
      </c>
      <c r="F65" s="92" t="s">
        <v>364</v>
      </c>
      <c r="G65" s="92" t="s">
        <v>242</v>
      </c>
      <c r="H65" s="92" t="s">
        <v>10</v>
      </c>
      <c r="I65" s="92" t="s">
        <v>230</v>
      </c>
      <c r="J65" s="93" t="s">
        <v>243</v>
      </c>
      <c r="K65" s="94">
        <v>69.5</v>
      </c>
      <c r="L65" s="94">
        <f>K65*VLOOKUP(H65,dagsoorttabel1,2,FALSE)</f>
        <v>55.6</v>
      </c>
      <c r="M65" s="95">
        <f>prodnorm27</f>
        <v>0</v>
      </c>
      <c r="N65" s="92" t="s">
        <v>101</v>
      </c>
      <c r="O65" s="26">
        <f>uurtarief27</f>
        <v>0</v>
      </c>
      <c r="P65" s="94" t="e">
        <f>IF(ISBLANK(M65),0,L65/ROUND(M65,4))</f>
        <v>#DIV/0!</v>
      </c>
      <c r="Q65" s="26" t="e">
        <f>ROUND(O65,2)*P65</f>
        <v>#DIV/0!</v>
      </c>
      <c r="R65" s="94" t="e">
        <f>P65*dagenperjaar1</f>
        <v>#DIV/0!</v>
      </c>
      <c r="S65" s="27" t="e">
        <f>R65*ROUND(O65,2)</f>
        <v>#DIV/0!</v>
      </c>
    </row>
    <row r="66" spans="1:19" x14ac:dyDescent="0.2">
      <c r="A66" s="91" t="s">
        <v>333</v>
      </c>
      <c r="B66" s="92" t="s">
        <v>334</v>
      </c>
      <c r="C66" s="92" t="s">
        <v>419</v>
      </c>
      <c r="D66" s="92" t="s">
        <v>436</v>
      </c>
      <c r="E66" s="93" t="s">
        <v>437</v>
      </c>
      <c r="F66" s="92" t="s">
        <v>364</v>
      </c>
      <c r="G66" s="92" t="s">
        <v>242</v>
      </c>
      <c r="H66" s="92" t="s">
        <v>10</v>
      </c>
      <c r="I66" s="92" t="s">
        <v>230</v>
      </c>
      <c r="J66" s="93" t="s">
        <v>243</v>
      </c>
      <c r="K66" s="94">
        <v>24.2</v>
      </c>
      <c r="L66" s="94">
        <f>K66*VLOOKUP(H66,dagsoorttabel1,2,FALSE)</f>
        <v>19.36</v>
      </c>
      <c r="M66" s="95">
        <f>prodnorm27</f>
        <v>0</v>
      </c>
      <c r="N66" s="92" t="s">
        <v>101</v>
      </c>
      <c r="O66" s="26">
        <f>uurtarief27</f>
        <v>0</v>
      </c>
      <c r="P66" s="94" t="e">
        <f>IF(ISBLANK(M66),0,L66/ROUND(M66,4))</f>
        <v>#DIV/0!</v>
      </c>
      <c r="Q66" s="26" t="e">
        <f>ROUND(O66,2)*P66</f>
        <v>#DIV/0!</v>
      </c>
      <c r="R66" s="94" t="e">
        <f>P66*dagenperjaar1</f>
        <v>#DIV/0!</v>
      </c>
      <c r="S66" s="27" t="e">
        <f>R66*ROUND(O66,2)</f>
        <v>#DIV/0!</v>
      </c>
    </row>
    <row r="67" spans="1:19" x14ac:dyDescent="0.2">
      <c r="A67" s="91" t="s">
        <v>333</v>
      </c>
      <c r="B67" s="92" t="s">
        <v>334</v>
      </c>
      <c r="C67" s="92" t="s">
        <v>419</v>
      </c>
      <c r="D67" s="92" t="s">
        <v>438</v>
      </c>
      <c r="E67" s="93" t="s">
        <v>439</v>
      </c>
      <c r="F67" s="92" t="s">
        <v>364</v>
      </c>
      <c r="G67" s="92" t="s">
        <v>242</v>
      </c>
      <c r="H67" s="92" t="s">
        <v>10</v>
      </c>
      <c r="I67" s="92" t="s">
        <v>230</v>
      </c>
      <c r="J67" s="93" t="s">
        <v>243</v>
      </c>
      <c r="K67" s="94">
        <v>68.8</v>
      </c>
      <c r="L67" s="94">
        <f>K67*VLOOKUP(H67,dagsoorttabel1,2,FALSE)</f>
        <v>55.04</v>
      </c>
      <c r="M67" s="95">
        <f>prodnorm27</f>
        <v>0</v>
      </c>
      <c r="N67" s="92" t="s">
        <v>101</v>
      </c>
      <c r="O67" s="26">
        <f>uurtarief27</f>
        <v>0</v>
      </c>
      <c r="P67" s="94" t="e">
        <f>IF(ISBLANK(M67),0,L67/ROUND(M67,4))</f>
        <v>#DIV/0!</v>
      </c>
      <c r="Q67" s="26" t="e">
        <f>ROUND(O67,2)*P67</f>
        <v>#DIV/0!</v>
      </c>
      <c r="R67" s="94" t="e">
        <f>P67*dagenperjaar1</f>
        <v>#DIV/0!</v>
      </c>
      <c r="S67" s="27" t="e">
        <f>R67*ROUND(O67,2)</f>
        <v>#DIV/0!</v>
      </c>
    </row>
    <row r="68" spans="1:19" x14ac:dyDescent="0.2">
      <c r="A68" s="91" t="s">
        <v>333</v>
      </c>
      <c r="B68" s="92" t="s">
        <v>334</v>
      </c>
      <c r="C68" s="92" t="s">
        <v>419</v>
      </c>
      <c r="D68" s="92" t="s">
        <v>440</v>
      </c>
      <c r="E68" s="93" t="s">
        <v>415</v>
      </c>
      <c r="F68" s="92" t="s">
        <v>364</v>
      </c>
      <c r="G68" s="92" t="s">
        <v>256</v>
      </c>
      <c r="H68" s="92" t="s">
        <v>10</v>
      </c>
      <c r="I68" s="92" t="s">
        <v>230</v>
      </c>
      <c r="J68" s="93" t="s">
        <v>257</v>
      </c>
      <c r="K68" s="94">
        <v>14.6</v>
      </c>
      <c r="L68" s="94">
        <f>K68*VLOOKUP(H68,dagsoorttabel1,2,FALSE)</f>
        <v>11.68</v>
      </c>
      <c r="M68" s="95">
        <f>prodnorm39</f>
        <v>0</v>
      </c>
      <c r="N68" s="92" t="s">
        <v>101</v>
      </c>
      <c r="O68" s="26">
        <f>uurtarief39</f>
        <v>0</v>
      </c>
      <c r="P68" s="94" t="e">
        <f>IF(ISBLANK(M68),0,L68/ROUND(M68,4))</f>
        <v>#DIV/0!</v>
      </c>
      <c r="Q68" s="26" t="e">
        <f>ROUND(O68,2)*P68</f>
        <v>#DIV/0!</v>
      </c>
      <c r="R68" s="94" t="e">
        <f>P68*dagenperjaar1</f>
        <v>#DIV/0!</v>
      </c>
      <c r="S68" s="27" t="e">
        <f>R68*ROUND(O68,2)</f>
        <v>#DIV/0!</v>
      </c>
    </row>
    <row r="69" spans="1:19" x14ac:dyDescent="0.2">
      <c r="A69" s="91" t="s">
        <v>333</v>
      </c>
      <c r="B69" s="92" t="s">
        <v>334</v>
      </c>
      <c r="C69" s="92" t="s">
        <v>419</v>
      </c>
      <c r="D69" s="92" t="s">
        <v>441</v>
      </c>
      <c r="E69" s="93" t="s">
        <v>390</v>
      </c>
      <c r="F69" s="92" t="s">
        <v>338</v>
      </c>
      <c r="G69" s="92" t="s">
        <v>266</v>
      </c>
      <c r="H69" s="92" t="s">
        <v>10</v>
      </c>
      <c r="I69" s="92" t="s">
        <v>230</v>
      </c>
      <c r="J69" s="93" t="s">
        <v>267</v>
      </c>
      <c r="K69" s="94">
        <v>10.199999999999999</v>
      </c>
      <c r="L69" s="94">
        <f>K69*VLOOKUP(H69,dagsoorttabel1,2,FALSE)</f>
        <v>8.16</v>
      </c>
      <c r="M69" s="95">
        <f>prodnorm50</f>
        <v>0</v>
      </c>
      <c r="N69" s="92" t="s">
        <v>101</v>
      </c>
      <c r="O69" s="26">
        <f>uurtarief50</f>
        <v>0</v>
      </c>
      <c r="P69" s="94" t="e">
        <f>IF(ISBLANK(M69),0,L69/ROUND(M69,4))</f>
        <v>#DIV/0!</v>
      </c>
      <c r="Q69" s="26" t="e">
        <f>ROUND(O69,2)*P69</f>
        <v>#DIV/0!</v>
      </c>
      <c r="R69" s="94" t="e">
        <f>P69*dagenperjaar1</f>
        <v>#DIV/0!</v>
      </c>
      <c r="S69" s="27" t="e">
        <f>R69*ROUND(O69,2)</f>
        <v>#DIV/0!</v>
      </c>
    </row>
    <row r="70" spans="1:19" x14ac:dyDescent="0.2">
      <c r="A70" s="91" t="s">
        <v>333</v>
      </c>
      <c r="B70" s="92" t="s">
        <v>334</v>
      </c>
      <c r="C70" s="92" t="s">
        <v>419</v>
      </c>
      <c r="D70" s="92" t="s">
        <v>442</v>
      </c>
      <c r="E70" s="93" t="s">
        <v>390</v>
      </c>
      <c r="F70" s="92" t="s">
        <v>338</v>
      </c>
      <c r="G70" s="92" t="s">
        <v>266</v>
      </c>
      <c r="H70" s="92" t="s">
        <v>10</v>
      </c>
      <c r="I70" s="92" t="s">
        <v>230</v>
      </c>
      <c r="J70" s="93" t="s">
        <v>267</v>
      </c>
      <c r="K70" s="94">
        <v>6.7</v>
      </c>
      <c r="L70" s="94">
        <f>K70*VLOOKUP(H70,dagsoorttabel1,2,FALSE)</f>
        <v>5.36</v>
      </c>
      <c r="M70" s="95">
        <f>prodnorm50</f>
        <v>0</v>
      </c>
      <c r="N70" s="92" t="s">
        <v>101</v>
      </c>
      <c r="O70" s="26">
        <f>uurtarief50</f>
        <v>0</v>
      </c>
      <c r="P70" s="94" t="e">
        <f>IF(ISBLANK(M70),0,L70/ROUND(M70,4))</f>
        <v>#DIV/0!</v>
      </c>
      <c r="Q70" s="26" t="e">
        <f>ROUND(O70,2)*P70</f>
        <v>#DIV/0!</v>
      </c>
      <c r="R70" s="94" t="e">
        <f>P70*dagenperjaar1</f>
        <v>#DIV/0!</v>
      </c>
      <c r="S70" s="27" t="e">
        <f>R70*ROUND(O70,2)</f>
        <v>#DIV/0!</v>
      </c>
    </row>
    <row r="71" spans="1:19" x14ac:dyDescent="0.2">
      <c r="A71" s="91" t="s">
        <v>333</v>
      </c>
      <c r="B71" s="92" t="s">
        <v>334</v>
      </c>
      <c r="C71" s="92" t="s">
        <v>443</v>
      </c>
      <c r="D71" s="92" t="s">
        <v>444</v>
      </c>
      <c r="E71" s="93" t="s">
        <v>445</v>
      </c>
      <c r="F71" s="92" t="s">
        <v>342</v>
      </c>
      <c r="G71" s="92" t="s">
        <v>256</v>
      </c>
      <c r="H71" s="92" t="s">
        <v>10</v>
      </c>
      <c r="I71" s="92" t="s">
        <v>230</v>
      </c>
      <c r="J71" s="93" t="s">
        <v>257</v>
      </c>
      <c r="K71" s="94">
        <v>5.9</v>
      </c>
      <c r="L71" s="94">
        <f>K71*VLOOKUP(H71,dagsoorttabel1,2,FALSE)</f>
        <v>4.7200000000000006</v>
      </c>
      <c r="M71" s="95">
        <f>prodnorm39</f>
        <v>0</v>
      </c>
      <c r="N71" s="92" t="s">
        <v>101</v>
      </c>
      <c r="O71" s="26">
        <f>uurtarief39</f>
        <v>0</v>
      </c>
      <c r="P71" s="94" t="e">
        <f>IF(ISBLANK(M71),0,L71/ROUND(M71,4))</f>
        <v>#DIV/0!</v>
      </c>
      <c r="Q71" s="26" t="e">
        <f>ROUND(O71,2)*P71</f>
        <v>#DIV/0!</v>
      </c>
      <c r="R71" s="94" t="e">
        <f>P71*dagenperjaar1</f>
        <v>#DIV/0!</v>
      </c>
      <c r="S71" s="27" t="e">
        <f>R71*ROUND(O71,2)</f>
        <v>#DIV/0!</v>
      </c>
    </row>
    <row r="72" spans="1:19" x14ac:dyDescent="0.2">
      <c r="A72" s="91" t="s">
        <v>333</v>
      </c>
      <c r="B72" s="92" t="s">
        <v>334</v>
      </c>
      <c r="C72" s="92" t="s">
        <v>443</v>
      </c>
      <c r="D72" s="92" t="s">
        <v>446</v>
      </c>
      <c r="E72" s="93" t="s">
        <v>447</v>
      </c>
      <c r="F72" s="92" t="s">
        <v>342</v>
      </c>
      <c r="G72" s="92" t="s">
        <v>242</v>
      </c>
      <c r="H72" s="92" t="s">
        <v>10</v>
      </c>
      <c r="I72" s="92" t="s">
        <v>230</v>
      </c>
      <c r="J72" s="93" t="s">
        <v>243</v>
      </c>
      <c r="K72" s="94">
        <v>45.2</v>
      </c>
      <c r="L72" s="94">
        <f>K72*VLOOKUP(H72,dagsoorttabel1,2,FALSE)</f>
        <v>36.160000000000004</v>
      </c>
      <c r="M72" s="95">
        <f>prodnorm27</f>
        <v>0</v>
      </c>
      <c r="N72" s="92" t="s">
        <v>101</v>
      </c>
      <c r="O72" s="26">
        <f>uurtarief27</f>
        <v>0</v>
      </c>
      <c r="P72" s="94" t="e">
        <f>IF(ISBLANK(M72),0,L72/ROUND(M72,4))</f>
        <v>#DIV/0!</v>
      </c>
      <c r="Q72" s="26" t="e">
        <f>ROUND(O72,2)*P72</f>
        <v>#DIV/0!</v>
      </c>
      <c r="R72" s="94" t="e">
        <f>P72*dagenperjaar1</f>
        <v>#DIV/0!</v>
      </c>
      <c r="S72" s="27" t="e">
        <f>R72*ROUND(O72,2)</f>
        <v>#DIV/0!</v>
      </c>
    </row>
    <row r="73" spans="1:19" x14ac:dyDescent="0.2">
      <c r="A73" s="91" t="s">
        <v>333</v>
      </c>
      <c r="B73" s="92" t="s">
        <v>334</v>
      </c>
      <c r="C73" s="92" t="s">
        <v>443</v>
      </c>
      <c r="D73" s="92" t="s">
        <v>448</v>
      </c>
      <c r="E73" s="93" t="s">
        <v>447</v>
      </c>
      <c r="F73" s="92" t="s">
        <v>342</v>
      </c>
      <c r="G73" s="92" t="s">
        <v>242</v>
      </c>
      <c r="H73" s="92" t="s">
        <v>10</v>
      </c>
      <c r="I73" s="92" t="s">
        <v>230</v>
      </c>
      <c r="J73" s="93" t="s">
        <v>243</v>
      </c>
      <c r="K73" s="94">
        <v>51.7</v>
      </c>
      <c r="L73" s="94">
        <f>K73*VLOOKUP(H73,dagsoorttabel1,2,FALSE)</f>
        <v>41.360000000000007</v>
      </c>
      <c r="M73" s="95">
        <f>prodnorm27</f>
        <v>0</v>
      </c>
      <c r="N73" s="92" t="s">
        <v>101</v>
      </c>
      <c r="O73" s="26">
        <f>uurtarief27</f>
        <v>0</v>
      </c>
      <c r="P73" s="94" t="e">
        <f>IF(ISBLANK(M73),0,L73/ROUND(M73,4))</f>
        <v>#DIV/0!</v>
      </c>
      <c r="Q73" s="26" t="e">
        <f>ROUND(O73,2)*P73</f>
        <v>#DIV/0!</v>
      </c>
      <c r="R73" s="94" t="e">
        <f>P73*dagenperjaar1</f>
        <v>#DIV/0!</v>
      </c>
      <c r="S73" s="27" t="e">
        <f>R73*ROUND(O73,2)</f>
        <v>#DIV/0!</v>
      </c>
    </row>
    <row r="74" spans="1:19" x14ac:dyDescent="0.2">
      <c r="A74" s="91" t="s">
        <v>333</v>
      </c>
      <c r="B74" s="92" t="s">
        <v>334</v>
      </c>
      <c r="C74" s="92" t="s">
        <v>443</v>
      </c>
      <c r="D74" s="92" t="s">
        <v>449</v>
      </c>
      <c r="E74" s="93" t="s">
        <v>450</v>
      </c>
      <c r="F74" s="92" t="s">
        <v>342</v>
      </c>
      <c r="G74" s="92" t="s">
        <v>234</v>
      </c>
      <c r="H74" s="92" t="s">
        <v>13</v>
      </c>
      <c r="I74" s="92" t="s">
        <v>230</v>
      </c>
      <c r="J74" s="93" t="s">
        <v>235</v>
      </c>
      <c r="K74" s="94">
        <v>50</v>
      </c>
      <c r="L74" s="94">
        <f>K74*VLOOKUP(H74,dagsoorttabel1,2,FALSE)</f>
        <v>20</v>
      </c>
      <c r="M74" s="95">
        <f>prodnorm18</f>
        <v>0</v>
      </c>
      <c r="N74" s="92" t="s">
        <v>101</v>
      </c>
      <c r="O74" s="26">
        <f>uurtarief18</f>
        <v>0</v>
      </c>
      <c r="P74" s="94" t="e">
        <f>IF(ISBLANK(M74),0,L74/ROUND(M74,4))</f>
        <v>#DIV/0!</v>
      </c>
      <c r="Q74" s="26" t="e">
        <f>ROUND(O74,2)*P74</f>
        <v>#DIV/0!</v>
      </c>
      <c r="R74" s="94" t="e">
        <f>P74*dagenperjaar1</f>
        <v>#DIV/0!</v>
      </c>
      <c r="S74" s="27" t="e">
        <f>R74*ROUND(O74,2)</f>
        <v>#DIV/0!</v>
      </c>
    </row>
    <row r="75" spans="1:19" x14ac:dyDescent="0.2">
      <c r="A75" s="91" t="s">
        <v>333</v>
      </c>
      <c r="B75" s="92" t="s">
        <v>334</v>
      </c>
      <c r="C75" s="92" t="s">
        <v>443</v>
      </c>
      <c r="D75" s="92" t="s">
        <v>449</v>
      </c>
      <c r="E75" s="93" t="s">
        <v>370</v>
      </c>
      <c r="F75" s="92" t="s">
        <v>338</v>
      </c>
      <c r="G75" s="92" t="s">
        <v>339</v>
      </c>
      <c r="H75" s="92"/>
      <c r="I75" s="92"/>
      <c r="J75" s="92"/>
      <c r="K75" s="94">
        <v>3.1</v>
      </c>
      <c r="L75" s="94"/>
      <c r="M75" s="95"/>
      <c r="N75" s="92"/>
      <c r="O75" s="26"/>
      <c r="P75" s="94"/>
      <c r="Q75" s="26"/>
      <c r="R75" s="96"/>
      <c r="S75" s="27"/>
    </row>
    <row r="76" spans="1:19" x14ac:dyDescent="0.2">
      <c r="A76" s="91" t="s">
        <v>333</v>
      </c>
      <c r="B76" s="92" t="s">
        <v>334</v>
      </c>
      <c r="C76" s="92" t="s">
        <v>443</v>
      </c>
      <c r="D76" s="92" t="s">
        <v>451</v>
      </c>
      <c r="E76" s="93" t="s">
        <v>452</v>
      </c>
      <c r="F76" s="92" t="s">
        <v>342</v>
      </c>
      <c r="G76" s="92" t="s">
        <v>242</v>
      </c>
      <c r="H76" s="92" t="s">
        <v>10</v>
      </c>
      <c r="I76" s="92" t="s">
        <v>230</v>
      </c>
      <c r="J76" s="93" t="s">
        <v>243</v>
      </c>
      <c r="K76" s="94">
        <v>77.3</v>
      </c>
      <c r="L76" s="94">
        <f>K76*VLOOKUP(H76,dagsoorttabel1,2,FALSE)</f>
        <v>61.84</v>
      </c>
      <c r="M76" s="95">
        <f>prodnorm27</f>
        <v>0</v>
      </c>
      <c r="N76" s="92" t="s">
        <v>101</v>
      </c>
      <c r="O76" s="26">
        <f>uurtarief27</f>
        <v>0</v>
      </c>
      <c r="P76" s="94" t="e">
        <f>IF(ISBLANK(M76),0,L76/ROUND(M76,4))</f>
        <v>#DIV/0!</v>
      </c>
      <c r="Q76" s="26" t="e">
        <f>ROUND(O76,2)*P76</f>
        <v>#DIV/0!</v>
      </c>
      <c r="R76" s="94" t="e">
        <f>P76*dagenperjaar1</f>
        <v>#DIV/0!</v>
      </c>
      <c r="S76" s="27" t="e">
        <f>R76*ROUND(O76,2)</f>
        <v>#DIV/0!</v>
      </c>
    </row>
    <row r="77" spans="1:19" x14ac:dyDescent="0.2">
      <c r="A77" s="91" t="s">
        <v>333</v>
      </c>
      <c r="B77" s="92" t="s">
        <v>334</v>
      </c>
      <c r="C77" s="92" t="s">
        <v>443</v>
      </c>
      <c r="D77" s="92" t="s">
        <v>453</v>
      </c>
      <c r="E77" s="93" t="s">
        <v>452</v>
      </c>
      <c r="F77" s="92" t="s">
        <v>342</v>
      </c>
      <c r="G77" s="92" t="s">
        <v>242</v>
      </c>
      <c r="H77" s="92" t="s">
        <v>10</v>
      </c>
      <c r="I77" s="92" t="s">
        <v>230</v>
      </c>
      <c r="J77" s="93" t="s">
        <v>243</v>
      </c>
      <c r="K77" s="94">
        <v>56.6</v>
      </c>
      <c r="L77" s="94">
        <f>K77*VLOOKUP(H77,dagsoorttabel1,2,FALSE)</f>
        <v>45.28</v>
      </c>
      <c r="M77" s="95">
        <f>prodnorm27</f>
        <v>0</v>
      </c>
      <c r="N77" s="92" t="s">
        <v>101</v>
      </c>
      <c r="O77" s="26">
        <f>uurtarief27</f>
        <v>0</v>
      </c>
      <c r="P77" s="94" t="e">
        <f>IF(ISBLANK(M77),0,L77/ROUND(M77,4))</f>
        <v>#DIV/0!</v>
      </c>
      <c r="Q77" s="26" t="e">
        <f>ROUND(O77,2)*P77</f>
        <v>#DIV/0!</v>
      </c>
      <c r="R77" s="94" t="e">
        <f>P77*dagenperjaar1</f>
        <v>#DIV/0!</v>
      </c>
      <c r="S77" s="27" t="e">
        <f>R77*ROUND(O77,2)</f>
        <v>#DIV/0!</v>
      </c>
    </row>
    <row r="78" spans="1:19" x14ac:dyDescent="0.2">
      <c r="A78" s="91" t="s">
        <v>333</v>
      </c>
      <c r="B78" s="92" t="s">
        <v>334</v>
      </c>
      <c r="C78" s="92" t="s">
        <v>443</v>
      </c>
      <c r="D78" s="92" t="s">
        <v>454</v>
      </c>
      <c r="E78" s="93" t="s">
        <v>452</v>
      </c>
      <c r="F78" s="92" t="s">
        <v>342</v>
      </c>
      <c r="G78" s="92" t="s">
        <v>242</v>
      </c>
      <c r="H78" s="92" t="s">
        <v>10</v>
      </c>
      <c r="I78" s="92" t="s">
        <v>230</v>
      </c>
      <c r="J78" s="93" t="s">
        <v>243</v>
      </c>
      <c r="K78" s="94">
        <v>72</v>
      </c>
      <c r="L78" s="94">
        <f>K78*VLOOKUP(H78,dagsoorttabel1,2,FALSE)</f>
        <v>57.6</v>
      </c>
      <c r="M78" s="95">
        <f>prodnorm27</f>
        <v>0</v>
      </c>
      <c r="N78" s="92" t="s">
        <v>101</v>
      </c>
      <c r="O78" s="26">
        <f>uurtarief27</f>
        <v>0</v>
      </c>
      <c r="P78" s="94" t="e">
        <f>IF(ISBLANK(M78),0,L78/ROUND(M78,4))</f>
        <v>#DIV/0!</v>
      </c>
      <c r="Q78" s="26" t="e">
        <f>ROUND(O78,2)*P78</f>
        <v>#DIV/0!</v>
      </c>
      <c r="R78" s="94" t="e">
        <f>P78*dagenperjaar1</f>
        <v>#DIV/0!</v>
      </c>
      <c r="S78" s="27" t="e">
        <f>R78*ROUND(O78,2)</f>
        <v>#DIV/0!</v>
      </c>
    </row>
    <row r="79" spans="1:19" x14ac:dyDescent="0.2">
      <c r="A79" s="91" t="s">
        <v>333</v>
      </c>
      <c r="B79" s="92" t="s">
        <v>334</v>
      </c>
      <c r="C79" s="92" t="s">
        <v>443</v>
      </c>
      <c r="D79" s="92" t="s">
        <v>455</v>
      </c>
      <c r="E79" s="93" t="s">
        <v>415</v>
      </c>
      <c r="F79" s="92" t="s">
        <v>364</v>
      </c>
      <c r="G79" s="92" t="s">
        <v>256</v>
      </c>
      <c r="H79" s="92" t="s">
        <v>10</v>
      </c>
      <c r="I79" s="92" t="s">
        <v>230</v>
      </c>
      <c r="J79" s="93" t="s">
        <v>257</v>
      </c>
      <c r="K79" s="94">
        <v>13</v>
      </c>
      <c r="L79" s="94">
        <f>K79*VLOOKUP(H79,dagsoorttabel1,2,FALSE)</f>
        <v>10.4</v>
      </c>
      <c r="M79" s="95">
        <f>prodnorm39</f>
        <v>0</v>
      </c>
      <c r="N79" s="92" t="s">
        <v>101</v>
      </c>
      <c r="O79" s="26">
        <f>uurtarief39</f>
        <v>0</v>
      </c>
      <c r="P79" s="94" t="e">
        <f>IF(ISBLANK(M79),0,L79/ROUND(M79,4))</f>
        <v>#DIV/0!</v>
      </c>
      <c r="Q79" s="26" t="e">
        <f>ROUND(O79,2)*P79</f>
        <v>#DIV/0!</v>
      </c>
      <c r="R79" s="94" t="e">
        <f>P79*dagenperjaar1</f>
        <v>#DIV/0!</v>
      </c>
      <c r="S79" s="27" t="e">
        <f>R79*ROUND(O79,2)</f>
        <v>#DIV/0!</v>
      </c>
    </row>
    <row r="80" spans="1:19" x14ac:dyDescent="0.2">
      <c r="A80" s="91" t="s">
        <v>333</v>
      </c>
      <c r="B80" s="92" t="s">
        <v>334</v>
      </c>
      <c r="C80" s="92" t="s">
        <v>443</v>
      </c>
      <c r="D80" s="92" t="s">
        <v>456</v>
      </c>
      <c r="E80" s="93" t="s">
        <v>457</v>
      </c>
      <c r="F80" s="92" t="s">
        <v>458</v>
      </c>
      <c r="G80" s="92" t="s">
        <v>252</v>
      </c>
      <c r="H80" s="92" t="s">
        <v>9</v>
      </c>
      <c r="I80" s="92" t="s">
        <v>230</v>
      </c>
      <c r="J80" s="93" t="s">
        <v>253</v>
      </c>
      <c r="K80" s="94">
        <v>2.1</v>
      </c>
      <c r="L80" s="94">
        <f>K80*VLOOKUP(H80,dagsoorttabel1,2,FALSE)</f>
        <v>2.1</v>
      </c>
      <c r="M80" s="95">
        <f>prodnorm36</f>
        <v>0</v>
      </c>
      <c r="N80" s="92" t="s">
        <v>101</v>
      </c>
      <c r="O80" s="26">
        <f>uurtarief36</f>
        <v>0</v>
      </c>
      <c r="P80" s="94" t="e">
        <f>IF(ISBLANK(M80),0,L80/ROUND(M80,4))</f>
        <v>#DIV/0!</v>
      </c>
      <c r="Q80" s="26" t="e">
        <f>ROUND(O80,2)*P80</f>
        <v>#DIV/0!</v>
      </c>
      <c r="R80" s="94" t="e">
        <f>P80*dagenperjaar1</f>
        <v>#DIV/0!</v>
      </c>
      <c r="S80" s="27" t="e">
        <f>R80*ROUND(O80,2)</f>
        <v>#DIV/0!</v>
      </c>
    </row>
    <row r="81" spans="1:19" x14ac:dyDescent="0.2">
      <c r="A81" s="91" t="s">
        <v>333</v>
      </c>
      <c r="B81" s="92" t="s">
        <v>334</v>
      </c>
      <c r="C81" s="92" t="s">
        <v>443</v>
      </c>
      <c r="D81" s="92" t="s">
        <v>456</v>
      </c>
      <c r="E81" s="93" t="s">
        <v>457</v>
      </c>
      <c r="F81" s="92" t="s">
        <v>458</v>
      </c>
      <c r="G81" s="92" t="s">
        <v>254</v>
      </c>
      <c r="H81" s="92" t="s">
        <v>10</v>
      </c>
      <c r="I81" s="92" t="s">
        <v>230</v>
      </c>
      <c r="J81" s="93" t="s">
        <v>255</v>
      </c>
      <c r="K81" s="94">
        <v>2.1</v>
      </c>
      <c r="L81" s="94">
        <f>K81*VLOOKUP(H81,dagsoorttabel1,2,FALSE)</f>
        <v>1.6800000000000002</v>
      </c>
      <c r="M81" s="95">
        <f>prodnorm37</f>
        <v>0</v>
      </c>
      <c r="N81" s="92" t="s">
        <v>101</v>
      </c>
      <c r="O81" s="26">
        <f>uurtarief37</f>
        <v>0</v>
      </c>
      <c r="P81" s="94" t="e">
        <f>IF(ISBLANK(M81),0,L81/ROUND(M81,4))</f>
        <v>#DIV/0!</v>
      </c>
      <c r="Q81" s="26" t="e">
        <f>ROUND(O81,2)*P81</f>
        <v>#DIV/0!</v>
      </c>
      <c r="R81" s="94" t="e">
        <f>P81*dagenperjaar1</f>
        <v>#DIV/0!</v>
      </c>
      <c r="S81" s="27" t="e">
        <f>R81*ROUND(O81,2)</f>
        <v>#DIV/0!</v>
      </c>
    </row>
    <row r="82" spans="1:19" x14ac:dyDescent="0.2">
      <c r="A82" s="91" t="s">
        <v>333</v>
      </c>
      <c r="B82" s="92" t="s">
        <v>334</v>
      </c>
      <c r="C82" s="92" t="s">
        <v>443</v>
      </c>
      <c r="D82" s="92" t="s">
        <v>459</v>
      </c>
      <c r="E82" s="93" t="s">
        <v>460</v>
      </c>
      <c r="F82" s="92" t="s">
        <v>461</v>
      </c>
      <c r="G82" s="92" t="s">
        <v>339</v>
      </c>
      <c r="H82" s="92"/>
      <c r="I82" s="92"/>
      <c r="J82" s="92"/>
      <c r="K82" s="94">
        <v>1.1000000000000001</v>
      </c>
      <c r="L82" s="94"/>
      <c r="M82" s="95"/>
      <c r="N82" s="92"/>
      <c r="O82" s="26"/>
      <c r="P82" s="94"/>
      <c r="Q82" s="26"/>
      <c r="R82" s="96"/>
      <c r="S82" s="27"/>
    </row>
    <row r="83" spans="1:19" x14ac:dyDescent="0.2">
      <c r="A83" s="91" t="s">
        <v>333</v>
      </c>
      <c r="B83" s="92" t="s">
        <v>334</v>
      </c>
      <c r="C83" s="92" t="s">
        <v>462</v>
      </c>
      <c r="D83" s="92" t="s">
        <v>463</v>
      </c>
      <c r="E83" s="93" t="s">
        <v>464</v>
      </c>
      <c r="F83" s="92" t="s">
        <v>461</v>
      </c>
      <c r="G83" s="92" t="s">
        <v>339</v>
      </c>
      <c r="H83" s="92"/>
      <c r="I83" s="92"/>
      <c r="J83" s="92"/>
      <c r="K83" s="94">
        <v>60</v>
      </c>
      <c r="L83" s="94"/>
      <c r="M83" s="95"/>
      <c r="N83" s="92"/>
      <c r="O83" s="26"/>
      <c r="P83" s="94"/>
      <c r="Q83" s="26"/>
      <c r="R83" s="96"/>
      <c r="S83" s="27"/>
    </row>
    <row r="84" spans="1:19" x14ac:dyDescent="0.2">
      <c r="A84" s="91" t="s">
        <v>333</v>
      </c>
      <c r="B84" s="92" t="s">
        <v>334</v>
      </c>
      <c r="C84" s="92" t="s">
        <v>462</v>
      </c>
      <c r="D84" s="92" t="s">
        <v>465</v>
      </c>
      <c r="E84" s="93" t="s">
        <v>466</v>
      </c>
      <c r="F84" s="92" t="s">
        <v>461</v>
      </c>
      <c r="G84" s="92" t="s">
        <v>339</v>
      </c>
      <c r="H84" s="92"/>
      <c r="I84" s="92"/>
      <c r="J84" s="92"/>
      <c r="K84" s="94">
        <v>46</v>
      </c>
      <c r="L84" s="94"/>
      <c r="M84" s="95"/>
      <c r="N84" s="92"/>
      <c r="O84" s="26"/>
      <c r="P84" s="94"/>
      <c r="Q84" s="26"/>
      <c r="R84" s="96"/>
      <c r="S84" s="27"/>
    </row>
    <row r="85" spans="1:19" x14ac:dyDescent="0.2">
      <c r="A85" s="91" t="s">
        <v>333</v>
      </c>
      <c r="B85" s="92" t="s">
        <v>334</v>
      </c>
      <c r="C85" s="92" t="s">
        <v>462</v>
      </c>
      <c r="D85" s="92" t="s">
        <v>467</v>
      </c>
      <c r="E85" s="93" t="s">
        <v>466</v>
      </c>
      <c r="F85" s="92" t="s">
        <v>461</v>
      </c>
      <c r="G85" s="92" t="s">
        <v>339</v>
      </c>
      <c r="H85" s="92"/>
      <c r="I85" s="92"/>
      <c r="J85" s="92"/>
      <c r="K85" s="94">
        <v>48</v>
      </c>
      <c r="L85" s="94"/>
      <c r="M85" s="95"/>
      <c r="N85" s="92"/>
      <c r="O85" s="26"/>
      <c r="P85" s="94"/>
      <c r="Q85" s="26"/>
      <c r="R85" s="96"/>
      <c r="S85" s="27"/>
    </row>
    <row r="86" spans="1:19" x14ac:dyDescent="0.2">
      <c r="A86" s="91" t="s">
        <v>333</v>
      </c>
      <c r="B86" s="92" t="s">
        <v>334</v>
      </c>
      <c r="C86" s="92" t="s">
        <v>462</v>
      </c>
      <c r="D86" s="92" t="s">
        <v>468</v>
      </c>
      <c r="E86" s="93" t="s">
        <v>466</v>
      </c>
      <c r="F86" s="92" t="s">
        <v>36</v>
      </c>
      <c r="G86" s="92" t="s">
        <v>339</v>
      </c>
      <c r="H86" s="92"/>
      <c r="I86" s="92"/>
      <c r="J86" s="92"/>
      <c r="K86" s="94">
        <v>11</v>
      </c>
      <c r="L86" s="94"/>
      <c r="M86" s="95"/>
      <c r="N86" s="92"/>
      <c r="O86" s="26"/>
      <c r="P86" s="94"/>
      <c r="Q86" s="26"/>
      <c r="R86" s="96"/>
      <c r="S86" s="27"/>
    </row>
    <row r="87" spans="1:19" x14ac:dyDescent="0.2">
      <c r="A87" s="91" t="s">
        <v>333</v>
      </c>
      <c r="B87" s="92" t="s">
        <v>469</v>
      </c>
      <c r="C87" s="92" t="s">
        <v>393</v>
      </c>
      <c r="D87" s="92" t="s">
        <v>470</v>
      </c>
      <c r="E87" s="93" t="s">
        <v>471</v>
      </c>
      <c r="F87" s="92" t="s">
        <v>36</v>
      </c>
      <c r="G87" s="92" t="s">
        <v>339</v>
      </c>
      <c r="H87" s="92"/>
      <c r="I87" s="92"/>
      <c r="J87" s="92"/>
      <c r="K87" s="94">
        <v>3413</v>
      </c>
      <c r="L87" s="94"/>
      <c r="M87" s="95"/>
      <c r="N87" s="92"/>
      <c r="O87" s="26"/>
      <c r="P87" s="94"/>
      <c r="Q87" s="26"/>
      <c r="R87" s="96"/>
      <c r="S87" s="27"/>
    </row>
    <row r="88" spans="1:19" x14ac:dyDescent="0.2">
      <c r="A88" s="91" t="s">
        <v>333</v>
      </c>
      <c r="B88" s="92" t="s">
        <v>469</v>
      </c>
      <c r="C88" s="92" t="s">
        <v>393</v>
      </c>
      <c r="D88" s="92" t="s">
        <v>472</v>
      </c>
      <c r="E88" s="93" t="s">
        <v>473</v>
      </c>
      <c r="F88" s="92" t="s">
        <v>36</v>
      </c>
      <c r="G88" s="92" t="s">
        <v>339</v>
      </c>
      <c r="H88" s="92"/>
      <c r="I88" s="92"/>
      <c r="J88" s="92"/>
      <c r="K88" s="94">
        <v>64</v>
      </c>
      <c r="L88" s="94"/>
      <c r="M88" s="95"/>
      <c r="N88" s="92"/>
      <c r="O88" s="26"/>
      <c r="P88" s="94"/>
      <c r="Q88" s="26"/>
      <c r="R88" s="96"/>
      <c r="S88" s="27"/>
    </row>
    <row r="89" spans="1:19" x14ac:dyDescent="0.2">
      <c r="A89" s="91" t="s">
        <v>333</v>
      </c>
      <c r="B89" s="92" t="s">
        <v>469</v>
      </c>
      <c r="C89" s="92" t="s">
        <v>393</v>
      </c>
      <c r="D89" s="92" t="s">
        <v>474</v>
      </c>
      <c r="E89" s="93" t="s">
        <v>475</v>
      </c>
      <c r="F89" s="92" t="s">
        <v>36</v>
      </c>
      <c r="G89" s="92" t="s">
        <v>339</v>
      </c>
      <c r="H89" s="92"/>
      <c r="I89" s="92"/>
      <c r="J89" s="92"/>
      <c r="K89" s="94">
        <v>25</v>
      </c>
      <c r="L89" s="94"/>
      <c r="M89" s="95"/>
      <c r="N89" s="92"/>
      <c r="O89" s="26"/>
      <c r="P89" s="94"/>
      <c r="Q89" s="26"/>
      <c r="R89" s="96"/>
      <c r="S89" s="27"/>
    </row>
    <row r="90" spans="1:19" x14ac:dyDescent="0.2">
      <c r="A90" s="91" t="s">
        <v>333</v>
      </c>
      <c r="B90" s="92" t="s">
        <v>476</v>
      </c>
      <c r="C90" s="92" t="s">
        <v>393</v>
      </c>
      <c r="D90" s="92" t="s">
        <v>36</v>
      </c>
      <c r="E90" s="93" t="s">
        <v>477</v>
      </c>
      <c r="F90" s="92" t="s">
        <v>478</v>
      </c>
      <c r="G90" s="92" t="s">
        <v>266</v>
      </c>
      <c r="H90" s="92" t="s">
        <v>10</v>
      </c>
      <c r="I90" s="92" t="s">
        <v>230</v>
      </c>
      <c r="J90" s="93" t="s">
        <v>267</v>
      </c>
      <c r="K90" s="94">
        <v>0</v>
      </c>
      <c r="L90" s="94">
        <f>K90*VLOOKUP(H90,dagsoorttabel1,2,FALSE)</f>
        <v>0</v>
      </c>
      <c r="M90" s="95"/>
      <c r="N90" s="92" t="s">
        <v>101</v>
      </c>
      <c r="O90" s="26"/>
      <c r="P90" s="94">
        <f>IF(ISBLANK(M90),0,L90/ROUND(M90,4))</f>
        <v>0</v>
      </c>
      <c r="Q90" s="26">
        <f>ROUND(O90,2)*P90</f>
        <v>0</v>
      </c>
      <c r="R90" s="94">
        <f>P90*dagenperjaar1</f>
        <v>0</v>
      </c>
      <c r="S90" s="27">
        <f>R90*ROUND(O90,2)</f>
        <v>0</v>
      </c>
    </row>
    <row r="91" spans="1:19" x14ac:dyDescent="0.2">
      <c r="A91" s="91" t="s">
        <v>333</v>
      </c>
      <c r="B91" s="92" t="s">
        <v>476</v>
      </c>
      <c r="C91" s="92" t="s">
        <v>393</v>
      </c>
      <c r="D91" s="92" t="s">
        <v>479</v>
      </c>
      <c r="E91" s="93" t="s">
        <v>480</v>
      </c>
      <c r="F91" s="92" t="s">
        <v>349</v>
      </c>
      <c r="G91" s="92" t="s">
        <v>270</v>
      </c>
      <c r="H91" s="92" t="s">
        <v>10</v>
      </c>
      <c r="I91" s="92" t="s">
        <v>230</v>
      </c>
      <c r="J91" s="93" t="s">
        <v>271</v>
      </c>
      <c r="K91" s="94">
        <v>164.3</v>
      </c>
      <c r="L91" s="94">
        <f>K91*VLOOKUP(H91,dagsoorttabel1,2,FALSE)</f>
        <v>131.44000000000003</v>
      </c>
      <c r="M91" s="95">
        <f>prodnorm54</f>
        <v>0</v>
      </c>
      <c r="N91" s="92" t="s">
        <v>101</v>
      </c>
      <c r="O91" s="26">
        <f>uurtarief54</f>
        <v>0</v>
      </c>
      <c r="P91" s="94" t="e">
        <f>IF(ISBLANK(M91),0,L91/ROUND(M91,4))</f>
        <v>#DIV/0!</v>
      </c>
      <c r="Q91" s="26" t="e">
        <f>ROUND(O91,2)*P91</f>
        <v>#DIV/0!</v>
      </c>
      <c r="R91" s="94" t="e">
        <f>P91*dagenperjaar1</f>
        <v>#DIV/0!</v>
      </c>
      <c r="S91" s="27" t="e">
        <f>R91*ROUND(O91,2)</f>
        <v>#DIV/0!</v>
      </c>
    </row>
    <row r="92" spans="1:19" x14ac:dyDescent="0.2">
      <c r="A92" s="91" t="s">
        <v>333</v>
      </c>
      <c r="B92" s="92" t="s">
        <v>476</v>
      </c>
      <c r="C92" s="92" t="s">
        <v>419</v>
      </c>
      <c r="D92" s="92" t="s">
        <v>481</v>
      </c>
      <c r="E92" s="93" t="s">
        <v>482</v>
      </c>
      <c r="F92" s="92" t="s">
        <v>478</v>
      </c>
      <c r="G92" s="92" t="s">
        <v>248</v>
      </c>
      <c r="H92" s="92" t="s">
        <v>14</v>
      </c>
      <c r="I92" s="92" t="s">
        <v>230</v>
      </c>
      <c r="J92" s="93" t="s">
        <v>249</v>
      </c>
      <c r="K92" s="94">
        <v>98.6</v>
      </c>
      <c r="L92" s="94">
        <f>K92*VLOOKUP(H92,dagsoorttabel1,2,FALSE)</f>
        <v>19.72</v>
      </c>
      <c r="M92" s="95">
        <f>prodnorm31</f>
        <v>0</v>
      </c>
      <c r="N92" s="92" t="s">
        <v>101</v>
      </c>
      <c r="O92" s="26">
        <f>uurtarief31</f>
        <v>0</v>
      </c>
      <c r="P92" s="94" t="e">
        <f>IF(ISBLANK(M92),0,L92/ROUND(M92,4))</f>
        <v>#DIV/0!</v>
      </c>
      <c r="Q92" s="26" t="e">
        <f>ROUND(O92,2)*P92</f>
        <v>#DIV/0!</v>
      </c>
      <c r="R92" s="94" t="e">
        <f>P92*dagenperjaar1</f>
        <v>#DIV/0!</v>
      </c>
      <c r="S92" s="27" t="e">
        <f>R92*ROUND(O92,2)</f>
        <v>#DIV/0!</v>
      </c>
    </row>
    <row r="93" spans="1:19" x14ac:dyDescent="0.2">
      <c r="A93" s="91" t="s">
        <v>333</v>
      </c>
      <c r="B93" s="92" t="s">
        <v>476</v>
      </c>
      <c r="C93" s="92" t="s">
        <v>462</v>
      </c>
      <c r="D93" s="92" t="s">
        <v>483</v>
      </c>
      <c r="E93" s="93" t="s">
        <v>484</v>
      </c>
      <c r="F93" s="92" t="s">
        <v>461</v>
      </c>
      <c r="G93" s="92" t="s">
        <v>339</v>
      </c>
      <c r="H93" s="92"/>
      <c r="I93" s="92"/>
      <c r="J93" s="92"/>
      <c r="K93" s="94">
        <v>120</v>
      </c>
      <c r="L93" s="94"/>
      <c r="M93" s="95"/>
      <c r="N93" s="92"/>
      <c r="O93" s="26"/>
      <c r="P93" s="94"/>
      <c r="Q93" s="26"/>
      <c r="R93" s="96"/>
      <c r="S93" s="27"/>
    </row>
    <row r="94" spans="1:19" x14ac:dyDescent="0.2">
      <c r="A94" s="91" t="s">
        <v>333</v>
      </c>
      <c r="B94" s="92" t="s">
        <v>485</v>
      </c>
      <c r="C94" s="92" t="s">
        <v>335</v>
      </c>
      <c r="D94" s="92" t="s">
        <v>36</v>
      </c>
      <c r="E94" s="93" t="s">
        <v>486</v>
      </c>
      <c r="F94" s="92" t="s">
        <v>349</v>
      </c>
      <c r="G94" s="92" t="s">
        <v>242</v>
      </c>
      <c r="H94" s="92" t="s">
        <v>16</v>
      </c>
      <c r="I94" s="92" t="s">
        <v>230</v>
      </c>
      <c r="J94" s="93" t="s">
        <v>243</v>
      </c>
      <c r="K94" s="94">
        <v>90</v>
      </c>
      <c r="L94" s="94">
        <f>K94*VLOOKUP(H94,dagsoorttabel1,2,FALSE)</f>
        <v>4.1538461538461542</v>
      </c>
      <c r="M94" s="95">
        <f>prodnorm26</f>
        <v>0</v>
      </c>
      <c r="N94" s="92" t="s">
        <v>101</v>
      </c>
      <c r="O94" s="26">
        <f>uurtarief26</f>
        <v>0</v>
      </c>
      <c r="P94" s="94" t="e">
        <f>IF(ISBLANK(M94),0,L94/ROUND(M94,4))</f>
        <v>#DIV/0!</v>
      </c>
      <c r="Q94" s="26" t="e">
        <f>ROUND(O94,2)*P94</f>
        <v>#DIV/0!</v>
      </c>
      <c r="R94" s="94" t="e">
        <f>P94*dagenperjaar1</f>
        <v>#DIV/0!</v>
      </c>
      <c r="S94" s="27" t="e">
        <f>R94*ROUND(O94,2)</f>
        <v>#DIV/0!</v>
      </c>
    </row>
    <row r="95" spans="1:19" x14ac:dyDescent="0.2">
      <c r="A95" s="91" t="s">
        <v>333</v>
      </c>
      <c r="B95" s="92" t="s">
        <v>485</v>
      </c>
      <c r="C95" s="92" t="s">
        <v>335</v>
      </c>
      <c r="D95" s="92" t="s">
        <v>487</v>
      </c>
      <c r="E95" s="93" t="s">
        <v>488</v>
      </c>
      <c r="F95" s="92" t="s">
        <v>349</v>
      </c>
      <c r="G95" s="92" t="s">
        <v>256</v>
      </c>
      <c r="H95" s="92" t="s">
        <v>10</v>
      </c>
      <c r="I95" s="92" t="s">
        <v>230</v>
      </c>
      <c r="J95" s="93" t="s">
        <v>257</v>
      </c>
      <c r="K95" s="94">
        <v>52.3</v>
      </c>
      <c r="L95" s="94">
        <f>K95*VLOOKUP(H95,dagsoorttabel1,2,FALSE)</f>
        <v>41.84</v>
      </c>
      <c r="M95" s="95">
        <f>prodnorm39</f>
        <v>0</v>
      </c>
      <c r="N95" s="92" t="s">
        <v>101</v>
      </c>
      <c r="O95" s="26">
        <f>uurtarief39</f>
        <v>0</v>
      </c>
      <c r="P95" s="94" t="e">
        <f>IF(ISBLANK(M95),0,L95/ROUND(M95,4))</f>
        <v>#DIV/0!</v>
      </c>
      <c r="Q95" s="26" t="e">
        <f>ROUND(O95,2)*P95</f>
        <v>#DIV/0!</v>
      </c>
      <c r="R95" s="94" t="e">
        <f>P95*dagenperjaar1</f>
        <v>#DIV/0!</v>
      </c>
      <c r="S95" s="27" t="e">
        <f>R95*ROUND(O95,2)</f>
        <v>#DIV/0!</v>
      </c>
    </row>
    <row r="96" spans="1:19" x14ac:dyDescent="0.2">
      <c r="A96" s="91" t="s">
        <v>333</v>
      </c>
      <c r="B96" s="92" t="s">
        <v>485</v>
      </c>
      <c r="C96" s="92" t="s">
        <v>335</v>
      </c>
      <c r="D96" s="92" t="s">
        <v>489</v>
      </c>
      <c r="E96" s="93" t="s">
        <v>490</v>
      </c>
      <c r="F96" s="92" t="s">
        <v>338</v>
      </c>
      <c r="G96" s="92" t="s">
        <v>339</v>
      </c>
      <c r="H96" s="92"/>
      <c r="I96" s="92"/>
      <c r="J96" s="92"/>
      <c r="K96" s="94">
        <v>3</v>
      </c>
      <c r="L96" s="94"/>
      <c r="M96" s="95"/>
      <c r="N96" s="92"/>
      <c r="O96" s="26"/>
      <c r="P96" s="94"/>
      <c r="Q96" s="26"/>
      <c r="R96" s="96"/>
      <c r="S96" s="27"/>
    </row>
    <row r="97" spans="1:19" x14ac:dyDescent="0.2">
      <c r="A97" s="91" t="s">
        <v>333</v>
      </c>
      <c r="B97" s="92" t="s">
        <v>485</v>
      </c>
      <c r="C97" s="92" t="s">
        <v>335</v>
      </c>
      <c r="D97" s="92" t="s">
        <v>491</v>
      </c>
      <c r="E97" s="93" t="s">
        <v>492</v>
      </c>
      <c r="F97" s="92" t="s">
        <v>338</v>
      </c>
      <c r="G97" s="92" t="s">
        <v>339</v>
      </c>
      <c r="H97" s="92"/>
      <c r="I97" s="92"/>
      <c r="J97" s="92"/>
      <c r="K97" s="94">
        <v>1</v>
      </c>
      <c r="L97" s="94"/>
      <c r="M97" s="95"/>
      <c r="N97" s="92"/>
      <c r="O97" s="26"/>
      <c r="P97" s="94"/>
      <c r="Q97" s="26"/>
      <c r="R97" s="96"/>
      <c r="S97" s="27"/>
    </row>
    <row r="98" spans="1:19" x14ac:dyDescent="0.2">
      <c r="A98" s="91" t="s">
        <v>333</v>
      </c>
      <c r="B98" s="92" t="s">
        <v>485</v>
      </c>
      <c r="C98" s="92" t="s">
        <v>335</v>
      </c>
      <c r="D98" s="92" t="s">
        <v>493</v>
      </c>
      <c r="E98" s="93" t="s">
        <v>494</v>
      </c>
      <c r="F98" s="92" t="s">
        <v>458</v>
      </c>
      <c r="G98" s="92" t="s">
        <v>264</v>
      </c>
      <c r="H98" s="92" t="s">
        <v>10</v>
      </c>
      <c r="I98" s="92" t="s">
        <v>230</v>
      </c>
      <c r="J98" s="93" t="s">
        <v>265</v>
      </c>
      <c r="K98" s="94">
        <v>4.5</v>
      </c>
      <c r="L98" s="94">
        <f>K98*VLOOKUP(H98,dagsoorttabel1,2,FALSE)</f>
        <v>3.6</v>
      </c>
      <c r="M98" s="95">
        <f>prodnorm45</f>
        <v>0</v>
      </c>
      <c r="N98" s="92" t="s">
        <v>101</v>
      </c>
      <c r="O98" s="26">
        <f>uurtarief45</f>
        <v>0</v>
      </c>
      <c r="P98" s="94" t="e">
        <f>IF(ISBLANK(M98),0,L98/ROUND(M98,4))</f>
        <v>#DIV/0!</v>
      </c>
      <c r="Q98" s="26" t="e">
        <f>ROUND(O98,2)*P98</f>
        <v>#DIV/0!</v>
      </c>
      <c r="R98" s="94" t="e">
        <f>P98*dagenperjaar1</f>
        <v>#DIV/0!</v>
      </c>
      <c r="S98" s="27" t="e">
        <f>R98*ROUND(O98,2)</f>
        <v>#DIV/0!</v>
      </c>
    </row>
    <row r="99" spans="1:19" x14ac:dyDescent="0.2">
      <c r="A99" s="91" t="s">
        <v>333</v>
      </c>
      <c r="B99" s="92" t="s">
        <v>485</v>
      </c>
      <c r="C99" s="92" t="s">
        <v>335</v>
      </c>
      <c r="D99" s="92" t="s">
        <v>495</v>
      </c>
      <c r="E99" s="93" t="s">
        <v>496</v>
      </c>
      <c r="F99" s="92" t="s">
        <v>338</v>
      </c>
      <c r="G99" s="92" t="s">
        <v>266</v>
      </c>
      <c r="H99" s="92" t="s">
        <v>10</v>
      </c>
      <c r="I99" s="92" t="s">
        <v>230</v>
      </c>
      <c r="J99" s="93" t="s">
        <v>267</v>
      </c>
      <c r="K99" s="94">
        <v>13.8</v>
      </c>
      <c r="L99" s="94">
        <f>K99*VLOOKUP(H99,dagsoorttabel1,2,FALSE)</f>
        <v>11.040000000000001</v>
      </c>
      <c r="M99" s="95">
        <f>prodnorm50</f>
        <v>0</v>
      </c>
      <c r="N99" s="92" t="s">
        <v>101</v>
      </c>
      <c r="O99" s="26">
        <f>uurtarief50</f>
        <v>0</v>
      </c>
      <c r="P99" s="94" t="e">
        <f>IF(ISBLANK(M99),0,L99/ROUND(M99,4))</f>
        <v>#DIV/0!</v>
      </c>
      <c r="Q99" s="26" t="e">
        <f>ROUND(O99,2)*P99</f>
        <v>#DIV/0!</v>
      </c>
      <c r="R99" s="94" t="e">
        <f>P99*dagenperjaar1</f>
        <v>#DIV/0!</v>
      </c>
      <c r="S99" s="27" t="e">
        <f>R99*ROUND(O99,2)</f>
        <v>#DIV/0!</v>
      </c>
    </row>
    <row r="100" spans="1:19" x14ac:dyDescent="0.2">
      <c r="A100" s="91" t="s">
        <v>333</v>
      </c>
      <c r="B100" s="92" t="s">
        <v>485</v>
      </c>
      <c r="C100" s="92" t="s">
        <v>335</v>
      </c>
      <c r="D100" s="92" t="s">
        <v>497</v>
      </c>
      <c r="E100" s="93" t="s">
        <v>498</v>
      </c>
      <c r="F100" s="92" t="s">
        <v>499</v>
      </c>
      <c r="G100" s="92" t="s">
        <v>242</v>
      </c>
      <c r="H100" s="92" t="s">
        <v>10</v>
      </c>
      <c r="I100" s="92" t="s">
        <v>230</v>
      </c>
      <c r="J100" s="93" t="s">
        <v>243</v>
      </c>
      <c r="K100" s="94">
        <v>70.3</v>
      </c>
      <c r="L100" s="94">
        <f>K100*VLOOKUP(H100,dagsoorttabel1,2,FALSE)</f>
        <v>56.24</v>
      </c>
      <c r="M100" s="95">
        <f>prodnorm27</f>
        <v>0</v>
      </c>
      <c r="N100" s="92" t="s">
        <v>101</v>
      </c>
      <c r="O100" s="26">
        <f>uurtarief27</f>
        <v>0</v>
      </c>
      <c r="P100" s="94" t="e">
        <f>IF(ISBLANK(M100),0,L100/ROUND(M100,4))</f>
        <v>#DIV/0!</v>
      </c>
      <c r="Q100" s="26" t="e">
        <f>ROUND(O100,2)*P100</f>
        <v>#DIV/0!</v>
      </c>
      <c r="R100" s="94" t="e">
        <f>P100*dagenperjaar1</f>
        <v>#DIV/0!</v>
      </c>
      <c r="S100" s="27" t="e">
        <f>R100*ROUND(O100,2)</f>
        <v>#DIV/0!</v>
      </c>
    </row>
    <row r="101" spans="1:19" x14ac:dyDescent="0.2">
      <c r="A101" s="91" t="s">
        <v>333</v>
      </c>
      <c r="B101" s="92" t="s">
        <v>485</v>
      </c>
      <c r="C101" s="92" t="s">
        <v>335</v>
      </c>
      <c r="D101" s="92" t="s">
        <v>500</v>
      </c>
      <c r="E101" s="93" t="s">
        <v>501</v>
      </c>
      <c r="F101" s="92" t="s">
        <v>502</v>
      </c>
      <c r="G101" s="92" t="s">
        <v>266</v>
      </c>
      <c r="H101" s="92" t="s">
        <v>10</v>
      </c>
      <c r="I101" s="92" t="s">
        <v>230</v>
      </c>
      <c r="J101" s="93" t="s">
        <v>267</v>
      </c>
      <c r="K101" s="94">
        <v>22.2</v>
      </c>
      <c r="L101" s="94">
        <f>K101*VLOOKUP(H101,dagsoorttabel1,2,FALSE)</f>
        <v>17.760000000000002</v>
      </c>
      <c r="M101" s="95">
        <f>prodnorm50</f>
        <v>0</v>
      </c>
      <c r="N101" s="92" t="s">
        <v>101</v>
      </c>
      <c r="O101" s="26">
        <f>uurtarief50</f>
        <v>0</v>
      </c>
      <c r="P101" s="94" t="e">
        <f>IF(ISBLANK(M101),0,L101/ROUND(M101,4))</f>
        <v>#DIV/0!</v>
      </c>
      <c r="Q101" s="26" t="e">
        <f>ROUND(O101,2)*P101</f>
        <v>#DIV/0!</v>
      </c>
      <c r="R101" s="94" t="e">
        <f>P101*dagenperjaar1</f>
        <v>#DIV/0!</v>
      </c>
      <c r="S101" s="27" t="e">
        <f>R101*ROUND(O101,2)</f>
        <v>#DIV/0!</v>
      </c>
    </row>
    <row r="102" spans="1:19" x14ac:dyDescent="0.2">
      <c r="A102" s="91" t="s">
        <v>333</v>
      </c>
      <c r="B102" s="92" t="s">
        <v>485</v>
      </c>
      <c r="C102" s="92" t="s">
        <v>393</v>
      </c>
      <c r="D102" s="92" t="s">
        <v>503</v>
      </c>
      <c r="E102" s="93" t="s">
        <v>504</v>
      </c>
      <c r="F102" s="92" t="s">
        <v>505</v>
      </c>
      <c r="G102" s="92" t="s">
        <v>260</v>
      </c>
      <c r="H102" s="92" t="s">
        <v>10</v>
      </c>
      <c r="I102" s="92" t="s">
        <v>230</v>
      </c>
      <c r="J102" s="93" t="s">
        <v>261</v>
      </c>
      <c r="K102" s="94">
        <v>57.6</v>
      </c>
      <c r="L102" s="94">
        <f>K102*VLOOKUP(H102,dagsoorttabel1,2,FALSE)</f>
        <v>46.080000000000005</v>
      </c>
      <c r="M102" s="95">
        <f>prodnorm43</f>
        <v>0</v>
      </c>
      <c r="N102" s="92" t="s">
        <v>101</v>
      </c>
      <c r="O102" s="26">
        <f>uurtarief43</f>
        <v>0</v>
      </c>
      <c r="P102" s="94" t="e">
        <f>IF(ISBLANK(M102),0,L102/ROUND(M102,4))</f>
        <v>#DIV/0!</v>
      </c>
      <c r="Q102" s="26" t="e">
        <f>ROUND(O102,2)*P102</f>
        <v>#DIV/0!</v>
      </c>
      <c r="R102" s="94" t="e">
        <f>P102*dagenperjaar1</f>
        <v>#DIV/0!</v>
      </c>
      <c r="S102" s="27" t="e">
        <f>R102*ROUND(O102,2)</f>
        <v>#DIV/0!</v>
      </c>
    </row>
    <row r="103" spans="1:19" x14ac:dyDescent="0.2">
      <c r="A103" s="91" t="s">
        <v>333</v>
      </c>
      <c r="B103" s="92" t="s">
        <v>485</v>
      </c>
      <c r="C103" s="92" t="s">
        <v>393</v>
      </c>
      <c r="D103" s="92" t="s">
        <v>506</v>
      </c>
      <c r="E103" s="93" t="s">
        <v>477</v>
      </c>
      <c r="F103" s="92" t="s">
        <v>338</v>
      </c>
      <c r="G103" s="92" t="s">
        <v>266</v>
      </c>
      <c r="H103" s="92" t="s">
        <v>10</v>
      </c>
      <c r="I103" s="92" t="s">
        <v>230</v>
      </c>
      <c r="J103" s="93" t="s">
        <v>267</v>
      </c>
      <c r="K103" s="94">
        <v>26.2</v>
      </c>
      <c r="L103" s="94">
        <f>K103*VLOOKUP(H103,dagsoorttabel1,2,FALSE)</f>
        <v>20.96</v>
      </c>
      <c r="M103" s="95">
        <f>prodnorm50</f>
        <v>0</v>
      </c>
      <c r="N103" s="92" t="s">
        <v>101</v>
      </c>
      <c r="O103" s="26">
        <f>uurtarief50</f>
        <v>0</v>
      </c>
      <c r="P103" s="94" t="e">
        <f>IF(ISBLANK(M103),0,L103/ROUND(M103,4))</f>
        <v>#DIV/0!</v>
      </c>
      <c r="Q103" s="26" t="e">
        <f>ROUND(O103,2)*P103</f>
        <v>#DIV/0!</v>
      </c>
      <c r="R103" s="94" t="e">
        <f>P103*dagenperjaar1</f>
        <v>#DIV/0!</v>
      </c>
      <c r="S103" s="27" t="e">
        <f>R103*ROUND(O103,2)</f>
        <v>#DIV/0!</v>
      </c>
    </row>
    <row r="104" spans="1:19" x14ac:dyDescent="0.2">
      <c r="A104" s="91" t="s">
        <v>333</v>
      </c>
      <c r="B104" s="92" t="s">
        <v>485</v>
      </c>
      <c r="C104" s="92" t="s">
        <v>393</v>
      </c>
      <c r="D104" s="92" t="s">
        <v>507</v>
      </c>
      <c r="E104" s="93" t="s">
        <v>508</v>
      </c>
      <c r="F104" s="92" t="s">
        <v>478</v>
      </c>
      <c r="G104" s="92" t="s">
        <v>242</v>
      </c>
      <c r="H104" s="92" t="s">
        <v>10</v>
      </c>
      <c r="I104" s="92" t="s">
        <v>230</v>
      </c>
      <c r="J104" s="93" t="s">
        <v>243</v>
      </c>
      <c r="K104" s="94">
        <v>183.6</v>
      </c>
      <c r="L104" s="94">
        <f>K104*VLOOKUP(H104,dagsoorttabel1,2,FALSE)</f>
        <v>146.88</v>
      </c>
      <c r="M104" s="95">
        <f>prodnorm27</f>
        <v>0</v>
      </c>
      <c r="N104" s="92" t="s">
        <v>101</v>
      </c>
      <c r="O104" s="26">
        <f>uurtarief27</f>
        <v>0</v>
      </c>
      <c r="P104" s="94" t="e">
        <f>IF(ISBLANK(M104),0,L104/ROUND(M104,4))</f>
        <v>#DIV/0!</v>
      </c>
      <c r="Q104" s="26" t="e">
        <f>ROUND(O104,2)*P104</f>
        <v>#DIV/0!</v>
      </c>
      <c r="R104" s="94" t="e">
        <f>P104*dagenperjaar1</f>
        <v>#DIV/0!</v>
      </c>
      <c r="S104" s="27" t="e">
        <f>R104*ROUND(O104,2)</f>
        <v>#DIV/0!</v>
      </c>
    </row>
    <row r="105" spans="1:19" x14ac:dyDescent="0.2">
      <c r="A105" s="91" t="s">
        <v>333</v>
      </c>
      <c r="B105" s="92" t="s">
        <v>485</v>
      </c>
      <c r="C105" s="92" t="s">
        <v>393</v>
      </c>
      <c r="D105" s="92" t="s">
        <v>509</v>
      </c>
      <c r="E105" s="93" t="s">
        <v>510</v>
      </c>
      <c r="F105" s="92" t="s">
        <v>511</v>
      </c>
      <c r="G105" s="92" t="s">
        <v>256</v>
      </c>
      <c r="H105" s="92" t="s">
        <v>10</v>
      </c>
      <c r="I105" s="92" t="s">
        <v>230</v>
      </c>
      <c r="J105" s="93" t="s">
        <v>257</v>
      </c>
      <c r="K105" s="94">
        <v>9</v>
      </c>
      <c r="L105" s="94">
        <f>K105*VLOOKUP(H105,dagsoorttabel1,2,FALSE)</f>
        <v>7.2</v>
      </c>
      <c r="M105" s="95">
        <f>prodnorm39</f>
        <v>0</v>
      </c>
      <c r="N105" s="92" t="s">
        <v>101</v>
      </c>
      <c r="O105" s="26">
        <f>uurtarief39</f>
        <v>0</v>
      </c>
      <c r="P105" s="94" t="e">
        <f>IF(ISBLANK(M105),0,L105/ROUND(M105,4))</f>
        <v>#DIV/0!</v>
      </c>
      <c r="Q105" s="26" t="e">
        <f>ROUND(O105,2)*P105</f>
        <v>#DIV/0!</v>
      </c>
      <c r="R105" s="94" t="e">
        <f>P105*dagenperjaar1</f>
        <v>#DIV/0!</v>
      </c>
      <c r="S105" s="27" t="e">
        <f>R105*ROUND(O105,2)</f>
        <v>#DIV/0!</v>
      </c>
    </row>
    <row r="106" spans="1:19" x14ac:dyDescent="0.2">
      <c r="A106" s="91" t="s">
        <v>333</v>
      </c>
      <c r="B106" s="92" t="s">
        <v>485</v>
      </c>
      <c r="C106" s="92" t="s">
        <v>419</v>
      </c>
      <c r="D106" s="92" t="s">
        <v>512</v>
      </c>
      <c r="E106" s="93" t="s">
        <v>513</v>
      </c>
      <c r="F106" s="92" t="s">
        <v>342</v>
      </c>
      <c r="G106" s="92" t="s">
        <v>256</v>
      </c>
      <c r="H106" s="92" t="s">
        <v>10</v>
      </c>
      <c r="I106" s="92" t="s">
        <v>230</v>
      </c>
      <c r="J106" s="93" t="s">
        <v>257</v>
      </c>
      <c r="K106" s="94">
        <v>21.9</v>
      </c>
      <c r="L106" s="94">
        <f>K106*VLOOKUP(H106,dagsoorttabel1,2,FALSE)</f>
        <v>17.52</v>
      </c>
      <c r="M106" s="95">
        <f>prodnorm39</f>
        <v>0</v>
      </c>
      <c r="N106" s="92" t="s">
        <v>101</v>
      </c>
      <c r="O106" s="26">
        <f>uurtarief39</f>
        <v>0</v>
      </c>
      <c r="P106" s="94" t="e">
        <f>IF(ISBLANK(M106),0,L106/ROUND(M106,4))</f>
        <v>#DIV/0!</v>
      </c>
      <c r="Q106" s="26" t="e">
        <f>ROUND(O106,2)*P106</f>
        <v>#DIV/0!</v>
      </c>
      <c r="R106" s="94" t="e">
        <f>P106*dagenperjaar1</f>
        <v>#DIV/0!</v>
      </c>
      <c r="S106" s="27" t="e">
        <f>R106*ROUND(O106,2)</f>
        <v>#DIV/0!</v>
      </c>
    </row>
    <row r="107" spans="1:19" x14ac:dyDescent="0.2">
      <c r="A107" s="91" t="s">
        <v>333</v>
      </c>
      <c r="B107" s="92" t="s">
        <v>485</v>
      </c>
      <c r="C107" s="92" t="s">
        <v>419</v>
      </c>
      <c r="D107" s="92" t="s">
        <v>514</v>
      </c>
      <c r="E107" s="93" t="s">
        <v>477</v>
      </c>
      <c r="F107" s="92" t="s">
        <v>338</v>
      </c>
      <c r="G107" s="92" t="s">
        <v>266</v>
      </c>
      <c r="H107" s="92" t="s">
        <v>10</v>
      </c>
      <c r="I107" s="92" t="s">
        <v>230</v>
      </c>
      <c r="J107" s="93" t="s">
        <v>267</v>
      </c>
      <c r="K107" s="94">
        <v>22.1</v>
      </c>
      <c r="L107" s="94">
        <f>K107*VLOOKUP(H107,dagsoorttabel1,2,FALSE)</f>
        <v>17.680000000000003</v>
      </c>
      <c r="M107" s="95">
        <f>prodnorm50</f>
        <v>0</v>
      </c>
      <c r="N107" s="92" t="s">
        <v>101</v>
      </c>
      <c r="O107" s="26">
        <f>uurtarief50</f>
        <v>0</v>
      </c>
      <c r="P107" s="94" t="e">
        <f>IF(ISBLANK(M107),0,L107/ROUND(M107,4))</f>
        <v>#DIV/0!</v>
      </c>
      <c r="Q107" s="26" t="e">
        <f>ROUND(O107,2)*P107</f>
        <v>#DIV/0!</v>
      </c>
      <c r="R107" s="94" t="e">
        <f>P107*dagenperjaar1</f>
        <v>#DIV/0!</v>
      </c>
      <c r="S107" s="27" t="e">
        <f>R107*ROUND(O107,2)</f>
        <v>#DIV/0!</v>
      </c>
    </row>
    <row r="108" spans="1:19" x14ac:dyDescent="0.2">
      <c r="A108" s="91" t="s">
        <v>333</v>
      </c>
      <c r="B108" s="92" t="s">
        <v>485</v>
      </c>
      <c r="C108" s="92" t="s">
        <v>419</v>
      </c>
      <c r="D108" s="92" t="s">
        <v>515</v>
      </c>
      <c r="E108" s="93" t="s">
        <v>516</v>
      </c>
      <c r="F108" s="92" t="s">
        <v>364</v>
      </c>
      <c r="G108" s="92" t="s">
        <v>242</v>
      </c>
      <c r="H108" s="92" t="s">
        <v>10</v>
      </c>
      <c r="I108" s="92" t="s">
        <v>230</v>
      </c>
      <c r="J108" s="93" t="s">
        <v>243</v>
      </c>
      <c r="K108" s="94">
        <v>163.69999999999999</v>
      </c>
      <c r="L108" s="94">
        <f>K108*VLOOKUP(H108,dagsoorttabel1,2,FALSE)</f>
        <v>130.96</v>
      </c>
      <c r="M108" s="95">
        <f>prodnorm27</f>
        <v>0</v>
      </c>
      <c r="N108" s="92" t="s">
        <v>101</v>
      </c>
      <c r="O108" s="26">
        <f>uurtarief27</f>
        <v>0</v>
      </c>
      <c r="P108" s="94" t="e">
        <f>IF(ISBLANK(M108),0,L108/ROUND(M108,4))</f>
        <v>#DIV/0!</v>
      </c>
      <c r="Q108" s="26" t="e">
        <f>ROUND(O108,2)*P108</f>
        <v>#DIV/0!</v>
      </c>
      <c r="R108" s="94" t="e">
        <f>P108*dagenperjaar1</f>
        <v>#DIV/0!</v>
      </c>
      <c r="S108" s="27" t="e">
        <f>R108*ROUND(O108,2)</f>
        <v>#DIV/0!</v>
      </c>
    </row>
    <row r="109" spans="1:19" x14ac:dyDescent="0.2">
      <c r="A109" s="91" t="s">
        <v>333</v>
      </c>
      <c r="B109" s="92" t="s">
        <v>485</v>
      </c>
      <c r="C109" s="92" t="s">
        <v>419</v>
      </c>
      <c r="D109" s="92" t="s">
        <v>517</v>
      </c>
      <c r="E109" s="93" t="s">
        <v>501</v>
      </c>
      <c r="F109" s="92" t="s">
        <v>502</v>
      </c>
      <c r="G109" s="92" t="s">
        <v>266</v>
      </c>
      <c r="H109" s="92" t="s">
        <v>10</v>
      </c>
      <c r="I109" s="92" t="s">
        <v>230</v>
      </c>
      <c r="J109" s="93" t="s">
        <v>267</v>
      </c>
      <c r="K109" s="94">
        <v>19.100000000000001</v>
      </c>
      <c r="L109" s="94">
        <f>K109*VLOOKUP(H109,dagsoorttabel1,2,FALSE)</f>
        <v>15.280000000000001</v>
      </c>
      <c r="M109" s="95">
        <f>prodnorm50</f>
        <v>0</v>
      </c>
      <c r="N109" s="92" t="s">
        <v>101</v>
      </c>
      <c r="O109" s="26">
        <f>uurtarief50</f>
        <v>0</v>
      </c>
      <c r="P109" s="94" t="e">
        <f>IF(ISBLANK(M109),0,L109/ROUND(M109,4))</f>
        <v>#DIV/0!</v>
      </c>
      <c r="Q109" s="26" t="e">
        <f>ROUND(O109,2)*P109</f>
        <v>#DIV/0!</v>
      </c>
      <c r="R109" s="94" t="e">
        <f>P109*dagenperjaar1</f>
        <v>#DIV/0!</v>
      </c>
      <c r="S109" s="27" t="e">
        <f>R109*ROUND(O109,2)</f>
        <v>#DIV/0!</v>
      </c>
    </row>
    <row r="110" spans="1:19" x14ac:dyDescent="0.2">
      <c r="A110" s="91" t="s">
        <v>333</v>
      </c>
      <c r="B110" s="92" t="s">
        <v>485</v>
      </c>
      <c r="C110" s="92" t="s">
        <v>443</v>
      </c>
      <c r="D110" s="92" t="s">
        <v>518</v>
      </c>
      <c r="E110" s="93" t="s">
        <v>519</v>
      </c>
      <c r="F110" s="92" t="s">
        <v>342</v>
      </c>
      <c r="G110" s="92" t="s">
        <v>256</v>
      </c>
      <c r="H110" s="92" t="s">
        <v>10</v>
      </c>
      <c r="I110" s="92" t="s">
        <v>230</v>
      </c>
      <c r="J110" s="93" t="s">
        <v>257</v>
      </c>
      <c r="K110" s="94">
        <v>18.7</v>
      </c>
      <c r="L110" s="94">
        <f>K110*VLOOKUP(H110,dagsoorttabel1,2,FALSE)</f>
        <v>14.96</v>
      </c>
      <c r="M110" s="95">
        <f>prodnorm39</f>
        <v>0</v>
      </c>
      <c r="N110" s="92" t="s">
        <v>101</v>
      </c>
      <c r="O110" s="26">
        <f>uurtarief39</f>
        <v>0</v>
      </c>
      <c r="P110" s="94" t="e">
        <f>IF(ISBLANK(M110),0,L110/ROUND(M110,4))</f>
        <v>#DIV/0!</v>
      </c>
      <c r="Q110" s="26" t="e">
        <f>ROUND(O110,2)*P110</f>
        <v>#DIV/0!</v>
      </c>
      <c r="R110" s="94" t="e">
        <f>P110*dagenperjaar1</f>
        <v>#DIV/0!</v>
      </c>
      <c r="S110" s="27" t="e">
        <f>R110*ROUND(O110,2)</f>
        <v>#DIV/0!</v>
      </c>
    </row>
    <row r="111" spans="1:19" x14ac:dyDescent="0.2">
      <c r="A111" s="91" t="s">
        <v>333</v>
      </c>
      <c r="B111" s="92" t="s">
        <v>485</v>
      </c>
      <c r="C111" s="92" t="s">
        <v>443</v>
      </c>
      <c r="D111" s="92" t="s">
        <v>520</v>
      </c>
      <c r="E111" s="93" t="s">
        <v>513</v>
      </c>
      <c r="F111" s="92" t="s">
        <v>349</v>
      </c>
      <c r="G111" s="92" t="s">
        <v>256</v>
      </c>
      <c r="H111" s="92" t="s">
        <v>10</v>
      </c>
      <c r="I111" s="92" t="s">
        <v>230</v>
      </c>
      <c r="J111" s="93" t="s">
        <v>257</v>
      </c>
      <c r="K111" s="94">
        <v>6.3</v>
      </c>
      <c r="L111" s="94">
        <f>K111*VLOOKUP(H111,dagsoorttabel1,2,FALSE)</f>
        <v>5.04</v>
      </c>
      <c r="M111" s="95">
        <f>prodnorm39</f>
        <v>0</v>
      </c>
      <c r="N111" s="92" t="s">
        <v>101</v>
      </c>
      <c r="O111" s="26">
        <f>uurtarief39</f>
        <v>0</v>
      </c>
      <c r="P111" s="94" t="e">
        <f>IF(ISBLANK(M111),0,L111/ROUND(M111,4))</f>
        <v>#DIV/0!</v>
      </c>
      <c r="Q111" s="26" t="e">
        <f>ROUND(O111,2)*P111</f>
        <v>#DIV/0!</v>
      </c>
      <c r="R111" s="94" t="e">
        <f>P111*dagenperjaar1</f>
        <v>#DIV/0!</v>
      </c>
      <c r="S111" s="27" t="e">
        <f>R111*ROUND(O111,2)</f>
        <v>#DIV/0!</v>
      </c>
    </row>
    <row r="112" spans="1:19" x14ac:dyDescent="0.2">
      <c r="A112" s="91" t="s">
        <v>333</v>
      </c>
      <c r="B112" s="92" t="s">
        <v>485</v>
      </c>
      <c r="C112" s="92" t="s">
        <v>443</v>
      </c>
      <c r="D112" s="92" t="s">
        <v>521</v>
      </c>
      <c r="E112" s="93" t="s">
        <v>477</v>
      </c>
      <c r="F112" s="92" t="s">
        <v>338</v>
      </c>
      <c r="G112" s="92" t="s">
        <v>266</v>
      </c>
      <c r="H112" s="92" t="s">
        <v>10</v>
      </c>
      <c r="I112" s="92" t="s">
        <v>230</v>
      </c>
      <c r="J112" s="93" t="s">
        <v>267</v>
      </c>
      <c r="K112" s="94">
        <v>11.9</v>
      </c>
      <c r="L112" s="94">
        <f>K112*VLOOKUP(H112,dagsoorttabel1,2,FALSE)</f>
        <v>9.5200000000000014</v>
      </c>
      <c r="M112" s="95">
        <f>prodnorm50</f>
        <v>0</v>
      </c>
      <c r="N112" s="92" t="s">
        <v>101</v>
      </c>
      <c r="O112" s="26">
        <f>uurtarief50</f>
        <v>0</v>
      </c>
      <c r="P112" s="94" t="e">
        <f>IF(ISBLANK(M112),0,L112/ROUND(M112,4))</f>
        <v>#DIV/0!</v>
      </c>
      <c r="Q112" s="26" t="e">
        <f>ROUND(O112,2)*P112</f>
        <v>#DIV/0!</v>
      </c>
      <c r="R112" s="94" t="e">
        <f>P112*dagenperjaar1</f>
        <v>#DIV/0!</v>
      </c>
      <c r="S112" s="27" t="e">
        <f>R112*ROUND(O112,2)</f>
        <v>#DIV/0!</v>
      </c>
    </row>
    <row r="113" spans="1:19" x14ac:dyDescent="0.2">
      <c r="A113" s="91" t="s">
        <v>333</v>
      </c>
      <c r="B113" s="92" t="s">
        <v>485</v>
      </c>
      <c r="C113" s="92" t="s">
        <v>443</v>
      </c>
      <c r="D113" s="92" t="s">
        <v>522</v>
      </c>
      <c r="E113" s="93" t="s">
        <v>523</v>
      </c>
      <c r="F113" s="92" t="s">
        <v>364</v>
      </c>
      <c r="G113" s="92" t="s">
        <v>339</v>
      </c>
      <c r="H113" s="92"/>
      <c r="I113" s="92"/>
      <c r="J113" s="92"/>
      <c r="K113" s="94">
        <v>4</v>
      </c>
      <c r="L113" s="94"/>
      <c r="M113" s="95"/>
      <c r="N113" s="92"/>
      <c r="O113" s="26"/>
      <c r="P113" s="94"/>
      <c r="Q113" s="26"/>
      <c r="R113" s="96"/>
      <c r="S113" s="27"/>
    </row>
    <row r="114" spans="1:19" x14ac:dyDescent="0.2">
      <c r="A114" s="91" t="s">
        <v>333</v>
      </c>
      <c r="B114" s="92" t="s">
        <v>485</v>
      </c>
      <c r="C114" s="92" t="s">
        <v>443</v>
      </c>
      <c r="D114" s="92" t="s">
        <v>524</v>
      </c>
      <c r="E114" s="93" t="s">
        <v>525</v>
      </c>
      <c r="F114" s="92" t="s">
        <v>458</v>
      </c>
      <c r="G114" s="92" t="s">
        <v>242</v>
      </c>
      <c r="H114" s="92" t="s">
        <v>10</v>
      </c>
      <c r="I114" s="92" t="s">
        <v>230</v>
      </c>
      <c r="J114" s="93" t="s">
        <v>243</v>
      </c>
      <c r="K114" s="94">
        <v>146.30000000000001</v>
      </c>
      <c r="L114" s="94">
        <f>K114*VLOOKUP(H114,dagsoorttabel1,2,FALSE)</f>
        <v>117.04000000000002</v>
      </c>
      <c r="M114" s="95">
        <f>prodnorm27</f>
        <v>0</v>
      </c>
      <c r="N114" s="92" t="s">
        <v>101</v>
      </c>
      <c r="O114" s="26">
        <f>uurtarief27</f>
        <v>0</v>
      </c>
      <c r="P114" s="94" t="e">
        <f>IF(ISBLANK(M114),0,L114/ROUND(M114,4))</f>
        <v>#DIV/0!</v>
      </c>
      <c r="Q114" s="26" t="e">
        <f>ROUND(O114,2)*P114</f>
        <v>#DIV/0!</v>
      </c>
      <c r="R114" s="94" t="e">
        <f>P114*dagenperjaar1</f>
        <v>#DIV/0!</v>
      </c>
      <c r="S114" s="27" t="e">
        <f>R114*ROUND(O114,2)</f>
        <v>#DIV/0!</v>
      </c>
    </row>
    <row r="115" spans="1:19" x14ac:dyDescent="0.2">
      <c r="A115" s="91" t="s">
        <v>333</v>
      </c>
      <c r="B115" s="92" t="s">
        <v>485</v>
      </c>
      <c r="C115" s="92" t="s">
        <v>443</v>
      </c>
      <c r="D115" s="92" t="s">
        <v>526</v>
      </c>
      <c r="E115" s="93" t="s">
        <v>501</v>
      </c>
      <c r="F115" s="92" t="s">
        <v>502</v>
      </c>
      <c r="G115" s="92" t="s">
        <v>266</v>
      </c>
      <c r="H115" s="92" t="s">
        <v>14</v>
      </c>
      <c r="I115" s="92" t="s">
        <v>230</v>
      </c>
      <c r="J115" s="93" t="s">
        <v>267</v>
      </c>
      <c r="K115" s="94">
        <v>16.7</v>
      </c>
      <c r="L115" s="94">
        <f>K115*VLOOKUP(H115,dagsoorttabel1,2,FALSE)</f>
        <v>3.34</v>
      </c>
      <c r="M115" s="95">
        <f>prodnorm48</f>
        <v>0</v>
      </c>
      <c r="N115" s="92" t="s">
        <v>101</v>
      </c>
      <c r="O115" s="26">
        <f>uurtarief48</f>
        <v>0</v>
      </c>
      <c r="P115" s="94" t="e">
        <f>IF(ISBLANK(M115),0,L115/ROUND(M115,4))</f>
        <v>#DIV/0!</v>
      </c>
      <c r="Q115" s="26" t="e">
        <f>ROUND(O115,2)*P115</f>
        <v>#DIV/0!</v>
      </c>
      <c r="R115" s="94" t="e">
        <f>P115*dagenperjaar1</f>
        <v>#DIV/0!</v>
      </c>
      <c r="S115" s="27" t="e">
        <f>R115*ROUND(O115,2)</f>
        <v>#DIV/0!</v>
      </c>
    </row>
    <row r="116" spans="1:19" x14ac:dyDescent="0.2">
      <c r="A116" s="91" t="s">
        <v>333</v>
      </c>
      <c r="B116" s="92" t="s">
        <v>485</v>
      </c>
      <c r="C116" s="92" t="s">
        <v>462</v>
      </c>
      <c r="D116" s="92" t="s">
        <v>527</v>
      </c>
      <c r="E116" s="93" t="s">
        <v>528</v>
      </c>
      <c r="F116" s="92" t="s">
        <v>502</v>
      </c>
      <c r="G116" s="92" t="s">
        <v>266</v>
      </c>
      <c r="H116" s="92" t="s">
        <v>16</v>
      </c>
      <c r="I116" s="92" t="s">
        <v>230</v>
      </c>
      <c r="J116" s="93" t="s">
        <v>267</v>
      </c>
      <c r="K116" s="94">
        <v>1.4</v>
      </c>
      <c r="L116" s="94">
        <f>K116*VLOOKUP(H116,dagsoorttabel1,2,FALSE)</f>
        <v>6.4615384615384616E-2</v>
      </c>
      <c r="M116" s="95">
        <f>prodnorm47</f>
        <v>0</v>
      </c>
      <c r="N116" s="92" t="s">
        <v>101</v>
      </c>
      <c r="O116" s="26">
        <f>uurtarief47</f>
        <v>0</v>
      </c>
      <c r="P116" s="94" t="e">
        <f>IF(ISBLANK(M116),0,L116/ROUND(M116,4))</f>
        <v>#DIV/0!</v>
      </c>
      <c r="Q116" s="26" t="e">
        <f>ROUND(O116,2)*P116</f>
        <v>#DIV/0!</v>
      </c>
      <c r="R116" s="94" t="e">
        <f>P116*dagenperjaar1</f>
        <v>#DIV/0!</v>
      </c>
      <c r="S116" s="27" t="e">
        <f>R116*ROUND(O116,2)</f>
        <v>#DIV/0!</v>
      </c>
    </row>
    <row r="117" spans="1:19" x14ac:dyDescent="0.2">
      <c r="A117" s="91" t="s">
        <v>333</v>
      </c>
      <c r="B117" s="92" t="s">
        <v>485</v>
      </c>
      <c r="C117" s="92" t="s">
        <v>462</v>
      </c>
      <c r="D117" s="92" t="s">
        <v>529</v>
      </c>
      <c r="E117" s="93" t="s">
        <v>530</v>
      </c>
      <c r="F117" s="92" t="s">
        <v>342</v>
      </c>
      <c r="G117" s="92" t="s">
        <v>339</v>
      </c>
      <c r="H117" s="92"/>
      <c r="I117" s="92"/>
      <c r="J117" s="92"/>
      <c r="K117" s="94">
        <v>4</v>
      </c>
      <c r="L117" s="94"/>
      <c r="M117" s="95"/>
      <c r="N117" s="92"/>
      <c r="O117" s="26"/>
      <c r="P117" s="94"/>
      <c r="Q117" s="26"/>
      <c r="R117" s="96"/>
      <c r="S117" s="27"/>
    </row>
    <row r="118" spans="1:19" x14ac:dyDescent="0.2">
      <c r="A118" s="91" t="s">
        <v>333</v>
      </c>
      <c r="B118" s="92" t="s">
        <v>485</v>
      </c>
      <c r="C118" s="92" t="s">
        <v>462</v>
      </c>
      <c r="D118" s="92" t="s">
        <v>531</v>
      </c>
      <c r="E118" s="93" t="s">
        <v>532</v>
      </c>
      <c r="F118" s="92" t="s">
        <v>342</v>
      </c>
      <c r="G118" s="92" t="s">
        <v>339</v>
      </c>
      <c r="H118" s="92"/>
      <c r="I118" s="92"/>
      <c r="J118" s="92"/>
      <c r="K118" s="94">
        <v>1</v>
      </c>
      <c r="L118" s="94"/>
      <c r="M118" s="95"/>
      <c r="N118" s="92"/>
      <c r="O118" s="26"/>
      <c r="P118" s="94"/>
      <c r="Q118" s="26"/>
      <c r="R118" s="96"/>
      <c r="S118" s="27"/>
    </row>
    <row r="119" spans="1:19" x14ac:dyDescent="0.2">
      <c r="A119" s="91" t="s">
        <v>333</v>
      </c>
      <c r="B119" s="92" t="s">
        <v>485</v>
      </c>
      <c r="C119" s="92" t="s">
        <v>462</v>
      </c>
      <c r="D119" s="92" t="s">
        <v>533</v>
      </c>
      <c r="E119" s="93" t="s">
        <v>534</v>
      </c>
      <c r="F119" s="92" t="s">
        <v>36</v>
      </c>
      <c r="G119" s="92" t="s">
        <v>339</v>
      </c>
      <c r="H119" s="92"/>
      <c r="I119" s="92"/>
      <c r="J119" s="92"/>
      <c r="K119" s="94">
        <v>1</v>
      </c>
      <c r="L119" s="94"/>
      <c r="M119" s="95"/>
      <c r="N119" s="92"/>
      <c r="O119" s="26"/>
      <c r="P119" s="94"/>
      <c r="Q119" s="26"/>
      <c r="R119" s="96"/>
      <c r="S119" s="27"/>
    </row>
    <row r="120" spans="1:19" x14ac:dyDescent="0.2">
      <c r="A120" s="91" t="s">
        <v>333</v>
      </c>
      <c r="B120" s="92" t="s">
        <v>485</v>
      </c>
      <c r="C120" s="92" t="s">
        <v>462</v>
      </c>
      <c r="D120" s="92" t="s">
        <v>535</v>
      </c>
      <c r="E120" s="93" t="s">
        <v>370</v>
      </c>
      <c r="F120" s="92" t="s">
        <v>338</v>
      </c>
      <c r="G120" s="92" t="s">
        <v>339</v>
      </c>
      <c r="H120" s="92"/>
      <c r="I120" s="92"/>
      <c r="J120" s="92"/>
      <c r="K120" s="94">
        <v>39</v>
      </c>
      <c r="L120" s="94"/>
      <c r="M120" s="95"/>
      <c r="N120" s="92"/>
      <c r="O120" s="26"/>
      <c r="P120" s="94"/>
      <c r="Q120" s="26"/>
      <c r="R120" s="96"/>
      <c r="S120" s="27"/>
    </row>
    <row r="121" spans="1:19" x14ac:dyDescent="0.2">
      <c r="A121" s="91" t="s">
        <v>333</v>
      </c>
      <c r="B121" s="92" t="s">
        <v>536</v>
      </c>
      <c r="C121" s="92" t="s">
        <v>335</v>
      </c>
      <c r="D121" s="92" t="s">
        <v>537</v>
      </c>
      <c r="E121" s="93" t="s">
        <v>538</v>
      </c>
      <c r="F121" s="92" t="s">
        <v>338</v>
      </c>
      <c r="G121" s="92" t="s">
        <v>339</v>
      </c>
      <c r="H121" s="92"/>
      <c r="I121" s="92"/>
      <c r="J121" s="92"/>
      <c r="K121" s="94">
        <v>27</v>
      </c>
      <c r="L121" s="94"/>
      <c r="M121" s="95"/>
      <c r="N121" s="92"/>
      <c r="O121" s="26"/>
      <c r="P121" s="94"/>
      <c r="Q121" s="26"/>
      <c r="R121" s="96"/>
      <c r="S121" s="27"/>
    </row>
    <row r="122" spans="1:19" x14ac:dyDescent="0.2">
      <c r="A122" s="91" t="s">
        <v>333</v>
      </c>
      <c r="B122" s="92" t="s">
        <v>536</v>
      </c>
      <c r="C122" s="92" t="s">
        <v>393</v>
      </c>
      <c r="D122" s="92" t="s">
        <v>539</v>
      </c>
      <c r="E122" s="93" t="s">
        <v>540</v>
      </c>
      <c r="F122" s="92" t="s">
        <v>338</v>
      </c>
      <c r="G122" s="92" t="s">
        <v>339</v>
      </c>
      <c r="H122" s="92"/>
      <c r="I122" s="92"/>
      <c r="J122" s="92"/>
      <c r="K122" s="94">
        <v>3</v>
      </c>
      <c r="L122" s="94"/>
      <c r="M122" s="95"/>
      <c r="N122" s="92"/>
      <c r="O122" s="26"/>
      <c r="P122" s="94"/>
      <c r="Q122" s="26"/>
      <c r="R122" s="96"/>
      <c r="S122" s="27"/>
    </row>
    <row r="123" spans="1:19" x14ac:dyDescent="0.2">
      <c r="A123" s="91" t="s">
        <v>333</v>
      </c>
      <c r="B123" s="92" t="s">
        <v>536</v>
      </c>
      <c r="C123" s="92" t="s">
        <v>393</v>
      </c>
      <c r="D123" s="92" t="s">
        <v>541</v>
      </c>
      <c r="E123" s="93" t="s">
        <v>542</v>
      </c>
      <c r="F123" s="92" t="s">
        <v>543</v>
      </c>
      <c r="G123" s="92" t="s">
        <v>244</v>
      </c>
      <c r="H123" s="92" t="s">
        <v>9</v>
      </c>
      <c r="I123" s="92" t="s">
        <v>230</v>
      </c>
      <c r="J123" s="93" t="s">
        <v>245</v>
      </c>
      <c r="K123" s="94">
        <v>198.3</v>
      </c>
      <c r="L123" s="94">
        <f>K123*VLOOKUP(H123,dagsoorttabel1,2,FALSE)</f>
        <v>198.3</v>
      </c>
      <c r="M123" s="95">
        <f>prodnorm28</f>
        <v>0</v>
      </c>
      <c r="N123" s="92" t="s">
        <v>101</v>
      </c>
      <c r="O123" s="26">
        <f>uurtarief28</f>
        <v>0</v>
      </c>
      <c r="P123" s="94" t="e">
        <f>IF(ISBLANK(M123),0,L123/ROUND(M123,4))</f>
        <v>#DIV/0!</v>
      </c>
      <c r="Q123" s="26" t="e">
        <f>ROUND(O123,2)*P123</f>
        <v>#DIV/0!</v>
      </c>
      <c r="R123" s="94" t="e">
        <f>P123*dagenperjaar1</f>
        <v>#DIV/0!</v>
      </c>
      <c r="S123" s="27" t="e">
        <f>R123*ROUND(O123,2)</f>
        <v>#DIV/0!</v>
      </c>
    </row>
    <row r="124" spans="1:19" x14ac:dyDescent="0.2">
      <c r="A124" s="91" t="s">
        <v>333</v>
      </c>
      <c r="B124" s="92" t="s">
        <v>536</v>
      </c>
      <c r="C124" s="92" t="s">
        <v>393</v>
      </c>
      <c r="D124" s="92" t="s">
        <v>544</v>
      </c>
      <c r="E124" s="93" t="s">
        <v>545</v>
      </c>
      <c r="F124" s="92" t="s">
        <v>342</v>
      </c>
      <c r="G124" s="92" t="s">
        <v>266</v>
      </c>
      <c r="H124" s="92" t="s">
        <v>10</v>
      </c>
      <c r="I124" s="92" t="s">
        <v>230</v>
      </c>
      <c r="J124" s="93" t="s">
        <v>267</v>
      </c>
      <c r="K124" s="94">
        <v>7.8</v>
      </c>
      <c r="L124" s="94">
        <f>K124*VLOOKUP(H124,dagsoorttabel1,2,FALSE)</f>
        <v>6.24</v>
      </c>
      <c r="M124" s="95">
        <f>prodnorm50</f>
        <v>0</v>
      </c>
      <c r="N124" s="92" t="s">
        <v>101</v>
      </c>
      <c r="O124" s="26">
        <f>uurtarief50</f>
        <v>0</v>
      </c>
      <c r="P124" s="94" t="e">
        <f>IF(ISBLANK(M124),0,L124/ROUND(M124,4))</f>
        <v>#DIV/0!</v>
      </c>
      <c r="Q124" s="26" t="e">
        <f>ROUND(O124,2)*P124</f>
        <v>#DIV/0!</v>
      </c>
      <c r="R124" s="94" t="e">
        <f>P124*dagenperjaar1</f>
        <v>#DIV/0!</v>
      </c>
      <c r="S124" s="27" t="e">
        <f>R124*ROUND(O124,2)</f>
        <v>#DIV/0!</v>
      </c>
    </row>
    <row r="125" spans="1:19" x14ac:dyDescent="0.2">
      <c r="A125" s="91" t="s">
        <v>333</v>
      </c>
      <c r="B125" s="92" t="s">
        <v>536</v>
      </c>
      <c r="C125" s="92" t="s">
        <v>393</v>
      </c>
      <c r="D125" s="92" t="s">
        <v>546</v>
      </c>
      <c r="E125" s="93" t="s">
        <v>547</v>
      </c>
      <c r="F125" s="92" t="s">
        <v>342</v>
      </c>
      <c r="G125" s="92" t="s">
        <v>266</v>
      </c>
      <c r="H125" s="92" t="s">
        <v>10</v>
      </c>
      <c r="I125" s="92" t="s">
        <v>230</v>
      </c>
      <c r="J125" s="93" t="s">
        <v>267</v>
      </c>
      <c r="K125" s="94">
        <v>8.1</v>
      </c>
      <c r="L125" s="94">
        <f>K125*VLOOKUP(H125,dagsoorttabel1,2,FALSE)</f>
        <v>6.48</v>
      </c>
      <c r="M125" s="95">
        <f>prodnorm50</f>
        <v>0</v>
      </c>
      <c r="N125" s="92" t="s">
        <v>101</v>
      </c>
      <c r="O125" s="26">
        <f>uurtarief50</f>
        <v>0</v>
      </c>
      <c r="P125" s="94" t="e">
        <f>IF(ISBLANK(M125),0,L125/ROUND(M125,4))</f>
        <v>#DIV/0!</v>
      </c>
      <c r="Q125" s="26" t="e">
        <f>ROUND(O125,2)*P125</f>
        <v>#DIV/0!</v>
      </c>
      <c r="R125" s="94" t="e">
        <f>P125*dagenperjaar1</f>
        <v>#DIV/0!</v>
      </c>
      <c r="S125" s="27" t="e">
        <f>R125*ROUND(O125,2)</f>
        <v>#DIV/0!</v>
      </c>
    </row>
    <row r="126" spans="1:19" x14ac:dyDescent="0.2">
      <c r="A126" s="91" t="s">
        <v>333</v>
      </c>
      <c r="B126" s="92" t="s">
        <v>536</v>
      </c>
      <c r="C126" s="92" t="s">
        <v>393</v>
      </c>
      <c r="D126" s="92" t="s">
        <v>548</v>
      </c>
      <c r="E126" s="93" t="s">
        <v>549</v>
      </c>
      <c r="F126" s="92" t="s">
        <v>543</v>
      </c>
      <c r="G126" s="92" t="s">
        <v>244</v>
      </c>
      <c r="H126" s="92" t="s">
        <v>9</v>
      </c>
      <c r="I126" s="92" t="s">
        <v>230</v>
      </c>
      <c r="J126" s="93" t="s">
        <v>245</v>
      </c>
      <c r="K126" s="94">
        <v>112.9</v>
      </c>
      <c r="L126" s="94">
        <f>K126*VLOOKUP(H126,dagsoorttabel1,2,FALSE)</f>
        <v>112.9</v>
      </c>
      <c r="M126" s="95">
        <f>prodnorm28</f>
        <v>0</v>
      </c>
      <c r="N126" s="92" t="s">
        <v>101</v>
      </c>
      <c r="O126" s="26">
        <f>uurtarief28</f>
        <v>0</v>
      </c>
      <c r="P126" s="94" t="e">
        <f>IF(ISBLANK(M126),0,L126/ROUND(M126,4))</f>
        <v>#DIV/0!</v>
      </c>
      <c r="Q126" s="26" t="e">
        <f>ROUND(O126,2)*P126</f>
        <v>#DIV/0!</v>
      </c>
      <c r="R126" s="94" t="e">
        <f>P126*dagenperjaar1</f>
        <v>#DIV/0!</v>
      </c>
      <c r="S126" s="27" t="e">
        <f>R126*ROUND(O126,2)</f>
        <v>#DIV/0!</v>
      </c>
    </row>
    <row r="127" spans="1:19" x14ac:dyDescent="0.2">
      <c r="A127" s="91" t="s">
        <v>333</v>
      </c>
      <c r="B127" s="92" t="s">
        <v>536</v>
      </c>
      <c r="C127" s="92" t="s">
        <v>393</v>
      </c>
      <c r="D127" s="92" t="s">
        <v>550</v>
      </c>
      <c r="E127" s="93" t="s">
        <v>549</v>
      </c>
      <c r="F127" s="92" t="s">
        <v>543</v>
      </c>
      <c r="G127" s="92" t="s">
        <v>244</v>
      </c>
      <c r="H127" s="92" t="s">
        <v>9</v>
      </c>
      <c r="I127" s="92" t="s">
        <v>230</v>
      </c>
      <c r="J127" s="93" t="s">
        <v>245</v>
      </c>
      <c r="K127" s="94">
        <v>33</v>
      </c>
      <c r="L127" s="94">
        <f>K127*VLOOKUP(H127,dagsoorttabel1,2,FALSE)</f>
        <v>33</v>
      </c>
      <c r="M127" s="95">
        <f>prodnorm28</f>
        <v>0</v>
      </c>
      <c r="N127" s="92" t="s">
        <v>101</v>
      </c>
      <c r="O127" s="26">
        <f>uurtarief28</f>
        <v>0</v>
      </c>
      <c r="P127" s="94" t="e">
        <f>IF(ISBLANK(M127),0,L127/ROUND(M127,4))</f>
        <v>#DIV/0!</v>
      </c>
      <c r="Q127" s="26" t="e">
        <f>ROUND(O127,2)*P127</f>
        <v>#DIV/0!</v>
      </c>
      <c r="R127" s="94" t="e">
        <f>P127*dagenperjaar1</f>
        <v>#DIV/0!</v>
      </c>
      <c r="S127" s="27" t="e">
        <f>R127*ROUND(O127,2)</f>
        <v>#DIV/0!</v>
      </c>
    </row>
    <row r="128" spans="1:19" x14ac:dyDescent="0.2">
      <c r="A128" s="91" t="s">
        <v>333</v>
      </c>
      <c r="B128" s="92" t="s">
        <v>536</v>
      </c>
      <c r="C128" s="92" t="s">
        <v>393</v>
      </c>
      <c r="D128" s="92" t="s">
        <v>551</v>
      </c>
      <c r="E128" s="93" t="s">
        <v>549</v>
      </c>
      <c r="F128" s="92" t="s">
        <v>543</v>
      </c>
      <c r="G128" s="92" t="s">
        <v>244</v>
      </c>
      <c r="H128" s="92" t="s">
        <v>9</v>
      </c>
      <c r="I128" s="92" t="s">
        <v>230</v>
      </c>
      <c r="J128" s="93" t="s">
        <v>245</v>
      </c>
      <c r="K128" s="94">
        <v>79</v>
      </c>
      <c r="L128" s="94">
        <f>K128*VLOOKUP(H128,dagsoorttabel1,2,FALSE)</f>
        <v>79</v>
      </c>
      <c r="M128" s="95">
        <f>prodnorm28</f>
        <v>0</v>
      </c>
      <c r="N128" s="92" t="s">
        <v>101</v>
      </c>
      <c r="O128" s="26">
        <f>uurtarief28</f>
        <v>0</v>
      </c>
      <c r="P128" s="94" t="e">
        <f>IF(ISBLANK(M128),0,L128/ROUND(M128,4))</f>
        <v>#DIV/0!</v>
      </c>
      <c r="Q128" s="26" t="e">
        <f>ROUND(O128,2)*P128</f>
        <v>#DIV/0!</v>
      </c>
      <c r="R128" s="94" t="e">
        <f>P128*dagenperjaar1</f>
        <v>#DIV/0!</v>
      </c>
      <c r="S128" s="27" t="e">
        <f>R128*ROUND(O128,2)</f>
        <v>#DIV/0!</v>
      </c>
    </row>
    <row r="129" spans="1:19" x14ac:dyDescent="0.2">
      <c r="A129" s="91" t="s">
        <v>333</v>
      </c>
      <c r="B129" s="92" t="s">
        <v>536</v>
      </c>
      <c r="C129" s="92" t="s">
        <v>393</v>
      </c>
      <c r="D129" s="92" t="s">
        <v>552</v>
      </c>
      <c r="E129" s="93" t="s">
        <v>553</v>
      </c>
      <c r="F129" s="92" t="s">
        <v>338</v>
      </c>
      <c r="G129" s="92" t="s">
        <v>339</v>
      </c>
      <c r="H129" s="92"/>
      <c r="I129" s="92"/>
      <c r="J129" s="92"/>
      <c r="K129" s="94">
        <v>4</v>
      </c>
      <c r="L129" s="94"/>
      <c r="M129" s="95"/>
      <c r="N129" s="92"/>
      <c r="O129" s="26"/>
      <c r="P129" s="94"/>
      <c r="Q129" s="26"/>
      <c r="R129" s="96"/>
      <c r="S129" s="27"/>
    </row>
    <row r="130" spans="1:19" x14ac:dyDescent="0.2">
      <c r="A130" s="91" t="s">
        <v>333</v>
      </c>
      <c r="B130" s="92" t="s">
        <v>536</v>
      </c>
      <c r="C130" s="92" t="s">
        <v>393</v>
      </c>
      <c r="D130" s="92" t="s">
        <v>552</v>
      </c>
      <c r="E130" s="93" t="s">
        <v>554</v>
      </c>
      <c r="F130" s="92" t="s">
        <v>338</v>
      </c>
      <c r="G130" s="92" t="s">
        <v>339</v>
      </c>
      <c r="H130" s="92"/>
      <c r="I130" s="92"/>
      <c r="J130" s="92"/>
      <c r="K130" s="94">
        <v>16</v>
      </c>
      <c r="L130" s="94"/>
      <c r="M130" s="95"/>
      <c r="N130" s="92"/>
      <c r="O130" s="26"/>
      <c r="P130" s="94"/>
      <c r="Q130" s="26"/>
      <c r="R130" s="96"/>
      <c r="S130" s="27"/>
    </row>
    <row r="131" spans="1:19" x14ac:dyDescent="0.2">
      <c r="A131" s="91" t="s">
        <v>333</v>
      </c>
      <c r="B131" s="92" t="s">
        <v>536</v>
      </c>
      <c r="C131" s="92" t="s">
        <v>393</v>
      </c>
      <c r="D131" s="92" t="s">
        <v>555</v>
      </c>
      <c r="E131" s="93" t="s">
        <v>556</v>
      </c>
      <c r="F131" s="92" t="s">
        <v>342</v>
      </c>
      <c r="G131" s="92" t="s">
        <v>339</v>
      </c>
      <c r="H131" s="92"/>
      <c r="I131" s="92"/>
      <c r="J131" s="92"/>
      <c r="K131" s="94">
        <v>31</v>
      </c>
      <c r="L131" s="94"/>
      <c r="M131" s="95"/>
      <c r="N131" s="92"/>
      <c r="O131" s="26"/>
      <c r="P131" s="94"/>
      <c r="Q131" s="26"/>
      <c r="R131" s="96"/>
      <c r="S131" s="27"/>
    </row>
    <row r="132" spans="1:19" x14ac:dyDescent="0.2">
      <c r="A132" s="91" t="s">
        <v>333</v>
      </c>
      <c r="B132" s="92" t="s">
        <v>536</v>
      </c>
      <c r="C132" s="92" t="s">
        <v>393</v>
      </c>
      <c r="D132" s="92" t="s">
        <v>557</v>
      </c>
      <c r="E132" s="93" t="s">
        <v>558</v>
      </c>
      <c r="F132" s="92" t="s">
        <v>458</v>
      </c>
      <c r="G132" s="92" t="s">
        <v>256</v>
      </c>
      <c r="H132" s="92" t="s">
        <v>10</v>
      </c>
      <c r="I132" s="92" t="s">
        <v>230</v>
      </c>
      <c r="J132" s="93" t="s">
        <v>257</v>
      </c>
      <c r="K132" s="94">
        <v>11.4</v>
      </c>
      <c r="L132" s="94">
        <f>K132*VLOOKUP(H132,dagsoorttabel1,2,FALSE)</f>
        <v>9.120000000000001</v>
      </c>
      <c r="M132" s="95">
        <f>prodnorm39</f>
        <v>0</v>
      </c>
      <c r="N132" s="92" t="s">
        <v>101</v>
      </c>
      <c r="O132" s="26">
        <f>uurtarief39</f>
        <v>0</v>
      </c>
      <c r="P132" s="94" t="e">
        <f>IF(ISBLANK(M132),0,L132/ROUND(M132,4))</f>
        <v>#DIV/0!</v>
      </c>
      <c r="Q132" s="26" t="e">
        <f>ROUND(O132,2)*P132</f>
        <v>#DIV/0!</v>
      </c>
      <c r="R132" s="94" t="e">
        <f>P132*dagenperjaar1</f>
        <v>#DIV/0!</v>
      </c>
      <c r="S132" s="27" t="e">
        <f>R132*ROUND(O132,2)</f>
        <v>#DIV/0!</v>
      </c>
    </row>
    <row r="133" spans="1:19" x14ac:dyDescent="0.2">
      <c r="A133" s="91" t="s">
        <v>333</v>
      </c>
      <c r="B133" s="92" t="s">
        <v>536</v>
      </c>
      <c r="C133" s="92" t="s">
        <v>393</v>
      </c>
      <c r="D133" s="92" t="s">
        <v>559</v>
      </c>
      <c r="E133" s="93" t="s">
        <v>560</v>
      </c>
      <c r="F133" s="92" t="s">
        <v>349</v>
      </c>
      <c r="G133" s="92" t="s">
        <v>252</v>
      </c>
      <c r="H133" s="92" t="s">
        <v>9</v>
      </c>
      <c r="I133" s="92" t="s">
        <v>230</v>
      </c>
      <c r="J133" s="93" t="s">
        <v>253</v>
      </c>
      <c r="K133" s="94">
        <v>4.8</v>
      </c>
      <c r="L133" s="94">
        <f>K133*VLOOKUP(H133,dagsoorttabel1,2,FALSE)</f>
        <v>4.8</v>
      </c>
      <c r="M133" s="95">
        <f>prodnorm36</f>
        <v>0</v>
      </c>
      <c r="N133" s="92" t="s">
        <v>101</v>
      </c>
      <c r="O133" s="26">
        <f>uurtarief36</f>
        <v>0</v>
      </c>
      <c r="P133" s="94" t="e">
        <f>IF(ISBLANK(M133),0,L133/ROUND(M133,4))</f>
        <v>#DIV/0!</v>
      </c>
      <c r="Q133" s="26" t="e">
        <f>ROUND(O133,2)*P133</f>
        <v>#DIV/0!</v>
      </c>
      <c r="R133" s="94" t="e">
        <f>P133*dagenperjaar1</f>
        <v>#DIV/0!</v>
      </c>
      <c r="S133" s="27" t="e">
        <f>R133*ROUND(O133,2)</f>
        <v>#DIV/0!</v>
      </c>
    </row>
    <row r="134" spans="1:19" x14ac:dyDescent="0.2">
      <c r="A134" s="91" t="s">
        <v>333</v>
      </c>
      <c r="B134" s="92" t="s">
        <v>536</v>
      </c>
      <c r="C134" s="92" t="s">
        <v>393</v>
      </c>
      <c r="D134" s="92" t="s">
        <v>561</v>
      </c>
      <c r="E134" s="93" t="s">
        <v>562</v>
      </c>
      <c r="F134" s="92" t="s">
        <v>458</v>
      </c>
      <c r="G134" s="92" t="s">
        <v>339</v>
      </c>
      <c r="H134" s="92"/>
      <c r="I134" s="92"/>
      <c r="J134" s="92"/>
      <c r="K134" s="94">
        <v>3</v>
      </c>
      <c r="L134" s="94"/>
      <c r="M134" s="95"/>
      <c r="N134" s="92"/>
      <c r="O134" s="26"/>
      <c r="P134" s="94"/>
      <c r="Q134" s="26"/>
      <c r="R134" s="96"/>
      <c r="S134" s="27"/>
    </row>
    <row r="135" spans="1:19" x14ac:dyDescent="0.2">
      <c r="A135" s="91" t="s">
        <v>333</v>
      </c>
      <c r="B135" s="92" t="s">
        <v>536</v>
      </c>
      <c r="C135" s="92" t="s">
        <v>393</v>
      </c>
      <c r="D135" s="92" t="s">
        <v>563</v>
      </c>
      <c r="E135" s="93" t="s">
        <v>564</v>
      </c>
      <c r="F135" s="92" t="s">
        <v>543</v>
      </c>
      <c r="G135" s="92" t="s">
        <v>244</v>
      </c>
      <c r="H135" s="92" t="s">
        <v>9</v>
      </c>
      <c r="I135" s="92" t="s">
        <v>230</v>
      </c>
      <c r="J135" s="93" t="s">
        <v>245</v>
      </c>
      <c r="K135" s="94">
        <v>243.5</v>
      </c>
      <c r="L135" s="94">
        <f>K135*VLOOKUP(H135,dagsoorttabel1,2,FALSE)</f>
        <v>243.5</v>
      </c>
      <c r="M135" s="95">
        <f>prodnorm28</f>
        <v>0</v>
      </c>
      <c r="N135" s="92" t="s">
        <v>101</v>
      </c>
      <c r="O135" s="26">
        <f>uurtarief28</f>
        <v>0</v>
      </c>
      <c r="P135" s="94" t="e">
        <f>IF(ISBLANK(M135),0,L135/ROUND(M135,4))</f>
        <v>#DIV/0!</v>
      </c>
      <c r="Q135" s="26" t="e">
        <f>ROUND(O135,2)*P135</f>
        <v>#DIV/0!</v>
      </c>
      <c r="R135" s="94" t="e">
        <f>P135*dagenperjaar1</f>
        <v>#DIV/0!</v>
      </c>
      <c r="S135" s="27" t="e">
        <f>R135*ROUND(O135,2)</f>
        <v>#DIV/0!</v>
      </c>
    </row>
    <row r="136" spans="1:19" x14ac:dyDescent="0.2">
      <c r="A136" s="91" t="s">
        <v>333</v>
      </c>
      <c r="B136" s="92" t="s">
        <v>536</v>
      </c>
      <c r="C136" s="92" t="s">
        <v>393</v>
      </c>
      <c r="D136" s="92" t="s">
        <v>565</v>
      </c>
      <c r="E136" s="93" t="s">
        <v>566</v>
      </c>
      <c r="F136" s="92" t="s">
        <v>543</v>
      </c>
      <c r="G136" s="92" t="s">
        <v>244</v>
      </c>
      <c r="H136" s="92" t="s">
        <v>9</v>
      </c>
      <c r="I136" s="92" t="s">
        <v>230</v>
      </c>
      <c r="J136" s="93" t="s">
        <v>245</v>
      </c>
      <c r="K136" s="94">
        <v>202.5</v>
      </c>
      <c r="L136" s="94">
        <f>K136*VLOOKUP(H136,dagsoorttabel1,2,FALSE)</f>
        <v>202.5</v>
      </c>
      <c r="M136" s="95">
        <f>prodnorm28</f>
        <v>0</v>
      </c>
      <c r="N136" s="92" t="s">
        <v>101</v>
      </c>
      <c r="O136" s="26">
        <f>uurtarief28</f>
        <v>0</v>
      </c>
      <c r="P136" s="94" t="e">
        <f>IF(ISBLANK(M136),0,L136/ROUND(M136,4))</f>
        <v>#DIV/0!</v>
      </c>
      <c r="Q136" s="26" t="e">
        <f>ROUND(O136,2)*P136</f>
        <v>#DIV/0!</v>
      </c>
      <c r="R136" s="94" t="e">
        <f>P136*dagenperjaar1</f>
        <v>#DIV/0!</v>
      </c>
      <c r="S136" s="27" t="e">
        <f>R136*ROUND(O136,2)</f>
        <v>#DIV/0!</v>
      </c>
    </row>
    <row r="137" spans="1:19" x14ac:dyDescent="0.2">
      <c r="A137" s="91" t="s">
        <v>333</v>
      </c>
      <c r="B137" s="92" t="s">
        <v>536</v>
      </c>
      <c r="C137" s="92" t="s">
        <v>393</v>
      </c>
      <c r="D137" s="92" t="s">
        <v>565</v>
      </c>
      <c r="E137" s="93" t="s">
        <v>567</v>
      </c>
      <c r="F137" s="92" t="s">
        <v>342</v>
      </c>
      <c r="G137" s="92" t="s">
        <v>266</v>
      </c>
      <c r="H137" s="92" t="s">
        <v>10</v>
      </c>
      <c r="I137" s="92" t="s">
        <v>230</v>
      </c>
      <c r="J137" s="93" t="s">
        <v>267</v>
      </c>
      <c r="K137" s="94">
        <v>7.1</v>
      </c>
      <c r="L137" s="94">
        <f>K137*VLOOKUP(H137,dagsoorttabel1,2,FALSE)</f>
        <v>5.68</v>
      </c>
      <c r="M137" s="95">
        <f>prodnorm50</f>
        <v>0</v>
      </c>
      <c r="N137" s="92" t="s">
        <v>101</v>
      </c>
      <c r="O137" s="26">
        <f>uurtarief50</f>
        <v>0</v>
      </c>
      <c r="P137" s="94" t="e">
        <f>IF(ISBLANK(M137),0,L137/ROUND(M137,4))</f>
        <v>#DIV/0!</v>
      </c>
      <c r="Q137" s="26" t="e">
        <f>ROUND(O137,2)*P137</f>
        <v>#DIV/0!</v>
      </c>
      <c r="R137" s="94" t="e">
        <f>P137*dagenperjaar1</f>
        <v>#DIV/0!</v>
      </c>
      <c r="S137" s="27" t="e">
        <f>R137*ROUND(O137,2)</f>
        <v>#DIV/0!</v>
      </c>
    </row>
    <row r="138" spans="1:19" x14ac:dyDescent="0.2">
      <c r="A138" s="91" t="s">
        <v>333</v>
      </c>
      <c r="B138" s="92" t="s">
        <v>536</v>
      </c>
      <c r="C138" s="92" t="s">
        <v>393</v>
      </c>
      <c r="D138" s="92" t="s">
        <v>568</v>
      </c>
      <c r="E138" s="93" t="s">
        <v>569</v>
      </c>
      <c r="F138" s="92" t="s">
        <v>342</v>
      </c>
      <c r="G138" s="92" t="s">
        <v>266</v>
      </c>
      <c r="H138" s="92" t="s">
        <v>10</v>
      </c>
      <c r="I138" s="92" t="s">
        <v>230</v>
      </c>
      <c r="J138" s="93" t="s">
        <v>267</v>
      </c>
      <c r="K138" s="94">
        <v>7.8</v>
      </c>
      <c r="L138" s="94">
        <f>K138*VLOOKUP(H138,dagsoorttabel1,2,FALSE)</f>
        <v>6.24</v>
      </c>
      <c r="M138" s="95">
        <f>prodnorm50</f>
        <v>0</v>
      </c>
      <c r="N138" s="92" t="s">
        <v>101</v>
      </c>
      <c r="O138" s="26">
        <f>uurtarief50</f>
        <v>0</v>
      </c>
      <c r="P138" s="94" t="e">
        <f>IF(ISBLANK(M138),0,L138/ROUND(M138,4))</f>
        <v>#DIV/0!</v>
      </c>
      <c r="Q138" s="26" t="e">
        <f>ROUND(O138,2)*P138</f>
        <v>#DIV/0!</v>
      </c>
      <c r="R138" s="94" t="e">
        <f>P138*dagenperjaar1</f>
        <v>#DIV/0!</v>
      </c>
      <c r="S138" s="27" t="e">
        <f>R138*ROUND(O138,2)</f>
        <v>#DIV/0!</v>
      </c>
    </row>
    <row r="139" spans="1:19" x14ac:dyDescent="0.2">
      <c r="A139" s="91" t="s">
        <v>333</v>
      </c>
      <c r="B139" s="92" t="s">
        <v>536</v>
      </c>
      <c r="C139" s="92" t="s">
        <v>393</v>
      </c>
      <c r="D139" s="92" t="s">
        <v>568</v>
      </c>
      <c r="E139" s="93" t="s">
        <v>553</v>
      </c>
      <c r="F139" s="92" t="s">
        <v>338</v>
      </c>
      <c r="G139" s="92" t="s">
        <v>339</v>
      </c>
      <c r="H139" s="92"/>
      <c r="I139" s="92"/>
      <c r="J139" s="92"/>
      <c r="K139" s="94">
        <v>2</v>
      </c>
      <c r="L139" s="94"/>
      <c r="M139" s="95"/>
      <c r="N139" s="92"/>
      <c r="O139" s="26"/>
      <c r="P139" s="94"/>
      <c r="Q139" s="26"/>
      <c r="R139" s="96"/>
      <c r="S139" s="27"/>
    </row>
    <row r="140" spans="1:19" x14ac:dyDescent="0.2">
      <c r="A140" s="91" t="s">
        <v>333</v>
      </c>
      <c r="B140" s="92" t="s">
        <v>536</v>
      </c>
      <c r="C140" s="92" t="s">
        <v>393</v>
      </c>
      <c r="D140" s="92" t="s">
        <v>570</v>
      </c>
      <c r="E140" s="93" t="s">
        <v>392</v>
      </c>
      <c r="F140" s="92" t="s">
        <v>338</v>
      </c>
      <c r="G140" s="92" t="s">
        <v>339</v>
      </c>
      <c r="H140" s="92"/>
      <c r="I140" s="92"/>
      <c r="J140" s="92"/>
      <c r="K140" s="94">
        <v>4</v>
      </c>
      <c r="L140" s="94"/>
      <c r="M140" s="95"/>
      <c r="N140" s="92"/>
      <c r="O140" s="26"/>
      <c r="P140" s="94"/>
      <c r="Q140" s="26"/>
      <c r="R140" s="96"/>
      <c r="S140" s="27"/>
    </row>
    <row r="141" spans="1:19" x14ac:dyDescent="0.2">
      <c r="A141" s="91" t="s">
        <v>333</v>
      </c>
      <c r="B141" s="92" t="s">
        <v>536</v>
      </c>
      <c r="C141" s="92" t="s">
        <v>393</v>
      </c>
      <c r="D141" s="92" t="s">
        <v>571</v>
      </c>
      <c r="E141" s="93" t="s">
        <v>572</v>
      </c>
      <c r="F141" s="92" t="s">
        <v>338</v>
      </c>
      <c r="G141" s="92" t="s">
        <v>256</v>
      </c>
      <c r="H141" s="92" t="s">
        <v>10</v>
      </c>
      <c r="I141" s="92" t="s">
        <v>230</v>
      </c>
      <c r="J141" s="93" t="s">
        <v>257</v>
      </c>
      <c r="K141" s="94">
        <v>55.3</v>
      </c>
      <c r="L141" s="94">
        <f>K141*VLOOKUP(H141,dagsoorttabel1,2,FALSE)</f>
        <v>44.24</v>
      </c>
      <c r="M141" s="95">
        <f>prodnorm39</f>
        <v>0</v>
      </c>
      <c r="N141" s="92" t="s">
        <v>101</v>
      </c>
      <c r="O141" s="26">
        <f>uurtarief39</f>
        <v>0</v>
      </c>
      <c r="P141" s="94" t="e">
        <f>IF(ISBLANK(M141),0,L141/ROUND(M141,4))</f>
        <v>#DIV/0!</v>
      </c>
      <c r="Q141" s="26" t="e">
        <f>ROUND(O141,2)*P141</f>
        <v>#DIV/0!</v>
      </c>
      <c r="R141" s="94" t="e">
        <f>P141*dagenperjaar1</f>
        <v>#DIV/0!</v>
      </c>
      <c r="S141" s="27" t="e">
        <f>R141*ROUND(O141,2)</f>
        <v>#DIV/0!</v>
      </c>
    </row>
    <row r="142" spans="1:19" x14ac:dyDescent="0.2">
      <c r="A142" s="91" t="s">
        <v>333</v>
      </c>
      <c r="B142" s="92" t="s">
        <v>536</v>
      </c>
      <c r="C142" s="92" t="s">
        <v>393</v>
      </c>
      <c r="D142" s="92" t="s">
        <v>573</v>
      </c>
      <c r="E142" s="93" t="s">
        <v>553</v>
      </c>
      <c r="F142" s="92" t="s">
        <v>338</v>
      </c>
      <c r="G142" s="92" t="s">
        <v>339</v>
      </c>
      <c r="H142" s="92"/>
      <c r="I142" s="92"/>
      <c r="J142" s="92"/>
      <c r="K142" s="94">
        <v>3</v>
      </c>
      <c r="L142" s="94"/>
      <c r="M142" s="95"/>
      <c r="N142" s="92"/>
      <c r="O142" s="26"/>
      <c r="P142" s="94"/>
      <c r="Q142" s="26"/>
      <c r="R142" s="96"/>
      <c r="S142" s="27"/>
    </row>
    <row r="143" spans="1:19" x14ac:dyDescent="0.2">
      <c r="A143" s="91" t="s">
        <v>333</v>
      </c>
      <c r="B143" s="92" t="s">
        <v>536</v>
      </c>
      <c r="C143" s="92" t="s">
        <v>393</v>
      </c>
      <c r="D143" s="92" t="s">
        <v>574</v>
      </c>
      <c r="E143" s="93" t="s">
        <v>392</v>
      </c>
      <c r="F143" s="92" t="s">
        <v>338</v>
      </c>
      <c r="G143" s="92" t="s">
        <v>339</v>
      </c>
      <c r="H143" s="92"/>
      <c r="I143" s="92"/>
      <c r="J143" s="92"/>
      <c r="K143" s="94">
        <v>4</v>
      </c>
      <c r="L143" s="94"/>
      <c r="M143" s="95"/>
      <c r="N143" s="92"/>
      <c r="O143" s="26"/>
      <c r="P143" s="94"/>
      <c r="Q143" s="26"/>
      <c r="R143" s="96"/>
      <c r="S143" s="27"/>
    </row>
    <row r="144" spans="1:19" x14ac:dyDescent="0.2">
      <c r="A144" s="91" t="s">
        <v>333</v>
      </c>
      <c r="B144" s="92" t="s">
        <v>536</v>
      </c>
      <c r="C144" s="92" t="s">
        <v>419</v>
      </c>
      <c r="D144" s="92" t="s">
        <v>575</v>
      </c>
      <c r="E144" s="93" t="s">
        <v>576</v>
      </c>
      <c r="F144" s="92" t="s">
        <v>543</v>
      </c>
      <c r="G144" s="92" t="s">
        <v>244</v>
      </c>
      <c r="H144" s="92" t="s">
        <v>9</v>
      </c>
      <c r="I144" s="92" t="s">
        <v>230</v>
      </c>
      <c r="J144" s="93" t="s">
        <v>245</v>
      </c>
      <c r="K144" s="94">
        <v>69.5</v>
      </c>
      <c r="L144" s="94">
        <f>K144*VLOOKUP(H144,dagsoorttabel1,2,FALSE)</f>
        <v>69.5</v>
      </c>
      <c r="M144" s="95">
        <f>prodnorm28</f>
        <v>0</v>
      </c>
      <c r="N144" s="92" t="s">
        <v>101</v>
      </c>
      <c r="O144" s="26">
        <f>uurtarief28</f>
        <v>0</v>
      </c>
      <c r="P144" s="94" t="e">
        <f>IF(ISBLANK(M144),0,L144/ROUND(M144,4))</f>
        <v>#DIV/0!</v>
      </c>
      <c r="Q144" s="26" t="e">
        <f>ROUND(O144,2)*P144</f>
        <v>#DIV/0!</v>
      </c>
      <c r="R144" s="94" t="e">
        <f>P144*dagenperjaar1</f>
        <v>#DIV/0!</v>
      </c>
      <c r="S144" s="27" t="e">
        <f>R144*ROUND(O144,2)</f>
        <v>#DIV/0!</v>
      </c>
    </row>
    <row r="145" spans="1:19" x14ac:dyDescent="0.2">
      <c r="A145" s="91" t="s">
        <v>333</v>
      </c>
      <c r="B145" s="92" t="s">
        <v>536</v>
      </c>
      <c r="C145" s="92" t="s">
        <v>419</v>
      </c>
      <c r="D145" s="92" t="s">
        <v>577</v>
      </c>
      <c r="E145" s="93" t="s">
        <v>578</v>
      </c>
      <c r="F145" s="92" t="s">
        <v>338</v>
      </c>
      <c r="G145" s="92" t="s">
        <v>339</v>
      </c>
      <c r="H145" s="92"/>
      <c r="I145" s="92"/>
      <c r="J145" s="92"/>
      <c r="K145" s="94">
        <v>3</v>
      </c>
      <c r="L145" s="94"/>
      <c r="M145" s="95"/>
      <c r="N145" s="92"/>
      <c r="O145" s="26"/>
      <c r="P145" s="94"/>
      <c r="Q145" s="26"/>
      <c r="R145" s="96"/>
      <c r="S145" s="27"/>
    </row>
    <row r="146" spans="1:19" x14ac:dyDescent="0.2">
      <c r="A146" s="91" t="s">
        <v>333</v>
      </c>
      <c r="B146" s="92" t="s">
        <v>536</v>
      </c>
      <c r="C146" s="92" t="s">
        <v>419</v>
      </c>
      <c r="D146" s="92" t="s">
        <v>579</v>
      </c>
      <c r="E146" s="93" t="s">
        <v>580</v>
      </c>
      <c r="F146" s="92" t="s">
        <v>458</v>
      </c>
      <c r="G146" s="92" t="s">
        <v>339</v>
      </c>
      <c r="H146" s="92"/>
      <c r="I146" s="92"/>
      <c r="J146" s="92"/>
      <c r="K146" s="94">
        <v>2</v>
      </c>
      <c r="L146" s="94"/>
      <c r="M146" s="95"/>
      <c r="N146" s="92"/>
      <c r="O146" s="26"/>
      <c r="P146" s="94"/>
      <c r="Q146" s="26"/>
      <c r="R146" s="96"/>
      <c r="S146" s="27"/>
    </row>
    <row r="147" spans="1:19" x14ac:dyDescent="0.2">
      <c r="A147" s="91" t="s">
        <v>333</v>
      </c>
      <c r="B147" s="92" t="s">
        <v>536</v>
      </c>
      <c r="C147" s="92" t="s">
        <v>419</v>
      </c>
      <c r="D147" s="92" t="s">
        <v>581</v>
      </c>
      <c r="E147" s="93" t="s">
        <v>582</v>
      </c>
      <c r="F147" s="92" t="s">
        <v>338</v>
      </c>
      <c r="G147" s="92" t="s">
        <v>339</v>
      </c>
      <c r="H147" s="92"/>
      <c r="I147" s="92"/>
      <c r="J147" s="92"/>
      <c r="K147" s="94">
        <v>3</v>
      </c>
      <c r="L147" s="94"/>
      <c r="M147" s="95"/>
      <c r="N147" s="92"/>
      <c r="O147" s="26"/>
      <c r="P147" s="94"/>
      <c r="Q147" s="26"/>
      <c r="R147" s="96"/>
      <c r="S147" s="27"/>
    </row>
    <row r="148" spans="1:19" x14ac:dyDescent="0.2">
      <c r="A148" s="91" t="s">
        <v>333</v>
      </c>
      <c r="B148" s="92" t="s">
        <v>536</v>
      </c>
      <c r="C148" s="92" t="s">
        <v>419</v>
      </c>
      <c r="D148" s="92" t="s">
        <v>583</v>
      </c>
      <c r="E148" s="93" t="s">
        <v>584</v>
      </c>
      <c r="F148" s="92" t="s">
        <v>458</v>
      </c>
      <c r="G148" s="92" t="s">
        <v>339</v>
      </c>
      <c r="H148" s="92"/>
      <c r="I148" s="92"/>
      <c r="J148" s="92"/>
      <c r="K148" s="94">
        <v>2</v>
      </c>
      <c r="L148" s="94"/>
      <c r="M148" s="95"/>
      <c r="N148" s="92"/>
      <c r="O148" s="26"/>
      <c r="P148" s="94"/>
      <c r="Q148" s="26"/>
      <c r="R148" s="96"/>
      <c r="S148" s="27"/>
    </row>
    <row r="149" spans="1:19" x14ac:dyDescent="0.2">
      <c r="A149" s="91" t="s">
        <v>333</v>
      </c>
      <c r="B149" s="92" t="s">
        <v>536</v>
      </c>
      <c r="C149" s="92" t="s">
        <v>419</v>
      </c>
      <c r="D149" s="92" t="s">
        <v>585</v>
      </c>
      <c r="E149" s="93" t="s">
        <v>586</v>
      </c>
      <c r="F149" s="92" t="s">
        <v>543</v>
      </c>
      <c r="G149" s="92" t="s">
        <v>244</v>
      </c>
      <c r="H149" s="92" t="s">
        <v>9</v>
      </c>
      <c r="I149" s="92" t="s">
        <v>230</v>
      </c>
      <c r="J149" s="93" t="s">
        <v>245</v>
      </c>
      <c r="K149" s="94">
        <v>75.7</v>
      </c>
      <c r="L149" s="94">
        <f>K149*VLOOKUP(H149,dagsoorttabel1,2,FALSE)</f>
        <v>75.7</v>
      </c>
      <c r="M149" s="95">
        <f>prodnorm28</f>
        <v>0</v>
      </c>
      <c r="N149" s="92" t="s">
        <v>101</v>
      </c>
      <c r="O149" s="26">
        <f>uurtarief28</f>
        <v>0</v>
      </c>
      <c r="P149" s="94" t="e">
        <f>IF(ISBLANK(M149),0,L149/ROUND(M149,4))</f>
        <v>#DIV/0!</v>
      </c>
      <c r="Q149" s="26" t="e">
        <f>ROUND(O149,2)*P149</f>
        <v>#DIV/0!</v>
      </c>
      <c r="R149" s="94" t="e">
        <f>P149*dagenperjaar1</f>
        <v>#DIV/0!</v>
      </c>
      <c r="S149" s="27" t="e">
        <f>R149*ROUND(O149,2)</f>
        <v>#DIV/0!</v>
      </c>
    </row>
    <row r="150" spans="1:19" x14ac:dyDescent="0.2">
      <c r="A150" s="91" t="s">
        <v>333</v>
      </c>
      <c r="B150" s="92" t="s">
        <v>536</v>
      </c>
      <c r="C150" s="92" t="s">
        <v>419</v>
      </c>
      <c r="D150" s="92" t="s">
        <v>587</v>
      </c>
      <c r="E150" s="93" t="s">
        <v>588</v>
      </c>
      <c r="F150" s="92" t="s">
        <v>338</v>
      </c>
      <c r="G150" s="92" t="s">
        <v>339</v>
      </c>
      <c r="H150" s="92"/>
      <c r="I150" s="92"/>
      <c r="J150" s="92"/>
      <c r="K150" s="94">
        <v>45</v>
      </c>
      <c r="L150" s="94"/>
      <c r="M150" s="95"/>
      <c r="N150" s="92"/>
      <c r="O150" s="26"/>
      <c r="P150" s="94"/>
      <c r="Q150" s="26"/>
      <c r="R150" s="96"/>
      <c r="S150" s="27"/>
    </row>
    <row r="151" spans="1:19" x14ac:dyDescent="0.2">
      <c r="A151" s="91" t="s">
        <v>333</v>
      </c>
      <c r="B151" s="92" t="s">
        <v>536</v>
      </c>
      <c r="C151" s="92" t="s">
        <v>419</v>
      </c>
      <c r="D151" s="92" t="s">
        <v>589</v>
      </c>
      <c r="E151" s="93" t="s">
        <v>590</v>
      </c>
      <c r="F151" s="92" t="s">
        <v>458</v>
      </c>
      <c r="G151" s="92" t="s">
        <v>339</v>
      </c>
      <c r="H151" s="92"/>
      <c r="I151" s="92"/>
      <c r="J151" s="92"/>
      <c r="K151" s="94">
        <v>3</v>
      </c>
      <c r="L151" s="94"/>
      <c r="M151" s="95"/>
      <c r="N151" s="92"/>
      <c r="O151" s="26"/>
      <c r="P151" s="94"/>
      <c r="Q151" s="26"/>
      <c r="R151" s="96"/>
      <c r="S151" s="27"/>
    </row>
    <row r="152" spans="1:19" x14ac:dyDescent="0.2">
      <c r="A152" s="91" t="s">
        <v>333</v>
      </c>
      <c r="B152" s="92" t="s">
        <v>536</v>
      </c>
      <c r="C152" s="92" t="s">
        <v>443</v>
      </c>
      <c r="D152" s="92" t="s">
        <v>591</v>
      </c>
      <c r="E152" s="93" t="s">
        <v>592</v>
      </c>
      <c r="F152" s="92" t="s">
        <v>36</v>
      </c>
      <c r="G152" s="92" t="s">
        <v>339</v>
      </c>
      <c r="H152" s="92"/>
      <c r="I152" s="92"/>
      <c r="J152" s="92"/>
      <c r="K152" s="94">
        <v>120</v>
      </c>
      <c r="L152" s="94"/>
      <c r="M152" s="95"/>
      <c r="N152" s="92"/>
      <c r="O152" s="26"/>
      <c r="P152" s="94"/>
      <c r="Q152" s="26"/>
      <c r="R152" s="96"/>
      <c r="S152" s="27"/>
    </row>
    <row r="153" spans="1:19" x14ac:dyDescent="0.2">
      <c r="A153" s="91" t="s">
        <v>333</v>
      </c>
      <c r="B153" s="92" t="s">
        <v>536</v>
      </c>
      <c r="C153" s="92" t="s">
        <v>443</v>
      </c>
      <c r="D153" s="92" t="s">
        <v>593</v>
      </c>
      <c r="E153" s="93" t="s">
        <v>592</v>
      </c>
      <c r="F153" s="92" t="s">
        <v>36</v>
      </c>
      <c r="G153" s="92" t="s">
        <v>339</v>
      </c>
      <c r="H153" s="92"/>
      <c r="I153" s="92"/>
      <c r="J153" s="92"/>
      <c r="K153" s="94">
        <v>49</v>
      </c>
      <c r="L153" s="94"/>
      <c r="M153" s="95"/>
      <c r="N153" s="92"/>
      <c r="O153" s="26"/>
      <c r="P153" s="94"/>
      <c r="Q153" s="26"/>
      <c r="R153" s="96"/>
      <c r="S153" s="27"/>
    </row>
    <row r="154" spans="1:19" x14ac:dyDescent="0.2">
      <c r="A154" s="91" t="s">
        <v>333</v>
      </c>
      <c r="B154" s="92" t="s">
        <v>536</v>
      </c>
      <c r="C154" s="92" t="s">
        <v>443</v>
      </c>
      <c r="D154" s="92" t="s">
        <v>594</v>
      </c>
      <c r="E154" s="93" t="s">
        <v>592</v>
      </c>
      <c r="F154" s="92" t="s">
        <v>36</v>
      </c>
      <c r="G154" s="92" t="s">
        <v>339</v>
      </c>
      <c r="H154" s="92"/>
      <c r="I154" s="92"/>
      <c r="J154" s="92"/>
      <c r="K154" s="94">
        <v>23</v>
      </c>
      <c r="L154" s="94"/>
      <c r="M154" s="95"/>
      <c r="N154" s="92"/>
      <c r="O154" s="26"/>
      <c r="P154" s="94"/>
      <c r="Q154" s="26"/>
      <c r="R154" s="96"/>
      <c r="S154" s="27"/>
    </row>
    <row r="155" spans="1:19" x14ac:dyDescent="0.2">
      <c r="A155" s="91" t="s">
        <v>333</v>
      </c>
      <c r="B155" s="92" t="s">
        <v>536</v>
      </c>
      <c r="C155" s="92" t="s">
        <v>443</v>
      </c>
      <c r="D155" s="92" t="s">
        <v>595</v>
      </c>
      <c r="E155" s="93" t="s">
        <v>596</v>
      </c>
      <c r="F155" s="92" t="s">
        <v>36</v>
      </c>
      <c r="G155" s="92" t="s">
        <v>339</v>
      </c>
      <c r="H155" s="92"/>
      <c r="I155" s="92"/>
      <c r="J155" s="92"/>
      <c r="K155" s="94">
        <v>46</v>
      </c>
      <c r="L155" s="94"/>
      <c r="M155" s="95"/>
      <c r="N155" s="92"/>
      <c r="O155" s="26"/>
      <c r="P155" s="94"/>
      <c r="Q155" s="26"/>
      <c r="R155" s="96"/>
      <c r="S155" s="27"/>
    </row>
    <row r="156" spans="1:19" x14ac:dyDescent="0.2">
      <c r="A156" s="91" t="s">
        <v>333</v>
      </c>
      <c r="B156" s="92" t="s">
        <v>536</v>
      </c>
      <c r="C156" s="92" t="s">
        <v>443</v>
      </c>
      <c r="D156" s="92" t="s">
        <v>597</v>
      </c>
      <c r="E156" s="93" t="s">
        <v>596</v>
      </c>
      <c r="F156" s="92" t="s">
        <v>36</v>
      </c>
      <c r="G156" s="92" t="s">
        <v>339</v>
      </c>
      <c r="H156" s="92"/>
      <c r="I156" s="92"/>
      <c r="J156" s="92"/>
      <c r="K156" s="94">
        <v>106</v>
      </c>
      <c r="L156" s="94"/>
      <c r="M156" s="95"/>
      <c r="N156" s="92"/>
      <c r="O156" s="26"/>
      <c r="P156" s="94"/>
      <c r="Q156" s="26"/>
      <c r="R156" s="96"/>
      <c r="S156" s="27"/>
    </row>
    <row r="157" spans="1:19" x14ac:dyDescent="0.2">
      <c r="A157" s="91" t="s">
        <v>333</v>
      </c>
      <c r="B157" s="92" t="s">
        <v>536</v>
      </c>
      <c r="C157" s="92" t="s">
        <v>443</v>
      </c>
      <c r="D157" s="92" t="s">
        <v>598</v>
      </c>
      <c r="E157" s="93" t="s">
        <v>599</v>
      </c>
      <c r="F157" s="92" t="s">
        <v>36</v>
      </c>
      <c r="G157" s="92" t="s">
        <v>339</v>
      </c>
      <c r="H157" s="92"/>
      <c r="I157" s="92"/>
      <c r="J157" s="92"/>
      <c r="K157" s="94">
        <v>106</v>
      </c>
      <c r="L157" s="94"/>
      <c r="M157" s="95"/>
      <c r="N157" s="92"/>
      <c r="O157" s="26"/>
      <c r="P157" s="94"/>
      <c r="Q157" s="26"/>
      <c r="R157" s="96"/>
      <c r="S157" s="27"/>
    </row>
    <row r="158" spans="1:19" x14ac:dyDescent="0.2">
      <c r="A158" s="91" t="s">
        <v>333</v>
      </c>
      <c r="B158" s="92" t="s">
        <v>536</v>
      </c>
      <c r="C158" s="92" t="s">
        <v>443</v>
      </c>
      <c r="D158" s="92" t="s">
        <v>600</v>
      </c>
      <c r="E158" s="93" t="s">
        <v>599</v>
      </c>
      <c r="F158" s="92" t="s">
        <v>36</v>
      </c>
      <c r="G158" s="92" t="s">
        <v>339</v>
      </c>
      <c r="H158" s="92"/>
      <c r="I158" s="92"/>
      <c r="J158" s="92"/>
      <c r="K158" s="94">
        <v>45</v>
      </c>
      <c r="L158" s="94"/>
      <c r="M158" s="95"/>
      <c r="N158" s="92"/>
      <c r="O158" s="26"/>
      <c r="P158" s="94"/>
      <c r="Q158" s="26"/>
      <c r="R158" s="96"/>
      <c r="S158" s="27"/>
    </row>
    <row r="159" spans="1:19" x14ac:dyDescent="0.2">
      <c r="A159" s="91" t="s">
        <v>333</v>
      </c>
      <c r="B159" s="92" t="s">
        <v>536</v>
      </c>
      <c r="C159" s="92" t="s">
        <v>443</v>
      </c>
      <c r="D159" s="92" t="s">
        <v>601</v>
      </c>
      <c r="E159" s="93" t="s">
        <v>602</v>
      </c>
      <c r="F159" s="92" t="s">
        <v>36</v>
      </c>
      <c r="G159" s="92" t="s">
        <v>339</v>
      </c>
      <c r="H159" s="92"/>
      <c r="I159" s="92"/>
      <c r="J159" s="92"/>
      <c r="K159" s="94">
        <v>32</v>
      </c>
      <c r="L159" s="94"/>
      <c r="M159" s="95"/>
      <c r="N159" s="92"/>
      <c r="O159" s="26"/>
      <c r="P159" s="94"/>
      <c r="Q159" s="26"/>
      <c r="R159" s="96"/>
      <c r="S159" s="27"/>
    </row>
    <row r="160" spans="1:19" x14ac:dyDescent="0.2">
      <c r="A160" s="97" t="s">
        <v>333</v>
      </c>
      <c r="B160" s="98" t="s">
        <v>536</v>
      </c>
      <c r="C160" s="98" t="s">
        <v>443</v>
      </c>
      <c r="D160" s="98" t="s">
        <v>603</v>
      </c>
      <c r="E160" s="99" t="s">
        <v>602</v>
      </c>
      <c r="F160" s="98" t="s">
        <v>36</v>
      </c>
      <c r="G160" s="98" t="s">
        <v>339</v>
      </c>
      <c r="H160" s="98"/>
      <c r="I160" s="98"/>
      <c r="J160" s="98"/>
      <c r="K160" s="100">
        <v>158</v>
      </c>
      <c r="L160" s="100"/>
      <c r="M160" s="101"/>
      <c r="N160" s="98"/>
      <c r="O160" s="36"/>
      <c r="P160" s="100"/>
      <c r="Q160" s="36"/>
      <c r="R160" s="102"/>
      <c r="S160" s="37"/>
    </row>
    <row r="161" spans="1:19" x14ac:dyDescent="0.2">
      <c r="A161" s="103" t="s">
        <v>604</v>
      </c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6" t="e">
        <f>IF(_xlfn.SINGLE(object1_urenjaar1)&gt;0,_xlfn.SINGLE(object1_prijsjaar1)/_xlfn.SINGLE(object1_urenjaar1),0)</f>
        <v>#DIV/0!</v>
      </c>
      <c r="P161" s="75" t="e">
        <f>SUM(P5:P160)</f>
        <v>#DIV/0!</v>
      </c>
      <c r="Q161" s="76" t="e">
        <f>SUM(Q5:Q160)</f>
        <v>#DIV/0!</v>
      </c>
      <c r="R161" s="75" t="e">
        <f>SUM(R5:R160)</f>
        <v>#DIV/0!</v>
      </c>
      <c r="S161" s="77" t="e">
        <f>SUM(S5:S160)</f>
        <v>#DIV/0!</v>
      </c>
    </row>
    <row r="162" spans="1:19" x14ac:dyDescent="0.2">
      <c r="A162" s="82" t="s">
        <v>605</v>
      </c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72"/>
    </row>
    <row r="163" spans="1:19" x14ac:dyDescent="0.2">
      <c r="A163" s="83" t="s">
        <v>606</v>
      </c>
      <c r="B163" s="84" t="s">
        <v>607</v>
      </c>
      <c r="C163" s="84" t="s">
        <v>335</v>
      </c>
      <c r="D163" s="84" t="s">
        <v>608</v>
      </c>
      <c r="E163" s="85" t="s">
        <v>609</v>
      </c>
      <c r="F163" s="84" t="s">
        <v>338</v>
      </c>
      <c r="G163" s="84" t="s">
        <v>339</v>
      </c>
      <c r="H163" s="84"/>
      <c r="I163" s="84"/>
      <c r="J163" s="84"/>
      <c r="K163" s="86">
        <v>15</v>
      </c>
      <c r="L163" s="86"/>
      <c r="M163" s="87"/>
      <c r="N163" s="84"/>
      <c r="O163" s="88"/>
      <c r="P163" s="86"/>
      <c r="Q163" s="88"/>
      <c r="R163" s="89"/>
      <c r="S163" s="90"/>
    </row>
    <row r="164" spans="1:19" x14ac:dyDescent="0.2">
      <c r="A164" s="91" t="s">
        <v>606</v>
      </c>
      <c r="B164" s="92" t="s">
        <v>607</v>
      </c>
      <c r="C164" s="92" t="s">
        <v>335</v>
      </c>
      <c r="D164" s="92" t="s">
        <v>610</v>
      </c>
      <c r="E164" s="93" t="s">
        <v>611</v>
      </c>
      <c r="F164" s="92" t="s">
        <v>458</v>
      </c>
      <c r="G164" s="92" t="s">
        <v>266</v>
      </c>
      <c r="H164" s="92" t="s">
        <v>9</v>
      </c>
      <c r="I164" s="92" t="s">
        <v>230</v>
      </c>
      <c r="J164" s="93" t="s">
        <v>267</v>
      </c>
      <c r="K164" s="94">
        <v>9.9</v>
      </c>
      <c r="L164" s="94">
        <f>K164*VLOOKUP(H164,dagsoorttabel1,2,FALSE)</f>
        <v>9.9</v>
      </c>
      <c r="M164" s="95">
        <f>prodnorm51</f>
        <v>0</v>
      </c>
      <c r="N164" s="92" t="s">
        <v>101</v>
      </c>
      <c r="O164" s="26">
        <f>uurtarief51</f>
        <v>0</v>
      </c>
      <c r="P164" s="94" t="e">
        <f>IF(ISBLANK(M164),0,L164/ROUND(M164,4))</f>
        <v>#DIV/0!</v>
      </c>
      <c r="Q164" s="26" t="e">
        <f>ROUND(O164,2)*P164</f>
        <v>#DIV/0!</v>
      </c>
      <c r="R164" s="94" t="e">
        <f>P164*dagenperjaar1</f>
        <v>#DIV/0!</v>
      </c>
      <c r="S164" s="27" t="e">
        <f>R164*ROUND(O164,2)</f>
        <v>#DIV/0!</v>
      </c>
    </row>
    <row r="165" spans="1:19" x14ac:dyDescent="0.2">
      <c r="A165" s="91" t="s">
        <v>606</v>
      </c>
      <c r="B165" s="92" t="s">
        <v>607</v>
      </c>
      <c r="C165" s="92" t="s">
        <v>335</v>
      </c>
      <c r="D165" s="92" t="s">
        <v>612</v>
      </c>
      <c r="E165" s="93" t="s">
        <v>494</v>
      </c>
      <c r="F165" s="92" t="s">
        <v>458</v>
      </c>
      <c r="G165" s="92" t="s">
        <v>264</v>
      </c>
      <c r="H165" s="92" t="s">
        <v>9</v>
      </c>
      <c r="I165" s="92" t="s">
        <v>230</v>
      </c>
      <c r="J165" s="93" t="s">
        <v>265</v>
      </c>
      <c r="K165" s="94">
        <v>2.9</v>
      </c>
      <c r="L165" s="94">
        <f>K165*VLOOKUP(H165,dagsoorttabel1,2,FALSE)</f>
        <v>2.9</v>
      </c>
      <c r="M165" s="95">
        <f>prodnorm46</f>
        <v>0</v>
      </c>
      <c r="N165" s="92" t="s">
        <v>101</v>
      </c>
      <c r="O165" s="26">
        <f>uurtarief46</f>
        <v>0</v>
      </c>
      <c r="P165" s="94" t="e">
        <f>IF(ISBLANK(M165),0,L165/ROUND(M165,4))</f>
        <v>#DIV/0!</v>
      </c>
      <c r="Q165" s="26" t="e">
        <f>ROUND(O165,2)*P165</f>
        <v>#DIV/0!</v>
      </c>
      <c r="R165" s="94" t="e">
        <f>P165*dagenperjaar1</f>
        <v>#DIV/0!</v>
      </c>
      <c r="S165" s="27" t="e">
        <f>R165*ROUND(O165,2)</f>
        <v>#DIV/0!</v>
      </c>
    </row>
    <row r="166" spans="1:19" x14ac:dyDescent="0.2">
      <c r="A166" s="91" t="s">
        <v>606</v>
      </c>
      <c r="B166" s="92" t="s">
        <v>607</v>
      </c>
      <c r="C166" s="92" t="s">
        <v>335</v>
      </c>
      <c r="D166" s="92" t="s">
        <v>613</v>
      </c>
      <c r="E166" s="93" t="s">
        <v>614</v>
      </c>
      <c r="F166" s="92" t="s">
        <v>349</v>
      </c>
      <c r="G166" s="92" t="s">
        <v>272</v>
      </c>
      <c r="H166" s="92" t="s">
        <v>9</v>
      </c>
      <c r="I166" s="92" t="s">
        <v>273</v>
      </c>
      <c r="J166" s="93" t="s">
        <v>274</v>
      </c>
      <c r="K166" s="94">
        <v>1</v>
      </c>
      <c r="L166" s="94">
        <f>K166*VLOOKUP(H166,dagsoorttabel1,2,FALSE)</f>
        <v>1</v>
      </c>
      <c r="M166" s="95">
        <f>prodnorm12</f>
        <v>0</v>
      </c>
      <c r="N166" s="92" t="s">
        <v>275</v>
      </c>
      <c r="O166" s="26">
        <f>uurtarief12</f>
        <v>0</v>
      </c>
      <c r="P166" s="94">
        <f>L166*ROUND(M166,4)/60</f>
        <v>0</v>
      </c>
      <c r="Q166" s="26">
        <f>ROUND(O166,2)*P166</f>
        <v>0</v>
      </c>
      <c r="R166" s="94">
        <f>P166*dagenperjaar1</f>
        <v>0</v>
      </c>
      <c r="S166" s="27">
        <f>R166*ROUND(O166,2)</f>
        <v>0</v>
      </c>
    </row>
    <row r="167" spans="1:19" x14ac:dyDescent="0.2">
      <c r="A167" s="91" t="s">
        <v>606</v>
      </c>
      <c r="B167" s="92" t="s">
        <v>607</v>
      </c>
      <c r="C167" s="92" t="s">
        <v>335</v>
      </c>
      <c r="D167" s="92" t="s">
        <v>613</v>
      </c>
      <c r="E167" s="93" t="s">
        <v>614</v>
      </c>
      <c r="F167" s="92" t="s">
        <v>349</v>
      </c>
      <c r="G167" s="92" t="s">
        <v>238</v>
      </c>
      <c r="H167" s="92" t="s">
        <v>9</v>
      </c>
      <c r="I167" s="92" t="s">
        <v>230</v>
      </c>
      <c r="J167" s="93" t="s">
        <v>239</v>
      </c>
      <c r="K167" s="94">
        <v>75.7</v>
      </c>
      <c r="L167" s="94">
        <f>K167*VLOOKUP(H167,dagsoorttabel1,2,FALSE)</f>
        <v>75.7</v>
      </c>
      <c r="M167" s="95">
        <f>prodnorm24</f>
        <v>0</v>
      </c>
      <c r="N167" s="92" t="s">
        <v>101</v>
      </c>
      <c r="O167" s="26">
        <f>uurtarief24</f>
        <v>0</v>
      </c>
      <c r="P167" s="94" t="e">
        <f>IF(ISBLANK(M167),0,L167/ROUND(M167,4))</f>
        <v>#DIV/0!</v>
      </c>
      <c r="Q167" s="26" t="e">
        <f>ROUND(O167,2)*P167</f>
        <v>#DIV/0!</v>
      </c>
      <c r="R167" s="94" t="e">
        <f>P167*dagenperjaar1</f>
        <v>#DIV/0!</v>
      </c>
      <c r="S167" s="27" t="e">
        <f>R167*ROUND(O167,2)</f>
        <v>#DIV/0!</v>
      </c>
    </row>
    <row r="168" spans="1:19" x14ac:dyDescent="0.2">
      <c r="A168" s="91" t="s">
        <v>606</v>
      </c>
      <c r="B168" s="92" t="s">
        <v>607</v>
      </c>
      <c r="C168" s="92" t="s">
        <v>335</v>
      </c>
      <c r="D168" s="92" t="s">
        <v>615</v>
      </c>
      <c r="E168" s="93" t="s">
        <v>616</v>
      </c>
      <c r="F168" s="92" t="s">
        <v>349</v>
      </c>
      <c r="G168" s="92" t="s">
        <v>339</v>
      </c>
      <c r="H168" s="92"/>
      <c r="I168" s="92"/>
      <c r="J168" s="92"/>
      <c r="K168" s="94">
        <v>14</v>
      </c>
      <c r="L168" s="94"/>
      <c r="M168" s="95"/>
      <c r="N168" s="92"/>
      <c r="O168" s="26"/>
      <c r="P168" s="94"/>
      <c r="Q168" s="26"/>
      <c r="R168" s="96"/>
      <c r="S168" s="27"/>
    </row>
    <row r="169" spans="1:19" x14ac:dyDescent="0.2">
      <c r="A169" s="91" t="s">
        <v>606</v>
      </c>
      <c r="B169" s="92" t="s">
        <v>607</v>
      </c>
      <c r="C169" s="92" t="s">
        <v>335</v>
      </c>
      <c r="D169" s="92" t="s">
        <v>617</v>
      </c>
      <c r="E169" s="93" t="s">
        <v>618</v>
      </c>
      <c r="F169" s="92" t="s">
        <v>458</v>
      </c>
      <c r="G169" s="92" t="s">
        <v>339</v>
      </c>
      <c r="H169" s="92"/>
      <c r="I169" s="92"/>
      <c r="J169" s="92"/>
      <c r="K169" s="94">
        <v>11</v>
      </c>
      <c r="L169" s="94"/>
      <c r="M169" s="95"/>
      <c r="N169" s="92"/>
      <c r="O169" s="26"/>
      <c r="P169" s="94"/>
      <c r="Q169" s="26"/>
      <c r="R169" s="96"/>
      <c r="S169" s="27"/>
    </row>
    <row r="170" spans="1:19" x14ac:dyDescent="0.2">
      <c r="A170" s="91" t="s">
        <v>606</v>
      </c>
      <c r="B170" s="92" t="s">
        <v>607</v>
      </c>
      <c r="C170" s="92" t="s">
        <v>335</v>
      </c>
      <c r="D170" s="92" t="s">
        <v>619</v>
      </c>
      <c r="E170" s="93" t="s">
        <v>620</v>
      </c>
      <c r="F170" s="92" t="s">
        <v>458</v>
      </c>
      <c r="G170" s="92" t="s">
        <v>229</v>
      </c>
      <c r="H170" s="92" t="s">
        <v>13</v>
      </c>
      <c r="I170" s="92" t="s">
        <v>230</v>
      </c>
      <c r="J170" s="93" t="s">
        <v>231</v>
      </c>
      <c r="K170" s="94">
        <v>11.5</v>
      </c>
      <c r="L170" s="94">
        <f>K170*VLOOKUP(H170,dagsoorttabel1,2,FALSE)</f>
        <v>4.6000000000000005</v>
      </c>
      <c r="M170" s="95">
        <f>prodnorm14</f>
        <v>0</v>
      </c>
      <c r="N170" s="92" t="s">
        <v>101</v>
      </c>
      <c r="O170" s="26">
        <f>uurtarief14</f>
        <v>0</v>
      </c>
      <c r="P170" s="94" t="e">
        <f>IF(ISBLANK(M170),0,L170/ROUND(M170,4))</f>
        <v>#DIV/0!</v>
      </c>
      <c r="Q170" s="26" t="e">
        <f>ROUND(O170,2)*P170</f>
        <v>#DIV/0!</v>
      </c>
      <c r="R170" s="94" t="e">
        <f>P170*dagenperjaar1</f>
        <v>#DIV/0!</v>
      </c>
      <c r="S170" s="27" t="e">
        <f>R170*ROUND(O170,2)</f>
        <v>#DIV/0!</v>
      </c>
    </row>
    <row r="171" spans="1:19" x14ac:dyDescent="0.2">
      <c r="A171" s="91" t="s">
        <v>606</v>
      </c>
      <c r="B171" s="92" t="s">
        <v>607</v>
      </c>
      <c r="C171" s="92" t="s">
        <v>335</v>
      </c>
      <c r="D171" s="92" t="s">
        <v>621</v>
      </c>
      <c r="E171" s="93" t="s">
        <v>622</v>
      </c>
      <c r="F171" s="92" t="s">
        <v>338</v>
      </c>
      <c r="G171" s="92" t="s">
        <v>339</v>
      </c>
      <c r="H171" s="92"/>
      <c r="I171" s="92"/>
      <c r="J171" s="92"/>
      <c r="K171" s="94">
        <v>18</v>
      </c>
      <c r="L171" s="94"/>
      <c r="M171" s="95"/>
      <c r="N171" s="92"/>
      <c r="O171" s="26"/>
      <c r="P171" s="94"/>
      <c r="Q171" s="26"/>
      <c r="R171" s="96"/>
      <c r="S171" s="27"/>
    </row>
    <row r="172" spans="1:19" x14ac:dyDescent="0.2">
      <c r="A172" s="91" t="s">
        <v>606</v>
      </c>
      <c r="B172" s="92" t="s">
        <v>607</v>
      </c>
      <c r="C172" s="92" t="s">
        <v>335</v>
      </c>
      <c r="D172" s="92" t="s">
        <v>623</v>
      </c>
      <c r="E172" s="93" t="s">
        <v>390</v>
      </c>
      <c r="F172" s="92" t="s">
        <v>624</v>
      </c>
      <c r="G172" s="92" t="s">
        <v>266</v>
      </c>
      <c r="H172" s="92" t="s">
        <v>9</v>
      </c>
      <c r="I172" s="92" t="s">
        <v>230</v>
      </c>
      <c r="J172" s="93" t="s">
        <v>267</v>
      </c>
      <c r="K172" s="94">
        <v>7.4</v>
      </c>
      <c r="L172" s="94">
        <f>K172*VLOOKUP(H172,dagsoorttabel1,2,FALSE)</f>
        <v>7.4</v>
      </c>
      <c r="M172" s="95">
        <f>prodnorm51</f>
        <v>0</v>
      </c>
      <c r="N172" s="92" t="s">
        <v>101</v>
      </c>
      <c r="O172" s="26">
        <f>uurtarief51</f>
        <v>0</v>
      </c>
      <c r="P172" s="94" t="e">
        <f>IF(ISBLANK(M172),0,L172/ROUND(M172,4))</f>
        <v>#DIV/0!</v>
      </c>
      <c r="Q172" s="26" t="e">
        <f>ROUND(O172,2)*P172</f>
        <v>#DIV/0!</v>
      </c>
      <c r="R172" s="94" t="e">
        <f>P172*dagenperjaar1</f>
        <v>#DIV/0!</v>
      </c>
      <c r="S172" s="27" t="e">
        <f>R172*ROUND(O172,2)</f>
        <v>#DIV/0!</v>
      </c>
    </row>
    <row r="173" spans="1:19" x14ac:dyDescent="0.2">
      <c r="A173" s="91" t="s">
        <v>606</v>
      </c>
      <c r="B173" s="92" t="s">
        <v>607</v>
      </c>
      <c r="C173" s="92" t="s">
        <v>335</v>
      </c>
      <c r="D173" s="92" t="s">
        <v>625</v>
      </c>
      <c r="E173" s="93" t="s">
        <v>626</v>
      </c>
      <c r="F173" s="92" t="s">
        <v>458</v>
      </c>
      <c r="G173" s="92" t="s">
        <v>256</v>
      </c>
      <c r="H173" s="92" t="s">
        <v>9</v>
      </c>
      <c r="I173" s="92" t="s">
        <v>230</v>
      </c>
      <c r="J173" s="93" t="s">
        <v>257</v>
      </c>
      <c r="K173" s="94">
        <v>7.4</v>
      </c>
      <c r="L173" s="94">
        <f>K173*VLOOKUP(H173,dagsoorttabel1,2,FALSE)</f>
        <v>7.4</v>
      </c>
      <c r="M173" s="95">
        <f>prodnorm40</f>
        <v>0</v>
      </c>
      <c r="N173" s="92" t="s">
        <v>101</v>
      </c>
      <c r="O173" s="26">
        <f>uurtarief40</f>
        <v>0</v>
      </c>
      <c r="P173" s="94" t="e">
        <f>IF(ISBLANK(M173),0,L173/ROUND(M173,4))</f>
        <v>#DIV/0!</v>
      </c>
      <c r="Q173" s="26" t="e">
        <f>ROUND(O173,2)*P173</f>
        <v>#DIV/0!</v>
      </c>
      <c r="R173" s="94" t="e">
        <f>P173*dagenperjaar1</f>
        <v>#DIV/0!</v>
      </c>
      <c r="S173" s="27" t="e">
        <f>R173*ROUND(O173,2)</f>
        <v>#DIV/0!</v>
      </c>
    </row>
    <row r="174" spans="1:19" x14ac:dyDescent="0.2">
      <c r="A174" s="91" t="s">
        <v>606</v>
      </c>
      <c r="B174" s="92" t="s">
        <v>607</v>
      </c>
      <c r="C174" s="92" t="s">
        <v>335</v>
      </c>
      <c r="D174" s="92" t="s">
        <v>627</v>
      </c>
      <c r="E174" s="93" t="s">
        <v>628</v>
      </c>
      <c r="F174" s="92" t="s">
        <v>338</v>
      </c>
      <c r="G174" s="92" t="s">
        <v>339</v>
      </c>
      <c r="H174" s="92"/>
      <c r="I174" s="92"/>
      <c r="J174" s="92"/>
      <c r="K174" s="94">
        <v>14</v>
      </c>
      <c r="L174" s="94"/>
      <c r="M174" s="95"/>
      <c r="N174" s="92"/>
      <c r="O174" s="26"/>
      <c r="P174" s="94"/>
      <c r="Q174" s="26"/>
      <c r="R174" s="96"/>
      <c r="S174" s="27"/>
    </row>
    <row r="175" spans="1:19" x14ac:dyDescent="0.2">
      <c r="A175" s="91" t="s">
        <v>606</v>
      </c>
      <c r="B175" s="92" t="s">
        <v>607</v>
      </c>
      <c r="C175" s="92" t="s">
        <v>335</v>
      </c>
      <c r="D175" s="92" t="s">
        <v>627</v>
      </c>
      <c r="E175" s="93" t="s">
        <v>629</v>
      </c>
      <c r="F175" s="92" t="s">
        <v>458</v>
      </c>
      <c r="G175" s="92" t="s">
        <v>256</v>
      </c>
      <c r="H175" s="92" t="s">
        <v>9</v>
      </c>
      <c r="I175" s="92" t="s">
        <v>230</v>
      </c>
      <c r="J175" s="93" t="s">
        <v>257</v>
      </c>
      <c r="K175" s="94">
        <v>20</v>
      </c>
      <c r="L175" s="94">
        <f>K175*VLOOKUP(H175,dagsoorttabel1,2,FALSE)</f>
        <v>20</v>
      </c>
      <c r="M175" s="95">
        <f>prodnorm40</f>
        <v>0</v>
      </c>
      <c r="N175" s="92" t="s">
        <v>101</v>
      </c>
      <c r="O175" s="26">
        <f>uurtarief40</f>
        <v>0</v>
      </c>
      <c r="P175" s="94" t="e">
        <f>IF(ISBLANK(M175),0,L175/ROUND(M175,4))</f>
        <v>#DIV/0!</v>
      </c>
      <c r="Q175" s="26" t="e">
        <f>ROUND(O175,2)*P175</f>
        <v>#DIV/0!</v>
      </c>
      <c r="R175" s="94" t="e">
        <f>P175*dagenperjaar1</f>
        <v>#DIV/0!</v>
      </c>
      <c r="S175" s="27" t="e">
        <f>R175*ROUND(O175,2)</f>
        <v>#DIV/0!</v>
      </c>
    </row>
    <row r="176" spans="1:19" x14ac:dyDescent="0.2">
      <c r="A176" s="91" t="s">
        <v>606</v>
      </c>
      <c r="B176" s="92" t="s">
        <v>607</v>
      </c>
      <c r="C176" s="92" t="s">
        <v>335</v>
      </c>
      <c r="D176" s="92" t="s">
        <v>630</v>
      </c>
      <c r="E176" s="93" t="s">
        <v>392</v>
      </c>
      <c r="F176" s="92" t="s">
        <v>338</v>
      </c>
      <c r="G176" s="92" t="s">
        <v>339</v>
      </c>
      <c r="H176" s="92"/>
      <c r="I176" s="92"/>
      <c r="J176" s="92"/>
      <c r="K176" s="94">
        <v>15</v>
      </c>
      <c r="L176" s="94"/>
      <c r="M176" s="95"/>
      <c r="N176" s="92"/>
      <c r="O176" s="26"/>
      <c r="P176" s="94"/>
      <c r="Q176" s="26"/>
      <c r="R176" s="96"/>
      <c r="S176" s="27"/>
    </row>
    <row r="177" spans="1:19" x14ac:dyDescent="0.2">
      <c r="A177" s="91" t="s">
        <v>606</v>
      </c>
      <c r="B177" s="92" t="s">
        <v>607</v>
      </c>
      <c r="C177" s="92" t="s">
        <v>335</v>
      </c>
      <c r="D177" s="92" t="s">
        <v>631</v>
      </c>
      <c r="E177" s="93" t="s">
        <v>632</v>
      </c>
      <c r="F177" s="92" t="s">
        <v>458</v>
      </c>
      <c r="G177" s="92" t="s">
        <v>250</v>
      </c>
      <c r="H177" s="92" t="s">
        <v>9</v>
      </c>
      <c r="I177" s="92" t="s">
        <v>230</v>
      </c>
      <c r="J177" s="93" t="s">
        <v>251</v>
      </c>
      <c r="K177" s="94">
        <v>12.8</v>
      </c>
      <c r="L177" s="94">
        <f>K177*VLOOKUP(H177,dagsoorttabel1,2,FALSE)</f>
        <v>12.8</v>
      </c>
      <c r="M177" s="95">
        <f>prodnorm33</f>
        <v>0</v>
      </c>
      <c r="N177" s="92" t="s">
        <v>101</v>
      </c>
      <c r="O177" s="26">
        <f>uurtarief33</f>
        <v>0</v>
      </c>
      <c r="P177" s="94" t="e">
        <f>IF(ISBLANK(M177),0,L177/ROUND(M177,4))</f>
        <v>#DIV/0!</v>
      </c>
      <c r="Q177" s="26" t="e">
        <f>ROUND(O177,2)*P177</f>
        <v>#DIV/0!</v>
      </c>
      <c r="R177" s="94" t="e">
        <f>P177*dagenperjaar1</f>
        <v>#DIV/0!</v>
      </c>
      <c r="S177" s="27" t="e">
        <f>R177*ROUND(O177,2)</f>
        <v>#DIV/0!</v>
      </c>
    </row>
    <row r="178" spans="1:19" x14ac:dyDescent="0.2">
      <c r="A178" s="91" t="s">
        <v>606</v>
      </c>
      <c r="B178" s="92" t="s">
        <v>607</v>
      </c>
      <c r="C178" s="92" t="s">
        <v>335</v>
      </c>
      <c r="D178" s="92" t="s">
        <v>633</v>
      </c>
      <c r="E178" s="93" t="s">
        <v>560</v>
      </c>
      <c r="F178" s="92" t="s">
        <v>349</v>
      </c>
      <c r="G178" s="92" t="s">
        <v>252</v>
      </c>
      <c r="H178" s="92" t="s">
        <v>9</v>
      </c>
      <c r="I178" s="92" t="s">
        <v>230</v>
      </c>
      <c r="J178" s="93" t="s">
        <v>253</v>
      </c>
      <c r="K178" s="94">
        <v>3.4</v>
      </c>
      <c r="L178" s="94">
        <f>K178*VLOOKUP(H178,dagsoorttabel1,2,FALSE)</f>
        <v>3.4</v>
      </c>
      <c r="M178" s="95">
        <f>prodnorm36</f>
        <v>0</v>
      </c>
      <c r="N178" s="92" t="s">
        <v>101</v>
      </c>
      <c r="O178" s="26">
        <f>uurtarief36</f>
        <v>0</v>
      </c>
      <c r="P178" s="94" t="e">
        <f>IF(ISBLANK(M178),0,L178/ROUND(M178,4))</f>
        <v>#DIV/0!</v>
      </c>
      <c r="Q178" s="26" t="e">
        <f>ROUND(O178,2)*P178</f>
        <v>#DIV/0!</v>
      </c>
      <c r="R178" s="94" t="e">
        <f>P178*dagenperjaar1</f>
        <v>#DIV/0!</v>
      </c>
      <c r="S178" s="27" t="e">
        <f>R178*ROUND(O178,2)</f>
        <v>#DIV/0!</v>
      </c>
    </row>
    <row r="179" spans="1:19" x14ac:dyDescent="0.2">
      <c r="A179" s="91" t="s">
        <v>606</v>
      </c>
      <c r="B179" s="92" t="s">
        <v>607</v>
      </c>
      <c r="C179" s="92" t="s">
        <v>335</v>
      </c>
      <c r="D179" s="92" t="s">
        <v>634</v>
      </c>
      <c r="E179" s="93" t="s">
        <v>635</v>
      </c>
      <c r="F179" s="92" t="s">
        <v>349</v>
      </c>
      <c r="G179" s="92" t="s">
        <v>252</v>
      </c>
      <c r="H179" s="92" t="s">
        <v>9</v>
      </c>
      <c r="I179" s="92" t="s">
        <v>230</v>
      </c>
      <c r="J179" s="93" t="s">
        <v>253</v>
      </c>
      <c r="K179" s="94">
        <v>2.2999999999999998</v>
      </c>
      <c r="L179" s="94">
        <f>K179*VLOOKUP(H179,dagsoorttabel1,2,FALSE)</f>
        <v>2.2999999999999998</v>
      </c>
      <c r="M179" s="95">
        <f>prodnorm36</f>
        <v>0</v>
      </c>
      <c r="N179" s="92" t="s">
        <v>101</v>
      </c>
      <c r="O179" s="26">
        <f>uurtarief36</f>
        <v>0</v>
      </c>
      <c r="P179" s="94" t="e">
        <f>IF(ISBLANK(M179),0,L179/ROUND(M179,4))</f>
        <v>#DIV/0!</v>
      </c>
      <c r="Q179" s="26" t="e">
        <f>ROUND(O179,2)*P179</f>
        <v>#DIV/0!</v>
      </c>
      <c r="R179" s="94" t="e">
        <f>P179*dagenperjaar1</f>
        <v>#DIV/0!</v>
      </c>
      <c r="S179" s="27" t="e">
        <f>R179*ROUND(O179,2)</f>
        <v>#DIV/0!</v>
      </c>
    </row>
    <row r="180" spans="1:19" x14ac:dyDescent="0.2">
      <c r="A180" s="91" t="s">
        <v>606</v>
      </c>
      <c r="B180" s="92" t="s">
        <v>607</v>
      </c>
      <c r="C180" s="92" t="s">
        <v>335</v>
      </c>
      <c r="D180" s="92" t="s">
        <v>636</v>
      </c>
      <c r="E180" s="93" t="s">
        <v>534</v>
      </c>
      <c r="F180" s="92" t="s">
        <v>36</v>
      </c>
      <c r="G180" s="92" t="s">
        <v>339</v>
      </c>
      <c r="H180" s="92"/>
      <c r="I180" s="92"/>
      <c r="J180" s="92"/>
      <c r="K180" s="94">
        <v>1</v>
      </c>
      <c r="L180" s="94"/>
      <c r="M180" s="95"/>
      <c r="N180" s="92"/>
      <c r="O180" s="26"/>
      <c r="P180" s="94"/>
      <c r="Q180" s="26"/>
      <c r="R180" s="96"/>
      <c r="S180" s="27"/>
    </row>
    <row r="181" spans="1:19" x14ac:dyDescent="0.2">
      <c r="A181" s="91" t="s">
        <v>606</v>
      </c>
      <c r="B181" s="92" t="s">
        <v>607</v>
      </c>
      <c r="C181" s="92" t="s">
        <v>335</v>
      </c>
      <c r="D181" s="92" t="s">
        <v>637</v>
      </c>
      <c r="E181" s="93" t="s">
        <v>638</v>
      </c>
      <c r="F181" s="92" t="s">
        <v>349</v>
      </c>
      <c r="G181" s="92" t="s">
        <v>252</v>
      </c>
      <c r="H181" s="92" t="s">
        <v>9</v>
      </c>
      <c r="I181" s="92" t="s">
        <v>230</v>
      </c>
      <c r="J181" s="93" t="s">
        <v>253</v>
      </c>
      <c r="K181" s="94">
        <v>1.2</v>
      </c>
      <c r="L181" s="94">
        <f>K181*VLOOKUP(H181,dagsoorttabel1,2,FALSE)</f>
        <v>1.2</v>
      </c>
      <c r="M181" s="95">
        <f>prodnorm36</f>
        <v>0</v>
      </c>
      <c r="N181" s="92" t="s">
        <v>101</v>
      </c>
      <c r="O181" s="26">
        <f>uurtarief36</f>
        <v>0</v>
      </c>
      <c r="P181" s="94" t="e">
        <f>IF(ISBLANK(M181),0,L181/ROUND(M181,4))</f>
        <v>#DIV/0!</v>
      </c>
      <c r="Q181" s="26" t="e">
        <f>ROUND(O181,2)*P181</f>
        <v>#DIV/0!</v>
      </c>
      <c r="R181" s="94" t="e">
        <f>P181*dagenperjaar1</f>
        <v>#DIV/0!</v>
      </c>
      <c r="S181" s="27" t="e">
        <f>R181*ROUND(O181,2)</f>
        <v>#DIV/0!</v>
      </c>
    </row>
    <row r="182" spans="1:19" x14ac:dyDescent="0.2">
      <c r="A182" s="91" t="s">
        <v>606</v>
      </c>
      <c r="B182" s="92" t="s">
        <v>607</v>
      </c>
      <c r="C182" s="92" t="s">
        <v>335</v>
      </c>
      <c r="D182" s="92" t="s">
        <v>639</v>
      </c>
      <c r="E182" s="93" t="s">
        <v>640</v>
      </c>
      <c r="F182" s="92" t="s">
        <v>349</v>
      </c>
      <c r="G182" s="92" t="s">
        <v>252</v>
      </c>
      <c r="H182" s="92" t="s">
        <v>9</v>
      </c>
      <c r="I182" s="92" t="s">
        <v>230</v>
      </c>
      <c r="J182" s="93" t="s">
        <v>253</v>
      </c>
      <c r="K182" s="94">
        <v>1.6</v>
      </c>
      <c r="L182" s="94">
        <f>K182*VLOOKUP(H182,dagsoorttabel1,2,FALSE)</f>
        <v>1.6</v>
      </c>
      <c r="M182" s="95">
        <f>prodnorm36</f>
        <v>0</v>
      </c>
      <c r="N182" s="92" t="s">
        <v>101</v>
      </c>
      <c r="O182" s="26">
        <f>uurtarief36</f>
        <v>0</v>
      </c>
      <c r="P182" s="94" t="e">
        <f>IF(ISBLANK(M182),0,L182/ROUND(M182,4))</f>
        <v>#DIV/0!</v>
      </c>
      <c r="Q182" s="26" t="e">
        <f>ROUND(O182,2)*P182</f>
        <v>#DIV/0!</v>
      </c>
      <c r="R182" s="94" t="e">
        <f>P182*dagenperjaar1</f>
        <v>#DIV/0!</v>
      </c>
      <c r="S182" s="27" t="e">
        <f>R182*ROUND(O182,2)</f>
        <v>#DIV/0!</v>
      </c>
    </row>
    <row r="183" spans="1:19" x14ac:dyDescent="0.2">
      <c r="A183" s="91" t="s">
        <v>606</v>
      </c>
      <c r="B183" s="92" t="s">
        <v>607</v>
      </c>
      <c r="C183" s="92" t="s">
        <v>335</v>
      </c>
      <c r="D183" s="92" t="s">
        <v>639</v>
      </c>
      <c r="E183" s="93" t="s">
        <v>640</v>
      </c>
      <c r="F183" s="92" t="s">
        <v>349</v>
      </c>
      <c r="G183" s="92" t="s">
        <v>254</v>
      </c>
      <c r="H183" s="92" t="s">
        <v>10</v>
      </c>
      <c r="I183" s="92" t="s">
        <v>230</v>
      </c>
      <c r="J183" s="93" t="s">
        <v>255</v>
      </c>
      <c r="K183" s="94">
        <v>1.6</v>
      </c>
      <c r="L183" s="94">
        <f>K183*VLOOKUP(H183,dagsoorttabel1,2,FALSE)</f>
        <v>1.2800000000000002</v>
      </c>
      <c r="M183" s="95">
        <f>prodnorm37</f>
        <v>0</v>
      </c>
      <c r="N183" s="92" t="s">
        <v>101</v>
      </c>
      <c r="O183" s="26">
        <f>uurtarief37</f>
        <v>0</v>
      </c>
      <c r="P183" s="94" t="e">
        <f>IF(ISBLANK(M183),0,L183/ROUND(M183,4))</f>
        <v>#DIV/0!</v>
      </c>
      <c r="Q183" s="26" t="e">
        <f>ROUND(O183,2)*P183</f>
        <v>#DIV/0!</v>
      </c>
      <c r="R183" s="94" t="e">
        <f>P183*dagenperjaar1</f>
        <v>#DIV/0!</v>
      </c>
      <c r="S183" s="27" t="e">
        <f>R183*ROUND(O183,2)</f>
        <v>#DIV/0!</v>
      </c>
    </row>
    <row r="184" spans="1:19" ht="25.5" x14ac:dyDescent="0.2">
      <c r="A184" s="91" t="s">
        <v>606</v>
      </c>
      <c r="B184" s="92" t="s">
        <v>607</v>
      </c>
      <c r="C184" s="92" t="s">
        <v>335</v>
      </c>
      <c r="D184" s="92" t="s">
        <v>641</v>
      </c>
      <c r="E184" s="93" t="s">
        <v>642</v>
      </c>
      <c r="F184" s="92" t="s">
        <v>349</v>
      </c>
      <c r="G184" s="92" t="s">
        <v>252</v>
      </c>
      <c r="H184" s="92" t="s">
        <v>9</v>
      </c>
      <c r="I184" s="92" t="s">
        <v>230</v>
      </c>
      <c r="J184" s="93" t="s">
        <v>253</v>
      </c>
      <c r="K184" s="94">
        <v>1.6</v>
      </c>
      <c r="L184" s="94">
        <f>K184*VLOOKUP(H184,dagsoorttabel1,2,FALSE)</f>
        <v>1.6</v>
      </c>
      <c r="M184" s="95">
        <f>prodnorm36</f>
        <v>0</v>
      </c>
      <c r="N184" s="92" t="s">
        <v>101</v>
      </c>
      <c r="O184" s="26">
        <f>uurtarief36</f>
        <v>0</v>
      </c>
      <c r="P184" s="94" t="e">
        <f>IF(ISBLANK(M184),0,L184/ROUND(M184,4))</f>
        <v>#DIV/0!</v>
      </c>
      <c r="Q184" s="26" t="e">
        <f>ROUND(O184,2)*P184</f>
        <v>#DIV/0!</v>
      </c>
      <c r="R184" s="94" t="e">
        <f>P184*dagenperjaar1</f>
        <v>#DIV/0!</v>
      </c>
      <c r="S184" s="27" t="e">
        <f>R184*ROUND(O184,2)</f>
        <v>#DIV/0!</v>
      </c>
    </row>
    <row r="185" spans="1:19" x14ac:dyDescent="0.2">
      <c r="A185" s="91" t="s">
        <v>606</v>
      </c>
      <c r="B185" s="92" t="s">
        <v>607</v>
      </c>
      <c r="C185" s="92" t="s">
        <v>335</v>
      </c>
      <c r="D185" s="92" t="s">
        <v>643</v>
      </c>
      <c r="E185" s="93" t="s">
        <v>644</v>
      </c>
      <c r="F185" s="92" t="s">
        <v>349</v>
      </c>
      <c r="G185" s="92" t="s">
        <v>250</v>
      </c>
      <c r="H185" s="92" t="s">
        <v>9</v>
      </c>
      <c r="I185" s="92" t="s">
        <v>230</v>
      </c>
      <c r="J185" s="93" t="s">
        <v>251</v>
      </c>
      <c r="K185" s="94">
        <v>13.1</v>
      </c>
      <c r="L185" s="94">
        <f>K185*VLOOKUP(H185,dagsoorttabel1,2,FALSE)</f>
        <v>13.1</v>
      </c>
      <c r="M185" s="95">
        <f>prodnorm33</f>
        <v>0</v>
      </c>
      <c r="N185" s="92" t="s">
        <v>101</v>
      </c>
      <c r="O185" s="26">
        <f>uurtarief33</f>
        <v>0</v>
      </c>
      <c r="P185" s="94" t="e">
        <f>IF(ISBLANK(M185),0,L185/ROUND(M185,4))</f>
        <v>#DIV/0!</v>
      </c>
      <c r="Q185" s="26" t="e">
        <f>ROUND(O185,2)*P185</f>
        <v>#DIV/0!</v>
      </c>
      <c r="R185" s="94" t="e">
        <f>P185*dagenperjaar1</f>
        <v>#DIV/0!</v>
      </c>
      <c r="S185" s="27" t="e">
        <f>R185*ROUND(O185,2)</f>
        <v>#DIV/0!</v>
      </c>
    </row>
    <row r="186" spans="1:19" x14ac:dyDescent="0.2">
      <c r="A186" s="91" t="s">
        <v>606</v>
      </c>
      <c r="B186" s="92" t="s">
        <v>607</v>
      </c>
      <c r="C186" s="92" t="s">
        <v>335</v>
      </c>
      <c r="D186" s="92" t="s">
        <v>645</v>
      </c>
      <c r="E186" s="93" t="s">
        <v>646</v>
      </c>
      <c r="F186" s="92" t="s">
        <v>338</v>
      </c>
      <c r="G186" s="92" t="s">
        <v>339</v>
      </c>
      <c r="H186" s="92"/>
      <c r="I186" s="92"/>
      <c r="J186" s="92"/>
      <c r="K186" s="94">
        <v>88</v>
      </c>
      <c r="L186" s="94"/>
      <c r="M186" s="95"/>
      <c r="N186" s="92"/>
      <c r="O186" s="26"/>
      <c r="P186" s="94"/>
      <c r="Q186" s="26"/>
      <c r="R186" s="96"/>
      <c r="S186" s="27"/>
    </row>
    <row r="187" spans="1:19" x14ac:dyDescent="0.2">
      <c r="A187" s="91" t="s">
        <v>606</v>
      </c>
      <c r="B187" s="92" t="s">
        <v>607</v>
      </c>
      <c r="C187" s="92" t="s">
        <v>335</v>
      </c>
      <c r="D187" s="92" t="s">
        <v>647</v>
      </c>
      <c r="E187" s="93" t="s">
        <v>648</v>
      </c>
      <c r="F187" s="92" t="s">
        <v>338</v>
      </c>
      <c r="G187" s="92" t="s">
        <v>339</v>
      </c>
      <c r="H187" s="92"/>
      <c r="I187" s="92"/>
      <c r="J187" s="92"/>
      <c r="K187" s="94">
        <v>6</v>
      </c>
      <c r="L187" s="94"/>
      <c r="M187" s="95"/>
      <c r="N187" s="92"/>
      <c r="O187" s="26"/>
      <c r="P187" s="94"/>
      <c r="Q187" s="26"/>
      <c r="R187" s="96"/>
      <c r="S187" s="27"/>
    </row>
    <row r="188" spans="1:19" x14ac:dyDescent="0.2">
      <c r="A188" s="91" t="s">
        <v>606</v>
      </c>
      <c r="B188" s="92" t="s">
        <v>607</v>
      </c>
      <c r="C188" s="92" t="s">
        <v>393</v>
      </c>
      <c r="D188" s="92" t="s">
        <v>649</v>
      </c>
      <c r="E188" s="93" t="s">
        <v>650</v>
      </c>
      <c r="F188" s="92" t="s">
        <v>458</v>
      </c>
      <c r="G188" s="92" t="s">
        <v>256</v>
      </c>
      <c r="H188" s="92" t="s">
        <v>9</v>
      </c>
      <c r="I188" s="92" t="s">
        <v>230</v>
      </c>
      <c r="J188" s="93" t="s">
        <v>257</v>
      </c>
      <c r="K188" s="94">
        <v>10.7</v>
      </c>
      <c r="L188" s="94">
        <f>K188*VLOOKUP(H188,dagsoorttabel1,2,FALSE)</f>
        <v>10.7</v>
      </c>
      <c r="M188" s="95">
        <f>prodnorm40</f>
        <v>0</v>
      </c>
      <c r="N188" s="92" t="s">
        <v>101</v>
      </c>
      <c r="O188" s="26">
        <f>uurtarief40</f>
        <v>0</v>
      </c>
      <c r="P188" s="94" t="e">
        <f>IF(ISBLANK(M188),0,L188/ROUND(M188,4))</f>
        <v>#DIV/0!</v>
      </c>
      <c r="Q188" s="26" t="e">
        <f>ROUND(O188,2)*P188</f>
        <v>#DIV/0!</v>
      </c>
      <c r="R188" s="94" t="e">
        <f>P188*dagenperjaar1</f>
        <v>#DIV/0!</v>
      </c>
      <c r="S188" s="27" t="e">
        <f>R188*ROUND(O188,2)</f>
        <v>#DIV/0!</v>
      </c>
    </row>
    <row r="189" spans="1:19" x14ac:dyDescent="0.2">
      <c r="A189" s="91" t="s">
        <v>606</v>
      </c>
      <c r="B189" s="92" t="s">
        <v>607</v>
      </c>
      <c r="C189" s="92" t="s">
        <v>393</v>
      </c>
      <c r="D189" s="92" t="s">
        <v>651</v>
      </c>
      <c r="E189" s="93" t="s">
        <v>652</v>
      </c>
      <c r="F189" s="92" t="s">
        <v>543</v>
      </c>
      <c r="G189" s="92" t="s">
        <v>232</v>
      </c>
      <c r="H189" s="92" t="s">
        <v>13</v>
      </c>
      <c r="I189" s="92" t="s">
        <v>230</v>
      </c>
      <c r="J189" s="93" t="s">
        <v>233</v>
      </c>
      <c r="K189" s="94">
        <v>27.8</v>
      </c>
      <c r="L189" s="94">
        <f>K189*VLOOKUP(H189,dagsoorttabel1,2,FALSE)</f>
        <v>11.120000000000001</v>
      </c>
      <c r="M189" s="95">
        <f>prodnorm17</f>
        <v>0</v>
      </c>
      <c r="N189" s="92" t="s">
        <v>101</v>
      </c>
      <c r="O189" s="26">
        <f>uurtarief17</f>
        <v>0</v>
      </c>
      <c r="P189" s="94" t="e">
        <f>IF(ISBLANK(M189),0,L189/ROUND(M189,4))</f>
        <v>#DIV/0!</v>
      </c>
      <c r="Q189" s="26" t="e">
        <f>ROUND(O189,2)*P189</f>
        <v>#DIV/0!</v>
      </c>
      <c r="R189" s="94" t="e">
        <f>P189*dagenperjaar1</f>
        <v>#DIV/0!</v>
      </c>
      <c r="S189" s="27" t="e">
        <f>R189*ROUND(O189,2)</f>
        <v>#DIV/0!</v>
      </c>
    </row>
    <row r="190" spans="1:19" x14ac:dyDescent="0.2">
      <c r="A190" s="91" t="s">
        <v>606</v>
      </c>
      <c r="B190" s="92" t="s">
        <v>607</v>
      </c>
      <c r="C190" s="92" t="s">
        <v>393</v>
      </c>
      <c r="D190" s="92" t="s">
        <v>653</v>
      </c>
      <c r="E190" s="93" t="s">
        <v>654</v>
      </c>
      <c r="F190" s="92" t="s">
        <v>543</v>
      </c>
      <c r="G190" s="92" t="s">
        <v>232</v>
      </c>
      <c r="H190" s="92" t="s">
        <v>13</v>
      </c>
      <c r="I190" s="92" t="s">
        <v>230</v>
      </c>
      <c r="J190" s="93" t="s">
        <v>233</v>
      </c>
      <c r="K190" s="94">
        <v>23.3</v>
      </c>
      <c r="L190" s="94">
        <f>K190*VLOOKUP(H190,dagsoorttabel1,2,FALSE)</f>
        <v>9.32</v>
      </c>
      <c r="M190" s="95">
        <f>prodnorm17</f>
        <v>0</v>
      </c>
      <c r="N190" s="92" t="s">
        <v>101</v>
      </c>
      <c r="O190" s="26">
        <f>uurtarief17</f>
        <v>0</v>
      </c>
      <c r="P190" s="94" t="e">
        <f>IF(ISBLANK(M190),0,L190/ROUND(M190,4))</f>
        <v>#DIV/0!</v>
      </c>
      <c r="Q190" s="26" t="e">
        <f>ROUND(O190,2)*P190</f>
        <v>#DIV/0!</v>
      </c>
      <c r="R190" s="94" t="e">
        <f>P190*dagenperjaar1</f>
        <v>#DIV/0!</v>
      </c>
      <c r="S190" s="27" t="e">
        <f>R190*ROUND(O190,2)</f>
        <v>#DIV/0!</v>
      </c>
    </row>
    <row r="191" spans="1:19" x14ac:dyDescent="0.2">
      <c r="A191" s="91" t="s">
        <v>606</v>
      </c>
      <c r="B191" s="92" t="s">
        <v>607</v>
      </c>
      <c r="C191" s="92" t="s">
        <v>393</v>
      </c>
      <c r="D191" s="92" t="s">
        <v>655</v>
      </c>
      <c r="E191" s="93" t="s">
        <v>656</v>
      </c>
      <c r="F191" s="92" t="s">
        <v>458</v>
      </c>
      <c r="G191" s="92" t="s">
        <v>256</v>
      </c>
      <c r="H191" s="92" t="s">
        <v>9</v>
      </c>
      <c r="I191" s="92" t="s">
        <v>230</v>
      </c>
      <c r="J191" s="93" t="s">
        <v>257</v>
      </c>
      <c r="K191" s="94">
        <v>10.4</v>
      </c>
      <c r="L191" s="94">
        <f>K191*VLOOKUP(H191,dagsoorttabel1,2,FALSE)</f>
        <v>10.4</v>
      </c>
      <c r="M191" s="95">
        <f>prodnorm40</f>
        <v>0</v>
      </c>
      <c r="N191" s="92" t="s">
        <v>101</v>
      </c>
      <c r="O191" s="26">
        <f>uurtarief40</f>
        <v>0</v>
      </c>
      <c r="P191" s="94" t="e">
        <f>IF(ISBLANK(M191),0,L191/ROUND(M191,4))</f>
        <v>#DIV/0!</v>
      </c>
      <c r="Q191" s="26" t="e">
        <f>ROUND(O191,2)*P191</f>
        <v>#DIV/0!</v>
      </c>
      <c r="R191" s="94" t="e">
        <f>P191*dagenperjaar1</f>
        <v>#DIV/0!</v>
      </c>
      <c r="S191" s="27" t="e">
        <f>R191*ROUND(O191,2)</f>
        <v>#DIV/0!</v>
      </c>
    </row>
    <row r="192" spans="1:19" x14ac:dyDescent="0.2">
      <c r="A192" s="91" t="s">
        <v>606</v>
      </c>
      <c r="B192" s="92" t="s">
        <v>607</v>
      </c>
      <c r="C192" s="92" t="s">
        <v>393</v>
      </c>
      <c r="D192" s="92" t="s">
        <v>657</v>
      </c>
      <c r="E192" s="93" t="s">
        <v>658</v>
      </c>
      <c r="F192" s="92" t="s">
        <v>659</v>
      </c>
      <c r="G192" s="92" t="s">
        <v>266</v>
      </c>
      <c r="H192" s="92" t="s">
        <v>9</v>
      </c>
      <c r="I192" s="92" t="s">
        <v>230</v>
      </c>
      <c r="J192" s="93" t="s">
        <v>267</v>
      </c>
      <c r="K192" s="94">
        <v>22.7</v>
      </c>
      <c r="L192" s="94">
        <f>K192*VLOOKUP(H192,dagsoorttabel1,2,FALSE)</f>
        <v>22.7</v>
      </c>
      <c r="M192" s="95">
        <f>prodnorm51</f>
        <v>0</v>
      </c>
      <c r="N192" s="92" t="s">
        <v>101</v>
      </c>
      <c r="O192" s="26">
        <f>uurtarief51</f>
        <v>0</v>
      </c>
      <c r="P192" s="94" t="e">
        <f>IF(ISBLANK(M192),0,L192/ROUND(M192,4))</f>
        <v>#DIV/0!</v>
      </c>
      <c r="Q192" s="26" t="e">
        <f>ROUND(O192,2)*P192</f>
        <v>#DIV/0!</v>
      </c>
      <c r="R192" s="94" t="e">
        <f>P192*dagenperjaar1</f>
        <v>#DIV/0!</v>
      </c>
      <c r="S192" s="27" t="e">
        <f>R192*ROUND(O192,2)</f>
        <v>#DIV/0!</v>
      </c>
    </row>
    <row r="193" spans="1:19" x14ac:dyDescent="0.2">
      <c r="A193" s="91" t="s">
        <v>606</v>
      </c>
      <c r="B193" s="92" t="s">
        <v>607</v>
      </c>
      <c r="C193" s="92" t="s">
        <v>393</v>
      </c>
      <c r="D193" s="92" t="s">
        <v>660</v>
      </c>
      <c r="E193" s="93" t="s">
        <v>661</v>
      </c>
      <c r="F193" s="92" t="s">
        <v>458</v>
      </c>
      <c r="G193" s="92" t="s">
        <v>229</v>
      </c>
      <c r="H193" s="92" t="s">
        <v>9</v>
      </c>
      <c r="I193" s="92" t="s">
        <v>230</v>
      </c>
      <c r="J193" s="93" t="s">
        <v>231</v>
      </c>
      <c r="K193" s="94">
        <v>77.900000000000006</v>
      </c>
      <c r="L193" s="94">
        <f>K193*VLOOKUP(H193,dagsoorttabel1,2,FALSE)</f>
        <v>77.900000000000006</v>
      </c>
      <c r="M193" s="95">
        <f>prodnorm16</f>
        <v>0</v>
      </c>
      <c r="N193" s="92" t="s">
        <v>101</v>
      </c>
      <c r="O193" s="26">
        <f>uurtarief16</f>
        <v>0</v>
      </c>
      <c r="P193" s="94" t="e">
        <f>IF(ISBLANK(M193),0,L193/ROUND(M193,4))</f>
        <v>#DIV/0!</v>
      </c>
      <c r="Q193" s="26" t="e">
        <f>ROUND(O193,2)*P193</f>
        <v>#DIV/0!</v>
      </c>
      <c r="R193" s="94" t="e">
        <f>P193*dagenperjaar1</f>
        <v>#DIV/0!</v>
      </c>
      <c r="S193" s="27" t="e">
        <f>R193*ROUND(O193,2)</f>
        <v>#DIV/0!</v>
      </c>
    </row>
    <row r="194" spans="1:19" x14ac:dyDescent="0.2">
      <c r="A194" s="91" t="s">
        <v>606</v>
      </c>
      <c r="B194" s="92" t="s">
        <v>607</v>
      </c>
      <c r="C194" s="92" t="s">
        <v>393</v>
      </c>
      <c r="D194" s="92" t="s">
        <v>662</v>
      </c>
      <c r="E194" s="93" t="s">
        <v>663</v>
      </c>
      <c r="F194" s="92" t="s">
        <v>543</v>
      </c>
      <c r="G194" s="92" t="s">
        <v>232</v>
      </c>
      <c r="H194" s="92" t="s">
        <v>13</v>
      </c>
      <c r="I194" s="92" t="s">
        <v>230</v>
      </c>
      <c r="J194" s="93" t="s">
        <v>233</v>
      </c>
      <c r="K194" s="94">
        <v>36.6</v>
      </c>
      <c r="L194" s="94">
        <f>K194*VLOOKUP(H194,dagsoorttabel1,2,FALSE)</f>
        <v>14.64</v>
      </c>
      <c r="M194" s="95">
        <f>prodnorm17</f>
        <v>0</v>
      </c>
      <c r="N194" s="92" t="s">
        <v>101</v>
      </c>
      <c r="O194" s="26">
        <f>uurtarief17</f>
        <v>0</v>
      </c>
      <c r="P194" s="94" t="e">
        <f>IF(ISBLANK(M194),0,L194/ROUND(M194,4))</f>
        <v>#DIV/0!</v>
      </c>
      <c r="Q194" s="26" t="e">
        <f>ROUND(O194,2)*P194</f>
        <v>#DIV/0!</v>
      </c>
      <c r="R194" s="94" t="e">
        <f>P194*dagenperjaar1</f>
        <v>#DIV/0!</v>
      </c>
      <c r="S194" s="27" t="e">
        <f>R194*ROUND(O194,2)</f>
        <v>#DIV/0!</v>
      </c>
    </row>
    <row r="195" spans="1:19" x14ac:dyDescent="0.2">
      <c r="A195" s="91" t="s">
        <v>606</v>
      </c>
      <c r="B195" s="92" t="s">
        <v>607</v>
      </c>
      <c r="C195" s="92" t="s">
        <v>393</v>
      </c>
      <c r="D195" s="92" t="s">
        <v>664</v>
      </c>
      <c r="E195" s="93" t="s">
        <v>665</v>
      </c>
      <c r="F195" s="92" t="s">
        <v>543</v>
      </c>
      <c r="G195" s="92" t="s">
        <v>232</v>
      </c>
      <c r="H195" s="92" t="s">
        <v>13</v>
      </c>
      <c r="I195" s="92" t="s">
        <v>230</v>
      </c>
      <c r="J195" s="93" t="s">
        <v>233</v>
      </c>
      <c r="K195" s="94">
        <v>13.7</v>
      </c>
      <c r="L195" s="94">
        <f>K195*VLOOKUP(H195,dagsoorttabel1,2,FALSE)</f>
        <v>5.48</v>
      </c>
      <c r="M195" s="95">
        <f>prodnorm17</f>
        <v>0</v>
      </c>
      <c r="N195" s="92" t="s">
        <v>101</v>
      </c>
      <c r="O195" s="26">
        <f>uurtarief17</f>
        <v>0</v>
      </c>
      <c r="P195" s="94" t="e">
        <f>IF(ISBLANK(M195),0,L195/ROUND(M195,4))</f>
        <v>#DIV/0!</v>
      </c>
      <c r="Q195" s="26" t="e">
        <f>ROUND(O195,2)*P195</f>
        <v>#DIV/0!</v>
      </c>
      <c r="R195" s="94" t="e">
        <f>P195*dagenperjaar1</f>
        <v>#DIV/0!</v>
      </c>
      <c r="S195" s="27" t="e">
        <f>R195*ROUND(O195,2)</f>
        <v>#DIV/0!</v>
      </c>
    </row>
    <row r="196" spans="1:19" x14ac:dyDescent="0.2">
      <c r="A196" s="91" t="s">
        <v>606</v>
      </c>
      <c r="B196" s="92" t="s">
        <v>607</v>
      </c>
      <c r="C196" s="92" t="s">
        <v>393</v>
      </c>
      <c r="D196" s="92" t="s">
        <v>666</v>
      </c>
      <c r="E196" s="93" t="s">
        <v>667</v>
      </c>
      <c r="F196" s="92" t="s">
        <v>543</v>
      </c>
      <c r="G196" s="92" t="s">
        <v>232</v>
      </c>
      <c r="H196" s="92" t="s">
        <v>13</v>
      </c>
      <c r="I196" s="92" t="s">
        <v>230</v>
      </c>
      <c r="J196" s="93" t="s">
        <v>233</v>
      </c>
      <c r="K196" s="94">
        <v>25.4</v>
      </c>
      <c r="L196" s="94">
        <f>K196*VLOOKUP(H196,dagsoorttabel1,2,FALSE)</f>
        <v>10.16</v>
      </c>
      <c r="M196" s="95">
        <f>prodnorm17</f>
        <v>0</v>
      </c>
      <c r="N196" s="92" t="s">
        <v>101</v>
      </c>
      <c r="O196" s="26">
        <f>uurtarief17</f>
        <v>0</v>
      </c>
      <c r="P196" s="94" t="e">
        <f>IF(ISBLANK(M196),0,L196/ROUND(M196,4))</f>
        <v>#DIV/0!</v>
      </c>
      <c r="Q196" s="26" t="e">
        <f>ROUND(O196,2)*P196</f>
        <v>#DIV/0!</v>
      </c>
      <c r="R196" s="94" t="e">
        <f>P196*dagenperjaar1</f>
        <v>#DIV/0!</v>
      </c>
      <c r="S196" s="27" t="e">
        <f>R196*ROUND(O196,2)</f>
        <v>#DIV/0!</v>
      </c>
    </row>
    <row r="197" spans="1:19" x14ac:dyDescent="0.2">
      <c r="A197" s="91" t="s">
        <v>606</v>
      </c>
      <c r="B197" s="92" t="s">
        <v>607</v>
      </c>
      <c r="C197" s="92" t="s">
        <v>393</v>
      </c>
      <c r="D197" s="92" t="s">
        <v>668</v>
      </c>
      <c r="E197" s="93" t="s">
        <v>669</v>
      </c>
      <c r="F197" s="92" t="s">
        <v>543</v>
      </c>
      <c r="G197" s="92" t="s">
        <v>232</v>
      </c>
      <c r="H197" s="92" t="s">
        <v>13</v>
      </c>
      <c r="I197" s="92" t="s">
        <v>230</v>
      </c>
      <c r="J197" s="93" t="s">
        <v>233</v>
      </c>
      <c r="K197" s="94">
        <v>15.2</v>
      </c>
      <c r="L197" s="94">
        <f>K197*VLOOKUP(H197,dagsoorttabel1,2,FALSE)</f>
        <v>6.08</v>
      </c>
      <c r="M197" s="95">
        <f>prodnorm17</f>
        <v>0</v>
      </c>
      <c r="N197" s="92" t="s">
        <v>101</v>
      </c>
      <c r="O197" s="26">
        <f>uurtarief17</f>
        <v>0</v>
      </c>
      <c r="P197" s="94" t="e">
        <f>IF(ISBLANK(M197),0,L197/ROUND(M197,4))</f>
        <v>#DIV/0!</v>
      </c>
      <c r="Q197" s="26" t="e">
        <f>ROUND(O197,2)*P197</f>
        <v>#DIV/0!</v>
      </c>
      <c r="R197" s="94" t="e">
        <f>P197*dagenperjaar1</f>
        <v>#DIV/0!</v>
      </c>
      <c r="S197" s="27" t="e">
        <f>R197*ROUND(O197,2)</f>
        <v>#DIV/0!</v>
      </c>
    </row>
    <row r="198" spans="1:19" x14ac:dyDescent="0.2">
      <c r="A198" s="91" t="s">
        <v>606</v>
      </c>
      <c r="B198" s="92" t="s">
        <v>607</v>
      </c>
      <c r="C198" s="92" t="s">
        <v>393</v>
      </c>
      <c r="D198" s="92" t="s">
        <v>670</v>
      </c>
      <c r="E198" s="93" t="s">
        <v>671</v>
      </c>
      <c r="F198" s="92" t="s">
        <v>543</v>
      </c>
      <c r="G198" s="92" t="s">
        <v>232</v>
      </c>
      <c r="H198" s="92" t="s">
        <v>13</v>
      </c>
      <c r="I198" s="92" t="s">
        <v>230</v>
      </c>
      <c r="J198" s="93" t="s">
        <v>233</v>
      </c>
      <c r="K198" s="94">
        <v>18</v>
      </c>
      <c r="L198" s="94">
        <f>K198*VLOOKUP(H198,dagsoorttabel1,2,FALSE)</f>
        <v>7.2</v>
      </c>
      <c r="M198" s="95">
        <f>prodnorm17</f>
        <v>0</v>
      </c>
      <c r="N198" s="92" t="s">
        <v>101</v>
      </c>
      <c r="O198" s="26">
        <f>uurtarief17</f>
        <v>0</v>
      </c>
      <c r="P198" s="94" t="e">
        <f>IF(ISBLANK(M198),0,L198/ROUND(M198,4))</f>
        <v>#DIV/0!</v>
      </c>
      <c r="Q198" s="26" t="e">
        <f>ROUND(O198,2)*P198</f>
        <v>#DIV/0!</v>
      </c>
      <c r="R198" s="94" t="e">
        <f>P198*dagenperjaar1</f>
        <v>#DIV/0!</v>
      </c>
      <c r="S198" s="27" t="e">
        <f>R198*ROUND(O198,2)</f>
        <v>#DIV/0!</v>
      </c>
    </row>
    <row r="199" spans="1:19" x14ac:dyDescent="0.2">
      <c r="A199" s="91" t="s">
        <v>606</v>
      </c>
      <c r="B199" s="92" t="s">
        <v>607</v>
      </c>
      <c r="C199" s="92" t="s">
        <v>393</v>
      </c>
      <c r="D199" s="92" t="s">
        <v>672</v>
      </c>
      <c r="E199" s="93" t="s">
        <v>390</v>
      </c>
      <c r="F199" s="92" t="s">
        <v>659</v>
      </c>
      <c r="G199" s="92" t="s">
        <v>266</v>
      </c>
      <c r="H199" s="92" t="s">
        <v>9</v>
      </c>
      <c r="I199" s="92" t="s">
        <v>230</v>
      </c>
      <c r="J199" s="93" t="s">
        <v>267</v>
      </c>
      <c r="K199" s="94">
        <v>10.1</v>
      </c>
      <c r="L199" s="94">
        <f>K199*VLOOKUP(H199,dagsoorttabel1,2,FALSE)</f>
        <v>10.1</v>
      </c>
      <c r="M199" s="95">
        <f>prodnorm51</f>
        <v>0</v>
      </c>
      <c r="N199" s="92" t="s">
        <v>101</v>
      </c>
      <c r="O199" s="26">
        <f>uurtarief51</f>
        <v>0</v>
      </c>
      <c r="P199" s="94" t="e">
        <f>IF(ISBLANK(M199),0,L199/ROUND(M199,4))</f>
        <v>#DIV/0!</v>
      </c>
      <c r="Q199" s="26" t="e">
        <f>ROUND(O199,2)*P199</f>
        <v>#DIV/0!</v>
      </c>
      <c r="R199" s="94" t="e">
        <f>P199*dagenperjaar1</f>
        <v>#DIV/0!</v>
      </c>
      <c r="S199" s="27" t="e">
        <f>R199*ROUND(O199,2)</f>
        <v>#DIV/0!</v>
      </c>
    </row>
    <row r="200" spans="1:19" x14ac:dyDescent="0.2">
      <c r="A200" s="91" t="s">
        <v>606</v>
      </c>
      <c r="B200" s="92" t="s">
        <v>607</v>
      </c>
      <c r="C200" s="92" t="s">
        <v>393</v>
      </c>
      <c r="D200" s="92" t="s">
        <v>673</v>
      </c>
      <c r="E200" s="93" t="s">
        <v>558</v>
      </c>
      <c r="F200" s="92" t="s">
        <v>458</v>
      </c>
      <c r="G200" s="92" t="s">
        <v>256</v>
      </c>
      <c r="H200" s="92" t="s">
        <v>9</v>
      </c>
      <c r="I200" s="92" t="s">
        <v>230</v>
      </c>
      <c r="J200" s="93" t="s">
        <v>257</v>
      </c>
      <c r="K200" s="94">
        <v>9.5</v>
      </c>
      <c r="L200" s="94">
        <f>K200*VLOOKUP(H200,dagsoorttabel1,2,FALSE)</f>
        <v>9.5</v>
      </c>
      <c r="M200" s="95">
        <f>prodnorm40</f>
        <v>0</v>
      </c>
      <c r="N200" s="92" t="s">
        <v>101</v>
      </c>
      <c r="O200" s="26">
        <f>uurtarief40</f>
        <v>0</v>
      </c>
      <c r="P200" s="94" t="e">
        <f>IF(ISBLANK(M200),0,L200/ROUND(M200,4))</f>
        <v>#DIV/0!</v>
      </c>
      <c r="Q200" s="26" t="e">
        <f>ROUND(O200,2)*P200</f>
        <v>#DIV/0!</v>
      </c>
      <c r="R200" s="94" t="e">
        <f>P200*dagenperjaar1</f>
        <v>#DIV/0!</v>
      </c>
      <c r="S200" s="27" t="e">
        <f>R200*ROUND(O200,2)</f>
        <v>#DIV/0!</v>
      </c>
    </row>
    <row r="201" spans="1:19" x14ac:dyDescent="0.2">
      <c r="A201" s="91" t="s">
        <v>606</v>
      </c>
      <c r="B201" s="92" t="s">
        <v>607</v>
      </c>
      <c r="C201" s="92" t="s">
        <v>393</v>
      </c>
      <c r="D201" s="92" t="s">
        <v>674</v>
      </c>
      <c r="E201" s="93" t="s">
        <v>675</v>
      </c>
      <c r="F201" s="92" t="s">
        <v>349</v>
      </c>
      <c r="G201" s="92" t="s">
        <v>252</v>
      </c>
      <c r="H201" s="92" t="s">
        <v>9</v>
      </c>
      <c r="I201" s="92" t="s">
        <v>230</v>
      </c>
      <c r="J201" s="93" t="s">
        <v>253</v>
      </c>
      <c r="K201" s="94">
        <v>8.6</v>
      </c>
      <c r="L201" s="94">
        <f>K201*VLOOKUP(H201,dagsoorttabel1,2,FALSE)</f>
        <v>8.6</v>
      </c>
      <c r="M201" s="95">
        <f>prodnorm36</f>
        <v>0</v>
      </c>
      <c r="N201" s="92" t="s">
        <v>101</v>
      </c>
      <c r="O201" s="26">
        <f>uurtarief36</f>
        <v>0</v>
      </c>
      <c r="P201" s="94" t="e">
        <f>IF(ISBLANK(M201),0,L201/ROUND(M201,4))</f>
        <v>#DIV/0!</v>
      </c>
      <c r="Q201" s="26" t="e">
        <f>ROUND(O201,2)*P201</f>
        <v>#DIV/0!</v>
      </c>
      <c r="R201" s="94" t="e">
        <f>P201*dagenperjaar1</f>
        <v>#DIV/0!</v>
      </c>
      <c r="S201" s="27" t="e">
        <f>R201*ROUND(O201,2)</f>
        <v>#DIV/0!</v>
      </c>
    </row>
    <row r="202" spans="1:19" x14ac:dyDescent="0.2">
      <c r="A202" s="91" t="s">
        <v>606</v>
      </c>
      <c r="B202" s="92" t="s">
        <v>607</v>
      </c>
      <c r="C202" s="92" t="s">
        <v>393</v>
      </c>
      <c r="D202" s="92" t="s">
        <v>674</v>
      </c>
      <c r="E202" s="93" t="s">
        <v>675</v>
      </c>
      <c r="F202" s="92" t="s">
        <v>349</v>
      </c>
      <c r="G202" s="92" t="s">
        <v>254</v>
      </c>
      <c r="H202" s="92" t="s">
        <v>10</v>
      </c>
      <c r="I202" s="92" t="s">
        <v>230</v>
      </c>
      <c r="J202" s="93" t="s">
        <v>255</v>
      </c>
      <c r="K202" s="94">
        <v>8.6</v>
      </c>
      <c r="L202" s="94">
        <f>K202*VLOOKUP(H202,dagsoorttabel1,2,FALSE)</f>
        <v>6.88</v>
      </c>
      <c r="M202" s="95">
        <f>prodnorm37</f>
        <v>0</v>
      </c>
      <c r="N202" s="92" t="s">
        <v>101</v>
      </c>
      <c r="O202" s="26">
        <f>uurtarief37</f>
        <v>0</v>
      </c>
      <c r="P202" s="94" t="e">
        <f>IF(ISBLANK(M202),0,L202/ROUND(M202,4))</f>
        <v>#DIV/0!</v>
      </c>
      <c r="Q202" s="26" t="e">
        <f>ROUND(O202,2)*P202</f>
        <v>#DIV/0!</v>
      </c>
      <c r="R202" s="94" t="e">
        <f>P202*dagenperjaar1</f>
        <v>#DIV/0!</v>
      </c>
      <c r="S202" s="27" t="e">
        <f>R202*ROUND(O202,2)</f>
        <v>#DIV/0!</v>
      </c>
    </row>
    <row r="203" spans="1:19" x14ac:dyDescent="0.2">
      <c r="A203" s="91" t="s">
        <v>606</v>
      </c>
      <c r="B203" s="92" t="s">
        <v>607</v>
      </c>
      <c r="C203" s="92" t="s">
        <v>393</v>
      </c>
      <c r="D203" s="92" t="s">
        <v>676</v>
      </c>
      <c r="E203" s="93" t="s">
        <v>677</v>
      </c>
      <c r="F203" s="92" t="s">
        <v>349</v>
      </c>
      <c r="G203" s="92" t="s">
        <v>252</v>
      </c>
      <c r="H203" s="92" t="s">
        <v>9</v>
      </c>
      <c r="I203" s="92" t="s">
        <v>230</v>
      </c>
      <c r="J203" s="93" t="s">
        <v>253</v>
      </c>
      <c r="K203" s="94">
        <v>1.1000000000000001</v>
      </c>
      <c r="L203" s="94">
        <f>K203*VLOOKUP(H203,dagsoorttabel1,2,FALSE)</f>
        <v>1.1000000000000001</v>
      </c>
      <c r="M203" s="95">
        <f>prodnorm36</f>
        <v>0</v>
      </c>
      <c r="N203" s="92" t="s">
        <v>101</v>
      </c>
      <c r="O203" s="26">
        <f>uurtarief36</f>
        <v>0</v>
      </c>
      <c r="P203" s="94" t="e">
        <f>IF(ISBLANK(M203),0,L203/ROUND(M203,4))</f>
        <v>#DIV/0!</v>
      </c>
      <c r="Q203" s="26" t="e">
        <f>ROUND(O203,2)*P203</f>
        <v>#DIV/0!</v>
      </c>
      <c r="R203" s="94" t="e">
        <f>P203*dagenperjaar1</f>
        <v>#DIV/0!</v>
      </c>
      <c r="S203" s="27" t="e">
        <f>R203*ROUND(O203,2)</f>
        <v>#DIV/0!</v>
      </c>
    </row>
    <row r="204" spans="1:19" x14ac:dyDescent="0.2">
      <c r="A204" s="91" t="s">
        <v>606</v>
      </c>
      <c r="B204" s="92" t="s">
        <v>607</v>
      </c>
      <c r="C204" s="92" t="s">
        <v>393</v>
      </c>
      <c r="D204" s="92" t="s">
        <v>676</v>
      </c>
      <c r="E204" s="93" t="s">
        <v>677</v>
      </c>
      <c r="F204" s="92" t="s">
        <v>349</v>
      </c>
      <c r="G204" s="92" t="s">
        <v>254</v>
      </c>
      <c r="H204" s="92" t="s">
        <v>10</v>
      </c>
      <c r="I204" s="92" t="s">
        <v>230</v>
      </c>
      <c r="J204" s="93" t="s">
        <v>255</v>
      </c>
      <c r="K204" s="94">
        <v>1.1000000000000001</v>
      </c>
      <c r="L204" s="94">
        <f>K204*VLOOKUP(H204,dagsoorttabel1,2,FALSE)</f>
        <v>0.88000000000000012</v>
      </c>
      <c r="M204" s="95">
        <f>prodnorm37</f>
        <v>0</v>
      </c>
      <c r="N204" s="92" t="s">
        <v>101</v>
      </c>
      <c r="O204" s="26">
        <f>uurtarief37</f>
        <v>0</v>
      </c>
      <c r="P204" s="94" t="e">
        <f>IF(ISBLANK(M204),0,L204/ROUND(M204,4))</f>
        <v>#DIV/0!</v>
      </c>
      <c r="Q204" s="26" t="e">
        <f>ROUND(O204,2)*P204</f>
        <v>#DIV/0!</v>
      </c>
      <c r="R204" s="94" t="e">
        <f>P204*dagenperjaar1</f>
        <v>#DIV/0!</v>
      </c>
      <c r="S204" s="27" t="e">
        <f>R204*ROUND(O204,2)</f>
        <v>#DIV/0!</v>
      </c>
    </row>
    <row r="205" spans="1:19" x14ac:dyDescent="0.2">
      <c r="A205" s="91" t="s">
        <v>606</v>
      </c>
      <c r="B205" s="92" t="s">
        <v>607</v>
      </c>
      <c r="C205" s="92" t="s">
        <v>393</v>
      </c>
      <c r="D205" s="92" t="s">
        <v>678</v>
      </c>
      <c r="E205" s="93" t="s">
        <v>677</v>
      </c>
      <c r="F205" s="92" t="s">
        <v>349</v>
      </c>
      <c r="G205" s="92" t="s">
        <v>252</v>
      </c>
      <c r="H205" s="92" t="s">
        <v>9</v>
      </c>
      <c r="I205" s="92" t="s">
        <v>230</v>
      </c>
      <c r="J205" s="93" t="s">
        <v>253</v>
      </c>
      <c r="K205" s="94">
        <v>1.1000000000000001</v>
      </c>
      <c r="L205" s="94">
        <f>K205*VLOOKUP(H205,dagsoorttabel1,2,FALSE)</f>
        <v>1.1000000000000001</v>
      </c>
      <c r="M205" s="95">
        <f>prodnorm36</f>
        <v>0</v>
      </c>
      <c r="N205" s="92" t="s">
        <v>101</v>
      </c>
      <c r="O205" s="26">
        <f>uurtarief36</f>
        <v>0</v>
      </c>
      <c r="P205" s="94" t="e">
        <f>IF(ISBLANK(M205),0,L205/ROUND(M205,4))</f>
        <v>#DIV/0!</v>
      </c>
      <c r="Q205" s="26" t="e">
        <f>ROUND(O205,2)*P205</f>
        <v>#DIV/0!</v>
      </c>
      <c r="R205" s="94" t="e">
        <f>P205*dagenperjaar1</f>
        <v>#DIV/0!</v>
      </c>
      <c r="S205" s="27" t="e">
        <f>R205*ROUND(O205,2)</f>
        <v>#DIV/0!</v>
      </c>
    </row>
    <row r="206" spans="1:19" x14ac:dyDescent="0.2">
      <c r="A206" s="91" t="s">
        <v>606</v>
      </c>
      <c r="B206" s="92" t="s">
        <v>607</v>
      </c>
      <c r="C206" s="92" t="s">
        <v>393</v>
      </c>
      <c r="D206" s="92" t="s">
        <v>678</v>
      </c>
      <c r="E206" s="93" t="s">
        <v>677</v>
      </c>
      <c r="F206" s="92" t="s">
        <v>349</v>
      </c>
      <c r="G206" s="92" t="s">
        <v>254</v>
      </c>
      <c r="H206" s="92" t="s">
        <v>10</v>
      </c>
      <c r="I206" s="92" t="s">
        <v>230</v>
      </c>
      <c r="J206" s="93" t="s">
        <v>255</v>
      </c>
      <c r="K206" s="94">
        <v>1.1000000000000001</v>
      </c>
      <c r="L206" s="94">
        <f>K206*VLOOKUP(H206,dagsoorttabel1,2,FALSE)</f>
        <v>0.88000000000000012</v>
      </c>
      <c r="M206" s="95">
        <f>prodnorm37</f>
        <v>0</v>
      </c>
      <c r="N206" s="92" t="s">
        <v>101</v>
      </c>
      <c r="O206" s="26">
        <f>uurtarief37</f>
        <v>0</v>
      </c>
      <c r="P206" s="94" t="e">
        <f>IF(ISBLANK(M206),0,L206/ROUND(M206,4))</f>
        <v>#DIV/0!</v>
      </c>
      <c r="Q206" s="26" t="e">
        <f>ROUND(O206,2)*P206</f>
        <v>#DIV/0!</v>
      </c>
      <c r="R206" s="94" t="e">
        <f>P206*dagenperjaar1</f>
        <v>#DIV/0!</v>
      </c>
      <c r="S206" s="27" t="e">
        <f>R206*ROUND(O206,2)</f>
        <v>#DIV/0!</v>
      </c>
    </row>
    <row r="207" spans="1:19" x14ac:dyDescent="0.2">
      <c r="A207" s="91" t="s">
        <v>606</v>
      </c>
      <c r="B207" s="92" t="s">
        <v>607</v>
      </c>
      <c r="C207" s="92" t="s">
        <v>393</v>
      </c>
      <c r="D207" s="92" t="s">
        <v>679</v>
      </c>
      <c r="E207" s="93" t="s">
        <v>680</v>
      </c>
      <c r="F207" s="92" t="s">
        <v>349</v>
      </c>
      <c r="G207" s="92" t="s">
        <v>252</v>
      </c>
      <c r="H207" s="92" t="s">
        <v>9</v>
      </c>
      <c r="I207" s="92" t="s">
        <v>230</v>
      </c>
      <c r="J207" s="93" t="s">
        <v>253</v>
      </c>
      <c r="K207" s="94">
        <v>1.2</v>
      </c>
      <c r="L207" s="94">
        <f>K207*VLOOKUP(H207,dagsoorttabel1,2,FALSE)</f>
        <v>1.2</v>
      </c>
      <c r="M207" s="95">
        <f>prodnorm36</f>
        <v>0</v>
      </c>
      <c r="N207" s="92" t="s">
        <v>101</v>
      </c>
      <c r="O207" s="26">
        <f>uurtarief36</f>
        <v>0</v>
      </c>
      <c r="P207" s="94" t="e">
        <f>IF(ISBLANK(M207),0,L207/ROUND(M207,4))</f>
        <v>#DIV/0!</v>
      </c>
      <c r="Q207" s="26" t="e">
        <f>ROUND(O207,2)*P207</f>
        <v>#DIV/0!</v>
      </c>
      <c r="R207" s="94" t="e">
        <f>P207*dagenperjaar1</f>
        <v>#DIV/0!</v>
      </c>
      <c r="S207" s="27" t="e">
        <f>R207*ROUND(O207,2)</f>
        <v>#DIV/0!</v>
      </c>
    </row>
    <row r="208" spans="1:19" x14ac:dyDescent="0.2">
      <c r="A208" s="91" t="s">
        <v>606</v>
      </c>
      <c r="B208" s="92" t="s">
        <v>607</v>
      </c>
      <c r="C208" s="92" t="s">
        <v>393</v>
      </c>
      <c r="D208" s="92" t="s">
        <v>679</v>
      </c>
      <c r="E208" s="93" t="s">
        <v>680</v>
      </c>
      <c r="F208" s="92" t="s">
        <v>349</v>
      </c>
      <c r="G208" s="92" t="s">
        <v>254</v>
      </c>
      <c r="H208" s="92" t="s">
        <v>10</v>
      </c>
      <c r="I208" s="92" t="s">
        <v>230</v>
      </c>
      <c r="J208" s="93" t="s">
        <v>255</v>
      </c>
      <c r="K208" s="94">
        <v>1.2</v>
      </c>
      <c r="L208" s="94">
        <f>K208*VLOOKUP(H208,dagsoorttabel1,2,FALSE)</f>
        <v>0.96</v>
      </c>
      <c r="M208" s="95">
        <f>prodnorm37</f>
        <v>0</v>
      </c>
      <c r="N208" s="92" t="s">
        <v>101</v>
      </c>
      <c r="O208" s="26">
        <f>uurtarief37</f>
        <v>0</v>
      </c>
      <c r="P208" s="94" t="e">
        <f>IF(ISBLANK(M208),0,L208/ROUND(M208,4))</f>
        <v>#DIV/0!</v>
      </c>
      <c r="Q208" s="26" t="e">
        <f>ROUND(O208,2)*P208</f>
        <v>#DIV/0!</v>
      </c>
      <c r="R208" s="94" t="e">
        <f>P208*dagenperjaar1</f>
        <v>#DIV/0!</v>
      </c>
      <c r="S208" s="27" t="e">
        <f>R208*ROUND(O208,2)</f>
        <v>#DIV/0!</v>
      </c>
    </row>
    <row r="209" spans="1:19" x14ac:dyDescent="0.2">
      <c r="A209" s="91" t="s">
        <v>606</v>
      </c>
      <c r="B209" s="92" t="s">
        <v>607</v>
      </c>
      <c r="C209" s="92" t="s">
        <v>393</v>
      </c>
      <c r="D209" s="92" t="s">
        <v>681</v>
      </c>
      <c r="E209" s="93" t="s">
        <v>680</v>
      </c>
      <c r="F209" s="92" t="s">
        <v>349</v>
      </c>
      <c r="G209" s="92" t="s">
        <v>252</v>
      </c>
      <c r="H209" s="92" t="s">
        <v>9</v>
      </c>
      <c r="I209" s="92" t="s">
        <v>230</v>
      </c>
      <c r="J209" s="93" t="s">
        <v>253</v>
      </c>
      <c r="K209" s="94">
        <v>1.2</v>
      </c>
      <c r="L209" s="94">
        <f>K209*VLOOKUP(H209,dagsoorttabel1,2,FALSE)</f>
        <v>1.2</v>
      </c>
      <c r="M209" s="95">
        <f>prodnorm36</f>
        <v>0</v>
      </c>
      <c r="N209" s="92" t="s">
        <v>101</v>
      </c>
      <c r="O209" s="26">
        <f>uurtarief36</f>
        <v>0</v>
      </c>
      <c r="P209" s="94" t="e">
        <f>IF(ISBLANK(M209),0,L209/ROUND(M209,4))</f>
        <v>#DIV/0!</v>
      </c>
      <c r="Q209" s="26" t="e">
        <f>ROUND(O209,2)*P209</f>
        <v>#DIV/0!</v>
      </c>
      <c r="R209" s="94" t="e">
        <f>P209*dagenperjaar1</f>
        <v>#DIV/0!</v>
      </c>
      <c r="S209" s="27" t="e">
        <f>R209*ROUND(O209,2)</f>
        <v>#DIV/0!</v>
      </c>
    </row>
    <row r="210" spans="1:19" x14ac:dyDescent="0.2">
      <c r="A210" s="91" t="s">
        <v>606</v>
      </c>
      <c r="B210" s="92" t="s">
        <v>607</v>
      </c>
      <c r="C210" s="92" t="s">
        <v>393</v>
      </c>
      <c r="D210" s="92" t="s">
        <v>681</v>
      </c>
      <c r="E210" s="93" t="s">
        <v>680</v>
      </c>
      <c r="F210" s="92" t="s">
        <v>349</v>
      </c>
      <c r="G210" s="92" t="s">
        <v>254</v>
      </c>
      <c r="H210" s="92" t="s">
        <v>10</v>
      </c>
      <c r="I210" s="92" t="s">
        <v>230</v>
      </c>
      <c r="J210" s="93" t="s">
        <v>255</v>
      </c>
      <c r="K210" s="94">
        <v>1.2</v>
      </c>
      <c r="L210" s="94">
        <f>K210*VLOOKUP(H210,dagsoorttabel1,2,FALSE)</f>
        <v>0.96</v>
      </c>
      <c r="M210" s="95">
        <f>prodnorm37</f>
        <v>0</v>
      </c>
      <c r="N210" s="92" t="s">
        <v>101</v>
      </c>
      <c r="O210" s="26">
        <f>uurtarief37</f>
        <v>0</v>
      </c>
      <c r="P210" s="94" t="e">
        <f>IF(ISBLANK(M210),0,L210/ROUND(M210,4))</f>
        <v>#DIV/0!</v>
      </c>
      <c r="Q210" s="26" t="e">
        <f>ROUND(O210,2)*P210</f>
        <v>#DIV/0!</v>
      </c>
      <c r="R210" s="94" t="e">
        <f>P210*dagenperjaar1</f>
        <v>#DIV/0!</v>
      </c>
      <c r="S210" s="27" t="e">
        <f>R210*ROUND(O210,2)</f>
        <v>#DIV/0!</v>
      </c>
    </row>
    <row r="211" spans="1:19" x14ac:dyDescent="0.2">
      <c r="A211" s="91" t="s">
        <v>606</v>
      </c>
      <c r="B211" s="92" t="s">
        <v>607</v>
      </c>
      <c r="C211" s="92" t="s">
        <v>393</v>
      </c>
      <c r="D211" s="92" t="s">
        <v>682</v>
      </c>
      <c r="E211" s="93" t="s">
        <v>683</v>
      </c>
      <c r="F211" s="92" t="s">
        <v>349</v>
      </c>
      <c r="G211" s="92" t="s">
        <v>252</v>
      </c>
      <c r="H211" s="92" t="s">
        <v>9</v>
      </c>
      <c r="I211" s="92" t="s">
        <v>230</v>
      </c>
      <c r="J211" s="93" t="s">
        <v>253</v>
      </c>
      <c r="K211" s="94">
        <v>4.7</v>
      </c>
      <c r="L211" s="94">
        <f>K211*VLOOKUP(H211,dagsoorttabel1,2,FALSE)</f>
        <v>4.7</v>
      </c>
      <c r="M211" s="95">
        <f>prodnorm36</f>
        <v>0</v>
      </c>
      <c r="N211" s="92" t="s">
        <v>101</v>
      </c>
      <c r="O211" s="26">
        <f>uurtarief36</f>
        <v>0</v>
      </c>
      <c r="P211" s="94" t="e">
        <f>IF(ISBLANK(M211),0,L211/ROUND(M211,4))</f>
        <v>#DIV/0!</v>
      </c>
      <c r="Q211" s="26" t="e">
        <f>ROUND(O211,2)*P211</f>
        <v>#DIV/0!</v>
      </c>
      <c r="R211" s="94" t="e">
        <f>P211*dagenperjaar1</f>
        <v>#DIV/0!</v>
      </c>
      <c r="S211" s="27" t="e">
        <f>R211*ROUND(O211,2)</f>
        <v>#DIV/0!</v>
      </c>
    </row>
    <row r="212" spans="1:19" x14ac:dyDescent="0.2">
      <c r="A212" s="91" t="s">
        <v>606</v>
      </c>
      <c r="B212" s="92" t="s">
        <v>607</v>
      </c>
      <c r="C212" s="92" t="s">
        <v>393</v>
      </c>
      <c r="D212" s="92" t="s">
        <v>682</v>
      </c>
      <c r="E212" s="93" t="s">
        <v>683</v>
      </c>
      <c r="F212" s="92" t="s">
        <v>349</v>
      </c>
      <c r="G212" s="92" t="s">
        <v>254</v>
      </c>
      <c r="H212" s="92" t="s">
        <v>10</v>
      </c>
      <c r="I212" s="92" t="s">
        <v>230</v>
      </c>
      <c r="J212" s="93" t="s">
        <v>255</v>
      </c>
      <c r="K212" s="94">
        <v>4.7</v>
      </c>
      <c r="L212" s="94">
        <f>K212*VLOOKUP(H212,dagsoorttabel1,2,FALSE)</f>
        <v>3.7600000000000002</v>
      </c>
      <c r="M212" s="95">
        <f>prodnorm37</f>
        <v>0</v>
      </c>
      <c r="N212" s="92" t="s">
        <v>101</v>
      </c>
      <c r="O212" s="26">
        <f>uurtarief37</f>
        <v>0</v>
      </c>
      <c r="P212" s="94" t="e">
        <f>IF(ISBLANK(M212),0,L212/ROUND(M212,4))</f>
        <v>#DIV/0!</v>
      </c>
      <c r="Q212" s="26" t="e">
        <f>ROUND(O212,2)*P212</f>
        <v>#DIV/0!</v>
      </c>
      <c r="R212" s="94" t="e">
        <f>P212*dagenperjaar1</f>
        <v>#DIV/0!</v>
      </c>
      <c r="S212" s="27" t="e">
        <f>R212*ROUND(O212,2)</f>
        <v>#DIV/0!</v>
      </c>
    </row>
    <row r="213" spans="1:19" x14ac:dyDescent="0.2">
      <c r="A213" s="91" t="s">
        <v>606</v>
      </c>
      <c r="B213" s="92" t="s">
        <v>607</v>
      </c>
      <c r="C213" s="92" t="s">
        <v>393</v>
      </c>
      <c r="D213" s="92" t="s">
        <v>684</v>
      </c>
      <c r="E213" s="93" t="s">
        <v>685</v>
      </c>
      <c r="F213" s="92" t="s">
        <v>349</v>
      </c>
      <c r="G213" s="92" t="s">
        <v>252</v>
      </c>
      <c r="H213" s="92" t="s">
        <v>9</v>
      </c>
      <c r="I213" s="92" t="s">
        <v>230</v>
      </c>
      <c r="J213" s="93" t="s">
        <v>253</v>
      </c>
      <c r="K213" s="94">
        <v>5.4</v>
      </c>
      <c r="L213" s="94">
        <f>K213*VLOOKUP(H213,dagsoorttabel1,2,FALSE)</f>
        <v>5.4</v>
      </c>
      <c r="M213" s="95">
        <f>prodnorm36</f>
        <v>0</v>
      </c>
      <c r="N213" s="92" t="s">
        <v>101</v>
      </c>
      <c r="O213" s="26">
        <f>uurtarief36</f>
        <v>0</v>
      </c>
      <c r="P213" s="94" t="e">
        <f>IF(ISBLANK(M213),0,L213/ROUND(M213,4))</f>
        <v>#DIV/0!</v>
      </c>
      <c r="Q213" s="26" t="e">
        <f>ROUND(O213,2)*P213</f>
        <v>#DIV/0!</v>
      </c>
      <c r="R213" s="94" t="e">
        <f>P213*dagenperjaar1</f>
        <v>#DIV/0!</v>
      </c>
      <c r="S213" s="27" t="e">
        <f>R213*ROUND(O213,2)</f>
        <v>#DIV/0!</v>
      </c>
    </row>
    <row r="214" spans="1:19" x14ac:dyDescent="0.2">
      <c r="A214" s="91" t="s">
        <v>606</v>
      </c>
      <c r="B214" s="92" t="s">
        <v>607</v>
      </c>
      <c r="C214" s="92" t="s">
        <v>393</v>
      </c>
      <c r="D214" s="92" t="s">
        <v>684</v>
      </c>
      <c r="E214" s="93" t="s">
        <v>685</v>
      </c>
      <c r="F214" s="92" t="s">
        <v>349</v>
      </c>
      <c r="G214" s="92" t="s">
        <v>254</v>
      </c>
      <c r="H214" s="92" t="s">
        <v>10</v>
      </c>
      <c r="I214" s="92" t="s">
        <v>230</v>
      </c>
      <c r="J214" s="93" t="s">
        <v>255</v>
      </c>
      <c r="K214" s="94">
        <v>5.4</v>
      </c>
      <c r="L214" s="94">
        <f>K214*VLOOKUP(H214,dagsoorttabel1,2,FALSE)</f>
        <v>4.32</v>
      </c>
      <c r="M214" s="95">
        <f>prodnorm37</f>
        <v>0</v>
      </c>
      <c r="N214" s="92" t="s">
        <v>101</v>
      </c>
      <c r="O214" s="26">
        <f>uurtarief37</f>
        <v>0</v>
      </c>
      <c r="P214" s="94" t="e">
        <f>IF(ISBLANK(M214),0,L214/ROUND(M214,4))</f>
        <v>#DIV/0!</v>
      </c>
      <c r="Q214" s="26" t="e">
        <f>ROUND(O214,2)*P214</f>
        <v>#DIV/0!</v>
      </c>
      <c r="R214" s="94" t="e">
        <f>P214*dagenperjaar1</f>
        <v>#DIV/0!</v>
      </c>
      <c r="S214" s="27" t="e">
        <f>R214*ROUND(O214,2)</f>
        <v>#DIV/0!</v>
      </c>
    </row>
    <row r="215" spans="1:19" x14ac:dyDescent="0.2">
      <c r="A215" s="91" t="s">
        <v>606</v>
      </c>
      <c r="B215" s="92" t="s">
        <v>607</v>
      </c>
      <c r="C215" s="92" t="s">
        <v>393</v>
      </c>
      <c r="D215" s="92" t="s">
        <v>686</v>
      </c>
      <c r="E215" s="93" t="s">
        <v>687</v>
      </c>
      <c r="F215" s="92" t="s">
        <v>36</v>
      </c>
      <c r="G215" s="92" t="s">
        <v>339</v>
      </c>
      <c r="H215" s="92"/>
      <c r="I215" s="92"/>
      <c r="J215" s="92"/>
      <c r="K215" s="94">
        <v>8</v>
      </c>
      <c r="L215" s="94"/>
      <c r="M215" s="95"/>
      <c r="N215" s="92"/>
      <c r="O215" s="26"/>
      <c r="P215" s="94"/>
      <c r="Q215" s="26"/>
      <c r="R215" s="96"/>
      <c r="S215" s="27"/>
    </row>
    <row r="216" spans="1:19" x14ac:dyDescent="0.2">
      <c r="A216" s="91" t="s">
        <v>606</v>
      </c>
      <c r="B216" s="92" t="s">
        <v>607</v>
      </c>
      <c r="C216" s="92" t="s">
        <v>393</v>
      </c>
      <c r="D216" s="92" t="s">
        <v>688</v>
      </c>
      <c r="E216" s="93" t="s">
        <v>689</v>
      </c>
      <c r="F216" s="92" t="s">
        <v>458</v>
      </c>
      <c r="G216" s="92" t="s">
        <v>240</v>
      </c>
      <c r="H216" s="92" t="s">
        <v>9</v>
      </c>
      <c r="I216" s="92" t="s">
        <v>230</v>
      </c>
      <c r="J216" s="93" t="s">
        <v>241</v>
      </c>
      <c r="K216" s="94">
        <v>88.2</v>
      </c>
      <c r="L216" s="94">
        <f>K216*VLOOKUP(H216,dagsoorttabel1,2,FALSE)</f>
        <v>88.2</v>
      </c>
      <c r="M216" s="95">
        <f>prodnorm25</f>
        <v>0</v>
      </c>
      <c r="N216" s="92" t="s">
        <v>101</v>
      </c>
      <c r="O216" s="26">
        <f>uurtarief25</f>
        <v>0</v>
      </c>
      <c r="P216" s="94" t="e">
        <f>IF(ISBLANK(M216),0,L216/ROUND(M216,4))</f>
        <v>#DIV/0!</v>
      </c>
      <c r="Q216" s="26" t="e">
        <f>ROUND(O216,2)*P216</f>
        <v>#DIV/0!</v>
      </c>
      <c r="R216" s="94" t="e">
        <f>P216*dagenperjaar1</f>
        <v>#DIV/0!</v>
      </c>
      <c r="S216" s="27" t="e">
        <f>R216*ROUND(O216,2)</f>
        <v>#DIV/0!</v>
      </c>
    </row>
    <row r="217" spans="1:19" x14ac:dyDescent="0.2">
      <c r="A217" s="91" t="s">
        <v>606</v>
      </c>
      <c r="B217" s="92" t="s">
        <v>607</v>
      </c>
      <c r="C217" s="92" t="s">
        <v>393</v>
      </c>
      <c r="D217" s="92" t="s">
        <v>688</v>
      </c>
      <c r="E217" s="93" t="s">
        <v>629</v>
      </c>
      <c r="F217" s="92" t="s">
        <v>458</v>
      </c>
      <c r="G217" s="92" t="s">
        <v>256</v>
      </c>
      <c r="H217" s="92" t="s">
        <v>9</v>
      </c>
      <c r="I217" s="92" t="s">
        <v>230</v>
      </c>
      <c r="J217" s="93" t="s">
        <v>257</v>
      </c>
      <c r="K217" s="94">
        <v>22.8</v>
      </c>
      <c r="L217" s="94">
        <f>K217*VLOOKUP(H217,dagsoorttabel1,2,FALSE)</f>
        <v>22.8</v>
      </c>
      <c r="M217" s="95">
        <f>prodnorm40</f>
        <v>0</v>
      </c>
      <c r="N217" s="92" t="s">
        <v>101</v>
      </c>
      <c r="O217" s="26">
        <f>uurtarief40</f>
        <v>0</v>
      </c>
      <c r="P217" s="94" t="e">
        <f>IF(ISBLANK(M217),0,L217/ROUND(M217,4))</f>
        <v>#DIV/0!</v>
      </c>
      <c r="Q217" s="26" t="e">
        <f>ROUND(O217,2)*P217</f>
        <v>#DIV/0!</v>
      </c>
      <c r="R217" s="94" t="e">
        <f>P217*dagenperjaar1</f>
        <v>#DIV/0!</v>
      </c>
      <c r="S217" s="27" t="e">
        <f>R217*ROUND(O217,2)</f>
        <v>#DIV/0!</v>
      </c>
    </row>
    <row r="218" spans="1:19" x14ac:dyDescent="0.2">
      <c r="A218" s="91" t="s">
        <v>606</v>
      </c>
      <c r="B218" s="92" t="s">
        <v>607</v>
      </c>
      <c r="C218" s="92" t="s">
        <v>393</v>
      </c>
      <c r="D218" s="92" t="s">
        <v>690</v>
      </c>
      <c r="E218" s="93" t="s">
        <v>691</v>
      </c>
      <c r="F218" s="92" t="s">
        <v>458</v>
      </c>
      <c r="G218" s="92" t="s">
        <v>256</v>
      </c>
      <c r="H218" s="92" t="s">
        <v>9</v>
      </c>
      <c r="I218" s="92" t="s">
        <v>230</v>
      </c>
      <c r="J218" s="93" t="s">
        <v>257</v>
      </c>
      <c r="K218" s="94">
        <v>7.1</v>
      </c>
      <c r="L218" s="94">
        <f>K218*VLOOKUP(H218,dagsoorttabel1,2,FALSE)</f>
        <v>7.1</v>
      </c>
      <c r="M218" s="95">
        <f>prodnorm40</f>
        <v>0</v>
      </c>
      <c r="N218" s="92" t="s">
        <v>101</v>
      </c>
      <c r="O218" s="26">
        <f>uurtarief40</f>
        <v>0</v>
      </c>
      <c r="P218" s="94" t="e">
        <f>IF(ISBLANK(M218),0,L218/ROUND(M218,4))</f>
        <v>#DIV/0!</v>
      </c>
      <c r="Q218" s="26" t="e">
        <f>ROUND(O218,2)*P218</f>
        <v>#DIV/0!</v>
      </c>
      <c r="R218" s="94" t="e">
        <f>P218*dagenperjaar1</f>
        <v>#DIV/0!</v>
      </c>
      <c r="S218" s="27" t="e">
        <f>R218*ROUND(O218,2)</f>
        <v>#DIV/0!</v>
      </c>
    </row>
    <row r="219" spans="1:19" x14ac:dyDescent="0.2">
      <c r="A219" s="91" t="s">
        <v>606</v>
      </c>
      <c r="B219" s="92" t="s">
        <v>607</v>
      </c>
      <c r="C219" s="92" t="s">
        <v>419</v>
      </c>
      <c r="D219" s="92" t="s">
        <v>692</v>
      </c>
      <c r="E219" s="93" t="s">
        <v>654</v>
      </c>
      <c r="F219" s="92" t="s">
        <v>543</v>
      </c>
      <c r="G219" s="92" t="s">
        <v>232</v>
      </c>
      <c r="H219" s="92" t="s">
        <v>13</v>
      </c>
      <c r="I219" s="92" t="s">
        <v>230</v>
      </c>
      <c r="J219" s="93" t="s">
        <v>233</v>
      </c>
      <c r="K219" s="94">
        <v>27.6</v>
      </c>
      <c r="L219" s="94">
        <f>K219*VLOOKUP(H219,dagsoorttabel1,2,FALSE)</f>
        <v>11.040000000000001</v>
      </c>
      <c r="M219" s="95">
        <f>prodnorm17</f>
        <v>0</v>
      </c>
      <c r="N219" s="92" t="s">
        <v>101</v>
      </c>
      <c r="O219" s="26">
        <f>uurtarief17</f>
        <v>0</v>
      </c>
      <c r="P219" s="94" t="e">
        <f>IF(ISBLANK(M219),0,L219/ROUND(M219,4))</f>
        <v>#DIV/0!</v>
      </c>
      <c r="Q219" s="26" t="e">
        <f>ROUND(O219,2)*P219</f>
        <v>#DIV/0!</v>
      </c>
      <c r="R219" s="94" t="e">
        <f>P219*dagenperjaar1</f>
        <v>#DIV/0!</v>
      </c>
      <c r="S219" s="27" t="e">
        <f>R219*ROUND(O219,2)</f>
        <v>#DIV/0!</v>
      </c>
    </row>
    <row r="220" spans="1:19" x14ac:dyDescent="0.2">
      <c r="A220" s="91" t="s">
        <v>606</v>
      </c>
      <c r="B220" s="92" t="s">
        <v>607</v>
      </c>
      <c r="C220" s="92" t="s">
        <v>419</v>
      </c>
      <c r="D220" s="92" t="s">
        <v>693</v>
      </c>
      <c r="E220" s="93" t="s">
        <v>694</v>
      </c>
      <c r="F220" s="92" t="s">
        <v>543</v>
      </c>
      <c r="G220" s="92" t="s">
        <v>232</v>
      </c>
      <c r="H220" s="92" t="s">
        <v>13</v>
      </c>
      <c r="I220" s="92" t="s">
        <v>230</v>
      </c>
      <c r="J220" s="93" t="s">
        <v>233</v>
      </c>
      <c r="K220" s="94">
        <v>8.1</v>
      </c>
      <c r="L220" s="94">
        <f>K220*VLOOKUP(H220,dagsoorttabel1,2,FALSE)</f>
        <v>3.24</v>
      </c>
      <c r="M220" s="95">
        <f>prodnorm17</f>
        <v>0</v>
      </c>
      <c r="N220" s="92" t="s">
        <v>101</v>
      </c>
      <c r="O220" s="26">
        <f>uurtarief17</f>
        <v>0</v>
      </c>
      <c r="P220" s="94" t="e">
        <f>IF(ISBLANK(M220),0,L220/ROUND(M220,4))</f>
        <v>#DIV/0!</v>
      </c>
      <c r="Q220" s="26" t="e">
        <f>ROUND(O220,2)*P220</f>
        <v>#DIV/0!</v>
      </c>
      <c r="R220" s="94" t="e">
        <f>P220*dagenperjaar1</f>
        <v>#DIV/0!</v>
      </c>
      <c r="S220" s="27" t="e">
        <f>R220*ROUND(O220,2)</f>
        <v>#DIV/0!</v>
      </c>
    </row>
    <row r="221" spans="1:19" x14ac:dyDescent="0.2">
      <c r="A221" s="91" t="s">
        <v>606</v>
      </c>
      <c r="B221" s="92" t="s">
        <v>607</v>
      </c>
      <c r="C221" s="92" t="s">
        <v>419</v>
      </c>
      <c r="D221" s="92" t="s">
        <v>695</v>
      </c>
      <c r="E221" s="93" t="s">
        <v>652</v>
      </c>
      <c r="F221" s="92" t="s">
        <v>543</v>
      </c>
      <c r="G221" s="92" t="s">
        <v>232</v>
      </c>
      <c r="H221" s="92" t="s">
        <v>13</v>
      </c>
      <c r="I221" s="92" t="s">
        <v>230</v>
      </c>
      <c r="J221" s="93" t="s">
        <v>233</v>
      </c>
      <c r="K221" s="94">
        <v>23.4</v>
      </c>
      <c r="L221" s="94">
        <f>K221*VLOOKUP(H221,dagsoorttabel1,2,FALSE)</f>
        <v>9.36</v>
      </c>
      <c r="M221" s="95">
        <f>prodnorm17</f>
        <v>0</v>
      </c>
      <c r="N221" s="92" t="s">
        <v>101</v>
      </c>
      <c r="O221" s="26">
        <f>uurtarief17</f>
        <v>0</v>
      </c>
      <c r="P221" s="94" t="e">
        <f>IF(ISBLANK(M221),0,L221/ROUND(M221,4))</f>
        <v>#DIV/0!</v>
      </c>
      <c r="Q221" s="26" t="e">
        <f>ROUND(O221,2)*P221</f>
        <v>#DIV/0!</v>
      </c>
      <c r="R221" s="94" t="e">
        <f>P221*dagenperjaar1</f>
        <v>#DIV/0!</v>
      </c>
      <c r="S221" s="27" t="e">
        <f>R221*ROUND(O221,2)</f>
        <v>#DIV/0!</v>
      </c>
    </row>
    <row r="222" spans="1:19" x14ac:dyDescent="0.2">
      <c r="A222" s="91" t="s">
        <v>606</v>
      </c>
      <c r="B222" s="92" t="s">
        <v>607</v>
      </c>
      <c r="C222" s="92" t="s">
        <v>419</v>
      </c>
      <c r="D222" s="92" t="s">
        <v>696</v>
      </c>
      <c r="E222" s="93" t="s">
        <v>656</v>
      </c>
      <c r="F222" s="92" t="s">
        <v>543</v>
      </c>
      <c r="G222" s="92" t="s">
        <v>258</v>
      </c>
      <c r="H222" s="92" t="s">
        <v>9</v>
      </c>
      <c r="I222" s="92" t="s">
        <v>230</v>
      </c>
      <c r="J222" s="93" t="s">
        <v>259</v>
      </c>
      <c r="K222" s="94">
        <v>11.1</v>
      </c>
      <c r="L222" s="94">
        <f>K222*VLOOKUP(H222,dagsoorttabel1,2,FALSE)</f>
        <v>11.1</v>
      </c>
      <c r="M222" s="95">
        <f>prodnorm42</f>
        <v>0</v>
      </c>
      <c r="N222" s="92" t="s">
        <v>101</v>
      </c>
      <c r="O222" s="26">
        <f>uurtarief42</f>
        <v>0</v>
      </c>
      <c r="P222" s="94" t="e">
        <f>IF(ISBLANK(M222),0,L222/ROUND(M222,4))</f>
        <v>#DIV/0!</v>
      </c>
      <c r="Q222" s="26" t="e">
        <f>ROUND(O222,2)*P222</f>
        <v>#DIV/0!</v>
      </c>
      <c r="R222" s="94" t="e">
        <f>P222*dagenperjaar1</f>
        <v>#DIV/0!</v>
      </c>
      <c r="S222" s="27" t="e">
        <f>R222*ROUND(O222,2)</f>
        <v>#DIV/0!</v>
      </c>
    </row>
    <row r="223" spans="1:19" x14ac:dyDescent="0.2">
      <c r="A223" s="91" t="s">
        <v>606</v>
      </c>
      <c r="B223" s="92" t="s">
        <v>607</v>
      </c>
      <c r="C223" s="92" t="s">
        <v>419</v>
      </c>
      <c r="D223" s="92" t="s">
        <v>697</v>
      </c>
      <c r="E223" s="93" t="s">
        <v>611</v>
      </c>
      <c r="F223" s="92" t="s">
        <v>458</v>
      </c>
      <c r="G223" s="92" t="s">
        <v>266</v>
      </c>
      <c r="H223" s="92" t="s">
        <v>9</v>
      </c>
      <c r="I223" s="92" t="s">
        <v>230</v>
      </c>
      <c r="J223" s="93" t="s">
        <v>267</v>
      </c>
      <c r="K223" s="94">
        <v>12.3</v>
      </c>
      <c r="L223" s="94">
        <f>K223*VLOOKUP(H223,dagsoorttabel1,2,FALSE)</f>
        <v>12.3</v>
      </c>
      <c r="M223" s="95">
        <f>prodnorm51</f>
        <v>0</v>
      </c>
      <c r="N223" s="92" t="s">
        <v>101</v>
      </c>
      <c r="O223" s="26">
        <f>uurtarief51</f>
        <v>0</v>
      </c>
      <c r="P223" s="94" t="e">
        <f>IF(ISBLANK(M223),0,L223/ROUND(M223,4))</f>
        <v>#DIV/0!</v>
      </c>
      <c r="Q223" s="26" t="e">
        <f>ROUND(O223,2)*P223</f>
        <v>#DIV/0!</v>
      </c>
      <c r="R223" s="94" t="e">
        <f>P223*dagenperjaar1</f>
        <v>#DIV/0!</v>
      </c>
      <c r="S223" s="27" t="e">
        <f>R223*ROUND(O223,2)</f>
        <v>#DIV/0!</v>
      </c>
    </row>
    <row r="224" spans="1:19" x14ac:dyDescent="0.2">
      <c r="A224" s="91" t="s">
        <v>606</v>
      </c>
      <c r="B224" s="92" t="s">
        <v>607</v>
      </c>
      <c r="C224" s="92" t="s">
        <v>419</v>
      </c>
      <c r="D224" s="92" t="s">
        <v>698</v>
      </c>
      <c r="E224" s="93" t="s">
        <v>699</v>
      </c>
      <c r="F224" s="92" t="s">
        <v>543</v>
      </c>
      <c r="G224" s="92" t="s">
        <v>232</v>
      </c>
      <c r="H224" s="92" t="s">
        <v>13</v>
      </c>
      <c r="I224" s="92" t="s">
        <v>230</v>
      </c>
      <c r="J224" s="93" t="s">
        <v>233</v>
      </c>
      <c r="K224" s="94">
        <v>7.7</v>
      </c>
      <c r="L224" s="94">
        <f>K224*VLOOKUP(H224,dagsoorttabel1,2,FALSE)</f>
        <v>3.08</v>
      </c>
      <c r="M224" s="95">
        <f>prodnorm17</f>
        <v>0</v>
      </c>
      <c r="N224" s="92" t="s">
        <v>101</v>
      </c>
      <c r="O224" s="26">
        <f>uurtarief17</f>
        <v>0</v>
      </c>
      <c r="P224" s="94" t="e">
        <f>IF(ISBLANK(M224),0,L224/ROUND(M224,4))</f>
        <v>#DIV/0!</v>
      </c>
      <c r="Q224" s="26" t="e">
        <f>ROUND(O224,2)*P224</f>
        <v>#DIV/0!</v>
      </c>
      <c r="R224" s="94" t="e">
        <f>P224*dagenperjaar1</f>
        <v>#DIV/0!</v>
      </c>
      <c r="S224" s="27" t="e">
        <f>R224*ROUND(O224,2)</f>
        <v>#DIV/0!</v>
      </c>
    </row>
    <row r="225" spans="1:19" x14ac:dyDescent="0.2">
      <c r="A225" s="91" t="s">
        <v>606</v>
      </c>
      <c r="B225" s="92" t="s">
        <v>607</v>
      </c>
      <c r="C225" s="92" t="s">
        <v>419</v>
      </c>
      <c r="D225" s="92" t="s">
        <v>700</v>
      </c>
      <c r="E225" s="93" t="s">
        <v>701</v>
      </c>
      <c r="F225" s="92" t="s">
        <v>543</v>
      </c>
      <c r="G225" s="92" t="s">
        <v>232</v>
      </c>
      <c r="H225" s="92" t="s">
        <v>13</v>
      </c>
      <c r="I225" s="92" t="s">
        <v>230</v>
      </c>
      <c r="J225" s="93" t="s">
        <v>233</v>
      </c>
      <c r="K225" s="94">
        <v>77.599999999999994</v>
      </c>
      <c r="L225" s="94">
        <f>K225*VLOOKUP(H225,dagsoorttabel1,2,FALSE)</f>
        <v>31.04</v>
      </c>
      <c r="M225" s="95">
        <f>prodnorm17</f>
        <v>0</v>
      </c>
      <c r="N225" s="92" t="s">
        <v>101</v>
      </c>
      <c r="O225" s="26">
        <f>uurtarief17</f>
        <v>0</v>
      </c>
      <c r="P225" s="94" t="e">
        <f>IF(ISBLANK(M225),0,L225/ROUND(M225,4))</f>
        <v>#DIV/0!</v>
      </c>
      <c r="Q225" s="26" t="e">
        <f>ROUND(O225,2)*P225</f>
        <v>#DIV/0!</v>
      </c>
      <c r="R225" s="94" t="e">
        <f>P225*dagenperjaar1</f>
        <v>#DIV/0!</v>
      </c>
      <c r="S225" s="27" t="e">
        <f>R225*ROUND(O225,2)</f>
        <v>#DIV/0!</v>
      </c>
    </row>
    <row r="226" spans="1:19" x14ac:dyDescent="0.2">
      <c r="A226" s="91" t="s">
        <v>606</v>
      </c>
      <c r="B226" s="92" t="s">
        <v>607</v>
      </c>
      <c r="C226" s="92" t="s">
        <v>419</v>
      </c>
      <c r="D226" s="92" t="s">
        <v>702</v>
      </c>
      <c r="E226" s="93" t="s">
        <v>703</v>
      </c>
      <c r="F226" s="92" t="s">
        <v>543</v>
      </c>
      <c r="G226" s="92" t="s">
        <v>232</v>
      </c>
      <c r="H226" s="92" t="s">
        <v>13</v>
      </c>
      <c r="I226" s="92" t="s">
        <v>230</v>
      </c>
      <c r="J226" s="93" t="s">
        <v>233</v>
      </c>
      <c r="K226" s="94">
        <v>12.7</v>
      </c>
      <c r="L226" s="94">
        <f>K226*VLOOKUP(H226,dagsoorttabel1,2,FALSE)</f>
        <v>5.08</v>
      </c>
      <c r="M226" s="95">
        <f>prodnorm17</f>
        <v>0</v>
      </c>
      <c r="N226" s="92" t="s">
        <v>101</v>
      </c>
      <c r="O226" s="26">
        <f>uurtarief17</f>
        <v>0</v>
      </c>
      <c r="P226" s="94" t="e">
        <f>IF(ISBLANK(M226),0,L226/ROUND(M226,4))</f>
        <v>#DIV/0!</v>
      </c>
      <c r="Q226" s="26" t="e">
        <f>ROUND(O226,2)*P226</f>
        <v>#DIV/0!</v>
      </c>
      <c r="R226" s="94" t="e">
        <f>P226*dagenperjaar1</f>
        <v>#DIV/0!</v>
      </c>
      <c r="S226" s="27" t="e">
        <f>R226*ROUND(O226,2)</f>
        <v>#DIV/0!</v>
      </c>
    </row>
    <row r="227" spans="1:19" x14ac:dyDescent="0.2">
      <c r="A227" s="91" t="s">
        <v>606</v>
      </c>
      <c r="B227" s="92" t="s">
        <v>607</v>
      </c>
      <c r="C227" s="92" t="s">
        <v>419</v>
      </c>
      <c r="D227" s="92" t="s">
        <v>704</v>
      </c>
      <c r="E227" s="93" t="s">
        <v>705</v>
      </c>
      <c r="F227" s="92" t="s">
        <v>543</v>
      </c>
      <c r="G227" s="92" t="s">
        <v>232</v>
      </c>
      <c r="H227" s="92" t="s">
        <v>13</v>
      </c>
      <c r="I227" s="92" t="s">
        <v>230</v>
      </c>
      <c r="J227" s="93" t="s">
        <v>233</v>
      </c>
      <c r="K227" s="94">
        <v>14.3</v>
      </c>
      <c r="L227" s="94">
        <f>K227*VLOOKUP(H227,dagsoorttabel1,2,FALSE)</f>
        <v>5.7200000000000006</v>
      </c>
      <c r="M227" s="95">
        <f>prodnorm17</f>
        <v>0</v>
      </c>
      <c r="N227" s="92" t="s">
        <v>101</v>
      </c>
      <c r="O227" s="26">
        <f>uurtarief17</f>
        <v>0</v>
      </c>
      <c r="P227" s="94" t="e">
        <f>IF(ISBLANK(M227),0,L227/ROUND(M227,4))</f>
        <v>#DIV/0!</v>
      </c>
      <c r="Q227" s="26" t="e">
        <f>ROUND(O227,2)*P227</f>
        <v>#DIV/0!</v>
      </c>
      <c r="R227" s="94" t="e">
        <f>P227*dagenperjaar1</f>
        <v>#DIV/0!</v>
      </c>
      <c r="S227" s="27" t="e">
        <f>R227*ROUND(O227,2)</f>
        <v>#DIV/0!</v>
      </c>
    </row>
    <row r="228" spans="1:19" x14ac:dyDescent="0.2">
      <c r="A228" s="91" t="s">
        <v>606</v>
      </c>
      <c r="B228" s="92" t="s">
        <v>607</v>
      </c>
      <c r="C228" s="92" t="s">
        <v>419</v>
      </c>
      <c r="D228" s="92" t="s">
        <v>706</v>
      </c>
      <c r="E228" s="93" t="s">
        <v>707</v>
      </c>
      <c r="F228" s="92" t="s">
        <v>543</v>
      </c>
      <c r="G228" s="92" t="s">
        <v>232</v>
      </c>
      <c r="H228" s="92" t="s">
        <v>13</v>
      </c>
      <c r="I228" s="92" t="s">
        <v>230</v>
      </c>
      <c r="J228" s="93" t="s">
        <v>233</v>
      </c>
      <c r="K228" s="94">
        <v>23.9</v>
      </c>
      <c r="L228" s="94">
        <f>K228*VLOOKUP(H228,dagsoorttabel1,2,FALSE)</f>
        <v>9.56</v>
      </c>
      <c r="M228" s="95">
        <f>prodnorm17</f>
        <v>0</v>
      </c>
      <c r="N228" s="92" t="s">
        <v>101</v>
      </c>
      <c r="O228" s="26">
        <f>uurtarief17</f>
        <v>0</v>
      </c>
      <c r="P228" s="94" t="e">
        <f>IF(ISBLANK(M228),0,L228/ROUND(M228,4))</f>
        <v>#DIV/0!</v>
      </c>
      <c r="Q228" s="26" t="e">
        <f>ROUND(O228,2)*P228</f>
        <v>#DIV/0!</v>
      </c>
      <c r="R228" s="94" t="e">
        <f>P228*dagenperjaar1</f>
        <v>#DIV/0!</v>
      </c>
      <c r="S228" s="27" t="e">
        <f>R228*ROUND(O228,2)</f>
        <v>#DIV/0!</v>
      </c>
    </row>
    <row r="229" spans="1:19" x14ac:dyDescent="0.2">
      <c r="A229" s="91" t="s">
        <v>606</v>
      </c>
      <c r="B229" s="92" t="s">
        <v>607</v>
      </c>
      <c r="C229" s="92" t="s">
        <v>419</v>
      </c>
      <c r="D229" s="92" t="s">
        <v>708</v>
      </c>
      <c r="E229" s="93" t="s">
        <v>709</v>
      </c>
      <c r="F229" s="92" t="s">
        <v>543</v>
      </c>
      <c r="G229" s="92" t="s">
        <v>232</v>
      </c>
      <c r="H229" s="92" t="s">
        <v>13</v>
      </c>
      <c r="I229" s="92" t="s">
        <v>230</v>
      </c>
      <c r="J229" s="93" t="s">
        <v>233</v>
      </c>
      <c r="K229" s="94">
        <v>26.4</v>
      </c>
      <c r="L229" s="94">
        <f>K229*VLOOKUP(H229,dagsoorttabel1,2,FALSE)</f>
        <v>10.56</v>
      </c>
      <c r="M229" s="95">
        <f>prodnorm17</f>
        <v>0</v>
      </c>
      <c r="N229" s="92" t="s">
        <v>101</v>
      </c>
      <c r="O229" s="26">
        <f>uurtarief17</f>
        <v>0</v>
      </c>
      <c r="P229" s="94" t="e">
        <f>IF(ISBLANK(M229),0,L229/ROUND(M229,4))</f>
        <v>#DIV/0!</v>
      </c>
      <c r="Q229" s="26" t="e">
        <f>ROUND(O229,2)*P229</f>
        <v>#DIV/0!</v>
      </c>
      <c r="R229" s="94" t="e">
        <f>P229*dagenperjaar1</f>
        <v>#DIV/0!</v>
      </c>
      <c r="S229" s="27" t="e">
        <f>R229*ROUND(O229,2)</f>
        <v>#DIV/0!</v>
      </c>
    </row>
    <row r="230" spans="1:19" x14ac:dyDescent="0.2">
      <c r="A230" s="91" t="s">
        <v>606</v>
      </c>
      <c r="B230" s="92" t="s">
        <v>607</v>
      </c>
      <c r="C230" s="92" t="s">
        <v>419</v>
      </c>
      <c r="D230" s="92" t="s">
        <v>710</v>
      </c>
      <c r="E230" s="93" t="s">
        <v>711</v>
      </c>
      <c r="F230" s="92" t="s">
        <v>543</v>
      </c>
      <c r="G230" s="92" t="s">
        <v>232</v>
      </c>
      <c r="H230" s="92" t="s">
        <v>13</v>
      </c>
      <c r="I230" s="92" t="s">
        <v>230</v>
      </c>
      <c r="J230" s="93" t="s">
        <v>233</v>
      </c>
      <c r="K230" s="94">
        <v>12.1</v>
      </c>
      <c r="L230" s="94">
        <f>K230*VLOOKUP(H230,dagsoorttabel1,2,FALSE)</f>
        <v>4.84</v>
      </c>
      <c r="M230" s="95">
        <f>prodnorm17</f>
        <v>0</v>
      </c>
      <c r="N230" s="92" t="s">
        <v>101</v>
      </c>
      <c r="O230" s="26">
        <f>uurtarief17</f>
        <v>0</v>
      </c>
      <c r="P230" s="94" t="e">
        <f>IF(ISBLANK(M230),0,L230/ROUND(M230,4))</f>
        <v>#DIV/0!</v>
      </c>
      <c r="Q230" s="26" t="e">
        <f>ROUND(O230,2)*P230</f>
        <v>#DIV/0!</v>
      </c>
      <c r="R230" s="94" t="e">
        <f>P230*dagenperjaar1</f>
        <v>#DIV/0!</v>
      </c>
      <c r="S230" s="27" t="e">
        <f>R230*ROUND(O230,2)</f>
        <v>#DIV/0!</v>
      </c>
    </row>
    <row r="231" spans="1:19" x14ac:dyDescent="0.2">
      <c r="A231" s="91" t="s">
        <v>606</v>
      </c>
      <c r="B231" s="92" t="s">
        <v>607</v>
      </c>
      <c r="C231" s="92" t="s">
        <v>419</v>
      </c>
      <c r="D231" s="92" t="s">
        <v>712</v>
      </c>
      <c r="E231" s="93" t="s">
        <v>713</v>
      </c>
      <c r="F231" s="92" t="s">
        <v>543</v>
      </c>
      <c r="G231" s="92" t="s">
        <v>232</v>
      </c>
      <c r="H231" s="92" t="s">
        <v>13</v>
      </c>
      <c r="I231" s="92" t="s">
        <v>230</v>
      </c>
      <c r="J231" s="93" t="s">
        <v>233</v>
      </c>
      <c r="K231" s="94">
        <v>15.7</v>
      </c>
      <c r="L231" s="94">
        <f>K231*VLOOKUP(H231,dagsoorttabel1,2,FALSE)</f>
        <v>6.28</v>
      </c>
      <c r="M231" s="95">
        <f>prodnorm17</f>
        <v>0</v>
      </c>
      <c r="N231" s="92" t="s">
        <v>101</v>
      </c>
      <c r="O231" s="26">
        <f>uurtarief17</f>
        <v>0</v>
      </c>
      <c r="P231" s="94" t="e">
        <f>IF(ISBLANK(M231),0,L231/ROUND(M231,4))</f>
        <v>#DIV/0!</v>
      </c>
      <c r="Q231" s="26" t="e">
        <f>ROUND(O231,2)*P231</f>
        <v>#DIV/0!</v>
      </c>
      <c r="R231" s="94" t="e">
        <f>P231*dagenperjaar1</f>
        <v>#DIV/0!</v>
      </c>
      <c r="S231" s="27" t="e">
        <f>R231*ROUND(O231,2)</f>
        <v>#DIV/0!</v>
      </c>
    </row>
    <row r="232" spans="1:19" x14ac:dyDescent="0.2">
      <c r="A232" s="91" t="s">
        <v>606</v>
      </c>
      <c r="B232" s="92" t="s">
        <v>607</v>
      </c>
      <c r="C232" s="92" t="s">
        <v>419</v>
      </c>
      <c r="D232" s="92" t="s">
        <v>714</v>
      </c>
      <c r="E232" s="93" t="s">
        <v>392</v>
      </c>
      <c r="F232" s="92" t="s">
        <v>338</v>
      </c>
      <c r="G232" s="92" t="s">
        <v>339</v>
      </c>
      <c r="H232" s="92"/>
      <c r="I232" s="92"/>
      <c r="J232" s="92"/>
      <c r="K232" s="94">
        <v>1</v>
      </c>
      <c r="L232" s="94"/>
      <c r="M232" s="95"/>
      <c r="N232" s="92"/>
      <c r="O232" s="26"/>
      <c r="P232" s="94"/>
      <c r="Q232" s="26"/>
      <c r="R232" s="96"/>
      <c r="S232" s="27"/>
    </row>
    <row r="233" spans="1:19" x14ac:dyDescent="0.2">
      <c r="A233" s="91" t="s">
        <v>606</v>
      </c>
      <c r="B233" s="92" t="s">
        <v>607</v>
      </c>
      <c r="C233" s="92" t="s">
        <v>419</v>
      </c>
      <c r="D233" s="92" t="s">
        <v>714</v>
      </c>
      <c r="E233" s="93" t="s">
        <v>715</v>
      </c>
      <c r="F233" s="92" t="s">
        <v>458</v>
      </c>
      <c r="G233" s="92" t="s">
        <v>339</v>
      </c>
      <c r="H233" s="92"/>
      <c r="I233" s="92"/>
      <c r="J233" s="92"/>
      <c r="K233" s="94">
        <v>29</v>
      </c>
      <c r="L233" s="94"/>
      <c r="M233" s="95"/>
      <c r="N233" s="92"/>
      <c r="O233" s="26"/>
      <c r="P233" s="94"/>
      <c r="Q233" s="26"/>
      <c r="R233" s="96"/>
      <c r="S233" s="27"/>
    </row>
    <row r="234" spans="1:19" x14ac:dyDescent="0.2">
      <c r="A234" s="91" t="s">
        <v>606</v>
      </c>
      <c r="B234" s="92" t="s">
        <v>607</v>
      </c>
      <c r="C234" s="92" t="s">
        <v>419</v>
      </c>
      <c r="D234" s="92" t="s">
        <v>716</v>
      </c>
      <c r="E234" s="93" t="s">
        <v>717</v>
      </c>
      <c r="F234" s="92" t="s">
        <v>458</v>
      </c>
      <c r="G234" s="92" t="s">
        <v>256</v>
      </c>
      <c r="H234" s="92" t="s">
        <v>9</v>
      </c>
      <c r="I234" s="92" t="s">
        <v>230</v>
      </c>
      <c r="J234" s="93" t="s">
        <v>257</v>
      </c>
      <c r="K234" s="94">
        <v>5.9</v>
      </c>
      <c r="L234" s="94">
        <f>K234*VLOOKUP(H234,dagsoorttabel1,2,FALSE)</f>
        <v>5.9</v>
      </c>
      <c r="M234" s="95">
        <f>prodnorm40</f>
        <v>0</v>
      </c>
      <c r="N234" s="92" t="s">
        <v>101</v>
      </c>
      <c r="O234" s="26">
        <f>uurtarief40</f>
        <v>0</v>
      </c>
      <c r="P234" s="94" t="e">
        <f>IF(ISBLANK(M234),0,L234/ROUND(M234,4))</f>
        <v>#DIV/0!</v>
      </c>
      <c r="Q234" s="26" t="e">
        <f>ROUND(O234,2)*P234</f>
        <v>#DIV/0!</v>
      </c>
      <c r="R234" s="94" t="e">
        <f>P234*dagenperjaar1</f>
        <v>#DIV/0!</v>
      </c>
      <c r="S234" s="27" t="e">
        <f>R234*ROUND(O234,2)</f>
        <v>#DIV/0!</v>
      </c>
    </row>
    <row r="235" spans="1:19" x14ac:dyDescent="0.2">
      <c r="A235" s="91" t="s">
        <v>606</v>
      </c>
      <c r="B235" s="92" t="s">
        <v>607</v>
      </c>
      <c r="C235" s="92" t="s">
        <v>419</v>
      </c>
      <c r="D235" s="92" t="s">
        <v>718</v>
      </c>
      <c r="E235" s="93" t="s">
        <v>384</v>
      </c>
      <c r="F235" s="92" t="s">
        <v>349</v>
      </c>
      <c r="G235" s="92" t="s">
        <v>252</v>
      </c>
      <c r="H235" s="92" t="s">
        <v>9</v>
      </c>
      <c r="I235" s="92" t="s">
        <v>230</v>
      </c>
      <c r="J235" s="93" t="s">
        <v>253</v>
      </c>
      <c r="K235" s="94">
        <v>3</v>
      </c>
      <c r="L235" s="94">
        <f>K235*VLOOKUP(H235,dagsoorttabel1,2,FALSE)</f>
        <v>3</v>
      </c>
      <c r="M235" s="95">
        <f>prodnorm36</f>
        <v>0</v>
      </c>
      <c r="N235" s="92" t="s">
        <v>101</v>
      </c>
      <c r="O235" s="26">
        <f>uurtarief36</f>
        <v>0</v>
      </c>
      <c r="P235" s="94" t="e">
        <f>IF(ISBLANK(M235),0,L235/ROUND(M235,4))</f>
        <v>#DIV/0!</v>
      </c>
      <c r="Q235" s="26" t="e">
        <f>ROUND(O235,2)*P235</f>
        <v>#DIV/0!</v>
      </c>
      <c r="R235" s="94" t="e">
        <f>P235*dagenperjaar1</f>
        <v>#DIV/0!</v>
      </c>
      <c r="S235" s="27" t="e">
        <f>R235*ROUND(O235,2)</f>
        <v>#DIV/0!</v>
      </c>
    </row>
    <row r="236" spans="1:19" x14ac:dyDescent="0.2">
      <c r="A236" s="91" t="s">
        <v>606</v>
      </c>
      <c r="B236" s="92" t="s">
        <v>607</v>
      </c>
      <c r="C236" s="92" t="s">
        <v>419</v>
      </c>
      <c r="D236" s="92" t="s">
        <v>719</v>
      </c>
      <c r="E236" s="93" t="s">
        <v>635</v>
      </c>
      <c r="F236" s="92" t="s">
        <v>349</v>
      </c>
      <c r="G236" s="92" t="s">
        <v>252</v>
      </c>
      <c r="H236" s="92" t="s">
        <v>9</v>
      </c>
      <c r="I236" s="92" t="s">
        <v>230</v>
      </c>
      <c r="J236" s="93" t="s">
        <v>253</v>
      </c>
      <c r="K236" s="94">
        <v>1.3</v>
      </c>
      <c r="L236" s="94">
        <f>K236*VLOOKUP(H236,dagsoorttabel1,2,FALSE)</f>
        <v>1.3</v>
      </c>
      <c r="M236" s="95">
        <f>prodnorm36</f>
        <v>0</v>
      </c>
      <c r="N236" s="92" t="s">
        <v>101</v>
      </c>
      <c r="O236" s="26">
        <f>uurtarief36</f>
        <v>0</v>
      </c>
      <c r="P236" s="94" t="e">
        <f>IF(ISBLANK(M236),0,L236/ROUND(M236,4))</f>
        <v>#DIV/0!</v>
      </c>
      <c r="Q236" s="26" t="e">
        <f>ROUND(O236,2)*P236</f>
        <v>#DIV/0!</v>
      </c>
      <c r="R236" s="94" t="e">
        <f>P236*dagenperjaar1</f>
        <v>#DIV/0!</v>
      </c>
      <c r="S236" s="27" t="e">
        <f>R236*ROUND(O236,2)</f>
        <v>#DIV/0!</v>
      </c>
    </row>
    <row r="237" spans="1:19" x14ac:dyDescent="0.2">
      <c r="A237" s="91" t="s">
        <v>606</v>
      </c>
      <c r="B237" s="92" t="s">
        <v>607</v>
      </c>
      <c r="C237" s="92" t="s">
        <v>419</v>
      </c>
      <c r="D237" s="92" t="s">
        <v>720</v>
      </c>
      <c r="E237" s="93" t="s">
        <v>721</v>
      </c>
      <c r="F237" s="92" t="s">
        <v>458</v>
      </c>
      <c r="G237" s="92" t="s">
        <v>248</v>
      </c>
      <c r="H237" s="92" t="s">
        <v>14</v>
      </c>
      <c r="I237" s="92" t="s">
        <v>230</v>
      </c>
      <c r="J237" s="93" t="s">
        <v>249</v>
      </c>
      <c r="K237" s="94">
        <v>6.1</v>
      </c>
      <c r="L237" s="94">
        <f>K237*VLOOKUP(H237,dagsoorttabel1,2,FALSE)</f>
        <v>1.22</v>
      </c>
      <c r="M237" s="95">
        <f>prodnorm31</f>
        <v>0</v>
      </c>
      <c r="N237" s="92" t="s">
        <v>101</v>
      </c>
      <c r="O237" s="26">
        <f>uurtarief31</f>
        <v>0</v>
      </c>
      <c r="P237" s="94" t="e">
        <f>IF(ISBLANK(M237),0,L237/ROUND(M237,4))</f>
        <v>#DIV/0!</v>
      </c>
      <c r="Q237" s="26" t="e">
        <f>ROUND(O237,2)*P237</f>
        <v>#DIV/0!</v>
      </c>
      <c r="R237" s="94" t="e">
        <f>P237*dagenperjaar1</f>
        <v>#DIV/0!</v>
      </c>
      <c r="S237" s="27" t="e">
        <f>R237*ROUND(O237,2)</f>
        <v>#DIV/0!</v>
      </c>
    </row>
    <row r="238" spans="1:19" x14ac:dyDescent="0.2">
      <c r="A238" s="91" t="s">
        <v>606</v>
      </c>
      <c r="B238" s="92" t="s">
        <v>607</v>
      </c>
      <c r="C238" s="92" t="s">
        <v>419</v>
      </c>
      <c r="D238" s="92" t="s">
        <v>722</v>
      </c>
      <c r="E238" s="93" t="s">
        <v>723</v>
      </c>
      <c r="F238" s="92" t="s">
        <v>458</v>
      </c>
      <c r="G238" s="92" t="s">
        <v>248</v>
      </c>
      <c r="H238" s="92" t="s">
        <v>14</v>
      </c>
      <c r="I238" s="92" t="s">
        <v>230</v>
      </c>
      <c r="J238" s="93" t="s">
        <v>249</v>
      </c>
      <c r="K238" s="94">
        <v>7</v>
      </c>
      <c r="L238" s="94">
        <f>K238*VLOOKUP(H238,dagsoorttabel1,2,FALSE)</f>
        <v>1.4000000000000001</v>
      </c>
      <c r="M238" s="95">
        <f>prodnorm31</f>
        <v>0</v>
      </c>
      <c r="N238" s="92" t="s">
        <v>101</v>
      </c>
      <c r="O238" s="26">
        <f>uurtarief31</f>
        <v>0</v>
      </c>
      <c r="P238" s="94" t="e">
        <f>IF(ISBLANK(M238),0,L238/ROUND(M238,4))</f>
        <v>#DIV/0!</v>
      </c>
      <c r="Q238" s="26" t="e">
        <f>ROUND(O238,2)*P238</f>
        <v>#DIV/0!</v>
      </c>
      <c r="R238" s="94" t="e">
        <f>P238*dagenperjaar1</f>
        <v>#DIV/0!</v>
      </c>
      <c r="S238" s="27" t="e">
        <f>R238*ROUND(O238,2)</f>
        <v>#DIV/0!</v>
      </c>
    </row>
    <row r="239" spans="1:19" x14ac:dyDescent="0.2">
      <c r="A239" s="91" t="s">
        <v>606</v>
      </c>
      <c r="B239" s="92" t="s">
        <v>607</v>
      </c>
      <c r="C239" s="92" t="s">
        <v>419</v>
      </c>
      <c r="D239" s="92" t="s">
        <v>724</v>
      </c>
      <c r="E239" s="93" t="s">
        <v>725</v>
      </c>
      <c r="F239" s="92" t="s">
        <v>349</v>
      </c>
      <c r="G239" s="92" t="s">
        <v>252</v>
      </c>
      <c r="H239" s="92" t="s">
        <v>9</v>
      </c>
      <c r="I239" s="92" t="s">
        <v>230</v>
      </c>
      <c r="J239" s="93" t="s">
        <v>253</v>
      </c>
      <c r="K239" s="94">
        <v>3.2</v>
      </c>
      <c r="L239" s="94">
        <f>K239*VLOOKUP(H239,dagsoorttabel1,2,FALSE)</f>
        <v>3.2</v>
      </c>
      <c r="M239" s="95">
        <f>prodnorm36</f>
        <v>0</v>
      </c>
      <c r="N239" s="92" t="s">
        <v>101</v>
      </c>
      <c r="O239" s="26">
        <f>uurtarief36</f>
        <v>0</v>
      </c>
      <c r="P239" s="94" t="e">
        <f>IF(ISBLANK(M239),0,L239/ROUND(M239,4))</f>
        <v>#DIV/0!</v>
      </c>
      <c r="Q239" s="26" t="e">
        <f>ROUND(O239,2)*P239</f>
        <v>#DIV/0!</v>
      </c>
      <c r="R239" s="94" t="e">
        <f>P239*dagenperjaar1</f>
        <v>#DIV/0!</v>
      </c>
      <c r="S239" s="27" t="e">
        <f>R239*ROUND(O239,2)</f>
        <v>#DIV/0!</v>
      </c>
    </row>
    <row r="240" spans="1:19" x14ac:dyDescent="0.2">
      <c r="A240" s="91" t="s">
        <v>606</v>
      </c>
      <c r="B240" s="92" t="s">
        <v>607</v>
      </c>
      <c r="C240" s="92" t="s">
        <v>419</v>
      </c>
      <c r="D240" s="92" t="s">
        <v>726</v>
      </c>
      <c r="E240" s="93" t="s">
        <v>727</v>
      </c>
      <c r="F240" s="92" t="s">
        <v>349</v>
      </c>
      <c r="G240" s="92" t="s">
        <v>252</v>
      </c>
      <c r="H240" s="92" t="s">
        <v>9</v>
      </c>
      <c r="I240" s="92" t="s">
        <v>230</v>
      </c>
      <c r="J240" s="93" t="s">
        <v>253</v>
      </c>
      <c r="K240" s="94">
        <v>1.3</v>
      </c>
      <c r="L240" s="94">
        <f>K240*VLOOKUP(H240,dagsoorttabel1,2,FALSE)</f>
        <v>1.3</v>
      </c>
      <c r="M240" s="95">
        <f>prodnorm36</f>
        <v>0</v>
      </c>
      <c r="N240" s="92" t="s">
        <v>101</v>
      </c>
      <c r="O240" s="26">
        <f>uurtarief36</f>
        <v>0</v>
      </c>
      <c r="P240" s="94" t="e">
        <f>IF(ISBLANK(M240),0,L240/ROUND(M240,4))</f>
        <v>#DIV/0!</v>
      </c>
      <c r="Q240" s="26" t="e">
        <f>ROUND(O240,2)*P240</f>
        <v>#DIV/0!</v>
      </c>
      <c r="R240" s="94" t="e">
        <f>P240*dagenperjaar1</f>
        <v>#DIV/0!</v>
      </c>
      <c r="S240" s="27" t="e">
        <f>R240*ROUND(O240,2)</f>
        <v>#DIV/0!</v>
      </c>
    </row>
    <row r="241" spans="1:19" x14ac:dyDescent="0.2">
      <c r="A241" s="91" t="s">
        <v>606</v>
      </c>
      <c r="B241" s="92" t="s">
        <v>607</v>
      </c>
      <c r="C241" s="92" t="s">
        <v>443</v>
      </c>
      <c r="D241" s="92" t="s">
        <v>728</v>
      </c>
      <c r="E241" s="93" t="s">
        <v>654</v>
      </c>
      <c r="F241" s="92" t="s">
        <v>543</v>
      </c>
      <c r="G241" s="92" t="s">
        <v>232</v>
      </c>
      <c r="H241" s="92" t="s">
        <v>13</v>
      </c>
      <c r="I241" s="92" t="s">
        <v>230</v>
      </c>
      <c r="J241" s="93" t="s">
        <v>233</v>
      </c>
      <c r="K241" s="94">
        <v>23.5</v>
      </c>
      <c r="L241" s="94">
        <f>K241*VLOOKUP(H241,dagsoorttabel1,2,FALSE)</f>
        <v>9.4</v>
      </c>
      <c r="M241" s="95">
        <f>prodnorm17</f>
        <v>0</v>
      </c>
      <c r="N241" s="92" t="s">
        <v>101</v>
      </c>
      <c r="O241" s="26">
        <f>uurtarief17</f>
        <v>0</v>
      </c>
      <c r="P241" s="94" t="e">
        <f>IF(ISBLANK(M241),0,L241/ROUND(M241,4))</f>
        <v>#DIV/0!</v>
      </c>
      <c r="Q241" s="26" t="e">
        <f>ROUND(O241,2)*P241</f>
        <v>#DIV/0!</v>
      </c>
      <c r="R241" s="94" t="e">
        <f>P241*dagenperjaar1</f>
        <v>#DIV/0!</v>
      </c>
      <c r="S241" s="27" t="e">
        <f>R241*ROUND(O241,2)</f>
        <v>#DIV/0!</v>
      </c>
    </row>
    <row r="242" spans="1:19" x14ac:dyDescent="0.2">
      <c r="A242" s="91" t="s">
        <v>606</v>
      </c>
      <c r="B242" s="92" t="s">
        <v>607</v>
      </c>
      <c r="C242" s="92" t="s">
        <v>443</v>
      </c>
      <c r="D242" s="92" t="s">
        <v>729</v>
      </c>
      <c r="E242" s="93" t="s">
        <v>694</v>
      </c>
      <c r="F242" s="92" t="s">
        <v>543</v>
      </c>
      <c r="G242" s="92" t="s">
        <v>232</v>
      </c>
      <c r="H242" s="92" t="s">
        <v>13</v>
      </c>
      <c r="I242" s="92" t="s">
        <v>230</v>
      </c>
      <c r="J242" s="93" t="s">
        <v>233</v>
      </c>
      <c r="K242" s="94">
        <v>10</v>
      </c>
      <c r="L242" s="94">
        <f>K242*VLOOKUP(H242,dagsoorttabel1,2,FALSE)</f>
        <v>4</v>
      </c>
      <c r="M242" s="95">
        <f>prodnorm17</f>
        <v>0</v>
      </c>
      <c r="N242" s="92" t="s">
        <v>101</v>
      </c>
      <c r="O242" s="26">
        <f>uurtarief17</f>
        <v>0</v>
      </c>
      <c r="P242" s="94" t="e">
        <f>IF(ISBLANK(M242),0,L242/ROUND(M242,4))</f>
        <v>#DIV/0!</v>
      </c>
      <c r="Q242" s="26" t="e">
        <f>ROUND(O242,2)*P242</f>
        <v>#DIV/0!</v>
      </c>
      <c r="R242" s="94" t="e">
        <f>P242*dagenperjaar1</f>
        <v>#DIV/0!</v>
      </c>
      <c r="S242" s="27" t="e">
        <f>R242*ROUND(O242,2)</f>
        <v>#DIV/0!</v>
      </c>
    </row>
    <row r="243" spans="1:19" x14ac:dyDescent="0.2">
      <c r="A243" s="91" t="s">
        <v>606</v>
      </c>
      <c r="B243" s="92" t="s">
        <v>607</v>
      </c>
      <c r="C243" s="92" t="s">
        <v>443</v>
      </c>
      <c r="D243" s="92" t="s">
        <v>730</v>
      </c>
      <c r="E243" s="93" t="s">
        <v>652</v>
      </c>
      <c r="F243" s="92" t="s">
        <v>543</v>
      </c>
      <c r="G243" s="92" t="s">
        <v>232</v>
      </c>
      <c r="H243" s="92" t="s">
        <v>13</v>
      </c>
      <c r="I243" s="92" t="s">
        <v>230</v>
      </c>
      <c r="J243" s="93" t="s">
        <v>233</v>
      </c>
      <c r="K243" s="94">
        <v>21.7</v>
      </c>
      <c r="L243" s="94">
        <f>K243*VLOOKUP(H243,dagsoorttabel1,2,FALSE)</f>
        <v>8.68</v>
      </c>
      <c r="M243" s="95">
        <f>prodnorm17</f>
        <v>0</v>
      </c>
      <c r="N243" s="92" t="s">
        <v>101</v>
      </c>
      <c r="O243" s="26">
        <f>uurtarief17</f>
        <v>0</v>
      </c>
      <c r="P243" s="94" t="e">
        <f>IF(ISBLANK(M243),0,L243/ROUND(M243,4))</f>
        <v>#DIV/0!</v>
      </c>
      <c r="Q243" s="26" t="e">
        <f>ROUND(O243,2)*P243</f>
        <v>#DIV/0!</v>
      </c>
      <c r="R243" s="94" t="e">
        <f>P243*dagenperjaar1</f>
        <v>#DIV/0!</v>
      </c>
      <c r="S243" s="27" t="e">
        <f>R243*ROUND(O243,2)</f>
        <v>#DIV/0!</v>
      </c>
    </row>
    <row r="244" spans="1:19" x14ac:dyDescent="0.2">
      <c r="A244" s="91" t="s">
        <v>606</v>
      </c>
      <c r="B244" s="92" t="s">
        <v>607</v>
      </c>
      <c r="C244" s="92" t="s">
        <v>443</v>
      </c>
      <c r="D244" s="92" t="s">
        <v>731</v>
      </c>
      <c r="E244" s="93" t="s">
        <v>656</v>
      </c>
      <c r="F244" s="92" t="s">
        <v>543</v>
      </c>
      <c r="G244" s="92" t="s">
        <v>258</v>
      </c>
      <c r="H244" s="92" t="s">
        <v>9</v>
      </c>
      <c r="I244" s="92" t="s">
        <v>230</v>
      </c>
      <c r="J244" s="93" t="s">
        <v>259</v>
      </c>
      <c r="K244" s="94">
        <v>13.1</v>
      </c>
      <c r="L244" s="94">
        <f>K244*VLOOKUP(H244,dagsoorttabel1,2,FALSE)</f>
        <v>13.1</v>
      </c>
      <c r="M244" s="95">
        <f>prodnorm42</f>
        <v>0</v>
      </c>
      <c r="N244" s="92" t="s">
        <v>101</v>
      </c>
      <c r="O244" s="26">
        <f>uurtarief42</f>
        <v>0</v>
      </c>
      <c r="P244" s="94" t="e">
        <f>IF(ISBLANK(M244),0,L244/ROUND(M244,4))</f>
        <v>#DIV/0!</v>
      </c>
      <c r="Q244" s="26" t="e">
        <f>ROUND(O244,2)*P244</f>
        <v>#DIV/0!</v>
      </c>
      <c r="R244" s="94" t="e">
        <f>P244*dagenperjaar1</f>
        <v>#DIV/0!</v>
      </c>
      <c r="S244" s="27" t="e">
        <f>R244*ROUND(O244,2)</f>
        <v>#DIV/0!</v>
      </c>
    </row>
    <row r="245" spans="1:19" x14ac:dyDescent="0.2">
      <c r="A245" s="91" t="s">
        <v>606</v>
      </c>
      <c r="B245" s="92" t="s">
        <v>607</v>
      </c>
      <c r="C245" s="92" t="s">
        <v>443</v>
      </c>
      <c r="D245" s="92" t="s">
        <v>732</v>
      </c>
      <c r="E245" s="93" t="s">
        <v>611</v>
      </c>
      <c r="F245" s="92" t="s">
        <v>733</v>
      </c>
      <c r="G245" s="92" t="s">
        <v>268</v>
      </c>
      <c r="H245" s="92" t="s">
        <v>9</v>
      </c>
      <c r="I245" s="92" t="s">
        <v>230</v>
      </c>
      <c r="J245" s="93" t="s">
        <v>269</v>
      </c>
      <c r="K245" s="94">
        <v>12.4</v>
      </c>
      <c r="L245" s="94">
        <f>K245*VLOOKUP(H245,dagsoorttabel1,2,FALSE)</f>
        <v>12.4</v>
      </c>
      <c r="M245" s="95">
        <f>prodnorm53</f>
        <v>0</v>
      </c>
      <c r="N245" s="92" t="s">
        <v>101</v>
      </c>
      <c r="O245" s="26">
        <f>uurtarief53</f>
        <v>0</v>
      </c>
      <c r="P245" s="94" t="e">
        <f>IF(ISBLANK(M245),0,L245/ROUND(M245,4))</f>
        <v>#DIV/0!</v>
      </c>
      <c r="Q245" s="26" t="e">
        <f>ROUND(O245,2)*P245</f>
        <v>#DIV/0!</v>
      </c>
      <c r="R245" s="94" t="e">
        <f>P245*dagenperjaar1</f>
        <v>#DIV/0!</v>
      </c>
      <c r="S245" s="27" t="e">
        <f>R245*ROUND(O245,2)</f>
        <v>#DIV/0!</v>
      </c>
    </row>
    <row r="246" spans="1:19" x14ac:dyDescent="0.2">
      <c r="A246" s="91" t="s">
        <v>606</v>
      </c>
      <c r="B246" s="92" t="s">
        <v>607</v>
      </c>
      <c r="C246" s="92" t="s">
        <v>443</v>
      </c>
      <c r="D246" s="92" t="s">
        <v>734</v>
      </c>
      <c r="E246" s="93" t="s">
        <v>735</v>
      </c>
      <c r="F246" s="92" t="s">
        <v>349</v>
      </c>
      <c r="G246" s="92" t="s">
        <v>252</v>
      </c>
      <c r="H246" s="92" t="s">
        <v>9</v>
      </c>
      <c r="I246" s="92" t="s">
        <v>230</v>
      </c>
      <c r="J246" s="93" t="s">
        <v>253</v>
      </c>
      <c r="K246" s="94">
        <v>1</v>
      </c>
      <c r="L246" s="94">
        <f>K246*VLOOKUP(H246,dagsoorttabel1,2,FALSE)</f>
        <v>1</v>
      </c>
      <c r="M246" s="95">
        <f>prodnorm36</f>
        <v>0</v>
      </c>
      <c r="N246" s="92" t="s">
        <v>101</v>
      </c>
      <c r="O246" s="26">
        <f>uurtarief36</f>
        <v>0</v>
      </c>
      <c r="P246" s="94" t="e">
        <f>IF(ISBLANK(M246),0,L246/ROUND(M246,4))</f>
        <v>#DIV/0!</v>
      </c>
      <c r="Q246" s="26" t="e">
        <f>ROUND(O246,2)*P246</f>
        <v>#DIV/0!</v>
      </c>
      <c r="R246" s="94" t="e">
        <f>P246*dagenperjaar1</f>
        <v>#DIV/0!</v>
      </c>
      <c r="S246" s="27" t="e">
        <f>R246*ROUND(O246,2)</f>
        <v>#DIV/0!</v>
      </c>
    </row>
    <row r="247" spans="1:19" x14ac:dyDescent="0.2">
      <c r="A247" s="91" t="s">
        <v>606</v>
      </c>
      <c r="B247" s="92" t="s">
        <v>607</v>
      </c>
      <c r="C247" s="92" t="s">
        <v>443</v>
      </c>
      <c r="D247" s="92" t="s">
        <v>736</v>
      </c>
      <c r="E247" s="93" t="s">
        <v>737</v>
      </c>
      <c r="F247" s="92" t="s">
        <v>349</v>
      </c>
      <c r="G247" s="92" t="s">
        <v>252</v>
      </c>
      <c r="H247" s="92" t="s">
        <v>9</v>
      </c>
      <c r="I247" s="92" t="s">
        <v>230</v>
      </c>
      <c r="J247" s="93" t="s">
        <v>253</v>
      </c>
      <c r="K247" s="94">
        <v>1.1000000000000001</v>
      </c>
      <c r="L247" s="94">
        <f>K247*VLOOKUP(H247,dagsoorttabel1,2,FALSE)</f>
        <v>1.1000000000000001</v>
      </c>
      <c r="M247" s="95">
        <f>prodnorm36</f>
        <v>0</v>
      </c>
      <c r="N247" s="92" t="s">
        <v>101</v>
      </c>
      <c r="O247" s="26">
        <f>uurtarief36</f>
        <v>0</v>
      </c>
      <c r="P247" s="94" t="e">
        <f>IF(ISBLANK(M247),0,L247/ROUND(M247,4))</f>
        <v>#DIV/0!</v>
      </c>
      <c r="Q247" s="26" t="e">
        <f>ROUND(O247,2)*P247</f>
        <v>#DIV/0!</v>
      </c>
      <c r="R247" s="94" t="e">
        <f>P247*dagenperjaar1</f>
        <v>#DIV/0!</v>
      </c>
      <c r="S247" s="27" t="e">
        <f>R247*ROUND(O247,2)</f>
        <v>#DIV/0!</v>
      </c>
    </row>
    <row r="248" spans="1:19" x14ac:dyDescent="0.2">
      <c r="A248" s="91" t="s">
        <v>606</v>
      </c>
      <c r="B248" s="92" t="s">
        <v>607</v>
      </c>
      <c r="C248" s="92" t="s">
        <v>443</v>
      </c>
      <c r="D248" s="92" t="s">
        <v>738</v>
      </c>
      <c r="E248" s="93" t="s">
        <v>739</v>
      </c>
      <c r="F248" s="92" t="s">
        <v>349</v>
      </c>
      <c r="G248" s="92" t="s">
        <v>252</v>
      </c>
      <c r="H248" s="92" t="s">
        <v>9</v>
      </c>
      <c r="I248" s="92" t="s">
        <v>230</v>
      </c>
      <c r="J248" s="93" t="s">
        <v>253</v>
      </c>
      <c r="K248" s="94">
        <v>3.9</v>
      </c>
      <c r="L248" s="94">
        <f>K248*VLOOKUP(H248,dagsoorttabel1,2,FALSE)</f>
        <v>3.9</v>
      </c>
      <c r="M248" s="95">
        <f>prodnorm36</f>
        <v>0</v>
      </c>
      <c r="N248" s="92" t="s">
        <v>101</v>
      </c>
      <c r="O248" s="26">
        <f>uurtarief36</f>
        <v>0</v>
      </c>
      <c r="P248" s="94" t="e">
        <f>IF(ISBLANK(M248),0,L248/ROUND(M248,4))</f>
        <v>#DIV/0!</v>
      </c>
      <c r="Q248" s="26" t="e">
        <f>ROUND(O248,2)*P248</f>
        <v>#DIV/0!</v>
      </c>
      <c r="R248" s="94" t="e">
        <f>P248*dagenperjaar1</f>
        <v>#DIV/0!</v>
      </c>
      <c r="S248" s="27" t="e">
        <f>R248*ROUND(O248,2)</f>
        <v>#DIV/0!</v>
      </c>
    </row>
    <row r="249" spans="1:19" x14ac:dyDescent="0.2">
      <c r="A249" s="91" t="s">
        <v>606</v>
      </c>
      <c r="B249" s="92" t="s">
        <v>607</v>
      </c>
      <c r="C249" s="92" t="s">
        <v>443</v>
      </c>
      <c r="D249" s="92" t="s">
        <v>740</v>
      </c>
      <c r="E249" s="93" t="s">
        <v>701</v>
      </c>
      <c r="F249" s="92" t="s">
        <v>543</v>
      </c>
      <c r="G249" s="92" t="s">
        <v>232</v>
      </c>
      <c r="H249" s="92" t="s">
        <v>13</v>
      </c>
      <c r="I249" s="92" t="s">
        <v>230</v>
      </c>
      <c r="J249" s="93" t="s">
        <v>233</v>
      </c>
      <c r="K249" s="94">
        <v>78</v>
      </c>
      <c r="L249" s="94">
        <f>K249*VLOOKUP(H249,dagsoorttabel1,2,FALSE)</f>
        <v>31.200000000000003</v>
      </c>
      <c r="M249" s="95">
        <f>prodnorm17</f>
        <v>0</v>
      </c>
      <c r="N249" s="92" t="s">
        <v>101</v>
      </c>
      <c r="O249" s="26">
        <f>uurtarief17</f>
        <v>0</v>
      </c>
      <c r="P249" s="94" t="e">
        <f>IF(ISBLANK(M249),0,L249/ROUND(M249,4))</f>
        <v>#DIV/0!</v>
      </c>
      <c r="Q249" s="26" t="e">
        <f>ROUND(O249,2)*P249</f>
        <v>#DIV/0!</v>
      </c>
      <c r="R249" s="94" t="e">
        <f>P249*dagenperjaar1</f>
        <v>#DIV/0!</v>
      </c>
      <c r="S249" s="27" t="e">
        <f>R249*ROUND(O249,2)</f>
        <v>#DIV/0!</v>
      </c>
    </row>
    <row r="250" spans="1:19" x14ac:dyDescent="0.2">
      <c r="A250" s="91" t="s">
        <v>606</v>
      </c>
      <c r="B250" s="92" t="s">
        <v>607</v>
      </c>
      <c r="C250" s="92" t="s">
        <v>443</v>
      </c>
      <c r="D250" s="92" t="s">
        <v>741</v>
      </c>
      <c r="E250" s="93" t="s">
        <v>742</v>
      </c>
      <c r="F250" s="92" t="s">
        <v>543</v>
      </c>
      <c r="G250" s="92" t="s">
        <v>232</v>
      </c>
      <c r="H250" s="92" t="s">
        <v>13</v>
      </c>
      <c r="I250" s="92" t="s">
        <v>230</v>
      </c>
      <c r="J250" s="93" t="s">
        <v>233</v>
      </c>
      <c r="K250" s="94">
        <v>13.9</v>
      </c>
      <c r="L250" s="94">
        <f>K250*VLOOKUP(H250,dagsoorttabel1,2,FALSE)</f>
        <v>5.5600000000000005</v>
      </c>
      <c r="M250" s="95">
        <f>prodnorm17</f>
        <v>0</v>
      </c>
      <c r="N250" s="92" t="s">
        <v>101</v>
      </c>
      <c r="O250" s="26">
        <f>uurtarief17</f>
        <v>0</v>
      </c>
      <c r="P250" s="94" t="e">
        <f>IF(ISBLANK(M250),0,L250/ROUND(M250,4))</f>
        <v>#DIV/0!</v>
      </c>
      <c r="Q250" s="26" t="e">
        <f>ROUND(O250,2)*P250</f>
        <v>#DIV/0!</v>
      </c>
      <c r="R250" s="94" t="e">
        <f>P250*dagenperjaar1</f>
        <v>#DIV/0!</v>
      </c>
      <c r="S250" s="27" t="e">
        <f>R250*ROUND(O250,2)</f>
        <v>#DIV/0!</v>
      </c>
    </row>
    <row r="251" spans="1:19" x14ac:dyDescent="0.2">
      <c r="A251" s="91" t="s">
        <v>606</v>
      </c>
      <c r="B251" s="92" t="s">
        <v>607</v>
      </c>
      <c r="C251" s="92" t="s">
        <v>443</v>
      </c>
      <c r="D251" s="92" t="s">
        <v>743</v>
      </c>
      <c r="E251" s="93" t="s">
        <v>744</v>
      </c>
      <c r="F251" s="92" t="s">
        <v>543</v>
      </c>
      <c r="G251" s="92" t="s">
        <v>232</v>
      </c>
      <c r="H251" s="92" t="s">
        <v>13</v>
      </c>
      <c r="I251" s="92" t="s">
        <v>230</v>
      </c>
      <c r="J251" s="93" t="s">
        <v>233</v>
      </c>
      <c r="K251" s="94">
        <v>31</v>
      </c>
      <c r="L251" s="94">
        <f>K251*VLOOKUP(H251,dagsoorttabel1,2,FALSE)</f>
        <v>12.4</v>
      </c>
      <c r="M251" s="95">
        <f>prodnorm17</f>
        <v>0</v>
      </c>
      <c r="N251" s="92" t="s">
        <v>101</v>
      </c>
      <c r="O251" s="26">
        <f>uurtarief17</f>
        <v>0</v>
      </c>
      <c r="P251" s="94" t="e">
        <f>IF(ISBLANK(M251),0,L251/ROUND(M251,4))</f>
        <v>#DIV/0!</v>
      </c>
      <c r="Q251" s="26" t="e">
        <f>ROUND(O251,2)*P251</f>
        <v>#DIV/0!</v>
      </c>
      <c r="R251" s="94" t="e">
        <f>P251*dagenperjaar1</f>
        <v>#DIV/0!</v>
      </c>
      <c r="S251" s="27" t="e">
        <f>R251*ROUND(O251,2)</f>
        <v>#DIV/0!</v>
      </c>
    </row>
    <row r="252" spans="1:19" x14ac:dyDescent="0.2">
      <c r="A252" s="91" t="s">
        <v>606</v>
      </c>
      <c r="B252" s="92" t="s">
        <v>607</v>
      </c>
      <c r="C252" s="92" t="s">
        <v>443</v>
      </c>
      <c r="D252" s="92" t="s">
        <v>745</v>
      </c>
      <c r="E252" s="93" t="s">
        <v>746</v>
      </c>
      <c r="F252" s="92" t="s">
        <v>543</v>
      </c>
      <c r="G252" s="92" t="s">
        <v>232</v>
      </c>
      <c r="H252" s="92" t="s">
        <v>13</v>
      </c>
      <c r="I252" s="92" t="s">
        <v>230</v>
      </c>
      <c r="J252" s="93" t="s">
        <v>233</v>
      </c>
      <c r="K252" s="94">
        <v>31</v>
      </c>
      <c r="L252" s="94">
        <f>K252*VLOOKUP(H252,dagsoorttabel1,2,FALSE)</f>
        <v>12.4</v>
      </c>
      <c r="M252" s="95">
        <f>prodnorm17</f>
        <v>0</v>
      </c>
      <c r="N252" s="92" t="s">
        <v>101</v>
      </c>
      <c r="O252" s="26">
        <f>uurtarief17</f>
        <v>0</v>
      </c>
      <c r="P252" s="94" t="e">
        <f>IF(ISBLANK(M252),0,L252/ROUND(M252,4))</f>
        <v>#DIV/0!</v>
      </c>
      <c r="Q252" s="26" t="e">
        <f>ROUND(O252,2)*P252</f>
        <v>#DIV/0!</v>
      </c>
      <c r="R252" s="94" t="e">
        <f>P252*dagenperjaar1</f>
        <v>#DIV/0!</v>
      </c>
      <c r="S252" s="27" t="e">
        <f>R252*ROUND(O252,2)</f>
        <v>#DIV/0!</v>
      </c>
    </row>
    <row r="253" spans="1:19" x14ac:dyDescent="0.2">
      <c r="A253" s="91" t="s">
        <v>606</v>
      </c>
      <c r="B253" s="92" t="s">
        <v>607</v>
      </c>
      <c r="C253" s="92" t="s">
        <v>443</v>
      </c>
      <c r="D253" s="92" t="s">
        <v>747</v>
      </c>
      <c r="E253" s="93" t="s">
        <v>748</v>
      </c>
      <c r="F253" s="92" t="s">
        <v>543</v>
      </c>
      <c r="G253" s="92" t="s">
        <v>232</v>
      </c>
      <c r="H253" s="92" t="s">
        <v>13</v>
      </c>
      <c r="I253" s="92" t="s">
        <v>230</v>
      </c>
      <c r="J253" s="93" t="s">
        <v>233</v>
      </c>
      <c r="K253" s="94">
        <v>32.299999999999997</v>
      </c>
      <c r="L253" s="94">
        <f>K253*VLOOKUP(H253,dagsoorttabel1,2,FALSE)</f>
        <v>12.92</v>
      </c>
      <c r="M253" s="95">
        <f>prodnorm17</f>
        <v>0</v>
      </c>
      <c r="N253" s="92" t="s">
        <v>101</v>
      </c>
      <c r="O253" s="26">
        <f>uurtarief17</f>
        <v>0</v>
      </c>
      <c r="P253" s="94" t="e">
        <f>IF(ISBLANK(M253),0,L253/ROUND(M253,4))</f>
        <v>#DIV/0!</v>
      </c>
      <c r="Q253" s="26" t="e">
        <f>ROUND(O253,2)*P253</f>
        <v>#DIV/0!</v>
      </c>
      <c r="R253" s="94" t="e">
        <f>P253*dagenperjaar1</f>
        <v>#DIV/0!</v>
      </c>
      <c r="S253" s="27" t="e">
        <f>R253*ROUND(O253,2)</f>
        <v>#DIV/0!</v>
      </c>
    </row>
    <row r="254" spans="1:19" x14ac:dyDescent="0.2">
      <c r="A254" s="91" t="s">
        <v>606</v>
      </c>
      <c r="B254" s="92" t="s">
        <v>607</v>
      </c>
      <c r="C254" s="92" t="s">
        <v>443</v>
      </c>
      <c r="D254" s="92" t="s">
        <v>749</v>
      </c>
      <c r="E254" s="93" t="s">
        <v>750</v>
      </c>
      <c r="F254" s="92" t="s">
        <v>543</v>
      </c>
      <c r="G254" s="92" t="s">
        <v>232</v>
      </c>
      <c r="H254" s="92" t="s">
        <v>13</v>
      </c>
      <c r="I254" s="92" t="s">
        <v>230</v>
      </c>
      <c r="J254" s="93" t="s">
        <v>233</v>
      </c>
      <c r="K254" s="94">
        <v>17.100000000000001</v>
      </c>
      <c r="L254" s="94">
        <f>K254*VLOOKUP(H254,dagsoorttabel1,2,FALSE)</f>
        <v>6.8400000000000007</v>
      </c>
      <c r="M254" s="95">
        <f>prodnorm17</f>
        <v>0</v>
      </c>
      <c r="N254" s="92" t="s">
        <v>101</v>
      </c>
      <c r="O254" s="26">
        <f>uurtarief17</f>
        <v>0</v>
      </c>
      <c r="P254" s="94" t="e">
        <f>IF(ISBLANK(M254),0,L254/ROUND(M254,4))</f>
        <v>#DIV/0!</v>
      </c>
      <c r="Q254" s="26" t="e">
        <f>ROUND(O254,2)*P254</f>
        <v>#DIV/0!</v>
      </c>
      <c r="R254" s="94" t="e">
        <f>P254*dagenperjaar1</f>
        <v>#DIV/0!</v>
      </c>
      <c r="S254" s="27" t="e">
        <f>R254*ROUND(O254,2)</f>
        <v>#DIV/0!</v>
      </c>
    </row>
    <row r="255" spans="1:19" x14ac:dyDescent="0.2">
      <c r="A255" s="91" t="s">
        <v>606</v>
      </c>
      <c r="B255" s="92" t="s">
        <v>607</v>
      </c>
      <c r="C255" s="92" t="s">
        <v>443</v>
      </c>
      <c r="D255" s="92" t="s">
        <v>751</v>
      </c>
      <c r="E255" s="93" t="s">
        <v>629</v>
      </c>
      <c r="F255" s="92" t="s">
        <v>733</v>
      </c>
      <c r="G255" s="92" t="s">
        <v>258</v>
      </c>
      <c r="H255" s="92" t="s">
        <v>9</v>
      </c>
      <c r="I255" s="92" t="s">
        <v>230</v>
      </c>
      <c r="J255" s="93" t="s">
        <v>259</v>
      </c>
      <c r="K255" s="94">
        <v>19.3</v>
      </c>
      <c r="L255" s="94">
        <f>K255*VLOOKUP(H255,dagsoorttabel1,2,FALSE)</f>
        <v>19.3</v>
      </c>
      <c r="M255" s="95">
        <f>prodnorm42</f>
        <v>0</v>
      </c>
      <c r="N255" s="92" t="s">
        <v>101</v>
      </c>
      <c r="O255" s="26">
        <f>uurtarief42</f>
        <v>0</v>
      </c>
      <c r="P255" s="94" t="e">
        <f>IF(ISBLANK(M255),0,L255/ROUND(M255,4))</f>
        <v>#DIV/0!</v>
      </c>
      <c r="Q255" s="26" t="e">
        <f>ROUND(O255,2)*P255</f>
        <v>#DIV/0!</v>
      </c>
      <c r="R255" s="94" t="e">
        <f>P255*dagenperjaar1</f>
        <v>#DIV/0!</v>
      </c>
      <c r="S255" s="27" t="e">
        <f>R255*ROUND(O255,2)</f>
        <v>#DIV/0!</v>
      </c>
    </row>
    <row r="256" spans="1:19" x14ac:dyDescent="0.2">
      <c r="A256" s="91" t="s">
        <v>606</v>
      </c>
      <c r="B256" s="92" t="s">
        <v>607</v>
      </c>
      <c r="C256" s="92" t="s">
        <v>443</v>
      </c>
      <c r="D256" s="92" t="s">
        <v>752</v>
      </c>
      <c r="E256" s="93" t="s">
        <v>753</v>
      </c>
      <c r="F256" s="92" t="s">
        <v>754</v>
      </c>
      <c r="G256" s="92" t="s">
        <v>229</v>
      </c>
      <c r="H256" s="92" t="s">
        <v>13</v>
      </c>
      <c r="I256" s="92" t="s">
        <v>230</v>
      </c>
      <c r="J256" s="93" t="s">
        <v>231</v>
      </c>
      <c r="K256" s="94">
        <v>9.8000000000000007</v>
      </c>
      <c r="L256" s="94">
        <f>K256*VLOOKUP(H256,dagsoorttabel1,2,FALSE)</f>
        <v>3.9200000000000004</v>
      </c>
      <c r="M256" s="95">
        <f>prodnorm14</f>
        <v>0</v>
      </c>
      <c r="N256" s="92" t="s">
        <v>101</v>
      </c>
      <c r="O256" s="26">
        <f>uurtarief14</f>
        <v>0</v>
      </c>
      <c r="P256" s="94" t="e">
        <f>IF(ISBLANK(M256),0,L256/ROUND(M256,4))</f>
        <v>#DIV/0!</v>
      </c>
      <c r="Q256" s="26" t="e">
        <f>ROUND(O256,2)*P256</f>
        <v>#DIV/0!</v>
      </c>
      <c r="R256" s="94" t="e">
        <f>P256*dagenperjaar1</f>
        <v>#DIV/0!</v>
      </c>
      <c r="S256" s="27" t="e">
        <f>R256*ROUND(O256,2)</f>
        <v>#DIV/0!</v>
      </c>
    </row>
    <row r="257" spans="1:19" x14ac:dyDescent="0.2">
      <c r="A257" s="91" t="s">
        <v>606</v>
      </c>
      <c r="B257" s="92" t="s">
        <v>607</v>
      </c>
      <c r="C257" s="92" t="s">
        <v>443</v>
      </c>
      <c r="D257" s="92" t="s">
        <v>755</v>
      </c>
      <c r="E257" s="93" t="s">
        <v>390</v>
      </c>
      <c r="F257" s="92" t="s">
        <v>624</v>
      </c>
      <c r="G257" s="92" t="s">
        <v>266</v>
      </c>
      <c r="H257" s="92" t="s">
        <v>9</v>
      </c>
      <c r="I257" s="92" t="s">
        <v>230</v>
      </c>
      <c r="J257" s="93" t="s">
        <v>267</v>
      </c>
      <c r="K257" s="94">
        <v>7.8</v>
      </c>
      <c r="L257" s="94">
        <f>K257*VLOOKUP(H257,dagsoorttabel1,2,FALSE)</f>
        <v>7.8</v>
      </c>
      <c r="M257" s="95">
        <f>prodnorm51</f>
        <v>0</v>
      </c>
      <c r="N257" s="92" t="s">
        <v>101</v>
      </c>
      <c r="O257" s="26">
        <f>uurtarief51</f>
        <v>0</v>
      </c>
      <c r="P257" s="94" t="e">
        <f>IF(ISBLANK(M257),0,L257/ROUND(M257,4))</f>
        <v>#DIV/0!</v>
      </c>
      <c r="Q257" s="26" t="e">
        <f>ROUND(O257,2)*P257</f>
        <v>#DIV/0!</v>
      </c>
      <c r="R257" s="94" t="e">
        <f>P257*dagenperjaar1</f>
        <v>#DIV/0!</v>
      </c>
      <c r="S257" s="27" t="e">
        <f>R257*ROUND(O257,2)</f>
        <v>#DIV/0!</v>
      </c>
    </row>
    <row r="258" spans="1:19" x14ac:dyDescent="0.2">
      <c r="A258" s="91" t="s">
        <v>606</v>
      </c>
      <c r="B258" s="92" t="s">
        <v>607</v>
      </c>
      <c r="C258" s="92" t="s">
        <v>443</v>
      </c>
      <c r="D258" s="92" t="s">
        <v>756</v>
      </c>
      <c r="E258" s="93" t="s">
        <v>477</v>
      </c>
      <c r="F258" s="92" t="s">
        <v>36</v>
      </c>
      <c r="G258" s="92" t="s">
        <v>339</v>
      </c>
      <c r="H258" s="92"/>
      <c r="I258" s="92"/>
      <c r="J258" s="92"/>
      <c r="K258" s="94">
        <v>0</v>
      </c>
      <c r="L258" s="94"/>
      <c r="M258" s="95"/>
      <c r="N258" s="92"/>
      <c r="O258" s="26"/>
      <c r="P258" s="94"/>
      <c r="Q258" s="26"/>
      <c r="R258" s="96"/>
      <c r="S258" s="27"/>
    </row>
    <row r="259" spans="1:19" x14ac:dyDescent="0.2">
      <c r="A259" s="91" t="s">
        <v>606</v>
      </c>
      <c r="B259" s="92" t="s">
        <v>607</v>
      </c>
      <c r="C259" s="92" t="s">
        <v>462</v>
      </c>
      <c r="D259" s="92" t="s">
        <v>757</v>
      </c>
      <c r="E259" s="93" t="s">
        <v>758</v>
      </c>
      <c r="F259" s="92" t="s">
        <v>458</v>
      </c>
      <c r="G259" s="92" t="s">
        <v>229</v>
      </c>
      <c r="H259" s="92" t="s">
        <v>13</v>
      </c>
      <c r="I259" s="92" t="s">
        <v>230</v>
      </c>
      <c r="J259" s="93" t="s">
        <v>231</v>
      </c>
      <c r="K259" s="94">
        <v>34.700000000000003</v>
      </c>
      <c r="L259" s="94">
        <f>K259*VLOOKUP(H259,dagsoorttabel1,2,FALSE)</f>
        <v>13.880000000000003</v>
      </c>
      <c r="M259" s="95">
        <f>prodnorm14</f>
        <v>0</v>
      </c>
      <c r="N259" s="92" t="s">
        <v>101</v>
      </c>
      <c r="O259" s="26">
        <f>uurtarief14</f>
        <v>0</v>
      </c>
      <c r="P259" s="94" t="e">
        <f>IF(ISBLANK(M259),0,L259/ROUND(M259,4))</f>
        <v>#DIV/0!</v>
      </c>
      <c r="Q259" s="26" t="e">
        <f>ROUND(O259,2)*P259</f>
        <v>#DIV/0!</v>
      </c>
      <c r="R259" s="94" t="e">
        <f>P259*dagenperjaar1</f>
        <v>#DIV/0!</v>
      </c>
      <c r="S259" s="27" t="e">
        <f>R259*ROUND(O259,2)</f>
        <v>#DIV/0!</v>
      </c>
    </row>
    <row r="260" spans="1:19" x14ac:dyDescent="0.2">
      <c r="A260" s="91" t="s">
        <v>606</v>
      </c>
      <c r="B260" s="92" t="s">
        <v>607</v>
      </c>
      <c r="C260" s="92" t="s">
        <v>462</v>
      </c>
      <c r="D260" s="92" t="s">
        <v>759</v>
      </c>
      <c r="E260" s="93" t="s">
        <v>760</v>
      </c>
      <c r="F260" s="92" t="s">
        <v>458</v>
      </c>
      <c r="G260" s="92" t="s">
        <v>229</v>
      </c>
      <c r="H260" s="92" t="s">
        <v>13</v>
      </c>
      <c r="I260" s="92" t="s">
        <v>230</v>
      </c>
      <c r="J260" s="93" t="s">
        <v>231</v>
      </c>
      <c r="K260" s="94">
        <v>18.899999999999999</v>
      </c>
      <c r="L260" s="94">
        <f>K260*VLOOKUP(H260,dagsoorttabel1,2,FALSE)</f>
        <v>7.56</v>
      </c>
      <c r="M260" s="95">
        <f>prodnorm14</f>
        <v>0</v>
      </c>
      <c r="N260" s="92" t="s">
        <v>101</v>
      </c>
      <c r="O260" s="26">
        <f>uurtarief14</f>
        <v>0</v>
      </c>
      <c r="P260" s="94" t="e">
        <f>IF(ISBLANK(M260),0,L260/ROUND(M260,4))</f>
        <v>#DIV/0!</v>
      </c>
      <c r="Q260" s="26" t="e">
        <f>ROUND(O260,2)*P260</f>
        <v>#DIV/0!</v>
      </c>
      <c r="R260" s="94" t="e">
        <f>P260*dagenperjaar1</f>
        <v>#DIV/0!</v>
      </c>
      <c r="S260" s="27" t="e">
        <f>R260*ROUND(O260,2)</f>
        <v>#DIV/0!</v>
      </c>
    </row>
    <row r="261" spans="1:19" x14ac:dyDescent="0.2">
      <c r="A261" s="91" t="s">
        <v>606</v>
      </c>
      <c r="B261" s="92" t="s">
        <v>607</v>
      </c>
      <c r="C261" s="92" t="s">
        <v>462</v>
      </c>
      <c r="D261" s="92" t="s">
        <v>761</v>
      </c>
      <c r="E261" s="93" t="s">
        <v>513</v>
      </c>
      <c r="F261" s="92" t="s">
        <v>458</v>
      </c>
      <c r="G261" s="92" t="s">
        <v>256</v>
      </c>
      <c r="H261" s="92" t="s">
        <v>10</v>
      </c>
      <c r="I261" s="92" t="s">
        <v>230</v>
      </c>
      <c r="J261" s="93" t="s">
        <v>257</v>
      </c>
      <c r="K261" s="94">
        <v>7.6</v>
      </c>
      <c r="L261" s="94">
        <f>K261*VLOOKUP(H261,dagsoorttabel1,2,FALSE)</f>
        <v>6.08</v>
      </c>
      <c r="M261" s="95">
        <f>prodnorm39</f>
        <v>0</v>
      </c>
      <c r="N261" s="92" t="s">
        <v>101</v>
      </c>
      <c r="O261" s="26">
        <f>uurtarief39</f>
        <v>0</v>
      </c>
      <c r="P261" s="94" t="e">
        <f>IF(ISBLANK(M261),0,L261/ROUND(M261,4))</f>
        <v>#DIV/0!</v>
      </c>
      <c r="Q261" s="26" t="e">
        <f>ROUND(O261,2)*P261</f>
        <v>#DIV/0!</v>
      </c>
      <c r="R261" s="94" t="e">
        <f>P261*dagenperjaar1</f>
        <v>#DIV/0!</v>
      </c>
      <c r="S261" s="27" t="e">
        <f>R261*ROUND(O261,2)</f>
        <v>#DIV/0!</v>
      </c>
    </row>
    <row r="262" spans="1:19" x14ac:dyDescent="0.2">
      <c r="A262" s="91" t="s">
        <v>606</v>
      </c>
      <c r="B262" s="92" t="s">
        <v>607</v>
      </c>
      <c r="C262" s="92" t="s">
        <v>462</v>
      </c>
      <c r="D262" s="92" t="s">
        <v>762</v>
      </c>
      <c r="E262" s="93" t="s">
        <v>611</v>
      </c>
      <c r="F262" s="92" t="s">
        <v>458</v>
      </c>
      <c r="G262" s="92" t="s">
        <v>266</v>
      </c>
      <c r="H262" s="92" t="s">
        <v>10</v>
      </c>
      <c r="I262" s="92" t="s">
        <v>230</v>
      </c>
      <c r="J262" s="93" t="s">
        <v>267</v>
      </c>
      <c r="K262" s="94">
        <v>12.8</v>
      </c>
      <c r="L262" s="94">
        <f>K262*VLOOKUP(H262,dagsoorttabel1,2,FALSE)</f>
        <v>10.240000000000002</v>
      </c>
      <c r="M262" s="95">
        <f>prodnorm50</f>
        <v>0</v>
      </c>
      <c r="N262" s="92" t="s">
        <v>101</v>
      </c>
      <c r="O262" s="26">
        <f>uurtarief50</f>
        <v>0</v>
      </c>
      <c r="P262" s="94" t="e">
        <f>IF(ISBLANK(M262),0,L262/ROUND(M262,4))</f>
        <v>#DIV/0!</v>
      </c>
      <c r="Q262" s="26" t="e">
        <f>ROUND(O262,2)*P262</f>
        <v>#DIV/0!</v>
      </c>
      <c r="R262" s="94" t="e">
        <f>P262*dagenperjaar1</f>
        <v>#DIV/0!</v>
      </c>
      <c r="S262" s="27" t="e">
        <f>R262*ROUND(O262,2)</f>
        <v>#DIV/0!</v>
      </c>
    </row>
    <row r="263" spans="1:19" x14ac:dyDescent="0.2">
      <c r="A263" s="91" t="s">
        <v>606</v>
      </c>
      <c r="B263" s="92" t="s">
        <v>607</v>
      </c>
      <c r="C263" s="92" t="s">
        <v>462</v>
      </c>
      <c r="D263" s="92" t="s">
        <v>763</v>
      </c>
      <c r="E263" s="93" t="s">
        <v>764</v>
      </c>
      <c r="F263" s="92" t="s">
        <v>458</v>
      </c>
      <c r="G263" s="92" t="s">
        <v>248</v>
      </c>
      <c r="H263" s="92" t="s">
        <v>17</v>
      </c>
      <c r="I263" s="92" t="s">
        <v>230</v>
      </c>
      <c r="J263" s="93" t="s">
        <v>249</v>
      </c>
      <c r="K263" s="94">
        <v>39.6</v>
      </c>
      <c r="L263" s="94">
        <f>K263*VLOOKUP(H263,dagsoorttabel1,2,FALSE)</f>
        <v>0.91384615384615397</v>
      </c>
      <c r="M263" s="95">
        <f>prodnorm32</f>
        <v>0</v>
      </c>
      <c r="N263" s="92" t="s">
        <v>101</v>
      </c>
      <c r="O263" s="26">
        <f>uurtarief32</f>
        <v>0</v>
      </c>
      <c r="P263" s="94" t="e">
        <f>IF(ISBLANK(M263),0,L263/ROUND(M263,4))</f>
        <v>#DIV/0!</v>
      </c>
      <c r="Q263" s="26" t="e">
        <f>ROUND(O263,2)*P263</f>
        <v>#DIV/0!</v>
      </c>
      <c r="R263" s="94" t="e">
        <f>P263*dagenperjaar1</f>
        <v>#DIV/0!</v>
      </c>
      <c r="S263" s="27" t="e">
        <f>R263*ROUND(O263,2)</f>
        <v>#DIV/0!</v>
      </c>
    </row>
    <row r="264" spans="1:19" x14ac:dyDescent="0.2">
      <c r="A264" s="91" t="s">
        <v>606</v>
      </c>
      <c r="B264" s="92" t="s">
        <v>607</v>
      </c>
      <c r="C264" s="92" t="s">
        <v>462</v>
      </c>
      <c r="D264" s="92" t="s">
        <v>765</v>
      </c>
      <c r="E264" s="93" t="s">
        <v>766</v>
      </c>
      <c r="F264" s="92" t="s">
        <v>458</v>
      </c>
      <c r="G264" s="92" t="s">
        <v>248</v>
      </c>
      <c r="H264" s="92" t="s">
        <v>17</v>
      </c>
      <c r="I264" s="92" t="s">
        <v>230</v>
      </c>
      <c r="J264" s="93" t="s">
        <v>249</v>
      </c>
      <c r="K264" s="94">
        <v>37.799999999999997</v>
      </c>
      <c r="L264" s="94">
        <f>K264*VLOOKUP(H264,dagsoorttabel1,2,FALSE)</f>
        <v>0.87230769230769234</v>
      </c>
      <c r="M264" s="95">
        <f>prodnorm32</f>
        <v>0</v>
      </c>
      <c r="N264" s="92" t="s">
        <v>101</v>
      </c>
      <c r="O264" s="26">
        <f>uurtarief32</f>
        <v>0</v>
      </c>
      <c r="P264" s="94" t="e">
        <f>IF(ISBLANK(M264),0,L264/ROUND(M264,4))</f>
        <v>#DIV/0!</v>
      </c>
      <c r="Q264" s="26" t="e">
        <f>ROUND(O264,2)*P264</f>
        <v>#DIV/0!</v>
      </c>
      <c r="R264" s="94" t="e">
        <f>P264*dagenperjaar1</f>
        <v>#DIV/0!</v>
      </c>
      <c r="S264" s="27" t="e">
        <f>R264*ROUND(O264,2)</f>
        <v>#DIV/0!</v>
      </c>
    </row>
    <row r="265" spans="1:19" x14ac:dyDescent="0.2">
      <c r="A265" s="91" t="s">
        <v>606</v>
      </c>
      <c r="B265" s="92" t="s">
        <v>607</v>
      </c>
      <c r="C265" s="92" t="s">
        <v>462</v>
      </c>
      <c r="D265" s="92" t="s">
        <v>767</v>
      </c>
      <c r="E265" s="93" t="s">
        <v>768</v>
      </c>
      <c r="F265" s="92" t="s">
        <v>458</v>
      </c>
      <c r="G265" s="92" t="s">
        <v>248</v>
      </c>
      <c r="H265" s="92" t="s">
        <v>17</v>
      </c>
      <c r="I265" s="92" t="s">
        <v>230</v>
      </c>
      <c r="J265" s="93" t="s">
        <v>249</v>
      </c>
      <c r="K265" s="94">
        <v>143.19999999999999</v>
      </c>
      <c r="L265" s="94">
        <f>K265*VLOOKUP(H265,dagsoorttabel1,2,FALSE)</f>
        <v>3.3046153846153845</v>
      </c>
      <c r="M265" s="95">
        <f>prodnorm32</f>
        <v>0</v>
      </c>
      <c r="N265" s="92" t="s">
        <v>101</v>
      </c>
      <c r="O265" s="26">
        <f>uurtarief32</f>
        <v>0</v>
      </c>
      <c r="P265" s="94" t="e">
        <f>IF(ISBLANK(M265),0,L265/ROUND(M265,4))</f>
        <v>#DIV/0!</v>
      </c>
      <c r="Q265" s="26" t="e">
        <f>ROUND(O265,2)*P265</f>
        <v>#DIV/0!</v>
      </c>
      <c r="R265" s="94" t="e">
        <f>P265*dagenperjaar1</f>
        <v>#DIV/0!</v>
      </c>
      <c r="S265" s="27" t="e">
        <f>R265*ROUND(O265,2)</f>
        <v>#DIV/0!</v>
      </c>
    </row>
    <row r="266" spans="1:19" x14ac:dyDescent="0.2">
      <c r="A266" s="91" t="s">
        <v>606</v>
      </c>
      <c r="B266" s="92" t="s">
        <v>607</v>
      </c>
      <c r="C266" s="92" t="s">
        <v>462</v>
      </c>
      <c r="D266" s="92" t="s">
        <v>769</v>
      </c>
      <c r="E266" s="93" t="s">
        <v>770</v>
      </c>
      <c r="F266" s="92" t="s">
        <v>624</v>
      </c>
      <c r="G266" s="92" t="s">
        <v>266</v>
      </c>
      <c r="H266" s="92" t="s">
        <v>17</v>
      </c>
      <c r="I266" s="92" t="s">
        <v>230</v>
      </c>
      <c r="J266" s="93" t="s">
        <v>267</v>
      </c>
      <c r="K266" s="94">
        <v>7.8</v>
      </c>
      <c r="L266" s="94">
        <f>K266*VLOOKUP(H266,dagsoorttabel1,2,FALSE)</f>
        <v>0.18</v>
      </c>
      <c r="M266" s="95">
        <f>prodnorm52</f>
        <v>0</v>
      </c>
      <c r="N266" s="92" t="s">
        <v>101</v>
      </c>
      <c r="O266" s="26">
        <f>uurtarief52</f>
        <v>0</v>
      </c>
      <c r="P266" s="94" t="e">
        <f>IF(ISBLANK(M266),0,L266/ROUND(M266,4))</f>
        <v>#DIV/0!</v>
      </c>
      <c r="Q266" s="26" t="e">
        <f>ROUND(O266,2)*P266</f>
        <v>#DIV/0!</v>
      </c>
      <c r="R266" s="94" t="e">
        <f>P266*dagenperjaar1</f>
        <v>#DIV/0!</v>
      </c>
      <c r="S266" s="27" t="e">
        <f>R266*ROUND(O266,2)</f>
        <v>#DIV/0!</v>
      </c>
    </row>
    <row r="267" spans="1:19" x14ac:dyDescent="0.2">
      <c r="A267" s="91" t="s">
        <v>606</v>
      </c>
      <c r="B267" s="92" t="s">
        <v>607</v>
      </c>
      <c r="C267" s="92" t="s">
        <v>771</v>
      </c>
      <c r="D267" s="92" t="s">
        <v>772</v>
      </c>
      <c r="E267" s="93" t="s">
        <v>390</v>
      </c>
      <c r="F267" s="92" t="s">
        <v>624</v>
      </c>
      <c r="G267" s="92" t="s">
        <v>266</v>
      </c>
      <c r="H267" s="92" t="s">
        <v>9</v>
      </c>
      <c r="I267" s="92" t="s">
        <v>230</v>
      </c>
      <c r="J267" s="93" t="s">
        <v>267</v>
      </c>
      <c r="K267" s="94">
        <v>8</v>
      </c>
      <c r="L267" s="94">
        <f>K267*VLOOKUP(H267,dagsoorttabel1,2,FALSE)</f>
        <v>8</v>
      </c>
      <c r="M267" s="95">
        <f>prodnorm51</f>
        <v>0</v>
      </c>
      <c r="N267" s="92" t="s">
        <v>101</v>
      </c>
      <c r="O267" s="26">
        <f>uurtarief51</f>
        <v>0</v>
      </c>
      <c r="P267" s="94" t="e">
        <f>IF(ISBLANK(M267),0,L267/ROUND(M267,4))</f>
        <v>#DIV/0!</v>
      </c>
      <c r="Q267" s="26" t="e">
        <f>ROUND(O267,2)*P267</f>
        <v>#DIV/0!</v>
      </c>
      <c r="R267" s="94" t="e">
        <f>P267*dagenperjaar1</f>
        <v>#DIV/0!</v>
      </c>
      <c r="S267" s="27" t="e">
        <f>R267*ROUND(O267,2)</f>
        <v>#DIV/0!</v>
      </c>
    </row>
    <row r="268" spans="1:19" x14ac:dyDescent="0.2">
      <c r="A268" s="91" t="s">
        <v>606</v>
      </c>
      <c r="B268" s="92" t="s">
        <v>607</v>
      </c>
      <c r="C268" s="92" t="s">
        <v>771</v>
      </c>
      <c r="D268" s="92" t="s">
        <v>773</v>
      </c>
      <c r="E268" s="93" t="s">
        <v>774</v>
      </c>
      <c r="F268" s="92" t="s">
        <v>349</v>
      </c>
      <c r="G268" s="92" t="s">
        <v>236</v>
      </c>
      <c r="H268" s="92" t="s">
        <v>9</v>
      </c>
      <c r="I268" s="92" t="s">
        <v>230</v>
      </c>
      <c r="J268" s="93" t="s">
        <v>237</v>
      </c>
      <c r="K268" s="94">
        <v>2.4</v>
      </c>
      <c r="L268" s="94">
        <f>K268*VLOOKUP(H268,dagsoorttabel1,2,FALSE)</f>
        <v>2.4</v>
      </c>
      <c r="M268" s="95">
        <f>prodnorm22</f>
        <v>0</v>
      </c>
      <c r="N268" s="92" t="s">
        <v>101</v>
      </c>
      <c r="O268" s="26">
        <f>uurtarief22</f>
        <v>0</v>
      </c>
      <c r="P268" s="94" t="e">
        <f>IF(ISBLANK(M268),0,L268/ROUND(M268,4))</f>
        <v>#DIV/0!</v>
      </c>
      <c r="Q268" s="26" t="e">
        <f>ROUND(O268,2)*P268</f>
        <v>#DIV/0!</v>
      </c>
      <c r="R268" s="94" t="e">
        <f>P268*dagenperjaar1</f>
        <v>#DIV/0!</v>
      </c>
      <c r="S268" s="27" t="e">
        <f>R268*ROUND(O268,2)</f>
        <v>#DIV/0!</v>
      </c>
    </row>
    <row r="269" spans="1:19" x14ac:dyDescent="0.2">
      <c r="A269" s="91" t="s">
        <v>606</v>
      </c>
      <c r="B269" s="92" t="s">
        <v>607</v>
      </c>
      <c r="C269" s="92" t="s">
        <v>771</v>
      </c>
      <c r="D269" s="92" t="s">
        <v>775</v>
      </c>
      <c r="E269" s="93" t="s">
        <v>776</v>
      </c>
      <c r="F269" s="92" t="s">
        <v>458</v>
      </c>
      <c r="G269" s="92" t="s">
        <v>229</v>
      </c>
      <c r="H269" s="92" t="s">
        <v>9</v>
      </c>
      <c r="I269" s="92" t="s">
        <v>230</v>
      </c>
      <c r="J269" s="93" t="s">
        <v>231</v>
      </c>
      <c r="K269" s="94">
        <v>30.1</v>
      </c>
      <c r="L269" s="94">
        <f>K269*VLOOKUP(H269,dagsoorttabel1,2,FALSE)</f>
        <v>30.1</v>
      </c>
      <c r="M269" s="95">
        <f>prodnorm16</f>
        <v>0</v>
      </c>
      <c r="N269" s="92" t="s">
        <v>101</v>
      </c>
      <c r="O269" s="26">
        <f>uurtarief16</f>
        <v>0</v>
      </c>
      <c r="P269" s="94" t="e">
        <f>IF(ISBLANK(M269),0,L269/ROUND(M269,4))</f>
        <v>#DIV/0!</v>
      </c>
      <c r="Q269" s="26" t="e">
        <f>ROUND(O269,2)*P269</f>
        <v>#DIV/0!</v>
      </c>
      <c r="R269" s="94" t="e">
        <f>P269*dagenperjaar1</f>
        <v>#DIV/0!</v>
      </c>
      <c r="S269" s="27" t="e">
        <f>R269*ROUND(O269,2)</f>
        <v>#DIV/0!</v>
      </c>
    </row>
    <row r="270" spans="1:19" x14ac:dyDescent="0.2">
      <c r="A270" s="91" t="s">
        <v>606</v>
      </c>
      <c r="B270" s="92" t="s">
        <v>607</v>
      </c>
      <c r="C270" s="92" t="s">
        <v>771</v>
      </c>
      <c r="D270" s="92" t="s">
        <v>777</v>
      </c>
      <c r="E270" s="93" t="s">
        <v>532</v>
      </c>
      <c r="F270" s="92" t="s">
        <v>349</v>
      </c>
      <c r="G270" s="92" t="s">
        <v>250</v>
      </c>
      <c r="H270" s="92" t="s">
        <v>9</v>
      </c>
      <c r="I270" s="92" t="s">
        <v>230</v>
      </c>
      <c r="J270" s="93" t="s">
        <v>251</v>
      </c>
      <c r="K270" s="94">
        <v>1</v>
      </c>
      <c r="L270" s="94">
        <f>K270*VLOOKUP(H270,dagsoorttabel1,2,FALSE)</f>
        <v>1</v>
      </c>
      <c r="M270" s="95">
        <f>prodnorm33</f>
        <v>0</v>
      </c>
      <c r="N270" s="92" t="s">
        <v>101</v>
      </c>
      <c r="O270" s="26">
        <f>uurtarief33</f>
        <v>0</v>
      </c>
      <c r="P270" s="94" t="e">
        <f>IF(ISBLANK(M270),0,L270/ROUND(M270,4))</f>
        <v>#DIV/0!</v>
      </c>
      <c r="Q270" s="26" t="e">
        <f>ROUND(O270,2)*P270</f>
        <v>#DIV/0!</v>
      </c>
      <c r="R270" s="94" t="e">
        <f>P270*dagenperjaar1</f>
        <v>#DIV/0!</v>
      </c>
      <c r="S270" s="27" t="e">
        <f>R270*ROUND(O270,2)</f>
        <v>#DIV/0!</v>
      </c>
    </row>
    <row r="271" spans="1:19" x14ac:dyDescent="0.2">
      <c r="A271" s="97" t="s">
        <v>606</v>
      </c>
      <c r="B271" s="98" t="s">
        <v>607</v>
      </c>
      <c r="C271" s="98" t="s">
        <v>771</v>
      </c>
      <c r="D271" s="98" t="s">
        <v>778</v>
      </c>
      <c r="E271" s="99" t="s">
        <v>779</v>
      </c>
      <c r="F271" s="98" t="s">
        <v>458</v>
      </c>
      <c r="G271" s="98" t="s">
        <v>256</v>
      </c>
      <c r="H271" s="98" t="s">
        <v>9</v>
      </c>
      <c r="I271" s="98" t="s">
        <v>230</v>
      </c>
      <c r="J271" s="99" t="s">
        <v>257</v>
      </c>
      <c r="K271" s="100">
        <v>4.4000000000000004</v>
      </c>
      <c r="L271" s="100">
        <f>K271*VLOOKUP(H271,dagsoorttabel1,2,FALSE)</f>
        <v>4.4000000000000004</v>
      </c>
      <c r="M271" s="101">
        <f>prodnorm40</f>
        <v>0</v>
      </c>
      <c r="N271" s="98" t="s">
        <v>101</v>
      </c>
      <c r="O271" s="36">
        <f>uurtarief40</f>
        <v>0</v>
      </c>
      <c r="P271" s="100" t="e">
        <f>IF(ISBLANK(M271),0,L271/ROUND(M271,4))</f>
        <v>#DIV/0!</v>
      </c>
      <c r="Q271" s="36" t="e">
        <f>ROUND(O271,2)*P271</f>
        <v>#DIV/0!</v>
      </c>
      <c r="R271" s="100" t="e">
        <f>P271*dagenperjaar1</f>
        <v>#DIV/0!</v>
      </c>
      <c r="S271" s="37" t="e">
        <f>R271*ROUND(O271,2)</f>
        <v>#DIV/0!</v>
      </c>
    </row>
    <row r="272" spans="1:19" x14ac:dyDescent="0.2">
      <c r="A272" s="103" t="s">
        <v>604</v>
      </c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6" t="e">
        <f>IF(_xlfn.SINGLE(object2_urenjaar1)&gt;0,_xlfn.SINGLE(object2_prijsjaar1)/_xlfn.SINGLE(object2_urenjaar1),0)</f>
        <v>#DIV/0!</v>
      </c>
      <c r="P272" s="75" t="e">
        <f>SUM(P163:P271)</f>
        <v>#DIV/0!</v>
      </c>
      <c r="Q272" s="76" t="e">
        <f>SUM(Q163:Q271)</f>
        <v>#DIV/0!</v>
      </c>
      <c r="R272" s="75" t="e">
        <f>SUM(R163:R271)</f>
        <v>#DIV/0!</v>
      </c>
      <c r="S272" s="77" t="e">
        <f>SUM(S163:S271)</f>
        <v>#DIV/0!</v>
      </c>
    </row>
    <row r="273" spans="1:19" x14ac:dyDescent="0.2">
      <c r="A273" s="82" t="s">
        <v>780</v>
      </c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72"/>
    </row>
    <row r="274" spans="1:19" x14ac:dyDescent="0.2">
      <c r="A274" s="83" t="s">
        <v>781</v>
      </c>
      <c r="B274" s="84" t="s">
        <v>36</v>
      </c>
      <c r="C274" s="84" t="s">
        <v>335</v>
      </c>
      <c r="D274" s="84" t="s">
        <v>782</v>
      </c>
      <c r="E274" s="85" t="s">
        <v>477</v>
      </c>
      <c r="F274" s="84" t="s">
        <v>338</v>
      </c>
      <c r="G274" s="84" t="s">
        <v>339</v>
      </c>
      <c r="H274" s="84"/>
      <c r="I274" s="84"/>
      <c r="J274" s="84"/>
      <c r="K274" s="86">
        <v>0</v>
      </c>
      <c r="L274" s="86"/>
      <c r="M274" s="87"/>
      <c r="N274" s="84"/>
      <c r="O274" s="88"/>
      <c r="P274" s="86"/>
      <c r="Q274" s="88"/>
      <c r="R274" s="89"/>
      <c r="S274" s="90"/>
    </row>
    <row r="275" spans="1:19" x14ac:dyDescent="0.2">
      <c r="A275" s="91" t="s">
        <v>781</v>
      </c>
      <c r="B275" s="92" t="s">
        <v>36</v>
      </c>
      <c r="C275" s="92" t="s">
        <v>335</v>
      </c>
      <c r="D275" s="92" t="s">
        <v>783</v>
      </c>
      <c r="E275" s="93" t="s">
        <v>784</v>
      </c>
      <c r="F275" s="92" t="s">
        <v>338</v>
      </c>
      <c r="G275" s="92" t="s">
        <v>339</v>
      </c>
      <c r="H275" s="92"/>
      <c r="I275" s="92"/>
      <c r="J275" s="92"/>
      <c r="K275" s="94">
        <v>0</v>
      </c>
      <c r="L275" s="94"/>
      <c r="M275" s="95"/>
      <c r="N275" s="92"/>
      <c r="O275" s="26"/>
      <c r="P275" s="94"/>
      <c r="Q275" s="26"/>
      <c r="R275" s="96"/>
      <c r="S275" s="27"/>
    </row>
    <row r="276" spans="1:19" x14ac:dyDescent="0.2">
      <c r="A276" s="91" t="s">
        <v>781</v>
      </c>
      <c r="B276" s="92" t="s">
        <v>36</v>
      </c>
      <c r="C276" s="92" t="s">
        <v>335</v>
      </c>
      <c r="D276" s="92" t="s">
        <v>785</v>
      </c>
      <c r="E276" s="93" t="s">
        <v>786</v>
      </c>
      <c r="F276" s="92" t="s">
        <v>338</v>
      </c>
      <c r="G276" s="92" t="s">
        <v>339</v>
      </c>
      <c r="H276" s="92"/>
      <c r="I276" s="92"/>
      <c r="J276" s="92"/>
      <c r="K276" s="94">
        <v>0</v>
      </c>
      <c r="L276" s="94"/>
      <c r="M276" s="95"/>
      <c r="N276" s="92"/>
      <c r="O276" s="26"/>
      <c r="P276" s="94"/>
      <c r="Q276" s="26"/>
      <c r="R276" s="96"/>
      <c r="S276" s="27"/>
    </row>
    <row r="277" spans="1:19" x14ac:dyDescent="0.2">
      <c r="A277" s="91" t="s">
        <v>781</v>
      </c>
      <c r="B277" s="92" t="s">
        <v>36</v>
      </c>
      <c r="C277" s="92" t="s">
        <v>393</v>
      </c>
      <c r="D277" s="92" t="s">
        <v>787</v>
      </c>
      <c r="E277" s="93" t="s">
        <v>788</v>
      </c>
      <c r="F277" s="92" t="s">
        <v>789</v>
      </c>
      <c r="G277" s="92" t="s">
        <v>256</v>
      </c>
      <c r="H277" s="92" t="s">
        <v>9</v>
      </c>
      <c r="I277" s="92" t="s">
        <v>230</v>
      </c>
      <c r="J277" s="93" t="s">
        <v>257</v>
      </c>
      <c r="K277" s="94">
        <v>38</v>
      </c>
      <c r="L277" s="94">
        <f>K277*VLOOKUP(H277,dagsoorttabel1,2,FALSE)</f>
        <v>38</v>
      </c>
      <c r="M277" s="95">
        <f>prodnorm40</f>
        <v>0</v>
      </c>
      <c r="N277" s="92" t="s">
        <v>101</v>
      </c>
      <c r="O277" s="26">
        <f>uurtarief40</f>
        <v>0</v>
      </c>
      <c r="P277" s="94" t="e">
        <f>IF(ISBLANK(M277),0,L277/ROUND(M277,4))</f>
        <v>#DIV/0!</v>
      </c>
      <c r="Q277" s="26" t="e">
        <f>ROUND(O277,2)*P277</f>
        <v>#DIV/0!</v>
      </c>
      <c r="R277" s="94" t="e">
        <f>P277*dagenperjaar1</f>
        <v>#DIV/0!</v>
      </c>
      <c r="S277" s="27" t="e">
        <f>R277*ROUND(O277,2)</f>
        <v>#DIV/0!</v>
      </c>
    </row>
    <row r="278" spans="1:19" x14ac:dyDescent="0.2">
      <c r="A278" s="91" t="s">
        <v>781</v>
      </c>
      <c r="B278" s="92" t="s">
        <v>36</v>
      </c>
      <c r="C278" s="92" t="s">
        <v>393</v>
      </c>
      <c r="D278" s="92" t="s">
        <v>790</v>
      </c>
      <c r="E278" s="93" t="s">
        <v>791</v>
      </c>
      <c r="F278" s="92" t="s">
        <v>342</v>
      </c>
      <c r="G278" s="92" t="s">
        <v>252</v>
      </c>
      <c r="H278" s="92" t="s">
        <v>9</v>
      </c>
      <c r="I278" s="92" t="s">
        <v>230</v>
      </c>
      <c r="J278" s="93" t="s">
        <v>253</v>
      </c>
      <c r="K278" s="94">
        <v>25</v>
      </c>
      <c r="L278" s="94">
        <f>K278*VLOOKUP(H278,dagsoorttabel1,2,FALSE)</f>
        <v>25</v>
      </c>
      <c r="M278" s="95">
        <f>prodnorm36</f>
        <v>0</v>
      </c>
      <c r="N278" s="92" t="s">
        <v>101</v>
      </c>
      <c r="O278" s="26">
        <f>uurtarief36</f>
        <v>0</v>
      </c>
      <c r="P278" s="94" t="e">
        <f>IF(ISBLANK(M278),0,L278/ROUND(M278,4))</f>
        <v>#DIV/0!</v>
      </c>
      <c r="Q278" s="26" t="e">
        <f>ROUND(O278,2)*P278</f>
        <v>#DIV/0!</v>
      </c>
      <c r="R278" s="94" t="e">
        <f>P278*dagenperjaar1</f>
        <v>#DIV/0!</v>
      </c>
      <c r="S278" s="27" t="e">
        <f>R278*ROUND(O278,2)</f>
        <v>#DIV/0!</v>
      </c>
    </row>
    <row r="279" spans="1:19" x14ac:dyDescent="0.2">
      <c r="A279" s="91" t="s">
        <v>781</v>
      </c>
      <c r="B279" s="92" t="s">
        <v>36</v>
      </c>
      <c r="C279" s="92" t="s">
        <v>393</v>
      </c>
      <c r="D279" s="92" t="s">
        <v>790</v>
      </c>
      <c r="E279" s="93" t="s">
        <v>791</v>
      </c>
      <c r="F279" s="92" t="s">
        <v>342</v>
      </c>
      <c r="G279" s="92" t="s">
        <v>254</v>
      </c>
      <c r="H279" s="92" t="s">
        <v>10</v>
      </c>
      <c r="I279" s="92" t="s">
        <v>230</v>
      </c>
      <c r="J279" s="93" t="s">
        <v>255</v>
      </c>
      <c r="K279" s="94">
        <v>25</v>
      </c>
      <c r="L279" s="94">
        <f>K279*VLOOKUP(H279,dagsoorttabel1,2,FALSE)</f>
        <v>20</v>
      </c>
      <c r="M279" s="95">
        <f>prodnorm37</f>
        <v>0</v>
      </c>
      <c r="N279" s="92" t="s">
        <v>101</v>
      </c>
      <c r="O279" s="26">
        <f>uurtarief37</f>
        <v>0</v>
      </c>
      <c r="P279" s="94" t="e">
        <f>IF(ISBLANK(M279),0,L279/ROUND(M279,4))</f>
        <v>#DIV/0!</v>
      </c>
      <c r="Q279" s="26" t="e">
        <f>ROUND(O279,2)*P279</f>
        <v>#DIV/0!</v>
      </c>
      <c r="R279" s="94" t="e">
        <f>P279*dagenperjaar1</f>
        <v>#DIV/0!</v>
      </c>
      <c r="S279" s="27" t="e">
        <f>R279*ROUND(O279,2)</f>
        <v>#DIV/0!</v>
      </c>
    </row>
    <row r="280" spans="1:19" x14ac:dyDescent="0.2">
      <c r="A280" s="91" t="s">
        <v>781</v>
      </c>
      <c r="B280" s="92" t="s">
        <v>36</v>
      </c>
      <c r="C280" s="92" t="s">
        <v>393</v>
      </c>
      <c r="D280" s="92" t="s">
        <v>792</v>
      </c>
      <c r="E280" s="93" t="s">
        <v>793</v>
      </c>
      <c r="F280" s="92" t="s">
        <v>342</v>
      </c>
      <c r="G280" s="92" t="s">
        <v>252</v>
      </c>
      <c r="H280" s="92" t="s">
        <v>9</v>
      </c>
      <c r="I280" s="92" t="s">
        <v>230</v>
      </c>
      <c r="J280" s="93" t="s">
        <v>253</v>
      </c>
      <c r="K280" s="94">
        <v>1.3</v>
      </c>
      <c r="L280" s="94">
        <f>K280*VLOOKUP(H280,dagsoorttabel1,2,FALSE)</f>
        <v>1.3</v>
      </c>
      <c r="M280" s="95">
        <f>prodnorm36</f>
        <v>0</v>
      </c>
      <c r="N280" s="92" t="s">
        <v>101</v>
      </c>
      <c r="O280" s="26">
        <f>uurtarief36</f>
        <v>0</v>
      </c>
      <c r="P280" s="94" t="e">
        <f>IF(ISBLANK(M280),0,L280/ROUND(M280,4))</f>
        <v>#DIV/0!</v>
      </c>
      <c r="Q280" s="26" t="e">
        <f>ROUND(O280,2)*P280</f>
        <v>#DIV/0!</v>
      </c>
      <c r="R280" s="94" t="e">
        <f>P280*dagenperjaar1</f>
        <v>#DIV/0!</v>
      </c>
      <c r="S280" s="27" t="e">
        <f>R280*ROUND(O280,2)</f>
        <v>#DIV/0!</v>
      </c>
    </row>
    <row r="281" spans="1:19" x14ac:dyDescent="0.2">
      <c r="A281" s="91" t="s">
        <v>781</v>
      </c>
      <c r="B281" s="92" t="s">
        <v>36</v>
      </c>
      <c r="C281" s="92" t="s">
        <v>393</v>
      </c>
      <c r="D281" s="92" t="s">
        <v>792</v>
      </c>
      <c r="E281" s="93" t="s">
        <v>793</v>
      </c>
      <c r="F281" s="92" t="s">
        <v>342</v>
      </c>
      <c r="G281" s="92" t="s">
        <v>254</v>
      </c>
      <c r="H281" s="92" t="s">
        <v>10</v>
      </c>
      <c r="I281" s="92" t="s">
        <v>230</v>
      </c>
      <c r="J281" s="93" t="s">
        <v>255</v>
      </c>
      <c r="K281" s="94">
        <v>1.3</v>
      </c>
      <c r="L281" s="94">
        <f>K281*VLOOKUP(H281,dagsoorttabel1,2,FALSE)</f>
        <v>1.04</v>
      </c>
      <c r="M281" s="95">
        <f>prodnorm37</f>
        <v>0</v>
      </c>
      <c r="N281" s="92" t="s">
        <v>101</v>
      </c>
      <c r="O281" s="26">
        <f>uurtarief37</f>
        <v>0</v>
      </c>
      <c r="P281" s="94" t="e">
        <f>IF(ISBLANK(M281),0,L281/ROUND(M281,4))</f>
        <v>#DIV/0!</v>
      </c>
      <c r="Q281" s="26" t="e">
        <f>ROUND(O281,2)*P281</f>
        <v>#DIV/0!</v>
      </c>
      <c r="R281" s="94" t="e">
        <f>P281*dagenperjaar1</f>
        <v>#DIV/0!</v>
      </c>
      <c r="S281" s="27" t="e">
        <f>R281*ROUND(O281,2)</f>
        <v>#DIV/0!</v>
      </c>
    </row>
    <row r="282" spans="1:19" x14ac:dyDescent="0.2">
      <c r="A282" s="91" t="s">
        <v>781</v>
      </c>
      <c r="B282" s="92" t="s">
        <v>36</v>
      </c>
      <c r="C282" s="92" t="s">
        <v>393</v>
      </c>
      <c r="D282" s="92" t="s">
        <v>794</v>
      </c>
      <c r="E282" s="93" t="s">
        <v>795</v>
      </c>
      <c r="F282" s="92" t="s">
        <v>342</v>
      </c>
      <c r="G282" s="92" t="s">
        <v>252</v>
      </c>
      <c r="H282" s="92" t="s">
        <v>9</v>
      </c>
      <c r="I282" s="92" t="s">
        <v>230</v>
      </c>
      <c r="J282" s="93" t="s">
        <v>253</v>
      </c>
      <c r="K282" s="94">
        <v>1.3</v>
      </c>
      <c r="L282" s="94">
        <f>K282*VLOOKUP(H282,dagsoorttabel1,2,FALSE)</f>
        <v>1.3</v>
      </c>
      <c r="M282" s="95">
        <f>prodnorm36</f>
        <v>0</v>
      </c>
      <c r="N282" s="92" t="s">
        <v>101</v>
      </c>
      <c r="O282" s="26">
        <f>uurtarief36</f>
        <v>0</v>
      </c>
      <c r="P282" s="94" t="e">
        <f>IF(ISBLANK(M282),0,L282/ROUND(M282,4))</f>
        <v>#DIV/0!</v>
      </c>
      <c r="Q282" s="26" t="e">
        <f>ROUND(O282,2)*P282</f>
        <v>#DIV/0!</v>
      </c>
      <c r="R282" s="94" t="e">
        <f>P282*dagenperjaar1</f>
        <v>#DIV/0!</v>
      </c>
      <c r="S282" s="27" t="e">
        <f>R282*ROUND(O282,2)</f>
        <v>#DIV/0!</v>
      </c>
    </row>
    <row r="283" spans="1:19" x14ac:dyDescent="0.2">
      <c r="A283" s="91" t="s">
        <v>781</v>
      </c>
      <c r="B283" s="92" t="s">
        <v>36</v>
      </c>
      <c r="C283" s="92" t="s">
        <v>393</v>
      </c>
      <c r="D283" s="92" t="s">
        <v>794</v>
      </c>
      <c r="E283" s="93" t="s">
        <v>795</v>
      </c>
      <c r="F283" s="92" t="s">
        <v>342</v>
      </c>
      <c r="G283" s="92" t="s">
        <v>254</v>
      </c>
      <c r="H283" s="92" t="s">
        <v>10</v>
      </c>
      <c r="I283" s="92" t="s">
        <v>230</v>
      </c>
      <c r="J283" s="93" t="s">
        <v>255</v>
      </c>
      <c r="K283" s="94">
        <v>1.3</v>
      </c>
      <c r="L283" s="94">
        <f>K283*VLOOKUP(H283,dagsoorttabel1,2,FALSE)</f>
        <v>1.04</v>
      </c>
      <c r="M283" s="95">
        <f>prodnorm37</f>
        <v>0</v>
      </c>
      <c r="N283" s="92" t="s">
        <v>101</v>
      </c>
      <c r="O283" s="26">
        <f>uurtarief37</f>
        <v>0</v>
      </c>
      <c r="P283" s="94" t="e">
        <f>IF(ISBLANK(M283),0,L283/ROUND(M283,4))</f>
        <v>#DIV/0!</v>
      </c>
      <c r="Q283" s="26" t="e">
        <f>ROUND(O283,2)*P283</f>
        <v>#DIV/0!</v>
      </c>
      <c r="R283" s="94" t="e">
        <f>P283*dagenperjaar1</f>
        <v>#DIV/0!</v>
      </c>
      <c r="S283" s="27" t="e">
        <f>R283*ROUND(O283,2)</f>
        <v>#DIV/0!</v>
      </c>
    </row>
    <row r="284" spans="1:19" x14ac:dyDescent="0.2">
      <c r="A284" s="91" t="s">
        <v>781</v>
      </c>
      <c r="B284" s="92" t="s">
        <v>36</v>
      </c>
      <c r="C284" s="92" t="s">
        <v>393</v>
      </c>
      <c r="D284" s="92" t="s">
        <v>796</v>
      </c>
      <c r="E284" s="93" t="s">
        <v>797</v>
      </c>
      <c r="F284" s="92" t="s">
        <v>342</v>
      </c>
      <c r="G284" s="92" t="s">
        <v>252</v>
      </c>
      <c r="H284" s="92" t="s">
        <v>9</v>
      </c>
      <c r="I284" s="92" t="s">
        <v>230</v>
      </c>
      <c r="J284" s="93" t="s">
        <v>253</v>
      </c>
      <c r="K284" s="94">
        <v>1.3</v>
      </c>
      <c r="L284" s="94">
        <f>K284*VLOOKUP(H284,dagsoorttabel1,2,FALSE)</f>
        <v>1.3</v>
      </c>
      <c r="M284" s="95">
        <f>prodnorm36</f>
        <v>0</v>
      </c>
      <c r="N284" s="92" t="s">
        <v>101</v>
      </c>
      <c r="O284" s="26">
        <f>uurtarief36</f>
        <v>0</v>
      </c>
      <c r="P284" s="94" t="e">
        <f>IF(ISBLANK(M284),0,L284/ROUND(M284,4))</f>
        <v>#DIV/0!</v>
      </c>
      <c r="Q284" s="26" t="e">
        <f>ROUND(O284,2)*P284</f>
        <v>#DIV/0!</v>
      </c>
      <c r="R284" s="94" t="e">
        <f>P284*dagenperjaar1</f>
        <v>#DIV/0!</v>
      </c>
      <c r="S284" s="27" t="e">
        <f>R284*ROUND(O284,2)</f>
        <v>#DIV/0!</v>
      </c>
    </row>
    <row r="285" spans="1:19" x14ac:dyDescent="0.2">
      <c r="A285" s="91" t="s">
        <v>781</v>
      </c>
      <c r="B285" s="92" t="s">
        <v>36</v>
      </c>
      <c r="C285" s="92" t="s">
        <v>393</v>
      </c>
      <c r="D285" s="92" t="s">
        <v>796</v>
      </c>
      <c r="E285" s="93" t="s">
        <v>797</v>
      </c>
      <c r="F285" s="92" t="s">
        <v>342</v>
      </c>
      <c r="G285" s="92" t="s">
        <v>254</v>
      </c>
      <c r="H285" s="92" t="s">
        <v>10</v>
      </c>
      <c r="I285" s="92" t="s">
        <v>230</v>
      </c>
      <c r="J285" s="93" t="s">
        <v>255</v>
      </c>
      <c r="K285" s="94">
        <v>1.3</v>
      </c>
      <c r="L285" s="94">
        <f>K285*VLOOKUP(H285,dagsoorttabel1,2,FALSE)</f>
        <v>1.04</v>
      </c>
      <c r="M285" s="95">
        <f>prodnorm37</f>
        <v>0</v>
      </c>
      <c r="N285" s="92" t="s">
        <v>101</v>
      </c>
      <c r="O285" s="26">
        <f>uurtarief37</f>
        <v>0</v>
      </c>
      <c r="P285" s="94" t="e">
        <f>IF(ISBLANK(M285),0,L285/ROUND(M285,4))</f>
        <v>#DIV/0!</v>
      </c>
      <c r="Q285" s="26" t="e">
        <f>ROUND(O285,2)*P285</f>
        <v>#DIV/0!</v>
      </c>
      <c r="R285" s="94" t="e">
        <f>P285*dagenperjaar1</f>
        <v>#DIV/0!</v>
      </c>
      <c r="S285" s="27" t="e">
        <f>R285*ROUND(O285,2)</f>
        <v>#DIV/0!</v>
      </c>
    </row>
    <row r="286" spans="1:19" x14ac:dyDescent="0.2">
      <c r="A286" s="91" t="s">
        <v>781</v>
      </c>
      <c r="B286" s="92" t="s">
        <v>36</v>
      </c>
      <c r="C286" s="92" t="s">
        <v>393</v>
      </c>
      <c r="D286" s="92" t="s">
        <v>798</v>
      </c>
      <c r="E286" s="93" t="s">
        <v>799</v>
      </c>
      <c r="F286" s="92" t="s">
        <v>342</v>
      </c>
      <c r="G286" s="92" t="s">
        <v>252</v>
      </c>
      <c r="H286" s="92" t="s">
        <v>9</v>
      </c>
      <c r="I286" s="92" t="s">
        <v>230</v>
      </c>
      <c r="J286" s="93" t="s">
        <v>253</v>
      </c>
      <c r="K286" s="94">
        <v>1.6</v>
      </c>
      <c r="L286" s="94">
        <f>K286*VLOOKUP(H286,dagsoorttabel1,2,FALSE)</f>
        <v>1.6</v>
      </c>
      <c r="M286" s="95">
        <f>prodnorm36</f>
        <v>0</v>
      </c>
      <c r="N286" s="92" t="s">
        <v>101</v>
      </c>
      <c r="O286" s="26">
        <f>uurtarief36</f>
        <v>0</v>
      </c>
      <c r="P286" s="94" t="e">
        <f>IF(ISBLANK(M286),0,L286/ROUND(M286,4))</f>
        <v>#DIV/0!</v>
      </c>
      <c r="Q286" s="26" t="e">
        <f>ROUND(O286,2)*P286</f>
        <v>#DIV/0!</v>
      </c>
      <c r="R286" s="94" t="e">
        <f>P286*dagenperjaar1</f>
        <v>#DIV/0!</v>
      </c>
      <c r="S286" s="27" t="e">
        <f>R286*ROUND(O286,2)</f>
        <v>#DIV/0!</v>
      </c>
    </row>
    <row r="287" spans="1:19" x14ac:dyDescent="0.2">
      <c r="A287" s="91" t="s">
        <v>781</v>
      </c>
      <c r="B287" s="92" t="s">
        <v>36</v>
      </c>
      <c r="C287" s="92" t="s">
        <v>393</v>
      </c>
      <c r="D287" s="92" t="s">
        <v>798</v>
      </c>
      <c r="E287" s="93" t="s">
        <v>799</v>
      </c>
      <c r="F287" s="92" t="s">
        <v>342</v>
      </c>
      <c r="G287" s="92" t="s">
        <v>254</v>
      </c>
      <c r="H287" s="92" t="s">
        <v>10</v>
      </c>
      <c r="I287" s="92" t="s">
        <v>230</v>
      </c>
      <c r="J287" s="93" t="s">
        <v>255</v>
      </c>
      <c r="K287" s="94">
        <v>1.6</v>
      </c>
      <c r="L287" s="94">
        <f>K287*VLOOKUP(H287,dagsoorttabel1,2,FALSE)</f>
        <v>1.2800000000000002</v>
      </c>
      <c r="M287" s="95">
        <f>prodnorm37</f>
        <v>0</v>
      </c>
      <c r="N287" s="92" t="s">
        <v>101</v>
      </c>
      <c r="O287" s="26">
        <f>uurtarief37</f>
        <v>0</v>
      </c>
      <c r="P287" s="94" t="e">
        <f>IF(ISBLANK(M287),0,L287/ROUND(M287,4))</f>
        <v>#DIV/0!</v>
      </c>
      <c r="Q287" s="26" t="e">
        <f>ROUND(O287,2)*P287</f>
        <v>#DIV/0!</v>
      </c>
      <c r="R287" s="94" t="e">
        <f>P287*dagenperjaar1</f>
        <v>#DIV/0!</v>
      </c>
      <c r="S287" s="27" t="e">
        <f>R287*ROUND(O287,2)</f>
        <v>#DIV/0!</v>
      </c>
    </row>
    <row r="288" spans="1:19" x14ac:dyDescent="0.2">
      <c r="A288" s="91" t="s">
        <v>781</v>
      </c>
      <c r="B288" s="92" t="s">
        <v>36</v>
      </c>
      <c r="C288" s="92" t="s">
        <v>393</v>
      </c>
      <c r="D288" s="92" t="s">
        <v>800</v>
      </c>
      <c r="E288" s="93" t="s">
        <v>801</v>
      </c>
      <c r="F288" s="92" t="s">
        <v>342</v>
      </c>
      <c r="G288" s="92" t="s">
        <v>252</v>
      </c>
      <c r="H288" s="92" t="s">
        <v>9</v>
      </c>
      <c r="I288" s="92" t="s">
        <v>230</v>
      </c>
      <c r="J288" s="93" t="s">
        <v>253</v>
      </c>
      <c r="K288" s="94">
        <v>2.5</v>
      </c>
      <c r="L288" s="94">
        <f>K288*VLOOKUP(H288,dagsoorttabel1,2,FALSE)</f>
        <v>2.5</v>
      </c>
      <c r="M288" s="95">
        <f>prodnorm36</f>
        <v>0</v>
      </c>
      <c r="N288" s="92" t="s">
        <v>101</v>
      </c>
      <c r="O288" s="26">
        <f>uurtarief36</f>
        <v>0</v>
      </c>
      <c r="P288" s="94" t="e">
        <f>IF(ISBLANK(M288),0,L288/ROUND(M288,4))</f>
        <v>#DIV/0!</v>
      </c>
      <c r="Q288" s="26" t="e">
        <f>ROUND(O288,2)*P288</f>
        <v>#DIV/0!</v>
      </c>
      <c r="R288" s="94" t="e">
        <f>P288*dagenperjaar1</f>
        <v>#DIV/0!</v>
      </c>
      <c r="S288" s="27" t="e">
        <f>R288*ROUND(O288,2)</f>
        <v>#DIV/0!</v>
      </c>
    </row>
    <row r="289" spans="1:19" x14ac:dyDescent="0.2">
      <c r="A289" s="91" t="s">
        <v>781</v>
      </c>
      <c r="B289" s="92" t="s">
        <v>36</v>
      </c>
      <c r="C289" s="92" t="s">
        <v>393</v>
      </c>
      <c r="D289" s="92" t="s">
        <v>800</v>
      </c>
      <c r="E289" s="93" t="s">
        <v>801</v>
      </c>
      <c r="F289" s="92" t="s">
        <v>342</v>
      </c>
      <c r="G289" s="92" t="s">
        <v>254</v>
      </c>
      <c r="H289" s="92" t="s">
        <v>10</v>
      </c>
      <c r="I289" s="92" t="s">
        <v>230</v>
      </c>
      <c r="J289" s="93" t="s">
        <v>255</v>
      </c>
      <c r="K289" s="94">
        <v>2.5</v>
      </c>
      <c r="L289" s="94">
        <f>K289*VLOOKUP(H289,dagsoorttabel1,2,FALSE)</f>
        <v>2</v>
      </c>
      <c r="M289" s="95">
        <f>prodnorm37</f>
        <v>0</v>
      </c>
      <c r="N289" s="92" t="s">
        <v>101</v>
      </c>
      <c r="O289" s="26">
        <f>uurtarief37</f>
        <v>0</v>
      </c>
      <c r="P289" s="94" t="e">
        <f>IF(ISBLANK(M289),0,L289/ROUND(M289,4))</f>
        <v>#DIV/0!</v>
      </c>
      <c r="Q289" s="26" t="e">
        <f>ROUND(O289,2)*P289</f>
        <v>#DIV/0!</v>
      </c>
      <c r="R289" s="94" t="e">
        <f>P289*dagenperjaar1</f>
        <v>#DIV/0!</v>
      </c>
      <c r="S289" s="27" t="e">
        <f>R289*ROUND(O289,2)</f>
        <v>#DIV/0!</v>
      </c>
    </row>
    <row r="290" spans="1:19" x14ac:dyDescent="0.2">
      <c r="A290" s="91" t="s">
        <v>781</v>
      </c>
      <c r="B290" s="92" t="s">
        <v>36</v>
      </c>
      <c r="C290" s="92" t="s">
        <v>393</v>
      </c>
      <c r="D290" s="92" t="s">
        <v>802</v>
      </c>
      <c r="E290" s="93" t="s">
        <v>803</v>
      </c>
      <c r="F290" s="92" t="s">
        <v>789</v>
      </c>
      <c r="G290" s="92" t="s">
        <v>246</v>
      </c>
      <c r="H290" s="92" t="s">
        <v>9</v>
      </c>
      <c r="I290" s="92" t="s">
        <v>230</v>
      </c>
      <c r="J290" s="93" t="s">
        <v>247</v>
      </c>
      <c r="K290" s="94">
        <v>18</v>
      </c>
      <c r="L290" s="94">
        <f>K290*VLOOKUP(H290,dagsoorttabel1,2,FALSE)</f>
        <v>18</v>
      </c>
      <c r="M290" s="95">
        <f>prodnorm29</f>
        <v>0</v>
      </c>
      <c r="N290" s="92" t="s">
        <v>101</v>
      </c>
      <c r="O290" s="26">
        <f>uurtarief29</f>
        <v>0</v>
      </c>
      <c r="P290" s="94" t="e">
        <f>IF(ISBLANK(M290),0,L290/ROUND(M290,4))</f>
        <v>#DIV/0!</v>
      </c>
      <c r="Q290" s="26" t="e">
        <f>ROUND(O290,2)*P290</f>
        <v>#DIV/0!</v>
      </c>
      <c r="R290" s="94" t="e">
        <f>P290*dagenperjaar1</f>
        <v>#DIV/0!</v>
      </c>
      <c r="S290" s="27" t="e">
        <f>R290*ROUND(O290,2)</f>
        <v>#DIV/0!</v>
      </c>
    </row>
    <row r="291" spans="1:19" x14ac:dyDescent="0.2">
      <c r="A291" s="91" t="s">
        <v>781</v>
      </c>
      <c r="B291" s="92" t="s">
        <v>36</v>
      </c>
      <c r="C291" s="92" t="s">
        <v>393</v>
      </c>
      <c r="D291" s="92" t="s">
        <v>804</v>
      </c>
      <c r="E291" s="93" t="s">
        <v>805</v>
      </c>
      <c r="F291" s="92" t="s">
        <v>789</v>
      </c>
      <c r="G291" s="92" t="s">
        <v>246</v>
      </c>
      <c r="H291" s="92" t="s">
        <v>9</v>
      </c>
      <c r="I291" s="92" t="s">
        <v>230</v>
      </c>
      <c r="J291" s="93" t="s">
        <v>247</v>
      </c>
      <c r="K291" s="94">
        <v>116</v>
      </c>
      <c r="L291" s="94">
        <f>K291*VLOOKUP(H291,dagsoorttabel1,2,FALSE)</f>
        <v>116</v>
      </c>
      <c r="M291" s="95">
        <f>prodnorm29</f>
        <v>0</v>
      </c>
      <c r="N291" s="92" t="s">
        <v>101</v>
      </c>
      <c r="O291" s="26">
        <f>uurtarief29</f>
        <v>0</v>
      </c>
      <c r="P291" s="94" t="e">
        <f>IF(ISBLANK(M291),0,L291/ROUND(M291,4))</f>
        <v>#DIV/0!</v>
      </c>
      <c r="Q291" s="26" t="e">
        <f>ROUND(O291,2)*P291</f>
        <v>#DIV/0!</v>
      </c>
      <c r="R291" s="94" t="e">
        <f>P291*dagenperjaar1</f>
        <v>#DIV/0!</v>
      </c>
      <c r="S291" s="27" t="e">
        <f>R291*ROUND(O291,2)</f>
        <v>#DIV/0!</v>
      </c>
    </row>
    <row r="292" spans="1:19" x14ac:dyDescent="0.2">
      <c r="A292" s="91" t="s">
        <v>781</v>
      </c>
      <c r="B292" s="92" t="s">
        <v>36</v>
      </c>
      <c r="C292" s="92" t="s">
        <v>393</v>
      </c>
      <c r="D292" s="92" t="s">
        <v>806</v>
      </c>
      <c r="E292" s="93" t="s">
        <v>807</v>
      </c>
      <c r="F292" s="92" t="s">
        <v>543</v>
      </c>
      <c r="G292" s="92" t="s">
        <v>262</v>
      </c>
      <c r="H292" s="92" t="s">
        <v>9</v>
      </c>
      <c r="I292" s="92" t="s">
        <v>230</v>
      </c>
      <c r="J292" s="93" t="s">
        <v>263</v>
      </c>
      <c r="K292" s="94">
        <v>15</v>
      </c>
      <c r="L292" s="94">
        <f>K292*VLOOKUP(H292,dagsoorttabel1,2,FALSE)</f>
        <v>15</v>
      </c>
      <c r="M292" s="95">
        <f>prodnorm44</f>
        <v>0</v>
      </c>
      <c r="N292" s="92" t="s">
        <v>101</v>
      </c>
      <c r="O292" s="26">
        <f>uurtarief44</f>
        <v>0</v>
      </c>
      <c r="P292" s="94" t="e">
        <f>IF(ISBLANK(M292),0,L292/ROUND(M292,4))</f>
        <v>#DIV/0!</v>
      </c>
      <c r="Q292" s="26" t="e">
        <f>ROUND(O292,2)*P292</f>
        <v>#DIV/0!</v>
      </c>
      <c r="R292" s="94" t="e">
        <f>P292*dagenperjaar1</f>
        <v>#DIV/0!</v>
      </c>
      <c r="S292" s="27" t="e">
        <f>R292*ROUND(O292,2)</f>
        <v>#DIV/0!</v>
      </c>
    </row>
    <row r="293" spans="1:19" x14ac:dyDescent="0.2">
      <c r="A293" s="91" t="s">
        <v>781</v>
      </c>
      <c r="B293" s="92" t="s">
        <v>36</v>
      </c>
      <c r="C293" s="92" t="s">
        <v>393</v>
      </c>
      <c r="D293" s="92" t="s">
        <v>808</v>
      </c>
      <c r="E293" s="93" t="s">
        <v>809</v>
      </c>
      <c r="F293" s="92" t="s">
        <v>342</v>
      </c>
      <c r="G293" s="92" t="s">
        <v>256</v>
      </c>
      <c r="H293" s="92" t="s">
        <v>9</v>
      </c>
      <c r="I293" s="92" t="s">
        <v>230</v>
      </c>
      <c r="J293" s="93" t="s">
        <v>257</v>
      </c>
      <c r="K293" s="94">
        <v>27.4</v>
      </c>
      <c r="L293" s="94">
        <f>K293*VLOOKUP(H293,dagsoorttabel1,2,FALSE)</f>
        <v>27.4</v>
      </c>
      <c r="M293" s="95">
        <f>prodnorm40</f>
        <v>0</v>
      </c>
      <c r="N293" s="92" t="s">
        <v>101</v>
      </c>
      <c r="O293" s="26">
        <f>uurtarief40</f>
        <v>0</v>
      </c>
      <c r="P293" s="94" t="e">
        <f>IF(ISBLANK(M293),0,L293/ROUND(M293,4))</f>
        <v>#DIV/0!</v>
      </c>
      <c r="Q293" s="26" t="e">
        <f>ROUND(O293,2)*P293</f>
        <v>#DIV/0!</v>
      </c>
      <c r="R293" s="94" t="e">
        <f>P293*dagenperjaar1</f>
        <v>#DIV/0!</v>
      </c>
      <c r="S293" s="27" t="e">
        <f>R293*ROUND(O293,2)</f>
        <v>#DIV/0!</v>
      </c>
    </row>
    <row r="294" spans="1:19" x14ac:dyDescent="0.2">
      <c r="A294" s="91" t="s">
        <v>781</v>
      </c>
      <c r="B294" s="92" t="s">
        <v>36</v>
      </c>
      <c r="C294" s="92" t="s">
        <v>393</v>
      </c>
      <c r="D294" s="92" t="s">
        <v>810</v>
      </c>
      <c r="E294" s="93" t="s">
        <v>560</v>
      </c>
      <c r="F294" s="92" t="s">
        <v>342</v>
      </c>
      <c r="G294" s="92" t="s">
        <v>252</v>
      </c>
      <c r="H294" s="92" t="s">
        <v>9</v>
      </c>
      <c r="I294" s="92" t="s">
        <v>230</v>
      </c>
      <c r="J294" s="93" t="s">
        <v>253</v>
      </c>
      <c r="K294" s="94">
        <v>7</v>
      </c>
      <c r="L294" s="94">
        <f>K294*VLOOKUP(H294,dagsoorttabel1,2,FALSE)</f>
        <v>7</v>
      </c>
      <c r="M294" s="95">
        <f>prodnorm36</f>
        <v>0</v>
      </c>
      <c r="N294" s="92" t="s">
        <v>101</v>
      </c>
      <c r="O294" s="26">
        <f>uurtarief36</f>
        <v>0</v>
      </c>
      <c r="P294" s="94" t="e">
        <f>IF(ISBLANK(M294),0,L294/ROUND(M294,4))</f>
        <v>#DIV/0!</v>
      </c>
      <c r="Q294" s="26" t="e">
        <f>ROUND(O294,2)*P294</f>
        <v>#DIV/0!</v>
      </c>
      <c r="R294" s="94" t="e">
        <f>P294*dagenperjaar1</f>
        <v>#DIV/0!</v>
      </c>
      <c r="S294" s="27" t="e">
        <f>R294*ROUND(O294,2)</f>
        <v>#DIV/0!</v>
      </c>
    </row>
    <row r="295" spans="1:19" x14ac:dyDescent="0.2">
      <c r="A295" s="91" t="s">
        <v>781</v>
      </c>
      <c r="B295" s="92" t="s">
        <v>36</v>
      </c>
      <c r="C295" s="92" t="s">
        <v>393</v>
      </c>
      <c r="D295" s="92" t="s">
        <v>810</v>
      </c>
      <c r="E295" s="93" t="s">
        <v>560</v>
      </c>
      <c r="F295" s="92" t="s">
        <v>342</v>
      </c>
      <c r="G295" s="92" t="s">
        <v>254</v>
      </c>
      <c r="H295" s="92" t="s">
        <v>10</v>
      </c>
      <c r="I295" s="92" t="s">
        <v>230</v>
      </c>
      <c r="J295" s="93" t="s">
        <v>255</v>
      </c>
      <c r="K295" s="94">
        <v>7</v>
      </c>
      <c r="L295" s="94">
        <f>K295*VLOOKUP(H295,dagsoorttabel1,2,FALSE)</f>
        <v>5.6000000000000005</v>
      </c>
      <c r="M295" s="95">
        <f>prodnorm37</f>
        <v>0</v>
      </c>
      <c r="N295" s="92" t="s">
        <v>101</v>
      </c>
      <c r="O295" s="26">
        <f>uurtarief37</f>
        <v>0</v>
      </c>
      <c r="P295" s="94" t="e">
        <f>IF(ISBLANK(M295),0,L295/ROUND(M295,4))</f>
        <v>#DIV/0!</v>
      </c>
      <c r="Q295" s="26" t="e">
        <f>ROUND(O295,2)*P295</f>
        <v>#DIV/0!</v>
      </c>
      <c r="R295" s="94" t="e">
        <f>P295*dagenperjaar1</f>
        <v>#DIV/0!</v>
      </c>
      <c r="S295" s="27" t="e">
        <f>R295*ROUND(O295,2)</f>
        <v>#DIV/0!</v>
      </c>
    </row>
    <row r="296" spans="1:19" x14ac:dyDescent="0.2">
      <c r="A296" s="91" t="s">
        <v>781</v>
      </c>
      <c r="B296" s="92" t="s">
        <v>36</v>
      </c>
      <c r="C296" s="92" t="s">
        <v>393</v>
      </c>
      <c r="D296" s="92" t="s">
        <v>811</v>
      </c>
      <c r="E296" s="93" t="s">
        <v>812</v>
      </c>
      <c r="F296" s="92" t="s">
        <v>342</v>
      </c>
      <c r="G296" s="92" t="s">
        <v>256</v>
      </c>
      <c r="H296" s="92" t="s">
        <v>9</v>
      </c>
      <c r="I296" s="92" t="s">
        <v>230</v>
      </c>
      <c r="J296" s="93" t="s">
        <v>257</v>
      </c>
      <c r="K296" s="94">
        <v>18</v>
      </c>
      <c r="L296" s="94">
        <f>K296*VLOOKUP(H296,dagsoorttabel1,2,FALSE)</f>
        <v>18</v>
      </c>
      <c r="M296" s="95">
        <f>prodnorm40</f>
        <v>0</v>
      </c>
      <c r="N296" s="92" t="s">
        <v>101</v>
      </c>
      <c r="O296" s="26">
        <f>uurtarief40</f>
        <v>0</v>
      </c>
      <c r="P296" s="94" t="e">
        <f>IF(ISBLANK(M296),0,L296/ROUND(M296,4))</f>
        <v>#DIV/0!</v>
      </c>
      <c r="Q296" s="26" t="e">
        <f>ROUND(O296,2)*P296</f>
        <v>#DIV/0!</v>
      </c>
      <c r="R296" s="94" t="e">
        <f>P296*dagenperjaar1</f>
        <v>#DIV/0!</v>
      </c>
      <c r="S296" s="27" t="e">
        <f>R296*ROUND(O296,2)</f>
        <v>#DIV/0!</v>
      </c>
    </row>
    <row r="297" spans="1:19" x14ac:dyDescent="0.2">
      <c r="A297" s="91" t="s">
        <v>781</v>
      </c>
      <c r="B297" s="92" t="s">
        <v>36</v>
      </c>
      <c r="C297" s="92" t="s">
        <v>393</v>
      </c>
      <c r="D297" s="92" t="s">
        <v>813</v>
      </c>
      <c r="E297" s="93" t="s">
        <v>477</v>
      </c>
      <c r="F297" s="92" t="s">
        <v>461</v>
      </c>
      <c r="G297" s="92" t="s">
        <v>266</v>
      </c>
      <c r="H297" s="92" t="s">
        <v>9</v>
      </c>
      <c r="I297" s="92" t="s">
        <v>230</v>
      </c>
      <c r="J297" s="93" t="s">
        <v>267</v>
      </c>
      <c r="K297" s="94">
        <v>11</v>
      </c>
      <c r="L297" s="94">
        <f>K297*VLOOKUP(H297,dagsoorttabel1,2,FALSE)</f>
        <v>11</v>
      </c>
      <c r="M297" s="95">
        <f>prodnorm51</f>
        <v>0</v>
      </c>
      <c r="N297" s="92" t="s">
        <v>101</v>
      </c>
      <c r="O297" s="26">
        <f>uurtarief51</f>
        <v>0</v>
      </c>
      <c r="P297" s="94" t="e">
        <f>IF(ISBLANK(M297),0,L297/ROUND(M297,4))</f>
        <v>#DIV/0!</v>
      </c>
      <c r="Q297" s="26" t="e">
        <f>ROUND(O297,2)*P297</f>
        <v>#DIV/0!</v>
      </c>
      <c r="R297" s="94" t="e">
        <f>P297*dagenperjaar1</f>
        <v>#DIV/0!</v>
      </c>
      <c r="S297" s="27" t="e">
        <f>R297*ROUND(O297,2)</f>
        <v>#DIV/0!</v>
      </c>
    </row>
    <row r="298" spans="1:19" x14ac:dyDescent="0.2">
      <c r="A298" s="91" t="s">
        <v>781</v>
      </c>
      <c r="B298" s="92" t="s">
        <v>36</v>
      </c>
      <c r="C298" s="92" t="s">
        <v>393</v>
      </c>
      <c r="D298" s="92" t="s">
        <v>814</v>
      </c>
      <c r="E298" s="93" t="s">
        <v>815</v>
      </c>
      <c r="F298" s="92" t="s">
        <v>349</v>
      </c>
      <c r="G298" s="92" t="s">
        <v>246</v>
      </c>
      <c r="H298" s="92" t="s">
        <v>9</v>
      </c>
      <c r="I298" s="92" t="s">
        <v>230</v>
      </c>
      <c r="J298" s="93" t="s">
        <v>247</v>
      </c>
      <c r="K298" s="94">
        <v>18</v>
      </c>
      <c r="L298" s="94">
        <f>K298*VLOOKUP(H298,dagsoorttabel1,2,FALSE)</f>
        <v>18</v>
      </c>
      <c r="M298" s="95">
        <f>prodnorm29</f>
        <v>0</v>
      </c>
      <c r="N298" s="92" t="s">
        <v>101</v>
      </c>
      <c r="O298" s="26">
        <f>uurtarief29</f>
        <v>0</v>
      </c>
      <c r="P298" s="94" t="e">
        <f>IF(ISBLANK(M298),0,L298/ROUND(M298,4))</f>
        <v>#DIV/0!</v>
      </c>
      <c r="Q298" s="26" t="e">
        <f>ROUND(O298,2)*P298</f>
        <v>#DIV/0!</v>
      </c>
      <c r="R298" s="94" t="e">
        <f>P298*dagenperjaar1</f>
        <v>#DIV/0!</v>
      </c>
      <c r="S298" s="27" t="e">
        <f>R298*ROUND(O298,2)</f>
        <v>#DIV/0!</v>
      </c>
    </row>
    <row r="299" spans="1:19" x14ac:dyDescent="0.2">
      <c r="A299" s="91" t="s">
        <v>781</v>
      </c>
      <c r="B299" s="92" t="s">
        <v>36</v>
      </c>
      <c r="C299" s="92" t="s">
        <v>393</v>
      </c>
      <c r="D299" s="92" t="s">
        <v>816</v>
      </c>
      <c r="E299" s="93" t="s">
        <v>817</v>
      </c>
      <c r="F299" s="92" t="s">
        <v>461</v>
      </c>
      <c r="G299" s="92" t="s">
        <v>246</v>
      </c>
      <c r="H299" s="92" t="s">
        <v>9</v>
      </c>
      <c r="I299" s="92" t="s">
        <v>230</v>
      </c>
      <c r="J299" s="93" t="s">
        <v>247</v>
      </c>
      <c r="K299" s="94">
        <v>45.5</v>
      </c>
      <c r="L299" s="94">
        <f>K299*VLOOKUP(H299,dagsoorttabel1,2,FALSE)</f>
        <v>45.5</v>
      </c>
      <c r="M299" s="95">
        <f>prodnorm29</f>
        <v>0</v>
      </c>
      <c r="N299" s="92" t="s">
        <v>101</v>
      </c>
      <c r="O299" s="26">
        <f>uurtarief29</f>
        <v>0</v>
      </c>
      <c r="P299" s="94" t="e">
        <f>IF(ISBLANK(M299),0,L299/ROUND(M299,4))</f>
        <v>#DIV/0!</v>
      </c>
      <c r="Q299" s="26" t="e">
        <f>ROUND(O299,2)*P299</f>
        <v>#DIV/0!</v>
      </c>
      <c r="R299" s="94" t="e">
        <f>P299*dagenperjaar1</f>
        <v>#DIV/0!</v>
      </c>
      <c r="S299" s="27" t="e">
        <f>R299*ROUND(O299,2)</f>
        <v>#DIV/0!</v>
      </c>
    </row>
    <row r="300" spans="1:19" x14ac:dyDescent="0.2">
      <c r="A300" s="91" t="s">
        <v>781</v>
      </c>
      <c r="B300" s="92" t="s">
        <v>36</v>
      </c>
      <c r="C300" s="92" t="s">
        <v>393</v>
      </c>
      <c r="D300" s="92" t="s">
        <v>818</v>
      </c>
      <c r="E300" s="93" t="s">
        <v>819</v>
      </c>
      <c r="F300" s="92" t="s">
        <v>349</v>
      </c>
      <c r="G300" s="92" t="s">
        <v>339</v>
      </c>
      <c r="H300" s="92"/>
      <c r="I300" s="92"/>
      <c r="J300" s="92"/>
      <c r="K300" s="94">
        <v>0</v>
      </c>
      <c r="L300" s="94"/>
      <c r="M300" s="95"/>
      <c r="N300" s="92"/>
      <c r="O300" s="26"/>
      <c r="P300" s="94"/>
      <c r="Q300" s="26"/>
      <c r="R300" s="96"/>
      <c r="S300" s="27"/>
    </row>
    <row r="301" spans="1:19" x14ac:dyDescent="0.2">
      <c r="A301" s="91" t="s">
        <v>781</v>
      </c>
      <c r="B301" s="92" t="s">
        <v>36</v>
      </c>
      <c r="C301" s="92" t="s">
        <v>393</v>
      </c>
      <c r="D301" s="92" t="s">
        <v>820</v>
      </c>
      <c r="E301" s="93" t="s">
        <v>821</v>
      </c>
      <c r="F301" s="92" t="s">
        <v>349</v>
      </c>
      <c r="G301" s="92" t="s">
        <v>246</v>
      </c>
      <c r="H301" s="92" t="s">
        <v>9</v>
      </c>
      <c r="I301" s="92" t="s">
        <v>230</v>
      </c>
      <c r="J301" s="93" t="s">
        <v>247</v>
      </c>
      <c r="K301" s="94">
        <v>84.5</v>
      </c>
      <c r="L301" s="94">
        <f>K301*VLOOKUP(H301,dagsoorttabel1,2,FALSE)</f>
        <v>84.5</v>
      </c>
      <c r="M301" s="95">
        <f>prodnorm29</f>
        <v>0</v>
      </c>
      <c r="N301" s="92" t="s">
        <v>101</v>
      </c>
      <c r="O301" s="26">
        <f>uurtarief29</f>
        <v>0</v>
      </c>
      <c r="P301" s="94" t="e">
        <f>IF(ISBLANK(M301),0,L301/ROUND(M301,4))</f>
        <v>#DIV/0!</v>
      </c>
      <c r="Q301" s="26" t="e">
        <f>ROUND(O301,2)*P301</f>
        <v>#DIV/0!</v>
      </c>
      <c r="R301" s="94" t="e">
        <f>P301*dagenperjaar1</f>
        <v>#DIV/0!</v>
      </c>
      <c r="S301" s="27" t="e">
        <f>R301*ROUND(O301,2)</f>
        <v>#DIV/0!</v>
      </c>
    </row>
    <row r="302" spans="1:19" x14ac:dyDescent="0.2">
      <c r="A302" s="91" t="s">
        <v>781</v>
      </c>
      <c r="B302" s="92" t="s">
        <v>36</v>
      </c>
      <c r="C302" s="92" t="s">
        <v>393</v>
      </c>
      <c r="D302" s="92" t="s">
        <v>822</v>
      </c>
      <c r="E302" s="93" t="s">
        <v>477</v>
      </c>
      <c r="F302" s="92" t="s">
        <v>478</v>
      </c>
      <c r="G302" s="92" t="s">
        <v>266</v>
      </c>
      <c r="H302" s="92" t="s">
        <v>9</v>
      </c>
      <c r="I302" s="92" t="s">
        <v>230</v>
      </c>
      <c r="J302" s="93" t="s">
        <v>267</v>
      </c>
      <c r="K302" s="94">
        <v>11</v>
      </c>
      <c r="L302" s="94">
        <f>K302*VLOOKUP(H302,dagsoorttabel1,2,FALSE)</f>
        <v>11</v>
      </c>
      <c r="M302" s="95">
        <f>prodnorm51</f>
        <v>0</v>
      </c>
      <c r="N302" s="92" t="s">
        <v>101</v>
      </c>
      <c r="O302" s="26">
        <f>uurtarief51</f>
        <v>0</v>
      </c>
      <c r="P302" s="94" t="e">
        <f>IF(ISBLANK(M302),0,L302/ROUND(M302,4))</f>
        <v>#DIV/0!</v>
      </c>
      <c r="Q302" s="26" t="e">
        <f>ROUND(O302,2)*P302</f>
        <v>#DIV/0!</v>
      </c>
      <c r="R302" s="94" t="e">
        <f>P302*dagenperjaar1</f>
        <v>#DIV/0!</v>
      </c>
      <c r="S302" s="27" t="e">
        <f>R302*ROUND(O302,2)</f>
        <v>#DIV/0!</v>
      </c>
    </row>
    <row r="303" spans="1:19" x14ac:dyDescent="0.2">
      <c r="A303" s="91" t="s">
        <v>781</v>
      </c>
      <c r="B303" s="92" t="s">
        <v>36</v>
      </c>
      <c r="C303" s="92" t="s">
        <v>393</v>
      </c>
      <c r="D303" s="92" t="s">
        <v>823</v>
      </c>
      <c r="E303" s="93" t="s">
        <v>494</v>
      </c>
      <c r="F303" s="92" t="s">
        <v>824</v>
      </c>
      <c r="G303" s="92" t="s">
        <v>339</v>
      </c>
      <c r="H303" s="92"/>
      <c r="I303" s="92"/>
      <c r="J303" s="92"/>
      <c r="K303" s="94">
        <v>2</v>
      </c>
      <c r="L303" s="94"/>
      <c r="M303" s="95"/>
      <c r="N303" s="92"/>
      <c r="O303" s="26"/>
      <c r="P303" s="94"/>
      <c r="Q303" s="26"/>
      <c r="R303" s="96"/>
      <c r="S303" s="27"/>
    </row>
    <row r="304" spans="1:19" x14ac:dyDescent="0.2">
      <c r="A304" s="91" t="s">
        <v>781</v>
      </c>
      <c r="B304" s="92" t="s">
        <v>36</v>
      </c>
      <c r="C304" s="92" t="s">
        <v>419</v>
      </c>
      <c r="D304" s="92" t="s">
        <v>825</v>
      </c>
      <c r="E304" s="93" t="s">
        <v>826</v>
      </c>
      <c r="F304" s="92" t="s">
        <v>827</v>
      </c>
      <c r="G304" s="92" t="s">
        <v>246</v>
      </c>
      <c r="H304" s="92" t="s">
        <v>9</v>
      </c>
      <c r="I304" s="92" t="s">
        <v>230</v>
      </c>
      <c r="J304" s="93" t="s">
        <v>247</v>
      </c>
      <c r="K304" s="94">
        <v>144</v>
      </c>
      <c r="L304" s="94">
        <f>K304*VLOOKUP(H304,dagsoorttabel1,2,FALSE)</f>
        <v>144</v>
      </c>
      <c r="M304" s="95">
        <f>prodnorm29</f>
        <v>0</v>
      </c>
      <c r="N304" s="92" t="s">
        <v>101</v>
      </c>
      <c r="O304" s="26">
        <f>uurtarief29</f>
        <v>0</v>
      </c>
      <c r="P304" s="94" t="e">
        <f>IF(ISBLANK(M304),0,L304/ROUND(M304,4))</f>
        <v>#DIV/0!</v>
      </c>
      <c r="Q304" s="26" t="e">
        <f>ROUND(O304,2)*P304</f>
        <v>#DIV/0!</v>
      </c>
      <c r="R304" s="94" t="e">
        <f>P304*dagenperjaar1</f>
        <v>#DIV/0!</v>
      </c>
      <c r="S304" s="27" t="e">
        <f>R304*ROUND(O304,2)</f>
        <v>#DIV/0!</v>
      </c>
    </row>
    <row r="305" spans="1:19" x14ac:dyDescent="0.2">
      <c r="A305" s="91" t="s">
        <v>781</v>
      </c>
      <c r="B305" s="92" t="s">
        <v>36</v>
      </c>
      <c r="C305" s="92" t="s">
        <v>419</v>
      </c>
      <c r="D305" s="92" t="s">
        <v>828</v>
      </c>
      <c r="E305" s="93" t="s">
        <v>829</v>
      </c>
      <c r="F305" s="92" t="s">
        <v>349</v>
      </c>
      <c r="G305" s="92" t="s">
        <v>252</v>
      </c>
      <c r="H305" s="92" t="s">
        <v>9</v>
      </c>
      <c r="I305" s="92" t="s">
        <v>230</v>
      </c>
      <c r="J305" s="93" t="s">
        <v>253</v>
      </c>
      <c r="K305" s="94">
        <v>15</v>
      </c>
      <c r="L305" s="94">
        <f>K305*VLOOKUP(H305,dagsoorttabel1,2,FALSE)</f>
        <v>15</v>
      </c>
      <c r="M305" s="95">
        <f>prodnorm36</f>
        <v>0</v>
      </c>
      <c r="N305" s="92" t="s">
        <v>101</v>
      </c>
      <c r="O305" s="26">
        <f>uurtarief36</f>
        <v>0</v>
      </c>
      <c r="P305" s="94" t="e">
        <f>IF(ISBLANK(M305),0,L305/ROUND(M305,4))</f>
        <v>#DIV/0!</v>
      </c>
      <c r="Q305" s="26" t="e">
        <f>ROUND(O305,2)*P305</f>
        <v>#DIV/0!</v>
      </c>
      <c r="R305" s="94" t="e">
        <f>P305*dagenperjaar1</f>
        <v>#DIV/0!</v>
      </c>
      <c r="S305" s="27" t="e">
        <f>R305*ROUND(O305,2)</f>
        <v>#DIV/0!</v>
      </c>
    </row>
    <row r="306" spans="1:19" x14ac:dyDescent="0.2">
      <c r="A306" s="91" t="s">
        <v>781</v>
      </c>
      <c r="B306" s="92" t="s">
        <v>36</v>
      </c>
      <c r="C306" s="92" t="s">
        <v>419</v>
      </c>
      <c r="D306" s="92" t="s">
        <v>828</v>
      </c>
      <c r="E306" s="93" t="s">
        <v>829</v>
      </c>
      <c r="F306" s="92" t="s">
        <v>349</v>
      </c>
      <c r="G306" s="92" t="s">
        <v>254</v>
      </c>
      <c r="H306" s="92" t="s">
        <v>10</v>
      </c>
      <c r="I306" s="92" t="s">
        <v>230</v>
      </c>
      <c r="J306" s="93" t="s">
        <v>255</v>
      </c>
      <c r="K306" s="94">
        <v>15</v>
      </c>
      <c r="L306" s="94">
        <f>K306*VLOOKUP(H306,dagsoorttabel1,2,FALSE)</f>
        <v>12</v>
      </c>
      <c r="M306" s="95">
        <f>prodnorm37</f>
        <v>0</v>
      </c>
      <c r="N306" s="92" t="s">
        <v>101</v>
      </c>
      <c r="O306" s="26">
        <f>uurtarief37</f>
        <v>0</v>
      </c>
      <c r="P306" s="94" t="e">
        <f>IF(ISBLANK(M306),0,L306/ROUND(M306,4))</f>
        <v>#DIV/0!</v>
      </c>
      <c r="Q306" s="26" t="e">
        <f>ROUND(O306,2)*P306</f>
        <v>#DIV/0!</v>
      </c>
      <c r="R306" s="94" t="e">
        <f>P306*dagenperjaar1</f>
        <v>#DIV/0!</v>
      </c>
      <c r="S306" s="27" t="e">
        <f>R306*ROUND(O306,2)</f>
        <v>#DIV/0!</v>
      </c>
    </row>
    <row r="307" spans="1:19" x14ac:dyDescent="0.2">
      <c r="A307" s="91" t="s">
        <v>781</v>
      </c>
      <c r="B307" s="92" t="s">
        <v>36</v>
      </c>
      <c r="C307" s="92" t="s">
        <v>419</v>
      </c>
      <c r="D307" s="92" t="s">
        <v>830</v>
      </c>
      <c r="E307" s="93" t="s">
        <v>739</v>
      </c>
      <c r="F307" s="92" t="s">
        <v>478</v>
      </c>
      <c r="G307" s="92" t="s">
        <v>252</v>
      </c>
      <c r="H307" s="92" t="s">
        <v>9</v>
      </c>
      <c r="I307" s="92" t="s">
        <v>230</v>
      </c>
      <c r="J307" s="93" t="s">
        <v>253</v>
      </c>
      <c r="K307" s="94">
        <v>15</v>
      </c>
      <c r="L307" s="94">
        <f>K307*VLOOKUP(H307,dagsoorttabel1,2,FALSE)</f>
        <v>15</v>
      </c>
      <c r="M307" s="95">
        <f>prodnorm36</f>
        <v>0</v>
      </c>
      <c r="N307" s="92" t="s">
        <v>101</v>
      </c>
      <c r="O307" s="26">
        <f>uurtarief36</f>
        <v>0</v>
      </c>
      <c r="P307" s="94" t="e">
        <f>IF(ISBLANK(M307),0,L307/ROUND(M307,4))</f>
        <v>#DIV/0!</v>
      </c>
      <c r="Q307" s="26" t="e">
        <f>ROUND(O307,2)*P307</f>
        <v>#DIV/0!</v>
      </c>
      <c r="R307" s="94" t="e">
        <f>P307*dagenperjaar1</f>
        <v>#DIV/0!</v>
      </c>
      <c r="S307" s="27" t="e">
        <f>R307*ROUND(O307,2)</f>
        <v>#DIV/0!</v>
      </c>
    </row>
    <row r="308" spans="1:19" x14ac:dyDescent="0.2">
      <c r="A308" s="91" t="s">
        <v>781</v>
      </c>
      <c r="B308" s="92" t="s">
        <v>36</v>
      </c>
      <c r="C308" s="92" t="s">
        <v>419</v>
      </c>
      <c r="D308" s="92" t="s">
        <v>830</v>
      </c>
      <c r="E308" s="93" t="s">
        <v>739</v>
      </c>
      <c r="F308" s="92" t="s">
        <v>478</v>
      </c>
      <c r="G308" s="92" t="s">
        <v>254</v>
      </c>
      <c r="H308" s="92" t="s">
        <v>10</v>
      </c>
      <c r="I308" s="92" t="s">
        <v>230</v>
      </c>
      <c r="J308" s="93" t="s">
        <v>255</v>
      </c>
      <c r="K308" s="94">
        <v>15</v>
      </c>
      <c r="L308" s="94">
        <f>K308*VLOOKUP(H308,dagsoorttabel1,2,FALSE)</f>
        <v>12</v>
      </c>
      <c r="M308" s="95">
        <f>prodnorm37</f>
        <v>0</v>
      </c>
      <c r="N308" s="92" t="s">
        <v>101</v>
      </c>
      <c r="O308" s="26">
        <f>uurtarief37</f>
        <v>0</v>
      </c>
      <c r="P308" s="94" t="e">
        <f>IF(ISBLANK(M308),0,L308/ROUND(M308,4))</f>
        <v>#DIV/0!</v>
      </c>
      <c r="Q308" s="26" t="e">
        <f>ROUND(O308,2)*P308</f>
        <v>#DIV/0!</v>
      </c>
      <c r="R308" s="94" t="e">
        <f>P308*dagenperjaar1</f>
        <v>#DIV/0!</v>
      </c>
      <c r="S308" s="27" t="e">
        <f>R308*ROUND(O308,2)</f>
        <v>#DIV/0!</v>
      </c>
    </row>
    <row r="309" spans="1:19" x14ac:dyDescent="0.2">
      <c r="A309" s="91" t="s">
        <v>781</v>
      </c>
      <c r="B309" s="92" t="s">
        <v>36</v>
      </c>
      <c r="C309" s="92" t="s">
        <v>419</v>
      </c>
      <c r="D309" s="92" t="s">
        <v>831</v>
      </c>
      <c r="E309" s="93" t="s">
        <v>832</v>
      </c>
      <c r="F309" s="92" t="s">
        <v>458</v>
      </c>
      <c r="G309" s="92" t="s">
        <v>246</v>
      </c>
      <c r="H309" s="92" t="s">
        <v>9</v>
      </c>
      <c r="I309" s="92" t="s">
        <v>230</v>
      </c>
      <c r="J309" s="93" t="s">
        <v>247</v>
      </c>
      <c r="K309" s="94">
        <v>80</v>
      </c>
      <c r="L309" s="94">
        <f>K309*VLOOKUP(H309,dagsoorttabel1,2,FALSE)</f>
        <v>80</v>
      </c>
      <c r="M309" s="95">
        <f>prodnorm29</f>
        <v>0</v>
      </c>
      <c r="N309" s="92" t="s">
        <v>101</v>
      </c>
      <c r="O309" s="26">
        <f>uurtarief29</f>
        <v>0</v>
      </c>
      <c r="P309" s="94" t="e">
        <f>IF(ISBLANK(M309),0,L309/ROUND(M309,4))</f>
        <v>#DIV/0!</v>
      </c>
      <c r="Q309" s="26" t="e">
        <f>ROUND(O309,2)*P309</f>
        <v>#DIV/0!</v>
      </c>
      <c r="R309" s="94" t="e">
        <f>P309*dagenperjaar1</f>
        <v>#DIV/0!</v>
      </c>
      <c r="S309" s="27" t="e">
        <f>R309*ROUND(O309,2)</f>
        <v>#DIV/0!</v>
      </c>
    </row>
    <row r="310" spans="1:19" x14ac:dyDescent="0.2">
      <c r="A310" s="91" t="s">
        <v>781</v>
      </c>
      <c r="B310" s="92" t="s">
        <v>36</v>
      </c>
      <c r="C310" s="92" t="s">
        <v>419</v>
      </c>
      <c r="D310" s="92" t="s">
        <v>833</v>
      </c>
      <c r="E310" s="93" t="s">
        <v>805</v>
      </c>
      <c r="F310" s="92" t="s">
        <v>458</v>
      </c>
      <c r="G310" s="92" t="s">
        <v>246</v>
      </c>
      <c r="H310" s="92" t="s">
        <v>9</v>
      </c>
      <c r="I310" s="92" t="s">
        <v>230</v>
      </c>
      <c r="J310" s="93" t="s">
        <v>247</v>
      </c>
      <c r="K310" s="94">
        <v>55</v>
      </c>
      <c r="L310" s="94">
        <f>K310*VLOOKUP(H310,dagsoorttabel1,2,FALSE)</f>
        <v>55</v>
      </c>
      <c r="M310" s="95">
        <f>prodnorm29</f>
        <v>0</v>
      </c>
      <c r="N310" s="92" t="s">
        <v>101</v>
      </c>
      <c r="O310" s="26">
        <f>uurtarief29</f>
        <v>0</v>
      </c>
      <c r="P310" s="94" t="e">
        <f>IF(ISBLANK(M310),0,L310/ROUND(M310,4))</f>
        <v>#DIV/0!</v>
      </c>
      <c r="Q310" s="26" t="e">
        <f>ROUND(O310,2)*P310</f>
        <v>#DIV/0!</v>
      </c>
      <c r="R310" s="94" t="e">
        <f>P310*dagenperjaar1</f>
        <v>#DIV/0!</v>
      </c>
      <c r="S310" s="27" t="e">
        <f>R310*ROUND(O310,2)</f>
        <v>#DIV/0!</v>
      </c>
    </row>
    <row r="311" spans="1:19" x14ac:dyDescent="0.2">
      <c r="A311" s="91" t="s">
        <v>781</v>
      </c>
      <c r="B311" s="92" t="s">
        <v>36</v>
      </c>
      <c r="C311" s="92" t="s">
        <v>419</v>
      </c>
      <c r="D311" s="92" t="s">
        <v>834</v>
      </c>
      <c r="E311" s="93" t="s">
        <v>809</v>
      </c>
      <c r="F311" s="92" t="s">
        <v>458</v>
      </c>
      <c r="G311" s="92" t="s">
        <v>256</v>
      </c>
      <c r="H311" s="92" t="s">
        <v>9</v>
      </c>
      <c r="I311" s="92" t="s">
        <v>230</v>
      </c>
      <c r="J311" s="93" t="s">
        <v>257</v>
      </c>
      <c r="K311" s="94">
        <v>54</v>
      </c>
      <c r="L311" s="94">
        <f>K311*VLOOKUP(H311,dagsoorttabel1,2,FALSE)</f>
        <v>54</v>
      </c>
      <c r="M311" s="95">
        <f>prodnorm40</f>
        <v>0</v>
      </c>
      <c r="N311" s="92" t="s">
        <v>101</v>
      </c>
      <c r="O311" s="26">
        <f>uurtarief40</f>
        <v>0</v>
      </c>
      <c r="P311" s="94" t="e">
        <f>IF(ISBLANK(M311),0,L311/ROUND(M311,4))</f>
        <v>#DIV/0!</v>
      </c>
      <c r="Q311" s="26" t="e">
        <f>ROUND(O311,2)*P311</f>
        <v>#DIV/0!</v>
      </c>
      <c r="R311" s="94" t="e">
        <f>P311*dagenperjaar1</f>
        <v>#DIV/0!</v>
      </c>
      <c r="S311" s="27" t="e">
        <f>R311*ROUND(O311,2)</f>
        <v>#DIV/0!</v>
      </c>
    </row>
    <row r="312" spans="1:19" x14ac:dyDescent="0.2">
      <c r="A312" s="91" t="s">
        <v>781</v>
      </c>
      <c r="B312" s="92" t="s">
        <v>36</v>
      </c>
      <c r="C312" s="92" t="s">
        <v>419</v>
      </c>
      <c r="D312" s="92" t="s">
        <v>835</v>
      </c>
      <c r="E312" s="93" t="s">
        <v>836</v>
      </c>
      <c r="F312" s="92" t="s">
        <v>458</v>
      </c>
      <c r="G312" s="92" t="s">
        <v>236</v>
      </c>
      <c r="H312" s="92" t="s">
        <v>9</v>
      </c>
      <c r="I312" s="92" t="s">
        <v>230</v>
      </c>
      <c r="J312" s="93" t="s">
        <v>237</v>
      </c>
      <c r="K312" s="94">
        <v>3.5</v>
      </c>
      <c r="L312" s="94">
        <f>K312*VLOOKUP(H312,dagsoorttabel1,2,FALSE)</f>
        <v>3.5</v>
      </c>
      <c r="M312" s="95">
        <f>prodnorm22</f>
        <v>0</v>
      </c>
      <c r="N312" s="92" t="s">
        <v>101</v>
      </c>
      <c r="O312" s="26">
        <f>uurtarief22</f>
        <v>0</v>
      </c>
      <c r="P312" s="94" t="e">
        <f>IF(ISBLANK(M312),0,L312/ROUND(M312,4))</f>
        <v>#DIV/0!</v>
      </c>
      <c r="Q312" s="26" t="e">
        <f>ROUND(O312,2)*P312</f>
        <v>#DIV/0!</v>
      </c>
      <c r="R312" s="94" t="e">
        <f>P312*dagenperjaar1</f>
        <v>#DIV/0!</v>
      </c>
      <c r="S312" s="27" t="e">
        <f>R312*ROUND(O312,2)</f>
        <v>#DIV/0!</v>
      </c>
    </row>
    <row r="313" spans="1:19" x14ac:dyDescent="0.2">
      <c r="A313" s="91" t="s">
        <v>781</v>
      </c>
      <c r="B313" s="92" t="s">
        <v>36</v>
      </c>
      <c r="C313" s="92" t="s">
        <v>419</v>
      </c>
      <c r="D313" s="92" t="s">
        <v>837</v>
      </c>
      <c r="E313" s="93" t="s">
        <v>629</v>
      </c>
      <c r="F313" s="92" t="s">
        <v>458</v>
      </c>
      <c r="G313" s="92" t="s">
        <v>256</v>
      </c>
      <c r="H313" s="92" t="s">
        <v>9</v>
      </c>
      <c r="I313" s="92" t="s">
        <v>230</v>
      </c>
      <c r="J313" s="93" t="s">
        <v>257</v>
      </c>
      <c r="K313" s="94">
        <v>20</v>
      </c>
      <c r="L313" s="94">
        <f>K313*VLOOKUP(H313,dagsoorttabel1,2,FALSE)</f>
        <v>20</v>
      </c>
      <c r="M313" s="95">
        <f>prodnorm40</f>
        <v>0</v>
      </c>
      <c r="N313" s="92" t="s">
        <v>101</v>
      </c>
      <c r="O313" s="26">
        <f>uurtarief40</f>
        <v>0</v>
      </c>
      <c r="P313" s="94" t="e">
        <f>IF(ISBLANK(M313),0,L313/ROUND(M313,4))</f>
        <v>#DIV/0!</v>
      </c>
      <c r="Q313" s="26" t="e">
        <f>ROUND(O313,2)*P313</f>
        <v>#DIV/0!</v>
      </c>
      <c r="R313" s="94" t="e">
        <f>P313*dagenperjaar1</f>
        <v>#DIV/0!</v>
      </c>
      <c r="S313" s="27" t="e">
        <f>R313*ROUND(O313,2)</f>
        <v>#DIV/0!</v>
      </c>
    </row>
    <row r="314" spans="1:19" x14ac:dyDescent="0.2">
      <c r="A314" s="91" t="s">
        <v>781</v>
      </c>
      <c r="B314" s="92" t="s">
        <v>36</v>
      </c>
      <c r="C314" s="92" t="s">
        <v>419</v>
      </c>
      <c r="D314" s="92" t="s">
        <v>838</v>
      </c>
      <c r="E314" s="93" t="s">
        <v>477</v>
      </c>
      <c r="F314" s="92" t="s">
        <v>461</v>
      </c>
      <c r="G314" s="92" t="s">
        <v>266</v>
      </c>
      <c r="H314" s="92" t="s">
        <v>9</v>
      </c>
      <c r="I314" s="92" t="s">
        <v>230</v>
      </c>
      <c r="J314" s="93" t="s">
        <v>267</v>
      </c>
      <c r="K314" s="94">
        <v>11</v>
      </c>
      <c r="L314" s="94">
        <f>K314*VLOOKUP(H314,dagsoorttabel1,2,FALSE)</f>
        <v>11</v>
      </c>
      <c r="M314" s="95">
        <f>prodnorm51</f>
        <v>0</v>
      </c>
      <c r="N314" s="92" t="s">
        <v>101</v>
      </c>
      <c r="O314" s="26">
        <f>uurtarief51</f>
        <v>0</v>
      </c>
      <c r="P314" s="94" t="e">
        <f>IF(ISBLANK(M314),0,L314/ROUND(M314,4))</f>
        <v>#DIV/0!</v>
      </c>
      <c r="Q314" s="26" t="e">
        <f>ROUND(O314,2)*P314</f>
        <v>#DIV/0!</v>
      </c>
      <c r="R314" s="94" t="e">
        <f>P314*dagenperjaar1</f>
        <v>#DIV/0!</v>
      </c>
      <c r="S314" s="27" t="e">
        <f>R314*ROUND(O314,2)</f>
        <v>#DIV/0!</v>
      </c>
    </row>
    <row r="315" spans="1:19" x14ac:dyDescent="0.2">
      <c r="A315" s="91" t="s">
        <v>781</v>
      </c>
      <c r="B315" s="92" t="s">
        <v>36</v>
      </c>
      <c r="C315" s="92" t="s">
        <v>419</v>
      </c>
      <c r="D315" s="92" t="s">
        <v>839</v>
      </c>
      <c r="E315" s="93" t="s">
        <v>840</v>
      </c>
      <c r="F315" s="92" t="s">
        <v>841</v>
      </c>
      <c r="G315" s="92" t="s">
        <v>246</v>
      </c>
      <c r="H315" s="92" t="s">
        <v>9</v>
      </c>
      <c r="I315" s="92" t="s">
        <v>230</v>
      </c>
      <c r="J315" s="93" t="s">
        <v>247</v>
      </c>
      <c r="K315" s="94">
        <v>41</v>
      </c>
      <c r="L315" s="94">
        <f>K315*VLOOKUP(H315,dagsoorttabel1,2,FALSE)</f>
        <v>41</v>
      </c>
      <c r="M315" s="95">
        <f>prodnorm29</f>
        <v>0</v>
      </c>
      <c r="N315" s="92" t="s">
        <v>101</v>
      </c>
      <c r="O315" s="26">
        <f>uurtarief29</f>
        <v>0</v>
      </c>
      <c r="P315" s="94" t="e">
        <f>IF(ISBLANK(M315),0,L315/ROUND(M315,4))</f>
        <v>#DIV/0!</v>
      </c>
      <c r="Q315" s="26" t="e">
        <f>ROUND(O315,2)*P315</f>
        <v>#DIV/0!</v>
      </c>
      <c r="R315" s="94" t="e">
        <f>P315*dagenperjaar1</f>
        <v>#DIV/0!</v>
      </c>
      <c r="S315" s="27" t="e">
        <f>R315*ROUND(O315,2)</f>
        <v>#DIV/0!</v>
      </c>
    </row>
    <row r="316" spans="1:19" x14ac:dyDescent="0.2">
      <c r="A316" s="91" t="s">
        <v>781</v>
      </c>
      <c r="B316" s="92" t="s">
        <v>842</v>
      </c>
      <c r="C316" s="92" t="s">
        <v>393</v>
      </c>
      <c r="D316" s="92" t="s">
        <v>843</v>
      </c>
      <c r="E316" s="93" t="s">
        <v>844</v>
      </c>
      <c r="F316" s="92" t="s">
        <v>342</v>
      </c>
      <c r="G316" s="92" t="s">
        <v>256</v>
      </c>
      <c r="H316" s="92" t="s">
        <v>14</v>
      </c>
      <c r="I316" s="92" t="s">
        <v>230</v>
      </c>
      <c r="J316" s="93" t="s">
        <v>257</v>
      </c>
      <c r="K316" s="94">
        <v>4.5</v>
      </c>
      <c r="L316" s="94">
        <f>K316*VLOOKUP(H316,dagsoorttabel1,2,FALSE)</f>
        <v>0.9</v>
      </c>
      <c r="M316" s="95">
        <f>prodnorm38</f>
        <v>0</v>
      </c>
      <c r="N316" s="92" t="s">
        <v>101</v>
      </c>
      <c r="O316" s="26">
        <f>uurtarief38</f>
        <v>0</v>
      </c>
      <c r="P316" s="94" t="e">
        <f>IF(ISBLANK(M316),0,L316/ROUND(M316,4))</f>
        <v>#DIV/0!</v>
      </c>
      <c r="Q316" s="26" t="e">
        <f>ROUND(O316,2)*P316</f>
        <v>#DIV/0!</v>
      </c>
      <c r="R316" s="94" t="e">
        <f>P316*dagenperjaar1</f>
        <v>#DIV/0!</v>
      </c>
      <c r="S316" s="27" t="e">
        <f>R316*ROUND(O316,2)</f>
        <v>#DIV/0!</v>
      </c>
    </row>
    <row r="317" spans="1:19" x14ac:dyDescent="0.2">
      <c r="A317" s="91" t="s">
        <v>781</v>
      </c>
      <c r="B317" s="92" t="s">
        <v>842</v>
      </c>
      <c r="C317" s="92" t="s">
        <v>393</v>
      </c>
      <c r="D317" s="92" t="s">
        <v>845</v>
      </c>
      <c r="E317" s="93" t="s">
        <v>629</v>
      </c>
      <c r="F317" s="92" t="s">
        <v>342</v>
      </c>
      <c r="G317" s="92" t="s">
        <v>256</v>
      </c>
      <c r="H317" s="92" t="s">
        <v>9</v>
      </c>
      <c r="I317" s="92" t="s">
        <v>230</v>
      </c>
      <c r="J317" s="93" t="s">
        <v>257</v>
      </c>
      <c r="K317" s="94">
        <v>4.5</v>
      </c>
      <c r="L317" s="94">
        <f>K317*VLOOKUP(H317,dagsoorttabel1,2,FALSE)</f>
        <v>4.5</v>
      </c>
      <c r="M317" s="95">
        <f>prodnorm40</f>
        <v>0</v>
      </c>
      <c r="N317" s="92" t="s">
        <v>101</v>
      </c>
      <c r="O317" s="26">
        <f>uurtarief40</f>
        <v>0</v>
      </c>
      <c r="P317" s="94" t="e">
        <f>IF(ISBLANK(M317),0,L317/ROUND(M317,4))</f>
        <v>#DIV/0!</v>
      </c>
      <c r="Q317" s="26" t="e">
        <f>ROUND(O317,2)*P317</f>
        <v>#DIV/0!</v>
      </c>
      <c r="R317" s="94" t="e">
        <f>P317*dagenperjaar1</f>
        <v>#DIV/0!</v>
      </c>
      <c r="S317" s="27" t="e">
        <f>R317*ROUND(O317,2)</f>
        <v>#DIV/0!</v>
      </c>
    </row>
    <row r="318" spans="1:19" x14ac:dyDescent="0.2">
      <c r="A318" s="91" t="s">
        <v>781</v>
      </c>
      <c r="B318" s="92" t="s">
        <v>842</v>
      </c>
      <c r="C318" s="92" t="s">
        <v>393</v>
      </c>
      <c r="D318" s="92" t="s">
        <v>846</v>
      </c>
      <c r="E318" s="93" t="s">
        <v>616</v>
      </c>
      <c r="F318" s="92" t="s">
        <v>342</v>
      </c>
      <c r="G318" s="92" t="s">
        <v>236</v>
      </c>
      <c r="H318" s="92" t="s">
        <v>9</v>
      </c>
      <c r="I318" s="92" t="s">
        <v>230</v>
      </c>
      <c r="J318" s="93" t="s">
        <v>237</v>
      </c>
      <c r="K318" s="94">
        <v>13</v>
      </c>
      <c r="L318" s="94">
        <f>K318*VLOOKUP(H318,dagsoorttabel1,2,FALSE)</f>
        <v>13</v>
      </c>
      <c r="M318" s="95">
        <f>prodnorm22</f>
        <v>0</v>
      </c>
      <c r="N318" s="92" t="s">
        <v>101</v>
      </c>
      <c r="O318" s="26">
        <f>uurtarief22</f>
        <v>0</v>
      </c>
      <c r="P318" s="94" t="e">
        <f>IF(ISBLANK(M318),0,L318/ROUND(M318,4))</f>
        <v>#DIV/0!</v>
      </c>
      <c r="Q318" s="26" t="e">
        <f>ROUND(O318,2)*P318</f>
        <v>#DIV/0!</v>
      </c>
      <c r="R318" s="94" t="e">
        <f>P318*dagenperjaar1</f>
        <v>#DIV/0!</v>
      </c>
      <c r="S318" s="27" t="e">
        <f>R318*ROUND(O318,2)</f>
        <v>#DIV/0!</v>
      </c>
    </row>
    <row r="319" spans="1:19" x14ac:dyDescent="0.2">
      <c r="A319" s="91" t="s">
        <v>781</v>
      </c>
      <c r="B319" s="92" t="s">
        <v>842</v>
      </c>
      <c r="C319" s="92" t="s">
        <v>393</v>
      </c>
      <c r="D319" s="92" t="s">
        <v>847</v>
      </c>
      <c r="E319" s="93" t="s">
        <v>848</v>
      </c>
      <c r="F319" s="92" t="s">
        <v>342</v>
      </c>
      <c r="G319" s="92" t="s">
        <v>238</v>
      </c>
      <c r="H319" s="92" t="s">
        <v>9</v>
      </c>
      <c r="I319" s="92" t="s">
        <v>230</v>
      </c>
      <c r="J319" s="93" t="s">
        <v>239</v>
      </c>
      <c r="K319" s="94">
        <v>181</v>
      </c>
      <c r="L319" s="94">
        <f>K319*VLOOKUP(H319,dagsoorttabel1,2,FALSE)</f>
        <v>181</v>
      </c>
      <c r="M319" s="95">
        <f>prodnorm24</f>
        <v>0</v>
      </c>
      <c r="N319" s="92" t="s">
        <v>101</v>
      </c>
      <c r="O319" s="26">
        <f>uurtarief24</f>
        <v>0</v>
      </c>
      <c r="P319" s="94" t="e">
        <f>IF(ISBLANK(M319),0,L319/ROUND(M319,4))</f>
        <v>#DIV/0!</v>
      </c>
      <c r="Q319" s="26" t="e">
        <f>ROUND(O319,2)*P319</f>
        <v>#DIV/0!</v>
      </c>
      <c r="R319" s="94" t="e">
        <f>P319*dagenperjaar1</f>
        <v>#DIV/0!</v>
      </c>
      <c r="S319" s="27" t="e">
        <f>R319*ROUND(O319,2)</f>
        <v>#DIV/0!</v>
      </c>
    </row>
    <row r="320" spans="1:19" x14ac:dyDescent="0.2">
      <c r="A320" s="91" t="s">
        <v>781</v>
      </c>
      <c r="B320" s="92" t="s">
        <v>842</v>
      </c>
      <c r="C320" s="92" t="s">
        <v>393</v>
      </c>
      <c r="D320" s="92" t="s">
        <v>849</v>
      </c>
      <c r="E320" s="93" t="s">
        <v>850</v>
      </c>
      <c r="F320" s="92" t="s">
        <v>342</v>
      </c>
      <c r="G320" s="92" t="s">
        <v>256</v>
      </c>
      <c r="H320" s="92" t="s">
        <v>9</v>
      </c>
      <c r="I320" s="92" t="s">
        <v>230</v>
      </c>
      <c r="J320" s="93" t="s">
        <v>257</v>
      </c>
      <c r="K320" s="94">
        <v>41</v>
      </c>
      <c r="L320" s="94">
        <f>K320*VLOOKUP(H320,dagsoorttabel1,2,FALSE)</f>
        <v>41</v>
      </c>
      <c r="M320" s="95">
        <f>prodnorm40</f>
        <v>0</v>
      </c>
      <c r="N320" s="92" t="s">
        <v>101</v>
      </c>
      <c r="O320" s="26">
        <f>uurtarief40</f>
        <v>0</v>
      </c>
      <c r="P320" s="94" t="e">
        <f>IF(ISBLANK(M320),0,L320/ROUND(M320,4))</f>
        <v>#DIV/0!</v>
      </c>
      <c r="Q320" s="26" t="e">
        <f>ROUND(O320,2)*P320</f>
        <v>#DIV/0!</v>
      </c>
      <c r="R320" s="94" t="e">
        <f>P320*dagenperjaar1</f>
        <v>#DIV/0!</v>
      </c>
      <c r="S320" s="27" t="e">
        <f>R320*ROUND(O320,2)</f>
        <v>#DIV/0!</v>
      </c>
    </row>
    <row r="321" spans="1:19" x14ac:dyDescent="0.2">
      <c r="A321" s="91" t="s">
        <v>781</v>
      </c>
      <c r="B321" s="92" t="s">
        <v>842</v>
      </c>
      <c r="C321" s="92" t="s">
        <v>419</v>
      </c>
      <c r="D321" s="92" t="s">
        <v>851</v>
      </c>
      <c r="E321" s="93" t="s">
        <v>629</v>
      </c>
      <c r="F321" s="92" t="s">
        <v>342</v>
      </c>
      <c r="G321" s="92" t="s">
        <v>256</v>
      </c>
      <c r="H321" s="92" t="s">
        <v>9</v>
      </c>
      <c r="I321" s="92" t="s">
        <v>230</v>
      </c>
      <c r="J321" s="93" t="s">
        <v>257</v>
      </c>
      <c r="K321" s="94">
        <v>5</v>
      </c>
      <c r="L321" s="94">
        <f>K321*VLOOKUP(H321,dagsoorttabel1,2,FALSE)</f>
        <v>5</v>
      </c>
      <c r="M321" s="95">
        <f>prodnorm40</f>
        <v>0</v>
      </c>
      <c r="N321" s="92" t="s">
        <v>101</v>
      </c>
      <c r="O321" s="26">
        <f>uurtarief40</f>
        <v>0</v>
      </c>
      <c r="P321" s="94" t="e">
        <f>IF(ISBLANK(M321),0,L321/ROUND(M321,4))</f>
        <v>#DIV/0!</v>
      </c>
      <c r="Q321" s="26" t="e">
        <f>ROUND(O321,2)*P321</f>
        <v>#DIV/0!</v>
      </c>
      <c r="R321" s="94" t="e">
        <f>P321*dagenperjaar1</f>
        <v>#DIV/0!</v>
      </c>
      <c r="S321" s="27" t="e">
        <f>R321*ROUND(O321,2)</f>
        <v>#DIV/0!</v>
      </c>
    </row>
    <row r="322" spans="1:19" x14ac:dyDescent="0.2">
      <c r="A322" s="91" t="s">
        <v>781</v>
      </c>
      <c r="B322" s="92" t="s">
        <v>842</v>
      </c>
      <c r="C322" s="92" t="s">
        <v>419</v>
      </c>
      <c r="D322" s="92" t="s">
        <v>852</v>
      </c>
      <c r="E322" s="93" t="s">
        <v>392</v>
      </c>
      <c r="F322" s="92" t="s">
        <v>458</v>
      </c>
      <c r="G322" s="92" t="s">
        <v>248</v>
      </c>
      <c r="H322" s="92" t="s">
        <v>14</v>
      </c>
      <c r="I322" s="92" t="s">
        <v>230</v>
      </c>
      <c r="J322" s="93" t="s">
        <v>249</v>
      </c>
      <c r="K322" s="94">
        <v>9.5</v>
      </c>
      <c r="L322" s="94">
        <f>K322*VLOOKUP(H322,dagsoorttabel1,2,FALSE)</f>
        <v>1.9000000000000001</v>
      </c>
      <c r="M322" s="95">
        <f>prodnorm31</f>
        <v>0</v>
      </c>
      <c r="N322" s="92" t="s">
        <v>101</v>
      </c>
      <c r="O322" s="26">
        <f>uurtarief31</f>
        <v>0</v>
      </c>
      <c r="P322" s="94" t="e">
        <f>IF(ISBLANK(M322),0,L322/ROUND(M322,4))</f>
        <v>#DIV/0!</v>
      </c>
      <c r="Q322" s="26" t="e">
        <f>ROUND(O322,2)*P322</f>
        <v>#DIV/0!</v>
      </c>
      <c r="R322" s="94" t="e">
        <f>P322*dagenperjaar1</f>
        <v>#DIV/0!</v>
      </c>
      <c r="S322" s="27" t="e">
        <f>R322*ROUND(O322,2)</f>
        <v>#DIV/0!</v>
      </c>
    </row>
    <row r="323" spans="1:19" x14ac:dyDescent="0.2">
      <c r="A323" s="91" t="s">
        <v>781</v>
      </c>
      <c r="B323" s="92" t="s">
        <v>842</v>
      </c>
      <c r="C323" s="92" t="s">
        <v>419</v>
      </c>
      <c r="D323" s="92" t="s">
        <v>853</v>
      </c>
      <c r="E323" s="93" t="s">
        <v>854</v>
      </c>
      <c r="F323" s="92" t="s">
        <v>342</v>
      </c>
      <c r="G323" s="92" t="s">
        <v>246</v>
      </c>
      <c r="H323" s="92" t="s">
        <v>9</v>
      </c>
      <c r="I323" s="92" t="s">
        <v>230</v>
      </c>
      <c r="J323" s="93" t="s">
        <v>247</v>
      </c>
      <c r="K323" s="94">
        <v>190</v>
      </c>
      <c r="L323" s="94">
        <f>K323*VLOOKUP(H323,dagsoorttabel1,2,FALSE)</f>
        <v>190</v>
      </c>
      <c r="M323" s="95">
        <f>prodnorm29</f>
        <v>0</v>
      </c>
      <c r="N323" s="92" t="s">
        <v>101</v>
      </c>
      <c r="O323" s="26">
        <f>uurtarief29</f>
        <v>0</v>
      </c>
      <c r="P323" s="94" t="e">
        <f>IF(ISBLANK(M323),0,L323/ROUND(M323,4))</f>
        <v>#DIV/0!</v>
      </c>
      <c r="Q323" s="26" t="e">
        <f>ROUND(O323,2)*P323</f>
        <v>#DIV/0!</v>
      </c>
      <c r="R323" s="94" t="e">
        <f>P323*dagenperjaar1</f>
        <v>#DIV/0!</v>
      </c>
      <c r="S323" s="27" t="e">
        <f>R323*ROUND(O323,2)</f>
        <v>#DIV/0!</v>
      </c>
    </row>
    <row r="324" spans="1:19" x14ac:dyDescent="0.2">
      <c r="A324" s="91" t="s">
        <v>781</v>
      </c>
      <c r="B324" s="92" t="s">
        <v>842</v>
      </c>
      <c r="C324" s="92" t="s">
        <v>419</v>
      </c>
      <c r="D324" s="92" t="s">
        <v>855</v>
      </c>
      <c r="E324" s="93" t="s">
        <v>856</v>
      </c>
      <c r="F324" s="92" t="s">
        <v>342</v>
      </c>
      <c r="G324" s="92" t="s">
        <v>256</v>
      </c>
      <c r="H324" s="92" t="s">
        <v>9</v>
      </c>
      <c r="I324" s="92" t="s">
        <v>230</v>
      </c>
      <c r="J324" s="93" t="s">
        <v>257</v>
      </c>
      <c r="K324" s="94">
        <v>11</v>
      </c>
      <c r="L324" s="94">
        <f>K324*VLOOKUP(H324,dagsoorttabel1,2,FALSE)</f>
        <v>11</v>
      </c>
      <c r="M324" s="95">
        <f>prodnorm40</f>
        <v>0</v>
      </c>
      <c r="N324" s="92" t="s">
        <v>101</v>
      </c>
      <c r="O324" s="26">
        <f>uurtarief40</f>
        <v>0</v>
      </c>
      <c r="P324" s="94" t="e">
        <f>IF(ISBLANK(M324),0,L324/ROUND(M324,4))</f>
        <v>#DIV/0!</v>
      </c>
      <c r="Q324" s="26" t="e">
        <f>ROUND(O324,2)*P324</f>
        <v>#DIV/0!</v>
      </c>
      <c r="R324" s="94" t="e">
        <f>P324*dagenperjaar1</f>
        <v>#DIV/0!</v>
      </c>
      <c r="S324" s="27" t="e">
        <f>R324*ROUND(O324,2)</f>
        <v>#DIV/0!</v>
      </c>
    </row>
    <row r="325" spans="1:19" x14ac:dyDescent="0.2">
      <c r="A325" s="91" t="s">
        <v>781</v>
      </c>
      <c r="B325" s="92" t="s">
        <v>842</v>
      </c>
      <c r="C325" s="92" t="s">
        <v>443</v>
      </c>
      <c r="D325" s="92" t="s">
        <v>857</v>
      </c>
      <c r="E325" s="93" t="s">
        <v>858</v>
      </c>
      <c r="F325" s="92" t="s">
        <v>342</v>
      </c>
      <c r="G325" s="92" t="s">
        <v>240</v>
      </c>
      <c r="H325" s="92" t="s">
        <v>9</v>
      </c>
      <c r="I325" s="92" t="s">
        <v>230</v>
      </c>
      <c r="J325" s="93" t="s">
        <v>241</v>
      </c>
      <c r="K325" s="94">
        <v>119</v>
      </c>
      <c r="L325" s="94">
        <f>K325*VLOOKUP(H325,dagsoorttabel1,2,FALSE)</f>
        <v>119</v>
      </c>
      <c r="M325" s="95">
        <f>prodnorm25</f>
        <v>0</v>
      </c>
      <c r="N325" s="92" t="s">
        <v>101</v>
      </c>
      <c r="O325" s="26">
        <f>uurtarief25</f>
        <v>0</v>
      </c>
      <c r="P325" s="94" t="e">
        <f>IF(ISBLANK(M325),0,L325/ROUND(M325,4))</f>
        <v>#DIV/0!</v>
      </c>
      <c r="Q325" s="26" t="e">
        <f>ROUND(O325,2)*P325</f>
        <v>#DIV/0!</v>
      </c>
      <c r="R325" s="94" t="e">
        <f>P325*dagenperjaar1</f>
        <v>#DIV/0!</v>
      </c>
      <c r="S325" s="27" t="e">
        <f>R325*ROUND(O325,2)</f>
        <v>#DIV/0!</v>
      </c>
    </row>
    <row r="326" spans="1:19" x14ac:dyDescent="0.2">
      <c r="A326" s="91" t="s">
        <v>781</v>
      </c>
      <c r="B326" s="92" t="s">
        <v>842</v>
      </c>
      <c r="C326" s="92" t="s">
        <v>443</v>
      </c>
      <c r="D326" s="92" t="s">
        <v>859</v>
      </c>
      <c r="E326" s="93" t="s">
        <v>392</v>
      </c>
      <c r="F326" s="92" t="s">
        <v>458</v>
      </c>
      <c r="G326" s="92" t="s">
        <v>248</v>
      </c>
      <c r="H326" s="92" t="s">
        <v>14</v>
      </c>
      <c r="I326" s="92" t="s">
        <v>230</v>
      </c>
      <c r="J326" s="93" t="s">
        <v>249</v>
      </c>
      <c r="K326" s="94">
        <v>31</v>
      </c>
      <c r="L326" s="94">
        <f>K326*VLOOKUP(H326,dagsoorttabel1,2,FALSE)</f>
        <v>6.2</v>
      </c>
      <c r="M326" s="95">
        <f>prodnorm31</f>
        <v>0</v>
      </c>
      <c r="N326" s="92" t="s">
        <v>101</v>
      </c>
      <c r="O326" s="26">
        <f>uurtarief31</f>
        <v>0</v>
      </c>
      <c r="P326" s="94" t="e">
        <f>IF(ISBLANK(M326),0,L326/ROUND(M326,4))</f>
        <v>#DIV/0!</v>
      </c>
      <c r="Q326" s="26" t="e">
        <f>ROUND(O326,2)*P326</f>
        <v>#DIV/0!</v>
      </c>
      <c r="R326" s="94" t="e">
        <f>P326*dagenperjaar1</f>
        <v>#DIV/0!</v>
      </c>
      <c r="S326" s="27" t="e">
        <f>R326*ROUND(O326,2)</f>
        <v>#DIV/0!</v>
      </c>
    </row>
    <row r="327" spans="1:19" x14ac:dyDescent="0.2">
      <c r="A327" s="91" t="s">
        <v>781</v>
      </c>
      <c r="B327" s="92" t="s">
        <v>842</v>
      </c>
      <c r="C327" s="92" t="s">
        <v>443</v>
      </c>
      <c r="D327" s="92" t="s">
        <v>860</v>
      </c>
      <c r="E327" s="93" t="s">
        <v>861</v>
      </c>
      <c r="F327" s="92" t="s">
        <v>342</v>
      </c>
      <c r="G327" s="92" t="s">
        <v>339</v>
      </c>
      <c r="H327" s="92"/>
      <c r="I327" s="92"/>
      <c r="J327" s="92"/>
      <c r="K327" s="94">
        <v>20</v>
      </c>
      <c r="L327" s="94"/>
      <c r="M327" s="95"/>
      <c r="N327" s="92"/>
      <c r="O327" s="26"/>
      <c r="P327" s="94"/>
      <c r="Q327" s="26"/>
      <c r="R327" s="96"/>
      <c r="S327" s="27"/>
    </row>
    <row r="328" spans="1:19" x14ac:dyDescent="0.2">
      <c r="A328" s="91" t="s">
        <v>781</v>
      </c>
      <c r="B328" s="92" t="s">
        <v>842</v>
      </c>
      <c r="C328" s="92" t="s">
        <v>443</v>
      </c>
      <c r="D328" s="92" t="s">
        <v>862</v>
      </c>
      <c r="E328" s="93" t="s">
        <v>863</v>
      </c>
      <c r="F328" s="92" t="s">
        <v>864</v>
      </c>
      <c r="G328" s="92" t="s">
        <v>256</v>
      </c>
      <c r="H328" s="92" t="s">
        <v>9</v>
      </c>
      <c r="I328" s="92" t="s">
        <v>230</v>
      </c>
      <c r="J328" s="93" t="s">
        <v>257</v>
      </c>
      <c r="K328" s="94">
        <v>3</v>
      </c>
      <c r="L328" s="94">
        <f>K328*VLOOKUP(H328,dagsoorttabel1,2,FALSE)</f>
        <v>3</v>
      </c>
      <c r="M328" s="95">
        <f>prodnorm40</f>
        <v>0</v>
      </c>
      <c r="N328" s="92" t="s">
        <v>101</v>
      </c>
      <c r="O328" s="26">
        <f>uurtarief40</f>
        <v>0</v>
      </c>
      <c r="P328" s="94" t="e">
        <f>IF(ISBLANK(M328),0,L328/ROUND(M328,4))</f>
        <v>#DIV/0!</v>
      </c>
      <c r="Q328" s="26" t="e">
        <f>ROUND(O328,2)*P328</f>
        <v>#DIV/0!</v>
      </c>
      <c r="R328" s="94" t="e">
        <f>P328*dagenperjaar1</f>
        <v>#DIV/0!</v>
      </c>
      <c r="S328" s="27" t="e">
        <f>R328*ROUND(O328,2)</f>
        <v>#DIV/0!</v>
      </c>
    </row>
    <row r="329" spans="1:19" x14ac:dyDescent="0.2">
      <c r="A329" s="91" t="s">
        <v>781</v>
      </c>
      <c r="B329" s="92" t="s">
        <v>842</v>
      </c>
      <c r="C329" s="92" t="s">
        <v>443</v>
      </c>
      <c r="D329" s="92" t="s">
        <v>865</v>
      </c>
      <c r="E329" s="93" t="s">
        <v>866</v>
      </c>
      <c r="F329" s="92" t="s">
        <v>342</v>
      </c>
      <c r="G329" s="92" t="s">
        <v>256</v>
      </c>
      <c r="H329" s="92" t="s">
        <v>9</v>
      </c>
      <c r="I329" s="92" t="s">
        <v>230</v>
      </c>
      <c r="J329" s="93" t="s">
        <v>257</v>
      </c>
      <c r="K329" s="94">
        <v>16</v>
      </c>
      <c r="L329" s="94">
        <f>K329*VLOOKUP(H329,dagsoorttabel1,2,FALSE)</f>
        <v>16</v>
      </c>
      <c r="M329" s="95">
        <f>prodnorm40</f>
        <v>0</v>
      </c>
      <c r="N329" s="92" t="s">
        <v>101</v>
      </c>
      <c r="O329" s="26">
        <f>uurtarief40</f>
        <v>0</v>
      </c>
      <c r="P329" s="94" t="e">
        <f>IF(ISBLANK(M329),0,L329/ROUND(M329,4))</f>
        <v>#DIV/0!</v>
      </c>
      <c r="Q329" s="26" t="e">
        <f>ROUND(O329,2)*P329</f>
        <v>#DIV/0!</v>
      </c>
      <c r="R329" s="94" t="e">
        <f>P329*dagenperjaar1</f>
        <v>#DIV/0!</v>
      </c>
      <c r="S329" s="27" t="e">
        <f>R329*ROUND(O329,2)</f>
        <v>#DIV/0!</v>
      </c>
    </row>
    <row r="330" spans="1:19" x14ac:dyDescent="0.2">
      <c r="A330" s="91" t="s">
        <v>781</v>
      </c>
      <c r="B330" s="92" t="s">
        <v>842</v>
      </c>
      <c r="C330" s="92" t="s">
        <v>443</v>
      </c>
      <c r="D330" s="92" t="s">
        <v>867</v>
      </c>
      <c r="E330" s="93" t="s">
        <v>868</v>
      </c>
      <c r="F330" s="92" t="s">
        <v>342</v>
      </c>
      <c r="G330" s="92" t="s">
        <v>252</v>
      </c>
      <c r="H330" s="92" t="s">
        <v>9</v>
      </c>
      <c r="I330" s="92" t="s">
        <v>230</v>
      </c>
      <c r="J330" s="93" t="s">
        <v>253</v>
      </c>
      <c r="K330" s="94">
        <v>14</v>
      </c>
      <c r="L330" s="94">
        <f>K330*VLOOKUP(H330,dagsoorttabel1,2,FALSE)</f>
        <v>14</v>
      </c>
      <c r="M330" s="95">
        <f>prodnorm36</f>
        <v>0</v>
      </c>
      <c r="N330" s="92" t="s">
        <v>101</v>
      </c>
      <c r="O330" s="26">
        <f>uurtarief36</f>
        <v>0</v>
      </c>
      <c r="P330" s="94" t="e">
        <f>IF(ISBLANK(M330),0,L330/ROUND(M330,4))</f>
        <v>#DIV/0!</v>
      </c>
      <c r="Q330" s="26" t="e">
        <f>ROUND(O330,2)*P330</f>
        <v>#DIV/0!</v>
      </c>
      <c r="R330" s="94" t="e">
        <f>P330*dagenperjaar1</f>
        <v>#DIV/0!</v>
      </c>
      <c r="S330" s="27" t="e">
        <f>R330*ROUND(O330,2)</f>
        <v>#DIV/0!</v>
      </c>
    </row>
    <row r="331" spans="1:19" x14ac:dyDescent="0.2">
      <c r="A331" s="91" t="s">
        <v>781</v>
      </c>
      <c r="B331" s="92" t="s">
        <v>842</v>
      </c>
      <c r="C331" s="92" t="s">
        <v>443</v>
      </c>
      <c r="D331" s="92" t="s">
        <v>867</v>
      </c>
      <c r="E331" s="93" t="s">
        <v>868</v>
      </c>
      <c r="F331" s="92" t="s">
        <v>342</v>
      </c>
      <c r="G331" s="92" t="s">
        <v>254</v>
      </c>
      <c r="H331" s="92" t="s">
        <v>10</v>
      </c>
      <c r="I331" s="92" t="s">
        <v>230</v>
      </c>
      <c r="J331" s="93" t="s">
        <v>255</v>
      </c>
      <c r="K331" s="94">
        <v>14</v>
      </c>
      <c r="L331" s="94">
        <f>K331*VLOOKUP(H331,dagsoorttabel1,2,FALSE)</f>
        <v>11.200000000000001</v>
      </c>
      <c r="M331" s="95">
        <f>prodnorm37</f>
        <v>0</v>
      </c>
      <c r="N331" s="92" t="s">
        <v>101</v>
      </c>
      <c r="O331" s="26">
        <f>uurtarief37</f>
        <v>0</v>
      </c>
      <c r="P331" s="94" t="e">
        <f>IF(ISBLANK(M331),0,L331/ROUND(M331,4))</f>
        <v>#DIV/0!</v>
      </c>
      <c r="Q331" s="26" t="e">
        <f>ROUND(O331,2)*P331</f>
        <v>#DIV/0!</v>
      </c>
      <c r="R331" s="94" t="e">
        <f>P331*dagenperjaar1</f>
        <v>#DIV/0!</v>
      </c>
      <c r="S331" s="27" t="e">
        <f>R331*ROUND(O331,2)</f>
        <v>#DIV/0!</v>
      </c>
    </row>
    <row r="332" spans="1:19" x14ac:dyDescent="0.2">
      <c r="A332" s="97" t="s">
        <v>781</v>
      </c>
      <c r="B332" s="98" t="s">
        <v>869</v>
      </c>
      <c r="C332" s="98" t="s">
        <v>393</v>
      </c>
      <c r="D332" s="98" t="s">
        <v>870</v>
      </c>
      <c r="E332" s="99" t="s">
        <v>829</v>
      </c>
      <c r="F332" s="98" t="s">
        <v>349</v>
      </c>
      <c r="G332" s="98" t="s">
        <v>252</v>
      </c>
      <c r="H332" s="98" t="s">
        <v>9</v>
      </c>
      <c r="I332" s="98" t="s">
        <v>230</v>
      </c>
      <c r="J332" s="99" t="s">
        <v>253</v>
      </c>
      <c r="K332" s="100">
        <v>4</v>
      </c>
      <c r="L332" s="100">
        <f>K332*VLOOKUP(H332,dagsoorttabel1,2,FALSE)</f>
        <v>4</v>
      </c>
      <c r="M332" s="101">
        <f>prodnorm36</f>
        <v>0</v>
      </c>
      <c r="N332" s="98" t="s">
        <v>101</v>
      </c>
      <c r="O332" s="36">
        <f>uurtarief36</f>
        <v>0</v>
      </c>
      <c r="P332" s="100" t="e">
        <f>IF(ISBLANK(M332),0,L332/ROUND(M332,4))</f>
        <v>#DIV/0!</v>
      </c>
      <c r="Q332" s="36" t="e">
        <f>ROUND(O332,2)*P332</f>
        <v>#DIV/0!</v>
      </c>
      <c r="R332" s="100" t="e">
        <f>P332*dagenperjaar1</f>
        <v>#DIV/0!</v>
      </c>
      <c r="S332" s="37" t="e">
        <f>R332*ROUND(O332,2)</f>
        <v>#DIV/0!</v>
      </c>
    </row>
    <row r="333" spans="1:19" x14ac:dyDescent="0.2">
      <c r="A333" s="103" t="s">
        <v>604</v>
      </c>
      <c r="B333" s="74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6" t="e">
        <f>IF(_xlfn.SINGLE(object3_urenjaar1)&gt;0,_xlfn.SINGLE(object3_prijsjaar1)/_xlfn.SINGLE(object3_urenjaar1),0)</f>
        <v>#DIV/0!</v>
      </c>
      <c r="P333" s="75" t="e">
        <f>SUM(P274:P332)</f>
        <v>#DIV/0!</v>
      </c>
      <c r="Q333" s="76" t="e">
        <f>SUM(Q274:Q332)</f>
        <v>#DIV/0!</v>
      </c>
      <c r="R333" s="75" t="e">
        <f>SUM(R274:R332)</f>
        <v>#DIV/0!</v>
      </c>
      <c r="S333" s="77" t="e">
        <f>SUM(S274:S332)</f>
        <v>#DIV/0!</v>
      </c>
    </row>
    <row r="334" spans="1:19" x14ac:dyDescent="0.2">
      <c r="A334" s="82" t="s">
        <v>871</v>
      </c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72"/>
    </row>
    <row r="335" spans="1:19" x14ac:dyDescent="0.2">
      <c r="A335" s="83" t="s">
        <v>872</v>
      </c>
      <c r="B335" s="84" t="s">
        <v>873</v>
      </c>
      <c r="C335" s="84" t="s">
        <v>335</v>
      </c>
      <c r="D335" s="84" t="s">
        <v>874</v>
      </c>
      <c r="E335" s="85" t="s">
        <v>875</v>
      </c>
      <c r="F335" s="84" t="s">
        <v>338</v>
      </c>
      <c r="G335" s="84" t="s">
        <v>339</v>
      </c>
      <c r="H335" s="84"/>
      <c r="I335" s="84"/>
      <c r="J335" s="84"/>
      <c r="K335" s="86">
        <v>3</v>
      </c>
      <c r="L335" s="86"/>
      <c r="M335" s="87"/>
      <c r="N335" s="84"/>
      <c r="O335" s="88"/>
      <c r="P335" s="86"/>
      <c r="Q335" s="88"/>
      <c r="R335" s="89"/>
      <c r="S335" s="90"/>
    </row>
    <row r="336" spans="1:19" x14ac:dyDescent="0.2">
      <c r="A336" s="91" t="s">
        <v>872</v>
      </c>
      <c r="B336" s="92" t="s">
        <v>873</v>
      </c>
      <c r="C336" s="92" t="s">
        <v>335</v>
      </c>
      <c r="D336" s="92" t="s">
        <v>876</v>
      </c>
      <c r="E336" s="93" t="s">
        <v>877</v>
      </c>
      <c r="F336" s="92" t="s">
        <v>342</v>
      </c>
      <c r="G336" s="92" t="s">
        <v>339</v>
      </c>
      <c r="H336" s="92"/>
      <c r="I336" s="92"/>
      <c r="J336" s="92"/>
      <c r="K336" s="94">
        <v>65</v>
      </c>
      <c r="L336" s="94"/>
      <c r="M336" s="95"/>
      <c r="N336" s="92"/>
      <c r="O336" s="26"/>
      <c r="P336" s="94"/>
      <c r="Q336" s="26"/>
      <c r="R336" s="96"/>
      <c r="S336" s="27"/>
    </row>
    <row r="337" spans="1:19" ht="25.5" x14ac:dyDescent="0.2">
      <c r="A337" s="91" t="s">
        <v>872</v>
      </c>
      <c r="B337" s="92" t="s">
        <v>873</v>
      </c>
      <c r="C337" s="92" t="s">
        <v>335</v>
      </c>
      <c r="D337" s="92" t="s">
        <v>878</v>
      </c>
      <c r="E337" s="93" t="s">
        <v>879</v>
      </c>
      <c r="F337" s="92" t="s">
        <v>342</v>
      </c>
      <c r="G337" s="92" t="s">
        <v>339</v>
      </c>
      <c r="H337" s="92"/>
      <c r="I337" s="92"/>
      <c r="J337" s="92"/>
      <c r="K337" s="94">
        <v>20</v>
      </c>
      <c r="L337" s="94"/>
      <c r="M337" s="95"/>
      <c r="N337" s="92"/>
      <c r="O337" s="26"/>
      <c r="P337" s="94"/>
      <c r="Q337" s="26"/>
      <c r="R337" s="96"/>
      <c r="S337" s="27"/>
    </row>
    <row r="338" spans="1:19" x14ac:dyDescent="0.2">
      <c r="A338" s="91" t="s">
        <v>872</v>
      </c>
      <c r="B338" s="92" t="s">
        <v>873</v>
      </c>
      <c r="C338" s="92" t="s">
        <v>335</v>
      </c>
      <c r="D338" s="92" t="s">
        <v>878</v>
      </c>
      <c r="E338" s="93" t="s">
        <v>477</v>
      </c>
      <c r="F338" s="92" t="s">
        <v>342</v>
      </c>
      <c r="G338" s="92" t="s">
        <v>339</v>
      </c>
      <c r="H338" s="92"/>
      <c r="I338" s="92"/>
      <c r="J338" s="92"/>
      <c r="K338" s="94">
        <v>9</v>
      </c>
      <c r="L338" s="94"/>
      <c r="M338" s="95"/>
      <c r="N338" s="92"/>
      <c r="O338" s="26"/>
      <c r="P338" s="94"/>
      <c r="Q338" s="26"/>
      <c r="R338" s="96"/>
      <c r="S338" s="27"/>
    </row>
    <row r="339" spans="1:19" x14ac:dyDescent="0.2">
      <c r="A339" s="91" t="s">
        <v>872</v>
      </c>
      <c r="B339" s="92" t="s">
        <v>873</v>
      </c>
      <c r="C339" s="92" t="s">
        <v>335</v>
      </c>
      <c r="D339" s="92" t="s">
        <v>880</v>
      </c>
      <c r="E339" s="93" t="s">
        <v>881</v>
      </c>
      <c r="F339" s="92" t="s">
        <v>338</v>
      </c>
      <c r="G339" s="92" t="s">
        <v>339</v>
      </c>
      <c r="H339" s="92"/>
      <c r="I339" s="92"/>
      <c r="J339" s="92"/>
      <c r="K339" s="94">
        <v>9</v>
      </c>
      <c r="L339" s="94"/>
      <c r="M339" s="95"/>
      <c r="N339" s="92"/>
      <c r="O339" s="26"/>
      <c r="P339" s="94"/>
      <c r="Q339" s="26"/>
      <c r="R339" s="96"/>
      <c r="S339" s="27"/>
    </row>
    <row r="340" spans="1:19" x14ac:dyDescent="0.2">
      <c r="A340" s="91" t="s">
        <v>872</v>
      </c>
      <c r="B340" s="92" t="s">
        <v>873</v>
      </c>
      <c r="C340" s="92" t="s">
        <v>335</v>
      </c>
      <c r="D340" s="92" t="s">
        <v>882</v>
      </c>
      <c r="E340" s="93" t="s">
        <v>384</v>
      </c>
      <c r="F340" s="92" t="s">
        <v>349</v>
      </c>
      <c r="G340" s="92" t="s">
        <v>339</v>
      </c>
      <c r="H340" s="92"/>
      <c r="I340" s="92"/>
      <c r="J340" s="92"/>
      <c r="K340" s="94">
        <v>6</v>
      </c>
      <c r="L340" s="94"/>
      <c r="M340" s="95"/>
      <c r="N340" s="92"/>
      <c r="O340" s="26"/>
      <c r="P340" s="94"/>
      <c r="Q340" s="26"/>
      <c r="R340" s="96"/>
      <c r="S340" s="27"/>
    </row>
    <row r="341" spans="1:19" x14ac:dyDescent="0.2">
      <c r="A341" s="91" t="s">
        <v>872</v>
      </c>
      <c r="B341" s="92" t="s">
        <v>873</v>
      </c>
      <c r="C341" s="92" t="s">
        <v>335</v>
      </c>
      <c r="D341" s="92" t="s">
        <v>883</v>
      </c>
      <c r="E341" s="93" t="s">
        <v>884</v>
      </c>
      <c r="F341" s="92" t="s">
        <v>349</v>
      </c>
      <c r="G341" s="92" t="s">
        <v>339</v>
      </c>
      <c r="H341" s="92"/>
      <c r="I341" s="92"/>
      <c r="J341" s="92"/>
      <c r="K341" s="94">
        <v>4</v>
      </c>
      <c r="L341" s="94"/>
      <c r="M341" s="95"/>
      <c r="N341" s="92"/>
      <c r="O341" s="26"/>
      <c r="P341" s="94"/>
      <c r="Q341" s="26"/>
      <c r="R341" s="96"/>
      <c r="S341" s="27"/>
    </row>
    <row r="342" spans="1:19" x14ac:dyDescent="0.2">
      <c r="A342" s="91" t="s">
        <v>872</v>
      </c>
      <c r="B342" s="92" t="s">
        <v>873</v>
      </c>
      <c r="C342" s="92" t="s">
        <v>335</v>
      </c>
      <c r="D342" s="92" t="s">
        <v>885</v>
      </c>
      <c r="E342" s="93" t="s">
        <v>635</v>
      </c>
      <c r="F342" s="92" t="s">
        <v>349</v>
      </c>
      <c r="G342" s="92" t="s">
        <v>252</v>
      </c>
      <c r="H342" s="92" t="s">
        <v>9</v>
      </c>
      <c r="I342" s="92" t="s">
        <v>230</v>
      </c>
      <c r="J342" s="93" t="s">
        <v>253</v>
      </c>
      <c r="K342" s="94">
        <v>1.2</v>
      </c>
      <c r="L342" s="94">
        <f>K342*VLOOKUP(H342,dagsoorttabel1,2,FALSE)</f>
        <v>1.2</v>
      </c>
      <c r="M342" s="95">
        <f>prodnorm36</f>
        <v>0</v>
      </c>
      <c r="N342" s="92" t="s">
        <v>101</v>
      </c>
      <c r="O342" s="26">
        <f>uurtarief36</f>
        <v>0</v>
      </c>
      <c r="P342" s="94" t="e">
        <f>IF(ISBLANK(M342),0,L342/ROUND(M342,4))</f>
        <v>#DIV/0!</v>
      </c>
      <c r="Q342" s="26" t="e">
        <f>ROUND(O342,2)*P342</f>
        <v>#DIV/0!</v>
      </c>
      <c r="R342" s="94" t="e">
        <f>P342*dagenperjaar1</f>
        <v>#DIV/0!</v>
      </c>
      <c r="S342" s="27" t="e">
        <f>R342*ROUND(O342,2)</f>
        <v>#DIV/0!</v>
      </c>
    </row>
    <row r="343" spans="1:19" x14ac:dyDescent="0.2">
      <c r="A343" s="91" t="s">
        <v>872</v>
      </c>
      <c r="B343" s="92" t="s">
        <v>873</v>
      </c>
      <c r="C343" s="92" t="s">
        <v>335</v>
      </c>
      <c r="D343" s="92" t="s">
        <v>885</v>
      </c>
      <c r="E343" s="93" t="s">
        <v>635</v>
      </c>
      <c r="F343" s="92" t="s">
        <v>349</v>
      </c>
      <c r="G343" s="92" t="s">
        <v>254</v>
      </c>
      <c r="H343" s="92" t="s">
        <v>10</v>
      </c>
      <c r="I343" s="92" t="s">
        <v>230</v>
      </c>
      <c r="J343" s="93" t="s">
        <v>255</v>
      </c>
      <c r="K343" s="94">
        <v>1.2</v>
      </c>
      <c r="L343" s="94">
        <f>K343*VLOOKUP(H343,dagsoorttabel1,2,FALSE)</f>
        <v>0.96</v>
      </c>
      <c r="M343" s="95">
        <f>prodnorm37</f>
        <v>0</v>
      </c>
      <c r="N343" s="92" t="s">
        <v>101</v>
      </c>
      <c r="O343" s="26">
        <f>uurtarief37</f>
        <v>0</v>
      </c>
      <c r="P343" s="94" t="e">
        <f>IF(ISBLANK(M343),0,L343/ROUND(M343,4))</f>
        <v>#DIV/0!</v>
      </c>
      <c r="Q343" s="26" t="e">
        <f>ROUND(O343,2)*P343</f>
        <v>#DIV/0!</v>
      </c>
      <c r="R343" s="94" t="e">
        <f>P343*dagenperjaar1</f>
        <v>#DIV/0!</v>
      </c>
      <c r="S343" s="27" t="e">
        <f>R343*ROUND(O343,2)</f>
        <v>#DIV/0!</v>
      </c>
    </row>
    <row r="344" spans="1:19" x14ac:dyDescent="0.2">
      <c r="A344" s="91" t="s">
        <v>872</v>
      </c>
      <c r="B344" s="92" t="s">
        <v>873</v>
      </c>
      <c r="C344" s="92" t="s">
        <v>335</v>
      </c>
      <c r="D344" s="92" t="s">
        <v>886</v>
      </c>
      <c r="E344" s="93" t="s">
        <v>635</v>
      </c>
      <c r="F344" s="92" t="s">
        <v>349</v>
      </c>
      <c r="G344" s="92" t="s">
        <v>252</v>
      </c>
      <c r="H344" s="92" t="s">
        <v>9</v>
      </c>
      <c r="I344" s="92" t="s">
        <v>230</v>
      </c>
      <c r="J344" s="93" t="s">
        <v>253</v>
      </c>
      <c r="K344" s="94">
        <v>1.1000000000000001</v>
      </c>
      <c r="L344" s="94">
        <f>K344*VLOOKUP(H344,dagsoorttabel1,2,FALSE)</f>
        <v>1.1000000000000001</v>
      </c>
      <c r="M344" s="95">
        <f>prodnorm36</f>
        <v>0</v>
      </c>
      <c r="N344" s="92" t="s">
        <v>101</v>
      </c>
      <c r="O344" s="26">
        <f>uurtarief36</f>
        <v>0</v>
      </c>
      <c r="P344" s="94" t="e">
        <f>IF(ISBLANK(M344),0,L344/ROUND(M344,4))</f>
        <v>#DIV/0!</v>
      </c>
      <c r="Q344" s="26" t="e">
        <f>ROUND(O344,2)*P344</f>
        <v>#DIV/0!</v>
      </c>
      <c r="R344" s="94" t="e">
        <f>P344*dagenperjaar1</f>
        <v>#DIV/0!</v>
      </c>
      <c r="S344" s="27" t="e">
        <f>R344*ROUND(O344,2)</f>
        <v>#DIV/0!</v>
      </c>
    </row>
    <row r="345" spans="1:19" x14ac:dyDescent="0.2">
      <c r="A345" s="91" t="s">
        <v>872</v>
      </c>
      <c r="B345" s="92" t="s">
        <v>873</v>
      </c>
      <c r="C345" s="92" t="s">
        <v>335</v>
      </c>
      <c r="D345" s="92" t="s">
        <v>886</v>
      </c>
      <c r="E345" s="93" t="s">
        <v>635</v>
      </c>
      <c r="F345" s="92" t="s">
        <v>349</v>
      </c>
      <c r="G345" s="92" t="s">
        <v>254</v>
      </c>
      <c r="H345" s="92" t="s">
        <v>10</v>
      </c>
      <c r="I345" s="92" t="s">
        <v>230</v>
      </c>
      <c r="J345" s="93" t="s">
        <v>255</v>
      </c>
      <c r="K345" s="94">
        <v>1.1000000000000001</v>
      </c>
      <c r="L345" s="94">
        <f>K345*VLOOKUP(H345,dagsoorttabel1,2,FALSE)</f>
        <v>0.88000000000000012</v>
      </c>
      <c r="M345" s="95">
        <f>prodnorm37</f>
        <v>0</v>
      </c>
      <c r="N345" s="92" t="s">
        <v>101</v>
      </c>
      <c r="O345" s="26">
        <f>uurtarief37</f>
        <v>0</v>
      </c>
      <c r="P345" s="94" t="e">
        <f>IF(ISBLANK(M345),0,L345/ROUND(M345,4))</f>
        <v>#DIV/0!</v>
      </c>
      <c r="Q345" s="26" t="e">
        <f>ROUND(O345,2)*P345</f>
        <v>#DIV/0!</v>
      </c>
      <c r="R345" s="94" t="e">
        <f>P345*dagenperjaar1</f>
        <v>#DIV/0!</v>
      </c>
      <c r="S345" s="27" t="e">
        <f>R345*ROUND(O345,2)</f>
        <v>#DIV/0!</v>
      </c>
    </row>
    <row r="346" spans="1:19" x14ac:dyDescent="0.2">
      <c r="A346" s="91" t="s">
        <v>872</v>
      </c>
      <c r="B346" s="92" t="s">
        <v>873</v>
      </c>
      <c r="C346" s="92" t="s">
        <v>335</v>
      </c>
      <c r="D346" s="92" t="s">
        <v>887</v>
      </c>
      <c r="E346" s="93" t="s">
        <v>560</v>
      </c>
      <c r="F346" s="92" t="s">
        <v>349</v>
      </c>
      <c r="G346" s="92" t="s">
        <v>252</v>
      </c>
      <c r="H346" s="92" t="s">
        <v>9</v>
      </c>
      <c r="I346" s="92" t="s">
        <v>230</v>
      </c>
      <c r="J346" s="93" t="s">
        <v>253</v>
      </c>
      <c r="K346" s="94">
        <v>4.4000000000000004</v>
      </c>
      <c r="L346" s="94">
        <f>K346*VLOOKUP(H346,dagsoorttabel1,2,FALSE)</f>
        <v>4.4000000000000004</v>
      </c>
      <c r="M346" s="95">
        <f>prodnorm36</f>
        <v>0</v>
      </c>
      <c r="N346" s="92" t="s">
        <v>101</v>
      </c>
      <c r="O346" s="26">
        <f>uurtarief36</f>
        <v>0</v>
      </c>
      <c r="P346" s="94" t="e">
        <f>IF(ISBLANK(M346),0,L346/ROUND(M346,4))</f>
        <v>#DIV/0!</v>
      </c>
      <c r="Q346" s="26" t="e">
        <f>ROUND(O346,2)*P346</f>
        <v>#DIV/0!</v>
      </c>
      <c r="R346" s="94" t="e">
        <f>P346*dagenperjaar1</f>
        <v>#DIV/0!</v>
      </c>
      <c r="S346" s="27" t="e">
        <f>R346*ROUND(O346,2)</f>
        <v>#DIV/0!</v>
      </c>
    </row>
    <row r="347" spans="1:19" x14ac:dyDescent="0.2">
      <c r="A347" s="91" t="s">
        <v>872</v>
      </c>
      <c r="B347" s="92" t="s">
        <v>873</v>
      </c>
      <c r="C347" s="92" t="s">
        <v>335</v>
      </c>
      <c r="D347" s="92" t="s">
        <v>887</v>
      </c>
      <c r="E347" s="93" t="s">
        <v>560</v>
      </c>
      <c r="F347" s="92" t="s">
        <v>349</v>
      </c>
      <c r="G347" s="92" t="s">
        <v>254</v>
      </c>
      <c r="H347" s="92" t="s">
        <v>10</v>
      </c>
      <c r="I347" s="92" t="s">
        <v>230</v>
      </c>
      <c r="J347" s="93" t="s">
        <v>255</v>
      </c>
      <c r="K347" s="94">
        <v>4.4000000000000004</v>
      </c>
      <c r="L347" s="94">
        <f>K347*VLOOKUP(H347,dagsoorttabel1,2,FALSE)</f>
        <v>3.5200000000000005</v>
      </c>
      <c r="M347" s="95">
        <f>prodnorm37</f>
        <v>0</v>
      </c>
      <c r="N347" s="92" t="s">
        <v>101</v>
      </c>
      <c r="O347" s="26">
        <f>uurtarief37</f>
        <v>0</v>
      </c>
      <c r="P347" s="94" t="e">
        <f>IF(ISBLANK(M347),0,L347/ROUND(M347,4))</f>
        <v>#DIV/0!</v>
      </c>
      <c r="Q347" s="26" t="e">
        <f>ROUND(O347,2)*P347</f>
        <v>#DIV/0!</v>
      </c>
      <c r="R347" s="94" t="e">
        <f>P347*dagenperjaar1</f>
        <v>#DIV/0!</v>
      </c>
      <c r="S347" s="27" t="e">
        <f>R347*ROUND(O347,2)</f>
        <v>#DIV/0!</v>
      </c>
    </row>
    <row r="348" spans="1:19" x14ac:dyDescent="0.2">
      <c r="A348" s="91" t="s">
        <v>872</v>
      </c>
      <c r="B348" s="92" t="s">
        <v>873</v>
      </c>
      <c r="C348" s="92" t="s">
        <v>335</v>
      </c>
      <c r="D348" s="92" t="s">
        <v>888</v>
      </c>
      <c r="E348" s="93" t="s">
        <v>727</v>
      </c>
      <c r="F348" s="92" t="s">
        <v>349</v>
      </c>
      <c r="G348" s="92" t="s">
        <v>252</v>
      </c>
      <c r="H348" s="92" t="s">
        <v>9</v>
      </c>
      <c r="I348" s="92" t="s">
        <v>230</v>
      </c>
      <c r="J348" s="93" t="s">
        <v>253</v>
      </c>
      <c r="K348" s="94">
        <v>1.2</v>
      </c>
      <c r="L348" s="94">
        <f>K348*VLOOKUP(H348,dagsoorttabel1,2,FALSE)</f>
        <v>1.2</v>
      </c>
      <c r="M348" s="95">
        <f>prodnorm36</f>
        <v>0</v>
      </c>
      <c r="N348" s="92" t="s">
        <v>101</v>
      </c>
      <c r="O348" s="26">
        <f>uurtarief36</f>
        <v>0</v>
      </c>
      <c r="P348" s="94" t="e">
        <f>IF(ISBLANK(M348),0,L348/ROUND(M348,4))</f>
        <v>#DIV/0!</v>
      </c>
      <c r="Q348" s="26" t="e">
        <f>ROUND(O348,2)*P348</f>
        <v>#DIV/0!</v>
      </c>
      <c r="R348" s="94" t="e">
        <f>P348*dagenperjaar1</f>
        <v>#DIV/0!</v>
      </c>
      <c r="S348" s="27" t="e">
        <f>R348*ROUND(O348,2)</f>
        <v>#DIV/0!</v>
      </c>
    </row>
    <row r="349" spans="1:19" x14ac:dyDescent="0.2">
      <c r="A349" s="91" t="s">
        <v>872</v>
      </c>
      <c r="B349" s="92" t="s">
        <v>873</v>
      </c>
      <c r="C349" s="92" t="s">
        <v>335</v>
      </c>
      <c r="D349" s="92" t="s">
        <v>888</v>
      </c>
      <c r="E349" s="93" t="s">
        <v>727</v>
      </c>
      <c r="F349" s="92" t="s">
        <v>349</v>
      </c>
      <c r="G349" s="92" t="s">
        <v>254</v>
      </c>
      <c r="H349" s="92" t="s">
        <v>10</v>
      </c>
      <c r="I349" s="92" t="s">
        <v>230</v>
      </c>
      <c r="J349" s="93" t="s">
        <v>255</v>
      </c>
      <c r="K349" s="94">
        <v>1.2</v>
      </c>
      <c r="L349" s="94">
        <f>K349*VLOOKUP(H349,dagsoorttabel1,2,FALSE)</f>
        <v>0.96</v>
      </c>
      <c r="M349" s="95">
        <f>prodnorm37</f>
        <v>0</v>
      </c>
      <c r="N349" s="92" t="s">
        <v>101</v>
      </c>
      <c r="O349" s="26">
        <f>uurtarief37</f>
        <v>0</v>
      </c>
      <c r="P349" s="94" t="e">
        <f>IF(ISBLANK(M349),0,L349/ROUND(M349,4))</f>
        <v>#DIV/0!</v>
      </c>
      <c r="Q349" s="26" t="e">
        <f>ROUND(O349,2)*P349</f>
        <v>#DIV/0!</v>
      </c>
      <c r="R349" s="94" t="e">
        <f>P349*dagenperjaar1</f>
        <v>#DIV/0!</v>
      </c>
      <c r="S349" s="27" t="e">
        <f>R349*ROUND(O349,2)</f>
        <v>#DIV/0!</v>
      </c>
    </row>
    <row r="350" spans="1:19" x14ac:dyDescent="0.2">
      <c r="A350" s="91" t="s">
        <v>872</v>
      </c>
      <c r="B350" s="92" t="s">
        <v>873</v>
      </c>
      <c r="C350" s="92" t="s">
        <v>335</v>
      </c>
      <c r="D350" s="92" t="s">
        <v>889</v>
      </c>
      <c r="E350" s="93" t="s">
        <v>727</v>
      </c>
      <c r="F350" s="92" t="s">
        <v>349</v>
      </c>
      <c r="G350" s="92" t="s">
        <v>252</v>
      </c>
      <c r="H350" s="92" t="s">
        <v>9</v>
      </c>
      <c r="I350" s="92" t="s">
        <v>230</v>
      </c>
      <c r="J350" s="93" t="s">
        <v>253</v>
      </c>
      <c r="K350" s="94">
        <v>1.2</v>
      </c>
      <c r="L350" s="94">
        <f>K350*VLOOKUP(H350,dagsoorttabel1,2,FALSE)</f>
        <v>1.2</v>
      </c>
      <c r="M350" s="95">
        <f>prodnorm36</f>
        <v>0</v>
      </c>
      <c r="N350" s="92" t="s">
        <v>101</v>
      </c>
      <c r="O350" s="26">
        <f>uurtarief36</f>
        <v>0</v>
      </c>
      <c r="P350" s="94" t="e">
        <f>IF(ISBLANK(M350),0,L350/ROUND(M350,4))</f>
        <v>#DIV/0!</v>
      </c>
      <c r="Q350" s="26" t="e">
        <f>ROUND(O350,2)*P350</f>
        <v>#DIV/0!</v>
      </c>
      <c r="R350" s="94" t="e">
        <f>P350*dagenperjaar1</f>
        <v>#DIV/0!</v>
      </c>
      <c r="S350" s="27" t="e">
        <f>R350*ROUND(O350,2)</f>
        <v>#DIV/0!</v>
      </c>
    </row>
    <row r="351" spans="1:19" x14ac:dyDescent="0.2">
      <c r="A351" s="91" t="s">
        <v>872</v>
      </c>
      <c r="B351" s="92" t="s">
        <v>873</v>
      </c>
      <c r="C351" s="92" t="s">
        <v>335</v>
      </c>
      <c r="D351" s="92" t="s">
        <v>889</v>
      </c>
      <c r="E351" s="93" t="s">
        <v>727</v>
      </c>
      <c r="F351" s="92" t="s">
        <v>349</v>
      </c>
      <c r="G351" s="92" t="s">
        <v>254</v>
      </c>
      <c r="H351" s="92" t="s">
        <v>10</v>
      </c>
      <c r="I351" s="92" t="s">
        <v>230</v>
      </c>
      <c r="J351" s="93" t="s">
        <v>255</v>
      </c>
      <c r="K351" s="94">
        <v>1.2</v>
      </c>
      <c r="L351" s="94">
        <f>K351*VLOOKUP(H351,dagsoorttabel1,2,FALSE)</f>
        <v>0.96</v>
      </c>
      <c r="M351" s="95">
        <f>prodnorm37</f>
        <v>0</v>
      </c>
      <c r="N351" s="92" t="s">
        <v>101</v>
      </c>
      <c r="O351" s="26">
        <f>uurtarief37</f>
        <v>0</v>
      </c>
      <c r="P351" s="94" t="e">
        <f>IF(ISBLANK(M351),0,L351/ROUND(M351,4))</f>
        <v>#DIV/0!</v>
      </c>
      <c r="Q351" s="26" t="e">
        <f>ROUND(O351,2)*P351</f>
        <v>#DIV/0!</v>
      </c>
      <c r="R351" s="94" t="e">
        <f>P351*dagenperjaar1</f>
        <v>#DIV/0!</v>
      </c>
      <c r="S351" s="27" t="e">
        <f>R351*ROUND(O351,2)</f>
        <v>#DIV/0!</v>
      </c>
    </row>
    <row r="352" spans="1:19" x14ac:dyDescent="0.2">
      <c r="A352" s="91" t="s">
        <v>872</v>
      </c>
      <c r="B352" s="92" t="s">
        <v>873</v>
      </c>
      <c r="C352" s="92" t="s">
        <v>335</v>
      </c>
      <c r="D352" s="92" t="s">
        <v>890</v>
      </c>
      <c r="E352" s="93" t="s">
        <v>891</v>
      </c>
      <c r="F352" s="92" t="s">
        <v>349</v>
      </c>
      <c r="G352" s="92" t="s">
        <v>252</v>
      </c>
      <c r="H352" s="92" t="s">
        <v>9</v>
      </c>
      <c r="I352" s="92" t="s">
        <v>230</v>
      </c>
      <c r="J352" s="93" t="s">
        <v>253</v>
      </c>
      <c r="K352" s="94">
        <v>5.4</v>
      </c>
      <c r="L352" s="94">
        <f>K352*VLOOKUP(H352,dagsoorttabel1,2,FALSE)</f>
        <v>5.4</v>
      </c>
      <c r="M352" s="95">
        <f>prodnorm36</f>
        <v>0</v>
      </c>
      <c r="N352" s="92" t="s">
        <v>101</v>
      </c>
      <c r="O352" s="26">
        <f>uurtarief36</f>
        <v>0</v>
      </c>
      <c r="P352" s="94" t="e">
        <f>IF(ISBLANK(M352),0,L352/ROUND(M352,4))</f>
        <v>#DIV/0!</v>
      </c>
      <c r="Q352" s="26" t="e">
        <f>ROUND(O352,2)*P352</f>
        <v>#DIV/0!</v>
      </c>
      <c r="R352" s="94" t="e">
        <f>P352*dagenperjaar1</f>
        <v>#DIV/0!</v>
      </c>
      <c r="S352" s="27" t="e">
        <f>R352*ROUND(O352,2)</f>
        <v>#DIV/0!</v>
      </c>
    </row>
    <row r="353" spans="1:19" x14ac:dyDescent="0.2">
      <c r="A353" s="91" t="s">
        <v>872</v>
      </c>
      <c r="B353" s="92" t="s">
        <v>873</v>
      </c>
      <c r="C353" s="92" t="s">
        <v>335</v>
      </c>
      <c r="D353" s="92" t="s">
        <v>890</v>
      </c>
      <c r="E353" s="93" t="s">
        <v>891</v>
      </c>
      <c r="F353" s="92" t="s">
        <v>349</v>
      </c>
      <c r="G353" s="92" t="s">
        <v>254</v>
      </c>
      <c r="H353" s="92" t="s">
        <v>10</v>
      </c>
      <c r="I353" s="92" t="s">
        <v>230</v>
      </c>
      <c r="J353" s="93" t="s">
        <v>255</v>
      </c>
      <c r="K353" s="94">
        <v>5.4</v>
      </c>
      <c r="L353" s="94">
        <f>K353*VLOOKUP(H353,dagsoorttabel1,2,FALSE)</f>
        <v>4.32</v>
      </c>
      <c r="M353" s="95">
        <f>prodnorm37</f>
        <v>0</v>
      </c>
      <c r="N353" s="92" t="s">
        <v>101</v>
      </c>
      <c r="O353" s="26">
        <f>uurtarief37</f>
        <v>0</v>
      </c>
      <c r="P353" s="94" t="e">
        <f>IF(ISBLANK(M353),0,L353/ROUND(M353,4))</f>
        <v>#DIV/0!</v>
      </c>
      <c r="Q353" s="26" t="e">
        <f>ROUND(O353,2)*P353</f>
        <v>#DIV/0!</v>
      </c>
      <c r="R353" s="94" t="e">
        <f>P353*dagenperjaar1</f>
        <v>#DIV/0!</v>
      </c>
      <c r="S353" s="27" t="e">
        <f>R353*ROUND(O353,2)</f>
        <v>#DIV/0!</v>
      </c>
    </row>
    <row r="354" spans="1:19" x14ac:dyDescent="0.2">
      <c r="A354" s="91" t="s">
        <v>872</v>
      </c>
      <c r="B354" s="92" t="s">
        <v>873</v>
      </c>
      <c r="C354" s="92" t="s">
        <v>335</v>
      </c>
      <c r="D354" s="92" t="s">
        <v>892</v>
      </c>
      <c r="E354" s="93" t="s">
        <v>893</v>
      </c>
      <c r="F354" s="92" t="s">
        <v>338</v>
      </c>
      <c r="G354" s="92" t="s">
        <v>339</v>
      </c>
      <c r="H354" s="92"/>
      <c r="I354" s="92"/>
      <c r="J354" s="92"/>
      <c r="K354" s="94">
        <v>38</v>
      </c>
      <c r="L354" s="94"/>
      <c r="M354" s="95"/>
      <c r="N354" s="92"/>
      <c r="O354" s="26"/>
      <c r="P354" s="94"/>
      <c r="Q354" s="26"/>
      <c r="R354" s="96"/>
      <c r="S354" s="27"/>
    </row>
    <row r="355" spans="1:19" x14ac:dyDescent="0.2">
      <c r="A355" s="91" t="s">
        <v>872</v>
      </c>
      <c r="B355" s="92" t="s">
        <v>873</v>
      </c>
      <c r="C355" s="92" t="s">
        <v>335</v>
      </c>
      <c r="D355" s="92" t="s">
        <v>894</v>
      </c>
      <c r="E355" s="93" t="s">
        <v>895</v>
      </c>
      <c r="F355" s="92" t="s">
        <v>338</v>
      </c>
      <c r="G355" s="92" t="s">
        <v>339</v>
      </c>
      <c r="H355" s="92"/>
      <c r="I355" s="92"/>
      <c r="J355" s="92"/>
      <c r="K355" s="94">
        <v>5</v>
      </c>
      <c r="L355" s="94"/>
      <c r="M355" s="95"/>
      <c r="N355" s="92"/>
      <c r="O355" s="26"/>
      <c r="P355" s="94"/>
      <c r="Q355" s="26"/>
      <c r="R355" s="96"/>
      <c r="S355" s="27"/>
    </row>
    <row r="356" spans="1:19" x14ac:dyDescent="0.2">
      <c r="A356" s="91" t="s">
        <v>872</v>
      </c>
      <c r="B356" s="92" t="s">
        <v>873</v>
      </c>
      <c r="C356" s="92" t="s">
        <v>335</v>
      </c>
      <c r="D356" s="92" t="s">
        <v>896</v>
      </c>
      <c r="E356" s="93" t="s">
        <v>494</v>
      </c>
      <c r="F356" s="92" t="s">
        <v>458</v>
      </c>
      <c r="G356" s="92" t="s">
        <v>264</v>
      </c>
      <c r="H356" s="92" t="s">
        <v>10</v>
      </c>
      <c r="I356" s="92" t="s">
        <v>230</v>
      </c>
      <c r="J356" s="93" t="s">
        <v>265</v>
      </c>
      <c r="K356" s="94">
        <v>30</v>
      </c>
      <c r="L356" s="94">
        <f>K356*VLOOKUP(H356,dagsoorttabel1,2,FALSE)</f>
        <v>24</v>
      </c>
      <c r="M356" s="95">
        <f>prodnorm45</f>
        <v>0</v>
      </c>
      <c r="N356" s="92" t="s">
        <v>101</v>
      </c>
      <c r="O356" s="26">
        <f>uurtarief45</f>
        <v>0</v>
      </c>
      <c r="P356" s="94" t="e">
        <f>IF(ISBLANK(M356),0,L356/ROUND(M356,4))</f>
        <v>#DIV/0!</v>
      </c>
      <c r="Q356" s="26" t="e">
        <f>ROUND(O356,2)*P356</f>
        <v>#DIV/0!</v>
      </c>
      <c r="R356" s="94" t="e">
        <f>P356*dagenperjaar1</f>
        <v>#DIV/0!</v>
      </c>
      <c r="S356" s="27" t="e">
        <f>R356*ROUND(O356,2)</f>
        <v>#DIV/0!</v>
      </c>
    </row>
    <row r="357" spans="1:19" x14ac:dyDescent="0.2">
      <c r="A357" s="91" t="s">
        <v>872</v>
      </c>
      <c r="B357" s="92" t="s">
        <v>873</v>
      </c>
      <c r="C357" s="92" t="s">
        <v>335</v>
      </c>
      <c r="D357" s="92" t="s">
        <v>897</v>
      </c>
      <c r="E357" s="93" t="s">
        <v>898</v>
      </c>
      <c r="F357" s="92" t="s">
        <v>899</v>
      </c>
      <c r="G357" s="92" t="s">
        <v>266</v>
      </c>
      <c r="H357" s="92" t="s">
        <v>10</v>
      </c>
      <c r="I357" s="92" t="s">
        <v>230</v>
      </c>
      <c r="J357" s="93" t="s">
        <v>267</v>
      </c>
      <c r="K357" s="94">
        <v>30</v>
      </c>
      <c r="L357" s="94">
        <f>K357*VLOOKUP(H357,dagsoorttabel1,2,FALSE)</f>
        <v>24</v>
      </c>
      <c r="M357" s="95">
        <f>prodnorm50</f>
        <v>0</v>
      </c>
      <c r="N357" s="92" t="s">
        <v>101</v>
      </c>
      <c r="O357" s="26">
        <f>uurtarief50</f>
        <v>0</v>
      </c>
      <c r="P357" s="94" t="e">
        <f>IF(ISBLANK(M357),0,L357/ROUND(M357,4))</f>
        <v>#DIV/0!</v>
      </c>
      <c r="Q357" s="26" t="e">
        <f>ROUND(O357,2)*P357</f>
        <v>#DIV/0!</v>
      </c>
      <c r="R357" s="94" t="e">
        <f>P357*dagenperjaar1</f>
        <v>#DIV/0!</v>
      </c>
      <c r="S357" s="27" t="e">
        <f>R357*ROUND(O357,2)</f>
        <v>#DIV/0!</v>
      </c>
    </row>
    <row r="358" spans="1:19" ht="25.5" x14ac:dyDescent="0.2">
      <c r="A358" s="91" t="s">
        <v>872</v>
      </c>
      <c r="B358" s="92" t="s">
        <v>873</v>
      </c>
      <c r="C358" s="92" t="s">
        <v>335</v>
      </c>
      <c r="D358" s="92" t="s">
        <v>900</v>
      </c>
      <c r="E358" s="93" t="s">
        <v>901</v>
      </c>
      <c r="F358" s="92" t="s">
        <v>349</v>
      </c>
      <c r="G358" s="92" t="s">
        <v>256</v>
      </c>
      <c r="H358" s="92" t="s">
        <v>10</v>
      </c>
      <c r="I358" s="92" t="s">
        <v>230</v>
      </c>
      <c r="J358" s="93" t="s">
        <v>257</v>
      </c>
      <c r="K358" s="94">
        <v>10</v>
      </c>
      <c r="L358" s="94">
        <f>K358*VLOOKUP(H358,dagsoorttabel1,2,FALSE)</f>
        <v>8</v>
      </c>
      <c r="M358" s="95">
        <f>prodnorm39</f>
        <v>0</v>
      </c>
      <c r="N358" s="92" t="s">
        <v>101</v>
      </c>
      <c r="O358" s="26">
        <f>uurtarief39</f>
        <v>0</v>
      </c>
      <c r="P358" s="94" t="e">
        <f>IF(ISBLANK(M358),0,L358/ROUND(M358,4))</f>
        <v>#DIV/0!</v>
      </c>
      <c r="Q358" s="26" t="e">
        <f>ROUND(O358,2)*P358</f>
        <v>#DIV/0!</v>
      </c>
      <c r="R358" s="94" t="e">
        <f>P358*dagenperjaar1</f>
        <v>#DIV/0!</v>
      </c>
      <c r="S358" s="27" t="e">
        <f>R358*ROUND(O358,2)</f>
        <v>#DIV/0!</v>
      </c>
    </row>
    <row r="359" spans="1:19" x14ac:dyDescent="0.2">
      <c r="A359" s="91" t="s">
        <v>872</v>
      </c>
      <c r="B359" s="92" t="s">
        <v>873</v>
      </c>
      <c r="C359" s="92" t="s">
        <v>335</v>
      </c>
      <c r="D359" s="92" t="s">
        <v>902</v>
      </c>
      <c r="E359" s="93" t="s">
        <v>903</v>
      </c>
      <c r="F359" s="92" t="s">
        <v>349</v>
      </c>
      <c r="G359" s="92" t="s">
        <v>252</v>
      </c>
      <c r="H359" s="92" t="s">
        <v>9</v>
      </c>
      <c r="I359" s="92" t="s">
        <v>230</v>
      </c>
      <c r="J359" s="93" t="s">
        <v>253</v>
      </c>
      <c r="K359" s="94">
        <v>1</v>
      </c>
      <c r="L359" s="94">
        <f>K359*VLOOKUP(H359,dagsoorttabel1,2,FALSE)</f>
        <v>1</v>
      </c>
      <c r="M359" s="95">
        <f>prodnorm36</f>
        <v>0</v>
      </c>
      <c r="N359" s="92" t="s">
        <v>101</v>
      </c>
      <c r="O359" s="26">
        <f>uurtarief36</f>
        <v>0</v>
      </c>
      <c r="P359" s="94" t="e">
        <f>IF(ISBLANK(M359),0,L359/ROUND(M359,4))</f>
        <v>#DIV/0!</v>
      </c>
      <c r="Q359" s="26" t="e">
        <f>ROUND(O359,2)*P359</f>
        <v>#DIV/0!</v>
      </c>
      <c r="R359" s="94" t="e">
        <f>P359*dagenperjaar1</f>
        <v>#DIV/0!</v>
      </c>
      <c r="S359" s="27" t="e">
        <f>R359*ROUND(O359,2)</f>
        <v>#DIV/0!</v>
      </c>
    </row>
    <row r="360" spans="1:19" x14ac:dyDescent="0.2">
      <c r="A360" s="91" t="s">
        <v>872</v>
      </c>
      <c r="B360" s="92" t="s">
        <v>873</v>
      </c>
      <c r="C360" s="92" t="s">
        <v>335</v>
      </c>
      <c r="D360" s="92" t="s">
        <v>902</v>
      </c>
      <c r="E360" s="93" t="s">
        <v>903</v>
      </c>
      <c r="F360" s="92" t="s">
        <v>349</v>
      </c>
      <c r="G360" s="92" t="s">
        <v>254</v>
      </c>
      <c r="H360" s="92" t="s">
        <v>10</v>
      </c>
      <c r="I360" s="92" t="s">
        <v>230</v>
      </c>
      <c r="J360" s="93" t="s">
        <v>255</v>
      </c>
      <c r="K360" s="94">
        <v>1</v>
      </c>
      <c r="L360" s="94">
        <f>K360*VLOOKUP(H360,dagsoorttabel1,2,FALSE)</f>
        <v>0.8</v>
      </c>
      <c r="M360" s="95">
        <f>prodnorm37</f>
        <v>0</v>
      </c>
      <c r="N360" s="92" t="s">
        <v>101</v>
      </c>
      <c r="O360" s="26">
        <f>uurtarief37</f>
        <v>0</v>
      </c>
      <c r="P360" s="94" t="e">
        <f>IF(ISBLANK(M360),0,L360/ROUND(M360,4))</f>
        <v>#DIV/0!</v>
      </c>
      <c r="Q360" s="26" t="e">
        <f>ROUND(O360,2)*P360</f>
        <v>#DIV/0!</v>
      </c>
      <c r="R360" s="94" t="e">
        <f>P360*dagenperjaar1</f>
        <v>#DIV/0!</v>
      </c>
      <c r="S360" s="27" t="e">
        <f>R360*ROUND(O360,2)</f>
        <v>#DIV/0!</v>
      </c>
    </row>
    <row r="361" spans="1:19" x14ac:dyDescent="0.2">
      <c r="A361" s="91" t="s">
        <v>872</v>
      </c>
      <c r="B361" s="92" t="s">
        <v>873</v>
      </c>
      <c r="C361" s="92" t="s">
        <v>335</v>
      </c>
      <c r="D361" s="92" t="s">
        <v>904</v>
      </c>
      <c r="E361" s="93" t="s">
        <v>903</v>
      </c>
      <c r="F361" s="92" t="s">
        <v>349</v>
      </c>
      <c r="G361" s="92" t="s">
        <v>252</v>
      </c>
      <c r="H361" s="92" t="s">
        <v>9</v>
      </c>
      <c r="I361" s="92" t="s">
        <v>230</v>
      </c>
      <c r="J361" s="93" t="s">
        <v>253</v>
      </c>
      <c r="K361" s="94">
        <v>1</v>
      </c>
      <c r="L361" s="94">
        <f>K361*VLOOKUP(H361,dagsoorttabel1,2,FALSE)</f>
        <v>1</v>
      </c>
      <c r="M361" s="95">
        <f>prodnorm36</f>
        <v>0</v>
      </c>
      <c r="N361" s="92" t="s">
        <v>101</v>
      </c>
      <c r="O361" s="26">
        <f>uurtarief36</f>
        <v>0</v>
      </c>
      <c r="P361" s="94" t="e">
        <f>IF(ISBLANK(M361),0,L361/ROUND(M361,4))</f>
        <v>#DIV/0!</v>
      </c>
      <c r="Q361" s="26" t="e">
        <f>ROUND(O361,2)*P361</f>
        <v>#DIV/0!</v>
      </c>
      <c r="R361" s="94" t="e">
        <f>P361*dagenperjaar1</f>
        <v>#DIV/0!</v>
      </c>
      <c r="S361" s="27" t="e">
        <f>R361*ROUND(O361,2)</f>
        <v>#DIV/0!</v>
      </c>
    </row>
    <row r="362" spans="1:19" x14ac:dyDescent="0.2">
      <c r="A362" s="91" t="s">
        <v>872</v>
      </c>
      <c r="B362" s="92" t="s">
        <v>873</v>
      </c>
      <c r="C362" s="92" t="s">
        <v>335</v>
      </c>
      <c r="D362" s="92" t="s">
        <v>904</v>
      </c>
      <c r="E362" s="93" t="s">
        <v>903</v>
      </c>
      <c r="F362" s="92" t="s">
        <v>349</v>
      </c>
      <c r="G362" s="92" t="s">
        <v>254</v>
      </c>
      <c r="H362" s="92" t="s">
        <v>10</v>
      </c>
      <c r="I362" s="92" t="s">
        <v>230</v>
      </c>
      <c r="J362" s="93" t="s">
        <v>255</v>
      </c>
      <c r="K362" s="94">
        <v>1</v>
      </c>
      <c r="L362" s="94">
        <f>K362*VLOOKUP(H362,dagsoorttabel1,2,FALSE)</f>
        <v>0.8</v>
      </c>
      <c r="M362" s="95">
        <f>prodnorm37</f>
        <v>0</v>
      </c>
      <c r="N362" s="92" t="s">
        <v>101</v>
      </c>
      <c r="O362" s="26">
        <f>uurtarief37</f>
        <v>0</v>
      </c>
      <c r="P362" s="94" t="e">
        <f>IF(ISBLANK(M362),0,L362/ROUND(M362,4))</f>
        <v>#DIV/0!</v>
      </c>
      <c r="Q362" s="26" t="e">
        <f>ROUND(O362,2)*P362</f>
        <v>#DIV/0!</v>
      </c>
      <c r="R362" s="94" t="e">
        <f>P362*dagenperjaar1</f>
        <v>#DIV/0!</v>
      </c>
      <c r="S362" s="27" t="e">
        <f>R362*ROUND(O362,2)</f>
        <v>#DIV/0!</v>
      </c>
    </row>
    <row r="363" spans="1:19" x14ac:dyDescent="0.2">
      <c r="A363" s="91" t="s">
        <v>872</v>
      </c>
      <c r="B363" s="92" t="s">
        <v>873</v>
      </c>
      <c r="C363" s="92" t="s">
        <v>335</v>
      </c>
      <c r="D363" s="92" t="s">
        <v>905</v>
      </c>
      <c r="E363" s="93" t="s">
        <v>906</v>
      </c>
      <c r="F363" s="92" t="s">
        <v>349</v>
      </c>
      <c r="G363" s="92" t="s">
        <v>339</v>
      </c>
      <c r="H363" s="92"/>
      <c r="I363" s="92"/>
      <c r="J363" s="92"/>
      <c r="K363" s="94">
        <v>39</v>
      </c>
      <c r="L363" s="94"/>
      <c r="M363" s="95"/>
      <c r="N363" s="92"/>
      <c r="O363" s="26"/>
      <c r="P363" s="94"/>
      <c r="Q363" s="26"/>
      <c r="R363" s="96"/>
      <c r="S363" s="27"/>
    </row>
    <row r="364" spans="1:19" x14ac:dyDescent="0.2">
      <c r="A364" s="91" t="s">
        <v>872</v>
      </c>
      <c r="B364" s="92" t="s">
        <v>873</v>
      </c>
      <c r="C364" s="92" t="s">
        <v>393</v>
      </c>
      <c r="D364" s="92" t="s">
        <v>907</v>
      </c>
      <c r="E364" s="93" t="s">
        <v>898</v>
      </c>
      <c r="F364" s="92" t="s">
        <v>899</v>
      </c>
      <c r="G364" s="92" t="s">
        <v>266</v>
      </c>
      <c r="H364" s="92" t="s">
        <v>10</v>
      </c>
      <c r="I364" s="92" t="s">
        <v>230</v>
      </c>
      <c r="J364" s="93" t="s">
        <v>267</v>
      </c>
      <c r="K364" s="94">
        <v>21</v>
      </c>
      <c r="L364" s="94">
        <f>K364*VLOOKUP(H364,dagsoorttabel1,2,FALSE)</f>
        <v>16.8</v>
      </c>
      <c r="M364" s="95">
        <f>prodnorm50</f>
        <v>0</v>
      </c>
      <c r="N364" s="92" t="s">
        <v>101</v>
      </c>
      <c r="O364" s="26">
        <f>uurtarief50</f>
        <v>0</v>
      </c>
      <c r="P364" s="94" t="e">
        <f>IF(ISBLANK(M364),0,L364/ROUND(M364,4))</f>
        <v>#DIV/0!</v>
      </c>
      <c r="Q364" s="26" t="e">
        <f>ROUND(O364,2)*P364</f>
        <v>#DIV/0!</v>
      </c>
      <c r="R364" s="94" t="e">
        <f>P364*dagenperjaar1</f>
        <v>#DIV/0!</v>
      </c>
      <c r="S364" s="27" t="e">
        <f>R364*ROUND(O364,2)</f>
        <v>#DIV/0!</v>
      </c>
    </row>
    <row r="365" spans="1:19" x14ac:dyDescent="0.2">
      <c r="A365" s="91" t="s">
        <v>872</v>
      </c>
      <c r="B365" s="92" t="s">
        <v>873</v>
      </c>
      <c r="C365" s="92" t="s">
        <v>393</v>
      </c>
      <c r="D365" s="92" t="s">
        <v>908</v>
      </c>
      <c r="E365" s="93" t="s">
        <v>477</v>
      </c>
      <c r="F365" s="92" t="s">
        <v>899</v>
      </c>
      <c r="G365" s="92" t="s">
        <v>266</v>
      </c>
      <c r="H365" s="92" t="s">
        <v>10</v>
      </c>
      <c r="I365" s="92" t="s">
        <v>230</v>
      </c>
      <c r="J365" s="93" t="s">
        <v>267</v>
      </c>
      <c r="K365" s="94">
        <v>18</v>
      </c>
      <c r="L365" s="94">
        <f>K365*VLOOKUP(H365,dagsoorttabel1,2,FALSE)</f>
        <v>14.4</v>
      </c>
      <c r="M365" s="95">
        <f>prodnorm50</f>
        <v>0</v>
      </c>
      <c r="N365" s="92" t="s">
        <v>101</v>
      </c>
      <c r="O365" s="26">
        <f>uurtarief50</f>
        <v>0</v>
      </c>
      <c r="P365" s="94" t="e">
        <f>IF(ISBLANK(M365),0,L365/ROUND(M365,4))</f>
        <v>#DIV/0!</v>
      </c>
      <c r="Q365" s="26" t="e">
        <f>ROUND(O365,2)*P365</f>
        <v>#DIV/0!</v>
      </c>
      <c r="R365" s="94" t="e">
        <f>P365*dagenperjaar1</f>
        <v>#DIV/0!</v>
      </c>
      <c r="S365" s="27" t="e">
        <f>R365*ROUND(O365,2)</f>
        <v>#DIV/0!</v>
      </c>
    </row>
    <row r="366" spans="1:19" x14ac:dyDescent="0.2">
      <c r="A366" s="91" t="s">
        <v>872</v>
      </c>
      <c r="B366" s="92" t="s">
        <v>873</v>
      </c>
      <c r="C366" s="92" t="s">
        <v>393</v>
      </c>
      <c r="D366" s="92" t="s">
        <v>909</v>
      </c>
      <c r="E366" s="93" t="s">
        <v>656</v>
      </c>
      <c r="F366" s="92" t="s">
        <v>349</v>
      </c>
      <c r="G366" s="92" t="s">
        <v>256</v>
      </c>
      <c r="H366" s="92" t="s">
        <v>10</v>
      </c>
      <c r="I366" s="92" t="s">
        <v>230</v>
      </c>
      <c r="J366" s="93" t="s">
        <v>257</v>
      </c>
      <c r="K366" s="94">
        <v>10</v>
      </c>
      <c r="L366" s="94">
        <f>K366*VLOOKUP(H366,dagsoorttabel1,2,FALSE)</f>
        <v>8</v>
      </c>
      <c r="M366" s="95">
        <f>prodnorm39</f>
        <v>0</v>
      </c>
      <c r="N366" s="92" t="s">
        <v>101</v>
      </c>
      <c r="O366" s="26">
        <f>uurtarief39</f>
        <v>0</v>
      </c>
      <c r="P366" s="94" t="e">
        <f>IF(ISBLANK(M366),0,L366/ROUND(M366,4))</f>
        <v>#DIV/0!</v>
      </c>
      <c r="Q366" s="26" t="e">
        <f>ROUND(O366,2)*P366</f>
        <v>#DIV/0!</v>
      </c>
      <c r="R366" s="94" t="e">
        <f>P366*dagenperjaar1</f>
        <v>#DIV/0!</v>
      </c>
      <c r="S366" s="27" t="e">
        <f>R366*ROUND(O366,2)</f>
        <v>#DIV/0!</v>
      </c>
    </row>
    <row r="367" spans="1:19" x14ac:dyDescent="0.2">
      <c r="A367" s="91" t="s">
        <v>872</v>
      </c>
      <c r="B367" s="92" t="s">
        <v>873</v>
      </c>
      <c r="C367" s="92" t="s">
        <v>393</v>
      </c>
      <c r="D367" s="92" t="s">
        <v>910</v>
      </c>
      <c r="E367" s="93" t="s">
        <v>911</v>
      </c>
      <c r="F367" s="92" t="s">
        <v>349</v>
      </c>
      <c r="G367" s="92" t="s">
        <v>238</v>
      </c>
      <c r="H367" s="92" t="s">
        <v>10</v>
      </c>
      <c r="I367" s="92" t="s">
        <v>230</v>
      </c>
      <c r="J367" s="93" t="s">
        <v>239</v>
      </c>
      <c r="K367" s="94">
        <v>133</v>
      </c>
      <c r="L367" s="94">
        <f>K367*VLOOKUP(H367,dagsoorttabel1,2,FALSE)</f>
        <v>106.4</v>
      </c>
      <c r="M367" s="95">
        <f>prodnorm23</f>
        <v>0</v>
      </c>
      <c r="N367" s="92" t="s">
        <v>101</v>
      </c>
      <c r="O367" s="26">
        <f>uurtarief23</f>
        <v>0</v>
      </c>
      <c r="P367" s="94" t="e">
        <f>IF(ISBLANK(M367),0,L367/ROUND(M367,4))</f>
        <v>#DIV/0!</v>
      </c>
      <c r="Q367" s="26" t="e">
        <f>ROUND(O367,2)*P367</f>
        <v>#DIV/0!</v>
      </c>
      <c r="R367" s="94" t="e">
        <f>P367*dagenperjaar1</f>
        <v>#DIV/0!</v>
      </c>
      <c r="S367" s="27" t="e">
        <f>R367*ROUND(O367,2)</f>
        <v>#DIV/0!</v>
      </c>
    </row>
    <row r="368" spans="1:19" x14ac:dyDescent="0.2">
      <c r="A368" s="91" t="s">
        <v>872</v>
      </c>
      <c r="B368" s="92" t="s">
        <v>873</v>
      </c>
      <c r="C368" s="92" t="s">
        <v>419</v>
      </c>
      <c r="D368" s="92" t="s">
        <v>912</v>
      </c>
      <c r="E368" s="93" t="s">
        <v>477</v>
      </c>
      <c r="F368" s="92" t="s">
        <v>913</v>
      </c>
      <c r="G368" s="92" t="s">
        <v>266</v>
      </c>
      <c r="H368" s="92" t="s">
        <v>10</v>
      </c>
      <c r="I368" s="92" t="s">
        <v>230</v>
      </c>
      <c r="J368" s="93" t="s">
        <v>267</v>
      </c>
      <c r="K368" s="94">
        <v>31</v>
      </c>
      <c r="L368" s="94">
        <f>K368*VLOOKUP(H368,dagsoorttabel1,2,FALSE)</f>
        <v>24.8</v>
      </c>
      <c r="M368" s="95">
        <f>prodnorm50</f>
        <v>0</v>
      </c>
      <c r="N368" s="92" t="s">
        <v>101</v>
      </c>
      <c r="O368" s="26">
        <f>uurtarief50</f>
        <v>0</v>
      </c>
      <c r="P368" s="94" t="e">
        <f>IF(ISBLANK(M368),0,L368/ROUND(M368,4))</f>
        <v>#DIV/0!</v>
      </c>
      <c r="Q368" s="26" t="e">
        <f>ROUND(O368,2)*P368</f>
        <v>#DIV/0!</v>
      </c>
      <c r="R368" s="94" t="e">
        <f>P368*dagenperjaar1</f>
        <v>#DIV/0!</v>
      </c>
      <c r="S368" s="27" t="e">
        <f>R368*ROUND(O368,2)</f>
        <v>#DIV/0!</v>
      </c>
    </row>
    <row r="369" spans="1:19" x14ac:dyDescent="0.2">
      <c r="A369" s="91" t="s">
        <v>872</v>
      </c>
      <c r="B369" s="92" t="s">
        <v>873</v>
      </c>
      <c r="C369" s="92" t="s">
        <v>419</v>
      </c>
      <c r="D369" s="92" t="s">
        <v>914</v>
      </c>
      <c r="E369" s="93" t="s">
        <v>477</v>
      </c>
      <c r="F369" s="92" t="s">
        <v>913</v>
      </c>
      <c r="G369" s="92" t="s">
        <v>266</v>
      </c>
      <c r="H369" s="92" t="s">
        <v>10</v>
      </c>
      <c r="I369" s="92" t="s">
        <v>230</v>
      </c>
      <c r="J369" s="93" t="s">
        <v>267</v>
      </c>
      <c r="K369" s="94">
        <v>32</v>
      </c>
      <c r="L369" s="94">
        <f>K369*VLOOKUP(H369,dagsoorttabel1,2,FALSE)</f>
        <v>25.6</v>
      </c>
      <c r="M369" s="95">
        <f>prodnorm50</f>
        <v>0</v>
      </c>
      <c r="N369" s="92" t="s">
        <v>101</v>
      </c>
      <c r="O369" s="26">
        <f>uurtarief50</f>
        <v>0</v>
      </c>
      <c r="P369" s="94" t="e">
        <f>IF(ISBLANK(M369),0,L369/ROUND(M369,4))</f>
        <v>#DIV/0!</v>
      </c>
      <c r="Q369" s="26" t="e">
        <f>ROUND(O369,2)*P369</f>
        <v>#DIV/0!</v>
      </c>
      <c r="R369" s="94" t="e">
        <f>P369*dagenperjaar1</f>
        <v>#DIV/0!</v>
      </c>
      <c r="S369" s="27" t="e">
        <f>R369*ROUND(O369,2)</f>
        <v>#DIV/0!</v>
      </c>
    </row>
    <row r="370" spans="1:19" x14ac:dyDescent="0.2">
      <c r="A370" s="91" t="s">
        <v>872</v>
      </c>
      <c r="B370" s="92" t="s">
        <v>873</v>
      </c>
      <c r="C370" s="92" t="s">
        <v>443</v>
      </c>
      <c r="D370" s="92" t="s">
        <v>915</v>
      </c>
      <c r="E370" s="93" t="s">
        <v>477</v>
      </c>
      <c r="F370" s="92" t="s">
        <v>913</v>
      </c>
      <c r="G370" s="92" t="s">
        <v>266</v>
      </c>
      <c r="H370" s="92" t="s">
        <v>10</v>
      </c>
      <c r="I370" s="92" t="s">
        <v>230</v>
      </c>
      <c r="J370" s="93" t="s">
        <v>267</v>
      </c>
      <c r="K370" s="94">
        <v>31</v>
      </c>
      <c r="L370" s="94">
        <f>K370*VLOOKUP(H370,dagsoorttabel1,2,FALSE)</f>
        <v>24.8</v>
      </c>
      <c r="M370" s="95">
        <f>prodnorm50</f>
        <v>0</v>
      </c>
      <c r="N370" s="92" t="s">
        <v>101</v>
      </c>
      <c r="O370" s="26">
        <f>uurtarief50</f>
        <v>0</v>
      </c>
      <c r="P370" s="94" t="e">
        <f>IF(ISBLANK(M370),0,L370/ROUND(M370,4))</f>
        <v>#DIV/0!</v>
      </c>
      <c r="Q370" s="26" t="e">
        <f>ROUND(O370,2)*P370</f>
        <v>#DIV/0!</v>
      </c>
      <c r="R370" s="94" t="e">
        <f>P370*dagenperjaar1</f>
        <v>#DIV/0!</v>
      </c>
      <c r="S370" s="27" t="e">
        <f>R370*ROUND(O370,2)</f>
        <v>#DIV/0!</v>
      </c>
    </row>
    <row r="371" spans="1:19" x14ac:dyDescent="0.2">
      <c r="A371" s="91" t="s">
        <v>872</v>
      </c>
      <c r="B371" s="92" t="s">
        <v>916</v>
      </c>
      <c r="C371" s="92" t="s">
        <v>419</v>
      </c>
      <c r="D371" s="92" t="s">
        <v>917</v>
      </c>
      <c r="E371" s="93" t="s">
        <v>616</v>
      </c>
      <c r="F371" s="92" t="s">
        <v>349</v>
      </c>
      <c r="G371" s="92" t="s">
        <v>339</v>
      </c>
      <c r="H371" s="92"/>
      <c r="I371" s="92"/>
      <c r="J371" s="92"/>
      <c r="K371" s="94">
        <v>21</v>
      </c>
      <c r="L371" s="94"/>
      <c r="M371" s="95"/>
      <c r="N371" s="92"/>
      <c r="O371" s="26"/>
      <c r="P371" s="94"/>
      <c r="Q371" s="26"/>
      <c r="R371" s="96"/>
      <c r="S371" s="27"/>
    </row>
    <row r="372" spans="1:19" x14ac:dyDescent="0.2">
      <c r="A372" s="91" t="s">
        <v>872</v>
      </c>
      <c r="B372" s="92" t="s">
        <v>916</v>
      </c>
      <c r="C372" s="92" t="s">
        <v>443</v>
      </c>
      <c r="D372" s="92" t="s">
        <v>918</v>
      </c>
      <c r="E372" s="93" t="s">
        <v>861</v>
      </c>
      <c r="F372" s="92" t="s">
        <v>338</v>
      </c>
      <c r="G372" s="92" t="s">
        <v>339</v>
      </c>
      <c r="H372" s="92"/>
      <c r="I372" s="92"/>
      <c r="J372" s="92"/>
      <c r="K372" s="94">
        <v>5</v>
      </c>
      <c r="L372" s="94"/>
      <c r="M372" s="95"/>
      <c r="N372" s="92"/>
      <c r="O372" s="26"/>
      <c r="P372" s="94"/>
      <c r="Q372" s="26"/>
      <c r="R372" s="96"/>
      <c r="S372" s="27"/>
    </row>
    <row r="373" spans="1:19" x14ac:dyDescent="0.2">
      <c r="A373" s="91" t="s">
        <v>872</v>
      </c>
      <c r="B373" s="92" t="s">
        <v>916</v>
      </c>
      <c r="C373" s="92" t="s">
        <v>443</v>
      </c>
      <c r="D373" s="92" t="s">
        <v>919</v>
      </c>
      <c r="E373" s="93" t="s">
        <v>861</v>
      </c>
      <c r="F373" s="92" t="s">
        <v>338</v>
      </c>
      <c r="G373" s="92" t="s">
        <v>339</v>
      </c>
      <c r="H373" s="92"/>
      <c r="I373" s="92"/>
      <c r="J373" s="92"/>
      <c r="K373" s="94">
        <v>21</v>
      </c>
      <c r="L373" s="94"/>
      <c r="M373" s="95"/>
      <c r="N373" s="92"/>
      <c r="O373" s="26"/>
      <c r="P373" s="94"/>
      <c r="Q373" s="26"/>
      <c r="R373" s="96"/>
      <c r="S373" s="27"/>
    </row>
    <row r="374" spans="1:19" x14ac:dyDescent="0.2">
      <c r="A374" s="97" t="s">
        <v>872</v>
      </c>
      <c r="B374" s="98" t="s">
        <v>916</v>
      </c>
      <c r="C374" s="98" t="s">
        <v>443</v>
      </c>
      <c r="D374" s="98" t="s">
        <v>920</v>
      </c>
      <c r="E374" s="99" t="s">
        <v>861</v>
      </c>
      <c r="F374" s="98" t="s">
        <v>338</v>
      </c>
      <c r="G374" s="98" t="s">
        <v>339</v>
      </c>
      <c r="H374" s="98"/>
      <c r="I374" s="98"/>
      <c r="J374" s="98"/>
      <c r="K374" s="100">
        <v>67</v>
      </c>
      <c r="L374" s="100"/>
      <c r="M374" s="101"/>
      <c r="N374" s="98"/>
      <c r="O374" s="36"/>
      <c r="P374" s="100"/>
      <c r="Q374" s="36"/>
      <c r="R374" s="102"/>
      <c r="S374" s="37"/>
    </row>
    <row r="375" spans="1:19" x14ac:dyDescent="0.2">
      <c r="A375" s="103" t="s">
        <v>604</v>
      </c>
      <c r="B375" s="74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6" t="e">
        <f>IF(_xlfn.SINGLE(object4_urenjaar1)&gt;0,_xlfn.SINGLE(object4_prijsjaar1)/_xlfn.SINGLE(object4_urenjaar1),0)</f>
        <v>#DIV/0!</v>
      </c>
      <c r="P375" s="75" t="e">
        <f>SUM(P335:P374)</f>
        <v>#DIV/0!</v>
      </c>
      <c r="Q375" s="76" t="e">
        <f>SUM(Q335:Q374)</f>
        <v>#DIV/0!</v>
      </c>
      <c r="R375" s="75" t="e">
        <f>SUM(R335:R374)</f>
        <v>#DIV/0!</v>
      </c>
      <c r="S375" s="77" t="e">
        <f>SUM(S335:S374)</f>
        <v>#DIV/0!</v>
      </c>
    </row>
    <row r="376" spans="1:19" x14ac:dyDescent="0.2">
      <c r="A376" s="82" t="s">
        <v>921</v>
      </c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72"/>
    </row>
    <row r="377" spans="1:19" x14ac:dyDescent="0.2">
      <c r="A377" s="83" t="s">
        <v>922</v>
      </c>
      <c r="B377" s="84" t="s">
        <v>923</v>
      </c>
      <c r="C377" s="84" t="s">
        <v>393</v>
      </c>
      <c r="D377" s="84" t="s">
        <v>36</v>
      </c>
      <c r="E377" s="85" t="s">
        <v>807</v>
      </c>
      <c r="F377" s="84" t="s">
        <v>342</v>
      </c>
      <c r="G377" s="84" t="s">
        <v>252</v>
      </c>
      <c r="H377" s="84" t="s">
        <v>15</v>
      </c>
      <c r="I377" s="84" t="s">
        <v>230</v>
      </c>
      <c r="J377" s="85" t="s">
        <v>253</v>
      </c>
      <c r="K377" s="86">
        <v>28.19</v>
      </c>
      <c r="L377" s="86">
        <f>K377*VLOOKUP(H377,dagsoorttabel1,2,FALSE)</f>
        <v>2.8190000000000004</v>
      </c>
      <c r="M377" s="87">
        <f>prodnorm34</f>
        <v>0</v>
      </c>
      <c r="N377" s="84" t="s">
        <v>101</v>
      </c>
      <c r="O377" s="88">
        <f>uurtarief34</f>
        <v>0</v>
      </c>
      <c r="P377" s="86" t="e">
        <f>IF(ISBLANK(M377),0,L377/ROUND(M377,4))</f>
        <v>#DIV/0!</v>
      </c>
      <c r="Q377" s="88" t="e">
        <f>ROUND(O377,2)*P377</f>
        <v>#DIV/0!</v>
      </c>
      <c r="R377" s="86" t="e">
        <f>P377*dagenperjaar1</f>
        <v>#DIV/0!</v>
      </c>
      <c r="S377" s="90" t="e">
        <f>R377*ROUND(O377,2)</f>
        <v>#DIV/0!</v>
      </c>
    </row>
    <row r="378" spans="1:19" x14ac:dyDescent="0.2">
      <c r="A378" s="91" t="s">
        <v>922</v>
      </c>
      <c r="B378" s="92" t="s">
        <v>923</v>
      </c>
      <c r="C378" s="92" t="s">
        <v>393</v>
      </c>
      <c r="D378" s="92" t="s">
        <v>36</v>
      </c>
      <c r="E378" s="93" t="s">
        <v>477</v>
      </c>
      <c r="F378" s="92" t="s">
        <v>824</v>
      </c>
      <c r="G378" s="92" t="s">
        <v>266</v>
      </c>
      <c r="H378" s="92" t="s">
        <v>15</v>
      </c>
      <c r="I378" s="92" t="s">
        <v>230</v>
      </c>
      <c r="J378" s="93" t="s">
        <v>267</v>
      </c>
      <c r="K378" s="94">
        <v>5.37</v>
      </c>
      <c r="L378" s="94">
        <f>K378*VLOOKUP(H378,dagsoorttabel1,2,FALSE)</f>
        <v>0.53700000000000003</v>
      </c>
      <c r="M378" s="95">
        <f>prodnorm49</f>
        <v>0</v>
      </c>
      <c r="N378" s="92" t="s">
        <v>101</v>
      </c>
      <c r="O378" s="26">
        <f>uurtarief49</f>
        <v>0</v>
      </c>
      <c r="P378" s="94" t="e">
        <f>IF(ISBLANK(M378),0,L378/ROUND(M378,4))</f>
        <v>#DIV/0!</v>
      </c>
      <c r="Q378" s="26" t="e">
        <f>ROUND(O378,2)*P378</f>
        <v>#DIV/0!</v>
      </c>
      <c r="R378" s="94" t="e">
        <f>P378*dagenperjaar1</f>
        <v>#DIV/0!</v>
      </c>
      <c r="S378" s="27" t="e">
        <f>R378*ROUND(O378,2)</f>
        <v>#DIV/0!</v>
      </c>
    </row>
    <row r="379" spans="1:19" x14ac:dyDescent="0.2">
      <c r="A379" s="91" t="s">
        <v>922</v>
      </c>
      <c r="B379" s="92" t="s">
        <v>923</v>
      </c>
      <c r="C379" s="92" t="s">
        <v>419</v>
      </c>
      <c r="D379" s="92" t="s">
        <v>36</v>
      </c>
      <c r="E379" s="93" t="s">
        <v>924</v>
      </c>
      <c r="F379" s="92" t="s">
        <v>349</v>
      </c>
      <c r="G379" s="92" t="s">
        <v>252</v>
      </c>
      <c r="H379" s="92" t="s">
        <v>15</v>
      </c>
      <c r="I379" s="92" t="s">
        <v>230</v>
      </c>
      <c r="J379" s="93" t="s">
        <v>253</v>
      </c>
      <c r="K379" s="94">
        <v>3.5</v>
      </c>
      <c r="L379" s="94">
        <f>K379*VLOOKUP(H379,dagsoorttabel1,2,FALSE)</f>
        <v>0.35000000000000003</v>
      </c>
      <c r="M379" s="95">
        <f>prodnorm34</f>
        <v>0</v>
      </c>
      <c r="N379" s="92" t="s">
        <v>101</v>
      </c>
      <c r="O379" s="26">
        <f>uurtarief34</f>
        <v>0</v>
      </c>
      <c r="P379" s="94" t="e">
        <f>IF(ISBLANK(M379),0,L379/ROUND(M379,4))</f>
        <v>#DIV/0!</v>
      </c>
      <c r="Q379" s="26" t="e">
        <f>ROUND(O379,2)*P379</f>
        <v>#DIV/0!</v>
      </c>
      <c r="R379" s="94" t="e">
        <f>P379*dagenperjaar1</f>
        <v>#DIV/0!</v>
      </c>
      <c r="S379" s="27" t="e">
        <f>R379*ROUND(O379,2)</f>
        <v>#DIV/0!</v>
      </c>
    </row>
    <row r="380" spans="1:19" x14ac:dyDescent="0.2">
      <c r="A380" s="91" t="s">
        <v>922</v>
      </c>
      <c r="B380" s="92" t="s">
        <v>923</v>
      </c>
      <c r="C380" s="92" t="s">
        <v>419</v>
      </c>
      <c r="D380" s="92" t="s">
        <v>36</v>
      </c>
      <c r="E380" s="93" t="s">
        <v>925</v>
      </c>
      <c r="F380" s="92" t="s">
        <v>349</v>
      </c>
      <c r="G380" s="92" t="s">
        <v>252</v>
      </c>
      <c r="H380" s="92" t="s">
        <v>15</v>
      </c>
      <c r="I380" s="92" t="s">
        <v>230</v>
      </c>
      <c r="J380" s="93" t="s">
        <v>253</v>
      </c>
      <c r="K380" s="94">
        <v>3.5</v>
      </c>
      <c r="L380" s="94">
        <f>K380*VLOOKUP(H380,dagsoorttabel1,2,FALSE)</f>
        <v>0.35000000000000003</v>
      </c>
      <c r="M380" s="95">
        <f>prodnorm34</f>
        <v>0</v>
      </c>
      <c r="N380" s="92" t="s">
        <v>101</v>
      </c>
      <c r="O380" s="26">
        <f>uurtarief34</f>
        <v>0</v>
      </c>
      <c r="P380" s="94" t="e">
        <f>IF(ISBLANK(M380),0,L380/ROUND(M380,4))</f>
        <v>#DIV/0!</v>
      </c>
      <c r="Q380" s="26" t="e">
        <f>ROUND(O380,2)*P380</f>
        <v>#DIV/0!</v>
      </c>
      <c r="R380" s="94" t="e">
        <f>P380*dagenperjaar1</f>
        <v>#DIV/0!</v>
      </c>
      <c r="S380" s="27" t="e">
        <f>R380*ROUND(O380,2)</f>
        <v>#DIV/0!</v>
      </c>
    </row>
    <row r="381" spans="1:19" x14ac:dyDescent="0.2">
      <c r="A381" s="91" t="s">
        <v>922</v>
      </c>
      <c r="B381" s="92" t="s">
        <v>923</v>
      </c>
      <c r="C381" s="92" t="s">
        <v>419</v>
      </c>
      <c r="D381" s="92" t="s">
        <v>36</v>
      </c>
      <c r="E381" s="93" t="s">
        <v>926</v>
      </c>
      <c r="F381" s="92" t="s">
        <v>543</v>
      </c>
      <c r="G381" s="92" t="s">
        <v>229</v>
      </c>
      <c r="H381" s="92" t="s">
        <v>15</v>
      </c>
      <c r="I381" s="92" t="s">
        <v>230</v>
      </c>
      <c r="J381" s="93" t="s">
        <v>231</v>
      </c>
      <c r="K381" s="94">
        <v>45.55</v>
      </c>
      <c r="L381" s="94">
        <f>K381*VLOOKUP(H381,dagsoorttabel1,2,FALSE)</f>
        <v>4.5549999999999997</v>
      </c>
      <c r="M381" s="95">
        <f>prodnorm13</f>
        <v>0</v>
      </c>
      <c r="N381" s="92" t="s">
        <v>101</v>
      </c>
      <c r="O381" s="26">
        <f>uurtarief13</f>
        <v>0</v>
      </c>
      <c r="P381" s="94" t="e">
        <f>IF(ISBLANK(M381),0,L381/ROUND(M381,4))</f>
        <v>#DIV/0!</v>
      </c>
      <c r="Q381" s="26" t="e">
        <f>ROUND(O381,2)*P381</f>
        <v>#DIV/0!</v>
      </c>
      <c r="R381" s="94" t="e">
        <f>P381*dagenperjaar1</f>
        <v>#DIV/0!</v>
      </c>
      <c r="S381" s="27" t="e">
        <f>R381*ROUND(O381,2)</f>
        <v>#DIV/0!</v>
      </c>
    </row>
    <row r="382" spans="1:19" x14ac:dyDescent="0.2">
      <c r="A382" s="91" t="s">
        <v>922</v>
      </c>
      <c r="B382" s="92" t="s">
        <v>923</v>
      </c>
      <c r="C382" s="92" t="s">
        <v>419</v>
      </c>
      <c r="D382" s="92" t="s">
        <v>36</v>
      </c>
      <c r="E382" s="93" t="s">
        <v>774</v>
      </c>
      <c r="F382" s="92" t="s">
        <v>789</v>
      </c>
      <c r="G382" s="92" t="s">
        <v>236</v>
      </c>
      <c r="H382" s="92" t="s">
        <v>15</v>
      </c>
      <c r="I382" s="92" t="s">
        <v>230</v>
      </c>
      <c r="J382" s="93" t="s">
        <v>237</v>
      </c>
      <c r="K382" s="94">
        <v>2.5</v>
      </c>
      <c r="L382" s="94">
        <f>K382*VLOOKUP(H382,dagsoorttabel1,2,FALSE)</f>
        <v>0.25</v>
      </c>
      <c r="M382" s="95">
        <f>prodnorm20</f>
        <v>0</v>
      </c>
      <c r="N382" s="92" t="s">
        <v>101</v>
      </c>
      <c r="O382" s="26">
        <f>uurtarief20</f>
        <v>0</v>
      </c>
      <c r="P382" s="94" t="e">
        <f>IF(ISBLANK(M382),0,L382/ROUND(M382,4))</f>
        <v>#DIV/0!</v>
      </c>
      <c r="Q382" s="26" t="e">
        <f>ROUND(O382,2)*P382</f>
        <v>#DIV/0!</v>
      </c>
      <c r="R382" s="94" t="e">
        <f>P382*dagenperjaar1</f>
        <v>#DIV/0!</v>
      </c>
      <c r="S382" s="27" t="e">
        <f>R382*ROUND(O382,2)</f>
        <v>#DIV/0!</v>
      </c>
    </row>
    <row r="383" spans="1:19" x14ac:dyDescent="0.2">
      <c r="A383" s="91" t="s">
        <v>922</v>
      </c>
      <c r="B383" s="92" t="s">
        <v>923</v>
      </c>
      <c r="C383" s="92" t="s">
        <v>419</v>
      </c>
      <c r="D383" s="92" t="s">
        <v>36</v>
      </c>
      <c r="E383" s="93" t="s">
        <v>927</v>
      </c>
      <c r="F383" s="92" t="s">
        <v>543</v>
      </c>
      <c r="G383" s="92" t="s">
        <v>258</v>
      </c>
      <c r="H383" s="92" t="s">
        <v>15</v>
      </c>
      <c r="I383" s="92" t="s">
        <v>230</v>
      </c>
      <c r="J383" s="93" t="s">
        <v>259</v>
      </c>
      <c r="K383" s="94">
        <v>24.32</v>
      </c>
      <c r="L383" s="94">
        <f>K383*VLOOKUP(H383,dagsoorttabel1,2,FALSE)</f>
        <v>2.4320000000000004</v>
      </c>
      <c r="M383" s="95">
        <f>prodnorm41</f>
        <v>0</v>
      </c>
      <c r="N383" s="92" t="s">
        <v>101</v>
      </c>
      <c r="O383" s="26">
        <f>uurtarief41</f>
        <v>0</v>
      </c>
      <c r="P383" s="94" t="e">
        <f>IF(ISBLANK(M383),0,L383/ROUND(M383,4))</f>
        <v>#DIV/0!</v>
      </c>
      <c r="Q383" s="26" t="e">
        <f>ROUND(O383,2)*P383</f>
        <v>#DIV/0!</v>
      </c>
      <c r="R383" s="94" t="e">
        <f>P383*dagenperjaar1</f>
        <v>#DIV/0!</v>
      </c>
      <c r="S383" s="27" t="e">
        <f>R383*ROUND(O383,2)</f>
        <v>#DIV/0!</v>
      </c>
    </row>
    <row r="384" spans="1:19" x14ac:dyDescent="0.2">
      <c r="A384" s="91" t="s">
        <v>922</v>
      </c>
      <c r="B384" s="92" t="s">
        <v>928</v>
      </c>
      <c r="C384" s="92" t="s">
        <v>36</v>
      </c>
      <c r="D384" s="92" t="s">
        <v>36</v>
      </c>
      <c r="E384" s="93" t="s">
        <v>929</v>
      </c>
      <c r="F384" s="92" t="s">
        <v>36</v>
      </c>
      <c r="G384" s="92" t="s">
        <v>339</v>
      </c>
      <c r="H384" s="92"/>
      <c r="I384" s="92"/>
      <c r="J384" s="92"/>
      <c r="K384" s="94">
        <v>4</v>
      </c>
      <c r="L384" s="94"/>
      <c r="M384" s="95"/>
      <c r="N384" s="92"/>
      <c r="O384" s="26"/>
      <c r="P384" s="94"/>
      <c r="Q384" s="26"/>
      <c r="R384" s="96"/>
      <c r="S384" s="27"/>
    </row>
    <row r="385" spans="1:19" x14ac:dyDescent="0.2">
      <c r="A385" s="91" t="s">
        <v>922</v>
      </c>
      <c r="B385" s="92" t="s">
        <v>928</v>
      </c>
      <c r="C385" s="92" t="s">
        <v>36</v>
      </c>
      <c r="D385" s="92" t="s">
        <v>36</v>
      </c>
      <c r="E385" s="93" t="s">
        <v>807</v>
      </c>
      <c r="F385" s="92" t="s">
        <v>36</v>
      </c>
      <c r="G385" s="92" t="s">
        <v>339</v>
      </c>
      <c r="H385" s="92"/>
      <c r="I385" s="92"/>
      <c r="J385" s="92"/>
      <c r="K385" s="94">
        <v>4</v>
      </c>
      <c r="L385" s="94"/>
      <c r="M385" s="95"/>
      <c r="N385" s="92"/>
      <c r="O385" s="26"/>
      <c r="P385" s="94"/>
      <c r="Q385" s="26"/>
      <c r="R385" s="96"/>
      <c r="S385" s="27"/>
    </row>
    <row r="386" spans="1:19" x14ac:dyDescent="0.2">
      <c r="A386" s="91" t="s">
        <v>922</v>
      </c>
      <c r="B386" s="92" t="s">
        <v>928</v>
      </c>
      <c r="C386" s="92" t="s">
        <v>36</v>
      </c>
      <c r="D386" s="92" t="s">
        <v>36</v>
      </c>
      <c r="E386" s="93" t="s">
        <v>925</v>
      </c>
      <c r="F386" s="92" t="s">
        <v>36</v>
      </c>
      <c r="G386" s="92" t="s">
        <v>339</v>
      </c>
      <c r="H386" s="92"/>
      <c r="I386" s="92"/>
      <c r="J386" s="92"/>
      <c r="K386" s="94">
        <v>4</v>
      </c>
      <c r="L386" s="94"/>
      <c r="M386" s="95"/>
      <c r="N386" s="92"/>
      <c r="O386" s="26"/>
      <c r="P386" s="94"/>
      <c r="Q386" s="26"/>
      <c r="R386" s="96"/>
      <c r="S386" s="27"/>
    </row>
    <row r="387" spans="1:19" x14ac:dyDescent="0.2">
      <c r="A387" s="91" t="s">
        <v>922</v>
      </c>
      <c r="B387" s="92" t="s">
        <v>928</v>
      </c>
      <c r="C387" s="92" t="s">
        <v>36</v>
      </c>
      <c r="D387" s="92" t="s">
        <v>36</v>
      </c>
      <c r="E387" s="93" t="s">
        <v>930</v>
      </c>
      <c r="F387" s="92" t="s">
        <v>36</v>
      </c>
      <c r="G387" s="92" t="s">
        <v>339</v>
      </c>
      <c r="H387" s="92"/>
      <c r="I387" s="92"/>
      <c r="J387" s="92"/>
      <c r="K387" s="94">
        <v>27</v>
      </c>
      <c r="L387" s="94"/>
      <c r="M387" s="95"/>
      <c r="N387" s="92"/>
      <c r="O387" s="26"/>
      <c r="P387" s="94"/>
      <c r="Q387" s="26"/>
      <c r="R387" s="96"/>
      <c r="S387" s="27"/>
    </row>
    <row r="388" spans="1:19" x14ac:dyDescent="0.2">
      <c r="A388" s="91" t="s">
        <v>922</v>
      </c>
      <c r="B388" s="92" t="s">
        <v>928</v>
      </c>
      <c r="C388" s="92" t="s">
        <v>36</v>
      </c>
      <c r="D388" s="92" t="s">
        <v>36</v>
      </c>
      <c r="E388" s="93" t="s">
        <v>926</v>
      </c>
      <c r="F388" s="92" t="s">
        <v>36</v>
      </c>
      <c r="G388" s="92" t="s">
        <v>339</v>
      </c>
      <c r="H388" s="92"/>
      <c r="I388" s="92"/>
      <c r="J388" s="92"/>
      <c r="K388" s="94">
        <v>21</v>
      </c>
      <c r="L388" s="94"/>
      <c r="M388" s="95"/>
      <c r="N388" s="92"/>
      <c r="O388" s="26"/>
      <c r="P388" s="94"/>
      <c r="Q388" s="26"/>
      <c r="R388" s="96"/>
      <c r="S388" s="27"/>
    </row>
    <row r="389" spans="1:19" x14ac:dyDescent="0.2">
      <c r="A389" s="91" t="s">
        <v>922</v>
      </c>
      <c r="B389" s="92" t="s">
        <v>928</v>
      </c>
      <c r="C389" s="92" t="s">
        <v>36</v>
      </c>
      <c r="D389" s="92" t="s">
        <v>36</v>
      </c>
      <c r="E389" s="93" t="s">
        <v>926</v>
      </c>
      <c r="F389" s="92" t="s">
        <v>36</v>
      </c>
      <c r="G389" s="92" t="s">
        <v>339</v>
      </c>
      <c r="H389" s="92"/>
      <c r="I389" s="92"/>
      <c r="J389" s="92"/>
      <c r="K389" s="94">
        <v>28</v>
      </c>
      <c r="L389" s="94"/>
      <c r="M389" s="95"/>
      <c r="N389" s="92"/>
      <c r="O389" s="26"/>
      <c r="P389" s="94"/>
      <c r="Q389" s="26"/>
      <c r="R389" s="96"/>
      <c r="S389" s="27"/>
    </row>
    <row r="390" spans="1:19" x14ac:dyDescent="0.2">
      <c r="A390" s="91" t="s">
        <v>922</v>
      </c>
      <c r="B390" s="92" t="s">
        <v>928</v>
      </c>
      <c r="C390" s="92" t="s">
        <v>36</v>
      </c>
      <c r="D390" s="92" t="s">
        <v>36</v>
      </c>
      <c r="E390" s="93" t="s">
        <v>931</v>
      </c>
      <c r="F390" s="92" t="s">
        <v>36</v>
      </c>
      <c r="G390" s="92" t="s">
        <v>339</v>
      </c>
      <c r="H390" s="92"/>
      <c r="I390" s="92"/>
      <c r="J390" s="92"/>
      <c r="K390" s="94">
        <v>11</v>
      </c>
      <c r="L390" s="94"/>
      <c r="M390" s="95"/>
      <c r="N390" s="92"/>
      <c r="O390" s="26"/>
      <c r="P390" s="94"/>
      <c r="Q390" s="26"/>
      <c r="R390" s="96"/>
      <c r="S390" s="27"/>
    </row>
    <row r="391" spans="1:19" x14ac:dyDescent="0.2">
      <c r="A391" s="97" t="s">
        <v>922</v>
      </c>
      <c r="B391" s="98" t="s">
        <v>928</v>
      </c>
      <c r="C391" s="98" t="s">
        <v>36</v>
      </c>
      <c r="D391" s="98" t="s">
        <v>36</v>
      </c>
      <c r="E391" s="99" t="s">
        <v>932</v>
      </c>
      <c r="F391" s="98" t="s">
        <v>36</v>
      </c>
      <c r="G391" s="98" t="s">
        <v>339</v>
      </c>
      <c r="H391" s="98"/>
      <c r="I391" s="98"/>
      <c r="J391" s="98"/>
      <c r="K391" s="100">
        <v>58</v>
      </c>
      <c r="L391" s="100"/>
      <c r="M391" s="101"/>
      <c r="N391" s="98"/>
      <c r="O391" s="36"/>
      <c r="P391" s="100"/>
      <c r="Q391" s="36"/>
      <c r="R391" s="102"/>
      <c r="S391" s="37"/>
    </row>
    <row r="392" spans="1:19" x14ac:dyDescent="0.2">
      <c r="A392" s="103" t="s">
        <v>604</v>
      </c>
      <c r="B392" s="74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6" t="e">
        <f>IF(_xlfn.SINGLE(object5_urenjaar1)&gt;0,_xlfn.SINGLE(object5_prijsjaar1)/_xlfn.SINGLE(object5_urenjaar1),0)</f>
        <v>#DIV/0!</v>
      </c>
      <c r="P392" s="75" t="e">
        <f>SUM(P377:P391)</f>
        <v>#DIV/0!</v>
      </c>
      <c r="Q392" s="76" t="e">
        <f>SUM(Q377:Q391)</f>
        <v>#DIV/0!</v>
      </c>
      <c r="R392" s="75" t="e">
        <f>SUM(R377:R391)</f>
        <v>#DIV/0!</v>
      </c>
      <c r="S392" s="77" t="e">
        <f>SUM(S377:S391)</f>
        <v>#DIV/0!</v>
      </c>
    </row>
    <row r="393" spans="1:19" x14ac:dyDescent="0.2">
      <c r="A393" s="82" t="s">
        <v>933</v>
      </c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72"/>
    </row>
    <row r="394" spans="1:19" x14ac:dyDescent="0.2">
      <c r="A394" s="83" t="s">
        <v>934</v>
      </c>
      <c r="B394" s="84" t="s">
        <v>935</v>
      </c>
      <c r="C394" s="84" t="s">
        <v>393</v>
      </c>
      <c r="D394" s="84" t="s">
        <v>36</v>
      </c>
      <c r="E394" s="85" t="s">
        <v>807</v>
      </c>
      <c r="F394" s="84" t="s">
        <v>543</v>
      </c>
      <c r="G394" s="84" t="s">
        <v>339</v>
      </c>
      <c r="H394" s="84"/>
      <c r="I394" s="84"/>
      <c r="J394" s="84"/>
      <c r="K394" s="86">
        <v>2</v>
      </c>
      <c r="L394" s="86"/>
      <c r="M394" s="87"/>
      <c r="N394" s="84"/>
      <c r="O394" s="88"/>
      <c r="P394" s="86"/>
      <c r="Q394" s="88"/>
      <c r="R394" s="89"/>
      <c r="S394" s="90"/>
    </row>
    <row r="395" spans="1:19" x14ac:dyDescent="0.2">
      <c r="A395" s="91" t="s">
        <v>934</v>
      </c>
      <c r="B395" s="92" t="s">
        <v>935</v>
      </c>
      <c r="C395" s="92" t="s">
        <v>393</v>
      </c>
      <c r="D395" s="92" t="s">
        <v>36</v>
      </c>
      <c r="E395" s="93" t="s">
        <v>936</v>
      </c>
      <c r="F395" s="92" t="s">
        <v>458</v>
      </c>
      <c r="G395" s="92" t="s">
        <v>339</v>
      </c>
      <c r="H395" s="92"/>
      <c r="I395" s="92"/>
      <c r="J395" s="92"/>
      <c r="K395" s="94">
        <v>7</v>
      </c>
      <c r="L395" s="94"/>
      <c r="M395" s="95"/>
      <c r="N395" s="92"/>
      <c r="O395" s="26"/>
      <c r="P395" s="94"/>
      <c r="Q395" s="26"/>
      <c r="R395" s="96"/>
      <c r="S395" s="27"/>
    </row>
    <row r="396" spans="1:19" x14ac:dyDescent="0.2">
      <c r="A396" s="91" t="s">
        <v>934</v>
      </c>
      <c r="B396" s="92" t="s">
        <v>935</v>
      </c>
      <c r="C396" s="92" t="s">
        <v>393</v>
      </c>
      <c r="D396" s="92" t="s">
        <v>36</v>
      </c>
      <c r="E396" s="93" t="s">
        <v>937</v>
      </c>
      <c r="F396" s="92" t="s">
        <v>458</v>
      </c>
      <c r="G396" s="92" t="s">
        <v>339</v>
      </c>
      <c r="H396" s="92"/>
      <c r="I396" s="92"/>
      <c r="J396" s="92"/>
      <c r="K396" s="94">
        <v>13</v>
      </c>
      <c r="L396" s="94"/>
      <c r="M396" s="95"/>
      <c r="N396" s="92"/>
      <c r="O396" s="26"/>
      <c r="P396" s="94"/>
      <c r="Q396" s="26"/>
      <c r="R396" s="96"/>
      <c r="S396" s="27"/>
    </row>
    <row r="397" spans="1:19" x14ac:dyDescent="0.2">
      <c r="A397" s="91" t="s">
        <v>934</v>
      </c>
      <c r="B397" s="92" t="s">
        <v>935</v>
      </c>
      <c r="C397" s="92" t="s">
        <v>393</v>
      </c>
      <c r="D397" s="92" t="s">
        <v>36</v>
      </c>
      <c r="E397" s="93" t="s">
        <v>938</v>
      </c>
      <c r="F397" s="92" t="s">
        <v>458</v>
      </c>
      <c r="G397" s="92" t="s">
        <v>339</v>
      </c>
      <c r="H397" s="92"/>
      <c r="I397" s="92"/>
      <c r="J397" s="92"/>
      <c r="K397" s="94">
        <v>7</v>
      </c>
      <c r="L397" s="94"/>
      <c r="M397" s="95"/>
      <c r="N397" s="92"/>
      <c r="O397" s="26"/>
      <c r="P397" s="94"/>
      <c r="Q397" s="26"/>
      <c r="R397" s="96"/>
      <c r="S397" s="27"/>
    </row>
    <row r="398" spans="1:19" x14ac:dyDescent="0.2">
      <c r="A398" s="91" t="s">
        <v>934</v>
      </c>
      <c r="B398" s="92" t="s">
        <v>935</v>
      </c>
      <c r="C398" s="92" t="s">
        <v>393</v>
      </c>
      <c r="D398" s="92" t="s">
        <v>36</v>
      </c>
      <c r="E398" s="93" t="s">
        <v>939</v>
      </c>
      <c r="F398" s="92" t="s">
        <v>458</v>
      </c>
      <c r="G398" s="92" t="s">
        <v>339</v>
      </c>
      <c r="H398" s="92"/>
      <c r="I398" s="92"/>
      <c r="J398" s="92"/>
      <c r="K398" s="94">
        <v>8</v>
      </c>
      <c r="L398" s="94"/>
      <c r="M398" s="95"/>
      <c r="N398" s="92"/>
      <c r="O398" s="26"/>
      <c r="P398" s="94"/>
      <c r="Q398" s="26"/>
      <c r="R398" s="96"/>
      <c r="S398" s="27"/>
    </row>
    <row r="399" spans="1:19" x14ac:dyDescent="0.2">
      <c r="A399" s="91" t="s">
        <v>934</v>
      </c>
      <c r="B399" s="92" t="s">
        <v>935</v>
      </c>
      <c r="C399" s="92" t="s">
        <v>393</v>
      </c>
      <c r="D399" s="92" t="s">
        <v>36</v>
      </c>
      <c r="E399" s="93" t="s">
        <v>940</v>
      </c>
      <c r="F399" s="92" t="s">
        <v>543</v>
      </c>
      <c r="G399" s="92" t="s">
        <v>339</v>
      </c>
      <c r="H399" s="92"/>
      <c r="I399" s="92"/>
      <c r="J399" s="92"/>
      <c r="K399" s="94">
        <v>10</v>
      </c>
      <c r="L399" s="94"/>
      <c r="M399" s="95"/>
      <c r="N399" s="92"/>
      <c r="O399" s="26"/>
      <c r="P399" s="94"/>
      <c r="Q399" s="26"/>
      <c r="R399" s="96"/>
      <c r="S399" s="27"/>
    </row>
    <row r="400" spans="1:19" x14ac:dyDescent="0.2">
      <c r="A400" s="91" t="s">
        <v>934</v>
      </c>
      <c r="B400" s="92" t="s">
        <v>935</v>
      </c>
      <c r="C400" s="92" t="s">
        <v>393</v>
      </c>
      <c r="D400" s="92" t="s">
        <v>36</v>
      </c>
      <c r="E400" s="93" t="s">
        <v>616</v>
      </c>
      <c r="F400" s="92" t="s">
        <v>458</v>
      </c>
      <c r="G400" s="92" t="s">
        <v>339</v>
      </c>
      <c r="H400" s="92"/>
      <c r="I400" s="92"/>
      <c r="J400" s="92"/>
      <c r="K400" s="94">
        <v>19</v>
      </c>
      <c r="L400" s="94"/>
      <c r="M400" s="95"/>
      <c r="N400" s="92"/>
      <c r="O400" s="26"/>
      <c r="P400" s="94"/>
      <c r="Q400" s="26"/>
      <c r="R400" s="96"/>
      <c r="S400" s="27"/>
    </row>
    <row r="401" spans="1:19" x14ac:dyDescent="0.2">
      <c r="A401" s="91" t="s">
        <v>934</v>
      </c>
      <c r="B401" s="92" t="s">
        <v>935</v>
      </c>
      <c r="C401" s="92" t="s">
        <v>393</v>
      </c>
      <c r="D401" s="92" t="s">
        <v>36</v>
      </c>
      <c r="E401" s="93" t="s">
        <v>829</v>
      </c>
      <c r="F401" s="92" t="s">
        <v>338</v>
      </c>
      <c r="G401" s="92" t="s">
        <v>339</v>
      </c>
      <c r="H401" s="92"/>
      <c r="I401" s="92"/>
      <c r="J401" s="92"/>
      <c r="K401" s="94">
        <v>2</v>
      </c>
      <c r="L401" s="94"/>
      <c r="M401" s="95"/>
      <c r="N401" s="92"/>
      <c r="O401" s="26"/>
      <c r="P401" s="94"/>
      <c r="Q401" s="26"/>
      <c r="R401" s="96"/>
      <c r="S401" s="27"/>
    </row>
    <row r="402" spans="1:19" x14ac:dyDescent="0.2">
      <c r="A402" s="91" t="s">
        <v>934</v>
      </c>
      <c r="B402" s="92" t="s">
        <v>935</v>
      </c>
      <c r="C402" s="92" t="s">
        <v>393</v>
      </c>
      <c r="D402" s="92" t="s">
        <v>36</v>
      </c>
      <c r="E402" s="93" t="s">
        <v>477</v>
      </c>
      <c r="F402" s="92" t="s">
        <v>461</v>
      </c>
      <c r="G402" s="92" t="s">
        <v>339</v>
      </c>
      <c r="H402" s="92"/>
      <c r="I402" s="92"/>
      <c r="J402" s="92"/>
      <c r="K402" s="94">
        <v>2</v>
      </c>
      <c r="L402" s="94"/>
      <c r="M402" s="95"/>
      <c r="N402" s="92"/>
      <c r="O402" s="26"/>
      <c r="P402" s="94"/>
      <c r="Q402" s="26"/>
      <c r="R402" s="96"/>
      <c r="S402" s="27"/>
    </row>
    <row r="403" spans="1:19" x14ac:dyDescent="0.2">
      <c r="A403" s="91" t="s">
        <v>934</v>
      </c>
      <c r="B403" s="92" t="s">
        <v>935</v>
      </c>
      <c r="C403" s="92" t="s">
        <v>419</v>
      </c>
      <c r="D403" s="92" t="s">
        <v>36</v>
      </c>
      <c r="E403" s="93" t="s">
        <v>941</v>
      </c>
      <c r="F403" s="92" t="s">
        <v>338</v>
      </c>
      <c r="G403" s="92" t="s">
        <v>339</v>
      </c>
      <c r="H403" s="92"/>
      <c r="I403" s="92"/>
      <c r="J403" s="92"/>
      <c r="K403" s="94">
        <v>4</v>
      </c>
      <c r="L403" s="94"/>
      <c r="M403" s="95"/>
      <c r="N403" s="92"/>
      <c r="O403" s="26"/>
      <c r="P403" s="94"/>
      <c r="Q403" s="26"/>
      <c r="R403" s="96"/>
      <c r="S403" s="27"/>
    </row>
    <row r="404" spans="1:19" x14ac:dyDescent="0.2">
      <c r="A404" s="91" t="s">
        <v>934</v>
      </c>
      <c r="B404" s="92" t="s">
        <v>935</v>
      </c>
      <c r="C404" s="92" t="s">
        <v>419</v>
      </c>
      <c r="D404" s="92" t="s">
        <v>36</v>
      </c>
      <c r="E404" s="93" t="s">
        <v>941</v>
      </c>
      <c r="F404" s="92" t="s">
        <v>338</v>
      </c>
      <c r="G404" s="92" t="s">
        <v>339</v>
      </c>
      <c r="H404" s="92"/>
      <c r="I404" s="92"/>
      <c r="J404" s="92"/>
      <c r="K404" s="94">
        <v>5</v>
      </c>
      <c r="L404" s="94"/>
      <c r="M404" s="95"/>
      <c r="N404" s="92"/>
      <c r="O404" s="26"/>
      <c r="P404" s="94"/>
      <c r="Q404" s="26"/>
      <c r="R404" s="96"/>
      <c r="S404" s="27"/>
    </row>
    <row r="405" spans="1:19" x14ac:dyDescent="0.2">
      <c r="A405" s="91" t="s">
        <v>934</v>
      </c>
      <c r="B405" s="92" t="s">
        <v>935</v>
      </c>
      <c r="C405" s="92" t="s">
        <v>419</v>
      </c>
      <c r="D405" s="92" t="s">
        <v>36</v>
      </c>
      <c r="E405" s="93" t="s">
        <v>941</v>
      </c>
      <c r="F405" s="92" t="s">
        <v>338</v>
      </c>
      <c r="G405" s="92" t="s">
        <v>339</v>
      </c>
      <c r="H405" s="92"/>
      <c r="I405" s="92"/>
      <c r="J405" s="92"/>
      <c r="K405" s="94">
        <v>7</v>
      </c>
      <c r="L405" s="94"/>
      <c r="M405" s="95"/>
      <c r="N405" s="92"/>
      <c r="O405" s="26"/>
      <c r="P405" s="94"/>
      <c r="Q405" s="26"/>
      <c r="R405" s="96"/>
      <c r="S405" s="27"/>
    </row>
    <row r="406" spans="1:19" x14ac:dyDescent="0.2">
      <c r="A406" s="91" t="s">
        <v>934</v>
      </c>
      <c r="B406" s="92" t="s">
        <v>935</v>
      </c>
      <c r="C406" s="92" t="s">
        <v>419</v>
      </c>
      <c r="D406" s="92" t="s">
        <v>36</v>
      </c>
      <c r="E406" s="93" t="s">
        <v>942</v>
      </c>
      <c r="F406" s="92" t="s">
        <v>943</v>
      </c>
      <c r="G406" s="92" t="s">
        <v>339</v>
      </c>
      <c r="H406" s="92"/>
      <c r="I406" s="92"/>
      <c r="J406" s="92"/>
      <c r="K406" s="94">
        <v>58</v>
      </c>
      <c r="L406" s="94"/>
      <c r="M406" s="95"/>
      <c r="N406" s="92"/>
      <c r="O406" s="26"/>
      <c r="P406" s="94"/>
      <c r="Q406" s="26"/>
      <c r="R406" s="96"/>
      <c r="S406" s="27"/>
    </row>
    <row r="407" spans="1:19" x14ac:dyDescent="0.2">
      <c r="A407" s="91" t="s">
        <v>934</v>
      </c>
      <c r="B407" s="92" t="s">
        <v>935</v>
      </c>
      <c r="C407" s="92" t="s">
        <v>419</v>
      </c>
      <c r="D407" s="92" t="s">
        <v>36</v>
      </c>
      <c r="E407" s="93" t="s">
        <v>829</v>
      </c>
      <c r="F407" s="92" t="s">
        <v>338</v>
      </c>
      <c r="G407" s="92" t="s">
        <v>339</v>
      </c>
      <c r="H407" s="92"/>
      <c r="I407" s="92"/>
      <c r="J407" s="92"/>
      <c r="K407" s="94">
        <v>1</v>
      </c>
      <c r="L407" s="94"/>
      <c r="M407" s="95"/>
      <c r="N407" s="92"/>
      <c r="O407" s="26"/>
      <c r="P407" s="94"/>
      <c r="Q407" s="26"/>
      <c r="R407" s="96"/>
      <c r="S407" s="27"/>
    </row>
    <row r="408" spans="1:19" x14ac:dyDescent="0.2">
      <c r="A408" s="91" t="s">
        <v>934</v>
      </c>
      <c r="B408" s="92" t="s">
        <v>935</v>
      </c>
      <c r="C408" s="92" t="s">
        <v>419</v>
      </c>
      <c r="D408" s="92" t="s">
        <v>36</v>
      </c>
      <c r="E408" s="93" t="s">
        <v>884</v>
      </c>
      <c r="F408" s="92" t="s">
        <v>338</v>
      </c>
      <c r="G408" s="92" t="s">
        <v>339</v>
      </c>
      <c r="H408" s="92"/>
      <c r="I408" s="92"/>
      <c r="J408" s="92"/>
      <c r="K408" s="94">
        <v>2</v>
      </c>
      <c r="L408" s="94"/>
      <c r="M408" s="95"/>
      <c r="N408" s="92"/>
      <c r="O408" s="26"/>
      <c r="P408" s="94"/>
      <c r="Q408" s="26"/>
      <c r="R408" s="96"/>
      <c r="S408" s="27"/>
    </row>
    <row r="409" spans="1:19" x14ac:dyDescent="0.2">
      <c r="A409" s="91" t="s">
        <v>934</v>
      </c>
      <c r="B409" s="92" t="s">
        <v>944</v>
      </c>
      <c r="C409" s="92" t="s">
        <v>393</v>
      </c>
      <c r="D409" s="92" t="s">
        <v>36</v>
      </c>
      <c r="E409" s="93" t="s">
        <v>945</v>
      </c>
      <c r="F409" s="92" t="s">
        <v>458</v>
      </c>
      <c r="G409" s="92" t="s">
        <v>229</v>
      </c>
      <c r="H409" s="92" t="s">
        <v>10</v>
      </c>
      <c r="I409" s="92" t="s">
        <v>230</v>
      </c>
      <c r="J409" s="93" t="s">
        <v>231</v>
      </c>
      <c r="K409" s="94">
        <v>12.39</v>
      </c>
      <c r="L409" s="94">
        <f>K409*VLOOKUP(H409,dagsoorttabel1,2,FALSE)</f>
        <v>9.9120000000000008</v>
      </c>
      <c r="M409" s="95">
        <f>prodnorm15</f>
        <v>0</v>
      </c>
      <c r="N409" s="92" t="s">
        <v>101</v>
      </c>
      <c r="O409" s="26">
        <f>uurtarief15</f>
        <v>0</v>
      </c>
      <c r="P409" s="94" t="e">
        <f>IF(ISBLANK(M409),0,L409/ROUND(M409,4))</f>
        <v>#DIV/0!</v>
      </c>
      <c r="Q409" s="26" t="e">
        <f>ROUND(O409,2)*P409</f>
        <v>#DIV/0!</v>
      </c>
      <c r="R409" s="94" t="e">
        <f>P409*dagenperjaar1</f>
        <v>#DIV/0!</v>
      </c>
      <c r="S409" s="27" t="e">
        <f>R409*ROUND(O409,2)</f>
        <v>#DIV/0!</v>
      </c>
    </row>
    <row r="410" spans="1:19" x14ac:dyDescent="0.2">
      <c r="A410" s="91" t="s">
        <v>934</v>
      </c>
      <c r="B410" s="92" t="s">
        <v>944</v>
      </c>
      <c r="C410" s="92" t="s">
        <v>393</v>
      </c>
      <c r="D410" s="92" t="s">
        <v>36</v>
      </c>
      <c r="E410" s="93" t="s">
        <v>924</v>
      </c>
      <c r="F410" s="92" t="s">
        <v>349</v>
      </c>
      <c r="G410" s="92" t="s">
        <v>252</v>
      </c>
      <c r="H410" s="92" t="s">
        <v>10</v>
      </c>
      <c r="I410" s="92" t="s">
        <v>230</v>
      </c>
      <c r="J410" s="93" t="s">
        <v>253</v>
      </c>
      <c r="K410" s="94">
        <v>0.87</v>
      </c>
      <c r="L410" s="94">
        <f>K410*VLOOKUP(H410,dagsoorttabel1,2,FALSE)</f>
        <v>0.69600000000000006</v>
      </c>
      <c r="M410" s="95">
        <f>prodnorm35</f>
        <v>0</v>
      </c>
      <c r="N410" s="92" t="s">
        <v>101</v>
      </c>
      <c r="O410" s="26">
        <f>uurtarief35</f>
        <v>0</v>
      </c>
      <c r="P410" s="94" t="e">
        <f>IF(ISBLANK(M410),0,L410/ROUND(M410,4))</f>
        <v>#DIV/0!</v>
      </c>
      <c r="Q410" s="26" t="e">
        <f>ROUND(O410,2)*P410</f>
        <v>#DIV/0!</v>
      </c>
      <c r="R410" s="94" t="e">
        <f>P410*dagenperjaar1</f>
        <v>#DIV/0!</v>
      </c>
      <c r="S410" s="27" t="e">
        <f>R410*ROUND(O410,2)</f>
        <v>#DIV/0!</v>
      </c>
    </row>
    <row r="411" spans="1:19" x14ac:dyDescent="0.2">
      <c r="A411" s="91" t="s">
        <v>934</v>
      </c>
      <c r="B411" s="92" t="s">
        <v>944</v>
      </c>
      <c r="C411" s="92" t="s">
        <v>393</v>
      </c>
      <c r="D411" s="92" t="s">
        <v>36</v>
      </c>
      <c r="E411" s="93" t="s">
        <v>807</v>
      </c>
      <c r="F411" s="92" t="s">
        <v>543</v>
      </c>
      <c r="G411" s="92" t="s">
        <v>260</v>
      </c>
      <c r="H411" s="92" t="s">
        <v>10</v>
      </c>
      <c r="I411" s="92" t="s">
        <v>230</v>
      </c>
      <c r="J411" s="93" t="s">
        <v>261</v>
      </c>
      <c r="K411" s="94">
        <v>2.44</v>
      </c>
      <c r="L411" s="94">
        <f>K411*VLOOKUP(H411,dagsoorttabel1,2,FALSE)</f>
        <v>1.952</v>
      </c>
      <c r="M411" s="95">
        <f>prodnorm43</f>
        <v>0</v>
      </c>
      <c r="N411" s="92" t="s">
        <v>101</v>
      </c>
      <c r="O411" s="26">
        <f>uurtarief43</f>
        <v>0</v>
      </c>
      <c r="P411" s="94" t="e">
        <f>IF(ISBLANK(M411),0,L411/ROUND(M411,4))</f>
        <v>#DIV/0!</v>
      </c>
      <c r="Q411" s="26" t="e">
        <f>ROUND(O411,2)*P411</f>
        <v>#DIV/0!</v>
      </c>
      <c r="R411" s="94" t="e">
        <f>P411*dagenperjaar1</f>
        <v>#DIV/0!</v>
      </c>
      <c r="S411" s="27" t="e">
        <f>R411*ROUND(O411,2)</f>
        <v>#DIV/0!</v>
      </c>
    </row>
    <row r="412" spans="1:19" x14ac:dyDescent="0.2">
      <c r="A412" s="91" t="s">
        <v>934</v>
      </c>
      <c r="B412" s="92" t="s">
        <v>944</v>
      </c>
      <c r="C412" s="92" t="s">
        <v>393</v>
      </c>
      <c r="D412" s="92" t="s">
        <v>36</v>
      </c>
      <c r="E412" s="93" t="s">
        <v>925</v>
      </c>
      <c r="F412" s="92" t="s">
        <v>349</v>
      </c>
      <c r="G412" s="92" t="s">
        <v>252</v>
      </c>
      <c r="H412" s="92" t="s">
        <v>10</v>
      </c>
      <c r="I412" s="92" t="s">
        <v>230</v>
      </c>
      <c r="J412" s="93" t="s">
        <v>253</v>
      </c>
      <c r="K412" s="94">
        <v>0.87</v>
      </c>
      <c r="L412" s="94">
        <f>K412*VLOOKUP(H412,dagsoorttabel1,2,FALSE)</f>
        <v>0.69600000000000006</v>
      </c>
      <c r="M412" s="95">
        <f>prodnorm35</f>
        <v>0</v>
      </c>
      <c r="N412" s="92" t="s">
        <v>101</v>
      </c>
      <c r="O412" s="26">
        <f>uurtarief35</f>
        <v>0</v>
      </c>
      <c r="P412" s="94" t="e">
        <f>IF(ISBLANK(M412),0,L412/ROUND(M412,4))</f>
        <v>#DIV/0!</v>
      </c>
      <c r="Q412" s="26" t="e">
        <f>ROUND(O412,2)*P412</f>
        <v>#DIV/0!</v>
      </c>
      <c r="R412" s="94" t="e">
        <f>P412*dagenperjaar1</f>
        <v>#DIV/0!</v>
      </c>
      <c r="S412" s="27" t="e">
        <f>R412*ROUND(O412,2)</f>
        <v>#DIV/0!</v>
      </c>
    </row>
    <row r="413" spans="1:19" x14ac:dyDescent="0.2">
      <c r="A413" s="91" t="s">
        <v>934</v>
      </c>
      <c r="B413" s="92" t="s">
        <v>944</v>
      </c>
      <c r="C413" s="92" t="s">
        <v>393</v>
      </c>
      <c r="D413" s="92" t="s">
        <v>36</v>
      </c>
      <c r="E413" s="93" t="s">
        <v>774</v>
      </c>
      <c r="F413" s="92" t="s">
        <v>458</v>
      </c>
      <c r="G413" s="92" t="s">
        <v>236</v>
      </c>
      <c r="H413" s="92" t="s">
        <v>10</v>
      </c>
      <c r="I413" s="92" t="s">
        <v>230</v>
      </c>
      <c r="J413" s="93" t="s">
        <v>237</v>
      </c>
      <c r="K413" s="94">
        <v>5.26</v>
      </c>
      <c r="L413" s="94">
        <f>K413*VLOOKUP(H413,dagsoorttabel1,2,FALSE)</f>
        <v>4.2080000000000002</v>
      </c>
      <c r="M413" s="95">
        <f>prodnorm21</f>
        <v>0</v>
      </c>
      <c r="N413" s="92" t="s">
        <v>101</v>
      </c>
      <c r="O413" s="26">
        <f>uurtarief21</f>
        <v>0</v>
      </c>
      <c r="P413" s="94" t="e">
        <f>IF(ISBLANK(M413),0,L413/ROUND(M413,4))</f>
        <v>#DIV/0!</v>
      </c>
      <c r="Q413" s="26" t="e">
        <f>ROUND(O413,2)*P413</f>
        <v>#DIV/0!</v>
      </c>
      <c r="R413" s="94" t="e">
        <f>P413*dagenperjaar1</f>
        <v>#DIV/0!</v>
      </c>
      <c r="S413" s="27" t="e">
        <f>R413*ROUND(O413,2)</f>
        <v>#DIV/0!</v>
      </c>
    </row>
    <row r="414" spans="1:19" x14ac:dyDescent="0.2">
      <c r="A414" s="91" t="s">
        <v>934</v>
      </c>
      <c r="B414" s="92" t="s">
        <v>944</v>
      </c>
      <c r="C414" s="92" t="s">
        <v>393</v>
      </c>
      <c r="D414" s="92" t="s">
        <v>36</v>
      </c>
      <c r="E414" s="93" t="s">
        <v>946</v>
      </c>
      <c r="F414" s="92" t="s">
        <v>458</v>
      </c>
      <c r="G414" s="92" t="s">
        <v>234</v>
      </c>
      <c r="H414" s="92" t="s">
        <v>10</v>
      </c>
      <c r="I414" s="92" t="s">
        <v>230</v>
      </c>
      <c r="J414" s="93" t="s">
        <v>235</v>
      </c>
      <c r="K414" s="94">
        <v>14.79</v>
      </c>
      <c r="L414" s="94">
        <f>K414*VLOOKUP(H414,dagsoorttabel1,2,FALSE)</f>
        <v>11.832000000000001</v>
      </c>
      <c r="M414" s="95">
        <f>prodnorm19</f>
        <v>0</v>
      </c>
      <c r="N414" s="92" t="s">
        <v>101</v>
      </c>
      <c r="O414" s="26">
        <f>uurtarief19</f>
        <v>0</v>
      </c>
      <c r="P414" s="94" t="e">
        <f>IF(ISBLANK(M414),0,L414/ROUND(M414,4))</f>
        <v>#DIV/0!</v>
      </c>
      <c r="Q414" s="26" t="e">
        <f>ROUND(O414,2)*P414</f>
        <v>#DIV/0!</v>
      </c>
      <c r="R414" s="94" t="e">
        <f>P414*dagenperjaar1</f>
        <v>#DIV/0!</v>
      </c>
      <c r="S414" s="27" t="e">
        <f>R414*ROUND(O414,2)</f>
        <v>#DIV/0!</v>
      </c>
    </row>
    <row r="415" spans="1:19" x14ac:dyDescent="0.2">
      <c r="A415" s="97" t="s">
        <v>934</v>
      </c>
      <c r="B415" s="98" t="s">
        <v>944</v>
      </c>
      <c r="C415" s="98" t="s">
        <v>393</v>
      </c>
      <c r="D415" s="98" t="s">
        <v>36</v>
      </c>
      <c r="E415" s="99" t="s">
        <v>932</v>
      </c>
      <c r="F415" s="98" t="s">
        <v>458</v>
      </c>
      <c r="G415" s="98" t="s">
        <v>256</v>
      </c>
      <c r="H415" s="98" t="s">
        <v>10</v>
      </c>
      <c r="I415" s="98" t="s">
        <v>230</v>
      </c>
      <c r="J415" s="99" t="s">
        <v>257</v>
      </c>
      <c r="K415" s="100">
        <v>39.54</v>
      </c>
      <c r="L415" s="100">
        <f>K415*VLOOKUP(H415,dagsoorttabel1,2,FALSE)</f>
        <v>31.632000000000001</v>
      </c>
      <c r="M415" s="101">
        <f>prodnorm39</f>
        <v>0</v>
      </c>
      <c r="N415" s="98" t="s">
        <v>101</v>
      </c>
      <c r="O415" s="36">
        <f>uurtarief39</f>
        <v>0</v>
      </c>
      <c r="P415" s="100" t="e">
        <f>IF(ISBLANK(M415),0,L415/ROUND(M415,4))</f>
        <v>#DIV/0!</v>
      </c>
      <c r="Q415" s="36" t="e">
        <f>ROUND(O415,2)*P415</f>
        <v>#DIV/0!</v>
      </c>
      <c r="R415" s="100" t="e">
        <f>P415*dagenperjaar1</f>
        <v>#DIV/0!</v>
      </c>
      <c r="S415" s="37" t="e">
        <f>R415*ROUND(O415,2)</f>
        <v>#DIV/0!</v>
      </c>
    </row>
    <row r="416" spans="1:19" x14ac:dyDescent="0.2">
      <c r="A416" s="73" t="s">
        <v>604</v>
      </c>
      <c r="B416" s="74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6" t="e">
        <f>IF(_xlfn.SINGLE(object6_urenjaar1)&gt;0,_xlfn.SINGLE(object6_prijsjaar1)/_xlfn.SINGLE(object6_urenjaar1),0)</f>
        <v>#DIV/0!</v>
      </c>
      <c r="P416" s="75" t="e">
        <f>SUM(P394:P415)</f>
        <v>#DIV/0!</v>
      </c>
      <c r="Q416" s="76" t="e">
        <f>SUM(Q394:Q415)</f>
        <v>#DIV/0!</v>
      </c>
      <c r="R416" s="75" t="e">
        <f>SUM(R394:R415)</f>
        <v>#DIV/0!</v>
      </c>
      <c r="S416" s="76" t="e">
        <f>SUM(S394:S415)</f>
        <v>#DIV/0!</v>
      </c>
    </row>
  </sheetData>
  <sheetProtection algorithmName="SHA-512" hashValue="/0QcbsF9Y9kY3wIcSOpZWtEqz+AVIPYPst5RB0rQelHBtttBo09VYnfthQOwpRKy68MYGDggl5cNT/6PoxfaCw==" saltValue="UxIkOt0mxEN33fVojmpRnA==" spinCount="100000" sheet="1" objects="1" scenarios="1" autoFilter="0"/>
  <autoFilter ref="A3:S416" xr:uid="{31D47903-EB6E-4A96-85AC-BE604E98EA96}"/>
  <pageMargins left="0.7" right="0.7" top="0.75" bottom="0.75" header="0.3" footer="0.3"/>
  <pageSetup paperSize="9" scale="61" orientation="landscape" horizontalDpi="4294967295" verticalDpi="4294967295" r:id="rId1"/>
  <headerFooter>
    <oddFooter>&amp;LCentraal Museum Utrecht EA2026                              &amp;ROpmaakdatum: 19-03-2026
Intexso - Plantageweg 23E - Leusden
+31 (33) 2778485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B7F5E-5443-42AC-A111-65B13ED6D85B}">
  <dimension ref="A1:S216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2.75" x14ac:dyDescent="0.2"/>
  <cols>
    <col min="1" max="1" width="8.625" customWidth="1"/>
    <col min="2" max="3" width="7.625" customWidth="1"/>
    <col min="4" max="4" width="10.625" customWidth="1"/>
    <col min="5" max="5" width="25.625" customWidth="1"/>
    <col min="6" max="6" width="11.625" customWidth="1"/>
    <col min="7" max="7" width="7.625" customWidth="1"/>
    <col min="8" max="8" width="6.625" customWidth="1"/>
    <col min="9" max="9" width="8.625" customWidth="1"/>
    <col min="10" max="10" width="40.625" customWidth="1"/>
    <col min="11" max="12" width="10.625" customWidth="1"/>
    <col min="13" max="13" width="11.625" customWidth="1"/>
    <col min="14" max="14" width="9.625" customWidth="1"/>
    <col min="15" max="17" width="11.625" customWidth="1"/>
    <col min="18" max="18" width="12.625" customWidth="1"/>
    <col min="19" max="19" width="14.625" customWidth="1"/>
  </cols>
  <sheetData>
    <row r="1" spans="1:19" x14ac:dyDescent="0.2">
      <c r="A1" s="1" t="str">
        <f>CONCATENATE("Bijlage H.4: ",tabeltype," ruimten feestdag")</f>
        <v>Bijlage H.4: Invultabel ruimten feestdag</v>
      </c>
    </row>
    <row r="3" spans="1:19" ht="38.25" x14ac:dyDescent="0.2">
      <c r="A3" s="80" t="s">
        <v>324</v>
      </c>
      <c r="B3" s="44" t="s">
        <v>325</v>
      </c>
      <c r="C3" s="44" t="s">
        <v>326</v>
      </c>
      <c r="D3" s="44" t="s">
        <v>327</v>
      </c>
      <c r="E3" s="44" t="s">
        <v>328</v>
      </c>
      <c r="F3" s="44" t="s">
        <v>329</v>
      </c>
      <c r="G3" s="44" t="s">
        <v>221</v>
      </c>
      <c r="H3" s="44" t="s">
        <v>7</v>
      </c>
      <c r="I3" s="44" t="s">
        <v>330</v>
      </c>
      <c r="J3" s="44" t="s">
        <v>331</v>
      </c>
      <c r="K3" s="44" t="s">
        <v>223</v>
      </c>
      <c r="L3" s="44" t="s">
        <v>224</v>
      </c>
      <c r="M3" s="44" t="s">
        <v>93</v>
      </c>
      <c r="N3" s="44" t="s">
        <v>95</v>
      </c>
      <c r="O3" s="44" t="s">
        <v>96</v>
      </c>
      <c r="P3" s="44" t="s">
        <v>225</v>
      </c>
      <c r="Q3" s="44" t="s">
        <v>226</v>
      </c>
      <c r="R3" s="44" t="s">
        <v>227</v>
      </c>
      <c r="S3" s="81" t="s">
        <v>228</v>
      </c>
    </row>
    <row r="4" spans="1:19" x14ac:dyDescent="0.2">
      <c r="A4" s="82" t="s">
        <v>332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72"/>
    </row>
    <row r="5" spans="1:19" x14ac:dyDescent="0.2">
      <c r="A5" s="83" t="s">
        <v>333</v>
      </c>
      <c r="B5" s="84" t="s">
        <v>334</v>
      </c>
      <c r="C5" s="84" t="s">
        <v>335</v>
      </c>
      <c r="D5" s="84" t="s">
        <v>340</v>
      </c>
      <c r="E5" s="85" t="s">
        <v>341</v>
      </c>
      <c r="F5" s="84" t="s">
        <v>342</v>
      </c>
      <c r="G5" s="84" t="s">
        <v>290</v>
      </c>
      <c r="H5" s="84" t="s">
        <v>18</v>
      </c>
      <c r="I5" s="84" t="s">
        <v>230</v>
      </c>
      <c r="J5" s="85" t="s">
        <v>257</v>
      </c>
      <c r="K5" s="86">
        <v>25.3</v>
      </c>
      <c r="L5" s="86">
        <f>K5*VLOOKUP(H5,dagsoorttabel1,2,FALSE)</f>
        <v>0.48653846153846159</v>
      </c>
      <c r="M5" s="87">
        <f>prodnorm67</f>
        <v>0</v>
      </c>
      <c r="N5" s="84" t="s">
        <v>101</v>
      </c>
      <c r="O5" s="88">
        <f>uurtarief67</f>
        <v>0</v>
      </c>
      <c r="P5" s="86" t="e">
        <f>IF(ISBLANK(M5),0,L5/ROUND(M5,4))</f>
        <v>#DIV/0!</v>
      </c>
      <c r="Q5" s="88" t="e">
        <f>ROUND(O5,2)*P5</f>
        <v>#DIV/0!</v>
      </c>
      <c r="R5" s="86" t="e">
        <f>P5*dagenperjaar1</f>
        <v>#DIV/0!</v>
      </c>
      <c r="S5" s="90" t="e">
        <f>R5*ROUND(O5,2)</f>
        <v>#DIV/0!</v>
      </c>
    </row>
    <row r="6" spans="1:19" x14ac:dyDescent="0.2">
      <c r="A6" s="91" t="s">
        <v>333</v>
      </c>
      <c r="B6" s="92" t="s">
        <v>334</v>
      </c>
      <c r="C6" s="92" t="s">
        <v>335</v>
      </c>
      <c r="D6" s="92" t="s">
        <v>343</v>
      </c>
      <c r="E6" s="93" t="s">
        <v>344</v>
      </c>
      <c r="F6" s="92" t="s">
        <v>342</v>
      </c>
      <c r="G6" s="92" t="s">
        <v>288</v>
      </c>
      <c r="H6" s="92" t="s">
        <v>18</v>
      </c>
      <c r="I6" s="92" t="s">
        <v>230</v>
      </c>
      <c r="J6" s="93" t="s">
        <v>253</v>
      </c>
      <c r="K6" s="94">
        <v>1.1000000000000001</v>
      </c>
      <c r="L6" s="94">
        <f>K6*VLOOKUP(H6,dagsoorttabel1,2,FALSE)</f>
        <v>2.1153846153846155E-2</v>
      </c>
      <c r="M6" s="95">
        <f>prodnorm65</f>
        <v>0</v>
      </c>
      <c r="N6" s="92" t="s">
        <v>101</v>
      </c>
      <c r="O6" s="26">
        <f>uurtarief65</f>
        <v>0</v>
      </c>
      <c r="P6" s="94" t="e">
        <f>IF(ISBLANK(M6),0,L6/ROUND(M6,4))</f>
        <v>#DIV/0!</v>
      </c>
      <c r="Q6" s="26" t="e">
        <f>ROUND(O6,2)*P6</f>
        <v>#DIV/0!</v>
      </c>
      <c r="R6" s="94" t="e">
        <f>P6*dagenperjaar1</f>
        <v>#DIV/0!</v>
      </c>
      <c r="S6" s="27" t="e">
        <f>R6*ROUND(O6,2)</f>
        <v>#DIV/0!</v>
      </c>
    </row>
    <row r="7" spans="1:19" x14ac:dyDescent="0.2">
      <c r="A7" s="91" t="s">
        <v>333</v>
      </c>
      <c r="B7" s="92" t="s">
        <v>334</v>
      </c>
      <c r="C7" s="92" t="s">
        <v>335</v>
      </c>
      <c r="D7" s="92" t="s">
        <v>343</v>
      </c>
      <c r="E7" s="93" t="s">
        <v>344</v>
      </c>
      <c r="F7" s="92" t="s">
        <v>342</v>
      </c>
      <c r="G7" s="92" t="s">
        <v>289</v>
      </c>
      <c r="H7" s="92" t="s">
        <v>18</v>
      </c>
      <c r="I7" s="92" t="s">
        <v>230</v>
      </c>
      <c r="J7" s="93" t="s">
        <v>255</v>
      </c>
      <c r="K7" s="94">
        <v>1.1000000000000001</v>
      </c>
      <c r="L7" s="94">
        <f>K7*VLOOKUP(H7,dagsoorttabel1,2,FALSE)</f>
        <v>2.1153846153846155E-2</v>
      </c>
      <c r="M7" s="95">
        <f>prodnorm66</f>
        <v>0</v>
      </c>
      <c r="N7" s="92" t="s">
        <v>101</v>
      </c>
      <c r="O7" s="26">
        <f>uurtarief66</f>
        <v>0</v>
      </c>
      <c r="P7" s="94" t="e">
        <f>IF(ISBLANK(M7),0,L7/ROUND(M7,4))</f>
        <v>#DIV/0!</v>
      </c>
      <c r="Q7" s="26" t="e">
        <f>ROUND(O7,2)*P7</f>
        <v>#DIV/0!</v>
      </c>
      <c r="R7" s="94" t="e">
        <f>P7*dagenperjaar1</f>
        <v>#DIV/0!</v>
      </c>
      <c r="S7" s="27" t="e">
        <f>R7*ROUND(O7,2)</f>
        <v>#DIV/0!</v>
      </c>
    </row>
    <row r="8" spans="1:19" x14ac:dyDescent="0.2">
      <c r="A8" s="91" t="s">
        <v>333</v>
      </c>
      <c r="B8" s="92" t="s">
        <v>334</v>
      </c>
      <c r="C8" s="92" t="s">
        <v>335</v>
      </c>
      <c r="D8" s="92" t="s">
        <v>345</v>
      </c>
      <c r="E8" s="93" t="s">
        <v>344</v>
      </c>
      <c r="F8" s="92" t="s">
        <v>342</v>
      </c>
      <c r="G8" s="92" t="s">
        <v>288</v>
      </c>
      <c r="H8" s="92" t="s">
        <v>18</v>
      </c>
      <c r="I8" s="92" t="s">
        <v>230</v>
      </c>
      <c r="J8" s="93" t="s">
        <v>253</v>
      </c>
      <c r="K8" s="94">
        <v>1.1000000000000001</v>
      </c>
      <c r="L8" s="94">
        <f>K8*VLOOKUP(H8,dagsoorttabel1,2,FALSE)</f>
        <v>2.1153846153846155E-2</v>
      </c>
      <c r="M8" s="95">
        <f>prodnorm65</f>
        <v>0</v>
      </c>
      <c r="N8" s="92" t="s">
        <v>101</v>
      </c>
      <c r="O8" s="26">
        <f>uurtarief65</f>
        <v>0</v>
      </c>
      <c r="P8" s="94" t="e">
        <f>IF(ISBLANK(M8),0,L8/ROUND(M8,4))</f>
        <v>#DIV/0!</v>
      </c>
      <c r="Q8" s="26" t="e">
        <f>ROUND(O8,2)*P8</f>
        <v>#DIV/0!</v>
      </c>
      <c r="R8" s="94" t="e">
        <f>P8*dagenperjaar1</f>
        <v>#DIV/0!</v>
      </c>
      <c r="S8" s="27" t="e">
        <f>R8*ROUND(O8,2)</f>
        <v>#DIV/0!</v>
      </c>
    </row>
    <row r="9" spans="1:19" x14ac:dyDescent="0.2">
      <c r="A9" s="91" t="s">
        <v>333</v>
      </c>
      <c r="B9" s="92" t="s">
        <v>334</v>
      </c>
      <c r="C9" s="92" t="s">
        <v>335</v>
      </c>
      <c r="D9" s="92" t="s">
        <v>345</v>
      </c>
      <c r="E9" s="93" t="s">
        <v>344</v>
      </c>
      <c r="F9" s="92" t="s">
        <v>342</v>
      </c>
      <c r="G9" s="92" t="s">
        <v>289</v>
      </c>
      <c r="H9" s="92" t="s">
        <v>18</v>
      </c>
      <c r="I9" s="92" t="s">
        <v>230</v>
      </c>
      <c r="J9" s="93" t="s">
        <v>255</v>
      </c>
      <c r="K9" s="94">
        <v>1.1000000000000001</v>
      </c>
      <c r="L9" s="94">
        <f>K9*VLOOKUP(H9,dagsoorttabel1,2,FALSE)</f>
        <v>2.1153846153846155E-2</v>
      </c>
      <c r="M9" s="95">
        <f>prodnorm66</f>
        <v>0</v>
      </c>
      <c r="N9" s="92" t="s">
        <v>101</v>
      </c>
      <c r="O9" s="26">
        <f>uurtarief66</f>
        <v>0</v>
      </c>
      <c r="P9" s="94" t="e">
        <f>IF(ISBLANK(M9),0,L9/ROUND(M9,4))</f>
        <v>#DIV/0!</v>
      </c>
      <c r="Q9" s="26" t="e">
        <f>ROUND(O9,2)*P9</f>
        <v>#DIV/0!</v>
      </c>
      <c r="R9" s="94" t="e">
        <f>P9*dagenperjaar1</f>
        <v>#DIV/0!</v>
      </c>
      <c r="S9" s="27" t="e">
        <f>R9*ROUND(O9,2)</f>
        <v>#DIV/0!</v>
      </c>
    </row>
    <row r="10" spans="1:19" x14ac:dyDescent="0.2">
      <c r="A10" s="91" t="s">
        <v>333</v>
      </c>
      <c r="B10" s="92" t="s">
        <v>334</v>
      </c>
      <c r="C10" s="92" t="s">
        <v>335</v>
      </c>
      <c r="D10" s="92" t="s">
        <v>346</v>
      </c>
      <c r="E10" s="93" t="s">
        <v>344</v>
      </c>
      <c r="F10" s="92" t="s">
        <v>342</v>
      </c>
      <c r="G10" s="92" t="s">
        <v>288</v>
      </c>
      <c r="H10" s="92" t="s">
        <v>18</v>
      </c>
      <c r="I10" s="92" t="s">
        <v>230</v>
      </c>
      <c r="J10" s="93" t="s">
        <v>253</v>
      </c>
      <c r="K10" s="94">
        <v>1.1000000000000001</v>
      </c>
      <c r="L10" s="94">
        <f>K10*VLOOKUP(H10,dagsoorttabel1,2,FALSE)</f>
        <v>2.1153846153846155E-2</v>
      </c>
      <c r="M10" s="95">
        <f>prodnorm65</f>
        <v>0</v>
      </c>
      <c r="N10" s="92" t="s">
        <v>101</v>
      </c>
      <c r="O10" s="26">
        <f>uurtarief65</f>
        <v>0</v>
      </c>
      <c r="P10" s="94" t="e">
        <f>IF(ISBLANK(M10),0,L10/ROUND(M10,4))</f>
        <v>#DIV/0!</v>
      </c>
      <c r="Q10" s="26" t="e">
        <f>ROUND(O10,2)*P10</f>
        <v>#DIV/0!</v>
      </c>
      <c r="R10" s="94" t="e">
        <f>P10*dagenperjaar1</f>
        <v>#DIV/0!</v>
      </c>
      <c r="S10" s="27" t="e">
        <f>R10*ROUND(O10,2)</f>
        <v>#DIV/0!</v>
      </c>
    </row>
    <row r="11" spans="1:19" x14ac:dyDescent="0.2">
      <c r="A11" s="91" t="s">
        <v>333</v>
      </c>
      <c r="B11" s="92" t="s">
        <v>334</v>
      </c>
      <c r="C11" s="92" t="s">
        <v>335</v>
      </c>
      <c r="D11" s="92" t="s">
        <v>346</v>
      </c>
      <c r="E11" s="93" t="s">
        <v>344</v>
      </c>
      <c r="F11" s="92" t="s">
        <v>342</v>
      </c>
      <c r="G11" s="92" t="s">
        <v>289</v>
      </c>
      <c r="H11" s="92" t="s">
        <v>18</v>
      </c>
      <c r="I11" s="92" t="s">
        <v>230</v>
      </c>
      <c r="J11" s="93" t="s">
        <v>255</v>
      </c>
      <c r="K11" s="94">
        <v>1.1000000000000001</v>
      </c>
      <c r="L11" s="94">
        <f>K11*VLOOKUP(H11,dagsoorttabel1,2,FALSE)</f>
        <v>2.1153846153846155E-2</v>
      </c>
      <c r="M11" s="95">
        <f>prodnorm66</f>
        <v>0</v>
      </c>
      <c r="N11" s="92" t="s">
        <v>101</v>
      </c>
      <c r="O11" s="26">
        <f>uurtarief66</f>
        <v>0</v>
      </c>
      <c r="P11" s="94" t="e">
        <f>IF(ISBLANK(M11),0,L11/ROUND(M11,4))</f>
        <v>#DIV/0!</v>
      </c>
      <c r="Q11" s="26" t="e">
        <f>ROUND(O11,2)*P11</f>
        <v>#DIV/0!</v>
      </c>
      <c r="R11" s="94" t="e">
        <f>P11*dagenperjaar1</f>
        <v>#DIV/0!</v>
      </c>
      <c r="S11" s="27" t="e">
        <f>R11*ROUND(O11,2)</f>
        <v>#DIV/0!</v>
      </c>
    </row>
    <row r="12" spans="1:19" ht="25.5" x14ac:dyDescent="0.2">
      <c r="A12" s="91" t="s">
        <v>333</v>
      </c>
      <c r="B12" s="92" t="s">
        <v>334</v>
      </c>
      <c r="C12" s="92" t="s">
        <v>335</v>
      </c>
      <c r="D12" s="92" t="s">
        <v>347</v>
      </c>
      <c r="E12" s="93" t="s">
        <v>348</v>
      </c>
      <c r="F12" s="92" t="s">
        <v>349</v>
      </c>
      <c r="G12" s="92" t="s">
        <v>288</v>
      </c>
      <c r="H12" s="92" t="s">
        <v>18</v>
      </c>
      <c r="I12" s="92" t="s">
        <v>230</v>
      </c>
      <c r="J12" s="93" t="s">
        <v>253</v>
      </c>
      <c r="K12" s="94">
        <v>5.2</v>
      </c>
      <c r="L12" s="94">
        <f>K12*VLOOKUP(H12,dagsoorttabel1,2,FALSE)</f>
        <v>0.1</v>
      </c>
      <c r="M12" s="95">
        <f>prodnorm65</f>
        <v>0</v>
      </c>
      <c r="N12" s="92" t="s">
        <v>101</v>
      </c>
      <c r="O12" s="26">
        <f>uurtarief65</f>
        <v>0</v>
      </c>
      <c r="P12" s="94" t="e">
        <f>IF(ISBLANK(M12),0,L12/ROUND(M12,4))</f>
        <v>#DIV/0!</v>
      </c>
      <c r="Q12" s="26" t="e">
        <f>ROUND(O12,2)*P12</f>
        <v>#DIV/0!</v>
      </c>
      <c r="R12" s="94" t="e">
        <f>P12*dagenperjaar1</f>
        <v>#DIV/0!</v>
      </c>
      <c r="S12" s="27" t="e">
        <f>R12*ROUND(O12,2)</f>
        <v>#DIV/0!</v>
      </c>
    </row>
    <row r="13" spans="1:19" ht="25.5" x14ac:dyDescent="0.2">
      <c r="A13" s="91" t="s">
        <v>333</v>
      </c>
      <c r="B13" s="92" t="s">
        <v>334</v>
      </c>
      <c r="C13" s="92" t="s">
        <v>335</v>
      </c>
      <c r="D13" s="92" t="s">
        <v>347</v>
      </c>
      <c r="E13" s="93" t="s">
        <v>348</v>
      </c>
      <c r="F13" s="92" t="s">
        <v>349</v>
      </c>
      <c r="G13" s="92" t="s">
        <v>289</v>
      </c>
      <c r="H13" s="92" t="s">
        <v>18</v>
      </c>
      <c r="I13" s="92" t="s">
        <v>230</v>
      </c>
      <c r="J13" s="93" t="s">
        <v>255</v>
      </c>
      <c r="K13" s="94">
        <v>5.2</v>
      </c>
      <c r="L13" s="94">
        <f>K13*VLOOKUP(H13,dagsoorttabel1,2,FALSE)</f>
        <v>0.1</v>
      </c>
      <c r="M13" s="95">
        <f>prodnorm66</f>
        <v>0</v>
      </c>
      <c r="N13" s="92" t="s">
        <v>101</v>
      </c>
      <c r="O13" s="26">
        <f>uurtarief66</f>
        <v>0</v>
      </c>
      <c r="P13" s="94" t="e">
        <f>IF(ISBLANK(M13),0,L13/ROUND(M13,4))</f>
        <v>#DIV/0!</v>
      </c>
      <c r="Q13" s="26" t="e">
        <f>ROUND(O13,2)*P13</f>
        <v>#DIV/0!</v>
      </c>
      <c r="R13" s="94" t="e">
        <f>P13*dagenperjaar1</f>
        <v>#DIV/0!</v>
      </c>
      <c r="S13" s="27" t="e">
        <f>R13*ROUND(O13,2)</f>
        <v>#DIV/0!</v>
      </c>
    </row>
    <row r="14" spans="1:19" ht="25.5" x14ac:dyDescent="0.2">
      <c r="A14" s="91" t="s">
        <v>333</v>
      </c>
      <c r="B14" s="92" t="s">
        <v>334</v>
      </c>
      <c r="C14" s="92" t="s">
        <v>335</v>
      </c>
      <c r="D14" s="92" t="s">
        <v>350</v>
      </c>
      <c r="E14" s="93" t="s">
        <v>351</v>
      </c>
      <c r="F14" s="92" t="s">
        <v>349</v>
      </c>
      <c r="G14" s="92" t="s">
        <v>288</v>
      </c>
      <c r="H14" s="92" t="s">
        <v>18</v>
      </c>
      <c r="I14" s="92" t="s">
        <v>230</v>
      </c>
      <c r="J14" s="93" t="s">
        <v>253</v>
      </c>
      <c r="K14" s="94">
        <v>5.3</v>
      </c>
      <c r="L14" s="94">
        <f>K14*VLOOKUP(H14,dagsoorttabel1,2,FALSE)</f>
        <v>0.10192307692307692</v>
      </c>
      <c r="M14" s="95">
        <f>prodnorm65</f>
        <v>0</v>
      </c>
      <c r="N14" s="92" t="s">
        <v>101</v>
      </c>
      <c r="O14" s="26">
        <f>uurtarief65</f>
        <v>0</v>
      </c>
      <c r="P14" s="94" t="e">
        <f>IF(ISBLANK(M14),0,L14/ROUND(M14,4))</f>
        <v>#DIV/0!</v>
      </c>
      <c r="Q14" s="26" t="e">
        <f>ROUND(O14,2)*P14</f>
        <v>#DIV/0!</v>
      </c>
      <c r="R14" s="94" t="e">
        <f>P14*dagenperjaar1</f>
        <v>#DIV/0!</v>
      </c>
      <c r="S14" s="27" t="e">
        <f>R14*ROUND(O14,2)</f>
        <v>#DIV/0!</v>
      </c>
    </row>
    <row r="15" spans="1:19" ht="25.5" x14ac:dyDescent="0.2">
      <c r="A15" s="91" t="s">
        <v>333</v>
      </c>
      <c r="B15" s="92" t="s">
        <v>334</v>
      </c>
      <c r="C15" s="92" t="s">
        <v>335</v>
      </c>
      <c r="D15" s="92" t="s">
        <v>350</v>
      </c>
      <c r="E15" s="93" t="s">
        <v>351</v>
      </c>
      <c r="F15" s="92" t="s">
        <v>349</v>
      </c>
      <c r="G15" s="92" t="s">
        <v>289</v>
      </c>
      <c r="H15" s="92" t="s">
        <v>18</v>
      </c>
      <c r="I15" s="92" t="s">
        <v>230</v>
      </c>
      <c r="J15" s="93" t="s">
        <v>255</v>
      </c>
      <c r="K15" s="94">
        <v>5.3</v>
      </c>
      <c r="L15" s="94">
        <f>K15*VLOOKUP(H15,dagsoorttabel1,2,FALSE)</f>
        <v>0.10192307692307692</v>
      </c>
      <c r="M15" s="95">
        <f>prodnorm66</f>
        <v>0</v>
      </c>
      <c r="N15" s="92" t="s">
        <v>101</v>
      </c>
      <c r="O15" s="26">
        <f>uurtarief66</f>
        <v>0</v>
      </c>
      <c r="P15" s="94" t="e">
        <f>IF(ISBLANK(M15),0,L15/ROUND(M15,4))</f>
        <v>#DIV/0!</v>
      </c>
      <c r="Q15" s="26" t="e">
        <f>ROUND(O15,2)*P15</f>
        <v>#DIV/0!</v>
      </c>
      <c r="R15" s="94" t="e">
        <f>P15*dagenperjaar1</f>
        <v>#DIV/0!</v>
      </c>
      <c r="S15" s="27" t="e">
        <f>R15*ROUND(O15,2)</f>
        <v>#DIV/0!</v>
      </c>
    </row>
    <row r="16" spans="1:19" x14ac:dyDescent="0.2">
      <c r="A16" s="91" t="s">
        <v>333</v>
      </c>
      <c r="B16" s="92" t="s">
        <v>334</v>
      </c>
      <c r="C16" s="92" t="s">
        <v>335</v>
      </c>
      <c r="D16" s="92" t="s">
        <v>352</v>
      </c>
      <c r="E16" s="93" t="s">
        <v>353</v>
      </c>
      <c r="F16" s="92" t="s">
        <v>342</v>
      </c>
      <c r="G16" s="92" t="s">
        <v>288</v>
      </c>
      <c r="H16" s="92" t="s">
        <v>18</v>
      </c>
      <c r="I16" s="92" t="s">
        <v>230</v>
      </c>
      <c r="J16" s="93" t="s">
        <v>253</v>
      </c>
      <c r="K16" s="94">
        <v>1.1000000000000001</v>
      </c>
      <c r="L16" s="94">
        <f>K16*VLOOKUP(H16,dagsoorttabel1,2,FALSE)</f>
        <v>2.1153846153846155E-2</v>
      </c>
      <c r="M16" s="95">
        <f>prodnorm65</f>
        <v>0</v>
      </c>
      <c r="N16" s="92" t="s">
        <v>101</v>
      </c>
      <c r="O16" s="26">
        <f>uurtarief65</f>
        <v>0</v>
      </c>
      <c r="P16" s="94" t="e">
        <f>IF(ISBLANK(M16),0,L16/ROUND(M16,4))</f>
        <v>#DIV/0!</v>
      </c>
      <c r="Q16" s="26" t="e">
        <f>ROUND(O16,2)*P16</f>
        <v>#DIV/0!</v>
      </c>
      <c r="R16" s="94" t="e">
        <f>P16*dagenperjaar1</f>
        <v>#DIV/0!</v>
      </c>
      <c r="S16" s="27" t="e">
        <f>R16*ROUND(O16,2)</f>
        <v>#DIV/0!</v>
      </c>
    </row>
    <row r="17" spans="1:19" x14ac:dyDescent="0.2">
      <c r="A17" s="91" t="s">
        <v>333</v>
      </c>
      <c r="B17" s="92" t="s">
        <v>334</v>
      </c>
      <c r="C17" s="92" t="s">
        <v>335</v>
      </c>
      <c r="D17" s="92" t="s">
        <v>352</v>
      </c>
      <c r="E17" s="93" t="s">
        <v>353</v>
      </c>
      <c r="F17" s="92" t="s">
        <v>342</v>
      </c>
      <c r="G17" s="92" t="s">
        <v>289</v>
      </c>
      <c r="H17" s="92" t="s">
        <v>18</v>
      </c>
      <c r="I17" s="92" t="s">
        <v>230</v>
      </c>
      <c r="J17" s="93" t="s">
        <v>255</v>
      </c>
      <c r="K17" s="94">
        <v>1.1000000000000001</v>
      </c>
      <c r="L17" s="94">
        <f>K17*VLOOKUP(H17,dagsoorttabel1,2,FALSE)</f>
        <v>2.1153846153846155E-2</v>
      </c>
      <c r="M17" s="95">
        <f>prodnorm66</f>
        <v>0</v>
      </c>
      <c r="N17" s="92" t="s">
        <v>101</v>
      </c>
      <c r="O17" s="26">
        <f>uurtarief66</f>
        <v>0</v>
      </c>
      <c r="P17" s="94" t="e">
        <f>IF(ISBLANK(M17),0,L17/ROUND(M17,4))</f>
        <v>#DIV/0!</v>
      </c>
      <c r="Q17" s="26" t="e">
        <f>ROUND(O17,2)*P17</f>
        <v>#DIV/0!</v>
      </c>
      <c r="R17" s="94" t="e">
        <f>P17*dagenperjaar1</f>
        <v>#DIV/0!</v>
      </c>
      <c r="S17" s="27" t="e">
        <f>R17*ROUND(O17,2)</f>
        <v>#DIV/0!</v>
      </c>
    </row>
    <row r="18" spans="1:19" x14ac:dyDescent="0.2">
      <c r="A18" s="91" t="s">
        <v>333</v>
      </c>
      <c r="B18" s="92" t="s">
        <v>334</v>
      </c>
      <c r="C18" s="92" t="s">
        <v>335</v>
      </c>
      <c r="D18" s="92" t="s">
        <v>354</v>
      </c>
      <c r="E18" s="93" t="s">
        <v>353</v>
      </c>
      <c r="F18" s="92" t="s">
        <v>342</v>
      </c>
      <c r="G18" s="92" t="s">
        <v>288</v>
      </c>
      <c r="H18" s="92" t="s">
        <v>18</v>
      </c>
      <c r="I18" s="92" t="s">
        <v>230</v>
      </c>
      <c r="J18" s="93" t="s">
        <v>253</v>
      </c>
      <c r="K18" s="94">
        <v>1.1000000000000001</v>
      </c>
      <c r="L18" s="94">
        <f>K18*VLOOKUP(H18,dagsoorttabel1,2,FALSE)</f>
        <v>2.1153846153846155E-2</v>
      </c>
      <c r="M18" s="95">
        <f>prodnorm65</f>
        <v>0</v>
      </c>
      <c r="N18" s="92" t="s">
        <v>101</v>
      </c>
      <c r="O18" s="26">
        <f>uurtarief65</f>
        <v>0</v>
      </c>
      <c r="P18" s="94" t="e">
        <f>IF(ISBLANK(M18),0,L18/ROUND(M18,4))</f>
        <v>#DIV/0!</v>
      </c>
      <c r="Q18" s="26" t="e">
        <f>ROUND(O18,2)*P18</f>
        <v>#DIV/0!</v>
      </c>
      <c r="R18" s="94" t="e">
        <f>P18*dagenperjaar1</f>
        <v>#DIV/0!</v>
      </c>
      <c r="S18" s="27" t="e">
        <f>R18*ROUND(O18,2)</f>
        <v>#DIV/0!</v>
      </c>
    </row>
    <row r="19" spans="1:19" x14ac:dyDescent="0.2">
      <c r="A19" s="91" t="s">
        <v>333</v>
      </c>
      <c r="B19" s="92" t="s">
        <v>334</v>
      </c>
      <c r="C19" s="92" t="s">
        <v>335</v>
      </c>
      <c r="D19" s="92" t="s">
        <v>354</v>
      </c>
      <c r="E19" s="93" t="s">
        <v>353</v>
      </c>
      <c r="F19" s="92" t="s">
        <v>342</v>
      </c>
      <c r="G19" s="92" t="s">
        <v>289</v>
      </c>
      <c r="H19" s="92" t="s">
        <v>18</v>
      </c>
      <c r="I19" s="92" t="s">
        <v>230</v>
      </c>
      <c r="J19" s="93" t="s">
        <v>255</v>
      </c>
      <c r="K19" s="94">
        <v>1.1000000000000001</v>
      </c>
      <c r="L19" s="94">
        <f>K19*VLOOKUP(H19,dagsoorttabel1,2,FALSE)</f>
        <v>2.1153846153846155E-2</v>
      </c>
      <c r="M19" s="95">
        <f>prodnorm66</f>
        <v>0</v>
      </c>
      <c r="N19" s="92" t="s">
        <v>101</v>
      </c>
      <c r="O19" s="26">
        <f>uurtarief66</f>
        <v>0</v>
      </c>
      <c r="P19" s="94" t="e">
        <f>IF(ISBLANK(M19),0,L19/ROUND(M19,4))</f>
        <v>#DIV/0!</v>
      </c>
      <c r="Q19" s="26" t="e">
        <f>ROUND(O19,2)*P19</f>
        <v>#DIV/0!</v>
      </c>
      <c r="R19" s="94" t="e">
        <f>P19*dagenperjaar1</f>
        <v>#DIV/0!</v>
      </c>
      <c r="S19" s="27" t="e">
        <f>R19*ROUND(O19,2)</f>
        <v>#DIV/0!</v>
      </c>
    </row>
    <row r="20" spans="1:19" x14ac:dyDescent="0.2">
      <c r="A20" s="91" t="s">
        <v>333</v>
      </c>
      <c r="B20" s="92" t="s">
        <v>334</v>
      </c>
      <c r="C20" s="92" t="s">
        <v>335</v>
      </c>
      <c r="D20" s="92" t="s">
        <v>355</v>
      </c>
      <c r="E20" s="93" t="s">
        <v>353</v>
      </c>
      <c r="F20" s="92" t="s">
        <v>342</v>
      </c>
      <c r="G20" s="92" t="s">
        <v>288</v>
      </c>
      <c r="H20" s="92" t="s">
        <v>18</v>
      </c>
      <c r="I20" s="92" t="s">
        <v>230</v>
      </c>
      <c r="J20" s="93" t="s">
        <v>253</v>
      </c>
      <c r="K20" s="94">
        <v>1.1000000000000001</v>
      </c>
      <c r="L20" s="94">
        <f>K20*VLOOKUP(H20,dagsoorttabel1,2,FALSE)</f>
        <v>2.1153846153846155E-2</v>
      </c>
      <c r="M20" s="95">
        <f>prodnorm65</f>
        <v>0</v>
      </c>
      <c r="N20" s="92" t="s">
        <v>101</v>
      </c>
      <c r="O20" s="26">
        <f>uurtarief65</f>
        <v>0</v>
      </c>
      <c r="P20" s="94" t="e">
        <f>IF(ISBLANK(M20),0,L20/ROUND(M20,4))</f>
        <v>#DIV/0!</v>
      </c>
      <c r="Q20" s="26" t="e">
        <f>ROUND(O20,2)*P20</f>
        <v>#DIV/0!</v>
      </c>
      <c r="R20" s="94" t="e">
        <f>P20*dagenperjaar1</f>
        <v>#DIV/0!</v>
      </c>
      <c r="S20" s="27" t="e">
        <f>R20*ROUND(O20,2)</f>
        <v>#DIV/0!</v>
      </c>
    </row>
    <row r="21" spans="1:19" x14ac:dyDescent="0.2">
      <c r="A21" s="91" t="s">
        <v>333</v>
      </c>
      <c r="B21" s="92" t="s">
        <v>334</v>
      </c>
      <c r="C21" s="92" t="s">
        <v>335</v>
      </c>
      <c r="D21" s="92" t="s">
        <v>355</v>
      </c>
      <c r="E21" s="93" t="s">
        <v>353</v>
      </c>
      <c r="F21" s="92" t="s">
        <v>342</v>
      </c>
      <c r="G21" s="92" t="s">
        <v>289</v>
      </c>
      <c r="H21" s="92" t="s">
        <v>18</v>
      </c>
      <c r="I21" s="92" t="s">
        <v>230</v>
      </c>
      <c r="J21" s="93" t="s">
        <v>255</v>
      </c>
      <c r="K21" s="94">
        <v>1.1000000000000001</v>
      </c>
      <c r="L21" s="94">
        <f>K21*VLOOKUP(H21,dagsoorttabel1,2,FALSE)</f>
        <v>2.1153846153846155E-2</v>
      </c>
      <c r="M21" s="95">
        <f>prodnorm66</f>
        <v>0</v>
      </c>
      <c r="N21" s="92" t="s">
        <v>101</v>
      </c>
      <c r="O21" s="26">
        <f>uurtarief66</f>
        <v>0</v>
      </c>
      <c r="P21" s="94" t="e">
        <f>IF(ISBLANK(M21),0,L21/ROUND(M21,4))</f>
        <v>#DIV/0!</v>
      </c>
      <c r="Q21" s="26" t="e">
        <f>ROUND(O21,2)*P21</f>
        <v>#DIV/0!</v>
      </c>
      <c r="R21" s="94" t="e">
        <f>P21*dagenperjaar1</f>
        <v>#DIV/0!</v>
      </c>
      <c r="S21" s="27" t="e">
        <f>R21*ROUND(O21,2)</f>
        <v>#DIV/0!</v>
      </c>
    </row>
    <row r="22" spans="1:19" x14ac:dyDescent="0.2">
      <c r="A22" s="91" t="s">
        <v>333</v>
      </c>
      <c r="B22" s="92" t="s">
        <v>334</v>
      </c>
      <c r="C22" s="92" t="s">
        <v>335</v>
      </c>
      <c r="D22" s="92" t="s">
        <v>356</v>
      </c>
      <c r="E22" s="93" t="s">
        <v>357</v>
      </c>
      <c r="F22" s="92" t="s">
        <v>342</v>
      </c>
      <c r="G22" s="92" t="s">
        <v>288</v>
      </c>
      <c r="H22" s="92" t="s">
        <v>18</v>
      </c>
      <c r="I22" s="92" t="s">
        <v>230</v>
      </c>
      <c r="J22" s="93" t="s">
        <v>253</v>
      </c>
      <c r="K22" s="94">
        <v>5.2</v>
      </c>
      <c r="L22" s="94">
        <f>K22*VLOOKUP(H22,dagsoorttabel1,2,FALSE)</f>
        <v>0.1</v>
      </c>
      <c r="M22" s="95">
        <f>prodnorm65</f>
        <v>0</v>
      </c>
      <c r="N22" s="92" t="s">
        <v>101</v>
      </c>
      <c r="O22" s="26">
        <f>uurtarief65</f>
        <v>0</v>
      </c>
      <c r="P22" s="94" t="e">
        <f>IF(ISBLANK(M22),0,L22/ROUND(M22,4))</f>
        <v>#DIV/0!</v>
      </c>
      <c r="Q22" s="26" t="e">
        <f>ROUND(O22,2)*P22</f>
        <v>#DIV/0!</v>
      </c>
      <c r="R22" s="94" t="e">
        <f>P22*dagenperjaar1</f>
        <v>#DIV/0!</v>
      </c>
      <c r="S22" s="27" t="e">
        <f>R22*ROUND(O22,2)</f>
        <v>#DIV/0!</v>
      </c>
    </row>
    <row r="23" spans="1:19" x14ac:dyDescent="0.2">
      <c r="A23" s="91" t="s">
        <v>333</v>
      </c>
      <c r="B23" s="92" t="s">
        <v>334</v>
      </c>
      <c r="C23" s="92" t="s">
        <v>335</v>
      </c>
      <c r="D23" s="92" t="s">
        <v>356</v>
      </c>
      <c r="E23" s="93" t="s">
        <v>357</v>
      </c>
      <c r="F23" s="92" t="s">
        <v>342</v>
      </c>
      <c r="G23" s="92" t="s">
        <v>289</v>
      </c>
      <c r="H23" s="92" t="s">
        <v>18</v>
      </c>
      <c r="I23" s="92" t="s">
        <v>230</v>
      </c>
      <c r="J23" s="93" t="s">
        <v>255</v>
      </c>
      <c r="K23" s="94">
        <v>5.2</v>
      </c>
      <c r="L23" s="94">
        <f>K23*VLOOKUP(H23,dagsoorttabel1,2,FALSE)</f>
        <v>0.1</v>
      </c>
      <c r="M23" s="95">
        <f>prodnorm66</f>
        <v>0</v>
      </c>
      <c r="N23" s="92" t="s">
        <v>101</v>
      </c>
      <c r="O23" s="26">
        <f>uurtarief66</f>
        <v>0</v>
      </c>
      <c r="P23" s="94" t="e">
        <f>IF(ISBLANK(M23),0,L23/ROUND(M23,4))</f>
        <v>#DIV/0!</v>
      </c>
      <c r="Q23" s="26" t="e">
        <f>ROUND(O23,2)*P23</f>
        <v>#DIV/0!</v>
      </c>
      <c r="R23" s="94" t="e">
        <f>P23*dagenperjaar1</f>
        <v>#DIV/0!</v>
      </c>
      <c r="S23" s="27" t="e">
        <f>R23*ROUND(O23,2)</f>
        <v>#DIV/0!</v>
      </c>
    </row>
    <row r="24" spans="1:19" x14ac:dyDescent="0.2">
      <c r="A24" s="91" t="s">
        <v>333</v>
      </c>
      <c r="B24" s="92" t="s">
        <v>334</v>
      </c>
      <c r="C24" s="92" t="s">
        <v>335</v>
      </c>
      <c r="D24" s="92" t="s">
        <v>362</v>
      </c>
      <c r="E24" s="93" t="s">
        <v>363</v>
      </c>
      <c r="F24" s="92" t="s">
        <v>364</v>
      </c>
      <c r="G24" s="92" t="s">
        <v>290</v>
      </c>
      <c r="H24" s="92" t="s">
        <v>18</v>
      </c>
      <c r="I24" s="92" t="s">
        <v>230</v>
      </c>
      <c r="J24" s="93" t="s">
        <v>257</v>
      </c>
      <c r="K24" s="94">
        <v>30.7</v>
      </c>
      <c r="L24" s="94">
        <f>K24*VLOOKUP(H24,dagsoorttabel1,2,FALSE)</f>
        <v>0.5903846153846154</v>
      </c>
      <c r="M24" s="95">
        <f>prodnorm67</f>
        <v>0</v>
      </c>
      <c r="N24" s="92" t="s">
        <v>101</v>
      </c>
      <c r="O24" s="26">
        <f>uurtarief67</f>
        <v>0</v>
      </c>
      <c r="P24" s="94" t="e">
        <f>IF(ISBLANK(M24),0,L24/ROUND(M24,4))</f>
        <v>#DIV/0!</v>
      </c>
      <c r="Q24" s="26" t="e">
        <f>ROUND(O24,2)*P24</f>
        <v>#DIV/0!</v>
      </c>
      <c r="R24" s="94" t="e">
        <f>P24*dagenperjaar1</f>
        <v>#DIV/0!</v>
      </c>
      <c r="S24" s="27" t="e">
        <f>R24*ROUND(O24,2)</f>
        <v>#DIV/0!</v>
      </c>
    </row>
    <row r="25" spans="1:19" x14ac:dyDescent="0.2">
      <c r="A25" s="91" t="s">
        <v>333</v>
      </c>
      <c r="B25" s="92" t="s">
        <v>334</v>
      </c>
      <c r="C25" s="92" t="s">
        <v>335</v>
      </c>
      <c r="D25" s="92" t="s">
        <v>375</v>
      </c>
      <c r="E25" s="93" t="s">
        <v>376</v>
      </c>
      <c r="F25" s="92" t="s">
        <v>342</v>
      </c>
      <c r="G25" s="92" t="s">
        <v>288</v>
      </c>
      <c r="H25" s="92" t="s">
        <v>18</v>
      </c>
      <c r="I25" s="92" t="s">
        <v>230</v>
      </c>
      <c r="J25" s="93" t="s">
        <v>253</v>
      </c>
      <c r="K25" s="94">
        <v>1.2</v>
      </c>
      <c r="L25" s="94">
        <f>K25*VLOOKUP(H25,dagsoorttabel1,2,FALSE)</f>
        <v>2.3076923076923078E-2</v>
      </c>
      <c r="M25" s="95">
        <f>prodnorm65</f>
        <v>0</v>
      </c>
      <c r="N25" s="92" t="s">
        <v>101</v>
      </c>
      <c r="O25" s="26">
        <f>uurtarief65</f>
        <v>0</v>
      </c>
      <c r="P25" s="94" t="e">
        <f>IF(ISBLANK(M25),0,L25/ROUND(M25,4))</f>
        <v>#DIV/0!</v>
      </c>
      <c r="Q25" s="26" t="e">
        <f>ROUND(O25,2)*P25</f>
        <v>#DIV/0!</v>
      </c>
      <c r="R25" s="94" t="e">
        <f>P25*dagenperjaar1</f>
        <v>#DIV/0!</v>
      </c>
      <c r="S25" s="27" t="e">
        <f>R25*ROUND(O25,2)</f>
        <v>#DIV/0!</v>
      </c>
    </row>
    <row r="26" spans="1:19" x14ac:dyDescent="0.2">
      <c r="A26" s="91" t="s">
        <v>333</v>
      </c>
      <c r="B26" s="92" t="s">
        <v>334</v>
      </c>
      <c r="C26" s="92" t="s">
        <v>335</v>
      </c>
      <c r="D26" s="92" t="s">
        <v>375</v>
      </c>
      <c r="E26" s="93" t="s">
        <v>376</v>
      </c>
      <c r="F26" s="92" t="s">
        <v>342</v>
      </c>
      <c r="G26" s="92" t="s">
        <v>289</v>
      </c>
      <c r="H26" s="92" t="s">
        <v>18</v>
      </c>
      <c r="I26" s="92" t="s">
        <v>230</v>
      </c>
      <c r="J26" s="93" t="s">
        <v>255</v>
      </c>
      <c r="K26" s="94">
        <v>1.2</v>
      </c>
      <c r="L26" s="94">
        <f>K26*VLOOKUP(H26,dagsoorttabel1,2,FALSE)</f>
        <v>2.3076923076923078E-2</v>
      </c>
      <c r="M26" s="95">
        <f>prodnorm66</f>
        <v>0</v>
      </c>
      <c r="N26" s="92" t="s">
        <v>101</v>
      </c>
      <c r="O26" s="26">
        <f>uurtarief66</f>
        <v>0</v>
      </c>
      <c r="P26" s="94" t="e">
        <f>IF(ISBLANK(M26),0,L26/ROUND(M26,4))</f>
        <v>#DIV/0!</v>
      </c>
      <c r="Q26" s="26" t="e">
        <f>ROUND(O26,2)*P26</f>
        <v>#DIV/0!</v>
      </c>
      <c r="R26" s="94" t="e">
        <f>P26*dagenperjaar1</f>
        <v>#DIV/0!</v>
      </c>
      <c r="S26" s="27" t="e">
        <f>R26*ROUND(O26,2)</f>
        <v>#DIV/0!</v>
      </c>
    </row>
    <row r="27" spans="1:19" x14ac:dyDescent="0.2">
      <c r="A27" s="91" t="s">
        <v>333</v>
      </c>
      <c r="B27" s="92" t="s">
        <v>334</v>
      </c>
      <c r="C27" s="92" t="s">
        <v>335</v>
      </c>
      <c r="D27" s="92" t="s">
        <v>377</v>
      </c>
      <c r="E27" s="93" t="s">
        <v>376</v>
      </c>
      <c r="F27" s="92" t="s">
        <v>342</v>
      </c>
      <c r="G27" s="92" t="s">
        <v>288</v>
      </c>
      <c r="H27" s="92" t="s">
        <v>18</v>
      </c>
      <c r="I27" s="92" t="s">
        <v>230</v>
      </c>
      <c r="J27" s="93" t="s">
        <v>253</v>
      </c>
      <c r="K27" s="94">
        <v>1.2</v>
      </c>
      <c r="L27" s="94">
        <f>K27*VLOOKUP(H27,dagsoorttabel1,2,FALSE)</f>
        <v>2.3076923076923078E-2</v>
      </c>
      <c r="M27" s="95">
        <f>prodnorm65</f>
        <v>0</v>
      </c>
      <c r="N27" s="92" t="s">
        <v>101</v>
      </c>
      <c r="O27" s="26">
        <f>uurtarief65</f>
        <v>0</v>
      </c>
      <c r="P27" s="94" t="e">
        <f>IF(ISBLANK(M27),0,L27/ROUND(M27,4))</f>
        <v>#DIV/0!</v>
      </c>
      <c r="Q27" s="26" t="e">
        <f>ROUND(O27,2)*P27</f>
        <v>#DIV/0!</v>
      </c>
      <c r="R27" s="94" t="e">
        <f>P27*dagenperjaar1</f>
        <v>#DIV/0!</v>
      </c>
      <c r="S27" s="27" t="e">
        <f>R27*ROUND(O27,2)</f>
        <v>#DIV/0!</v>
      </c>
    </row>
    <row r="28" spans="1:19" x14ac:dyDescent="0.2">
      <c r="A28" s="91" t="s">
        <v>333</v>
      </c>
      <c r="B28" s="92" t="s">
        <v>334</v>
      </c>
      <c r="C28" s="92" t="s">
        <v>335</v>
      </c>
      <c r="D28" s="92" t="s">
        <v>377</v>
      </c>
      <c r="E28" s="93" t="s">
        <v>376</v>
      </c>
      <c r="F28" s="92" t="s">
        <v>342</v>
      </c>
      <c r="G28" s="92" t="s">
        <v>289</v>
      </c>
      <c r="H28" s="92" t="s">
        <v>18</v>
      </c>
      <c r="I28" s="92" t="s">
        <v>230</v>
      </c>
      <c r="J28" s="93" t="s">
        <v>255</v>
      </c>
      <c r="K28" s="94">
        <v>1.2</v>
      </c>
      <c r="L28" s="94">
        <f>K28*VLOOKUP(H28,dagsoorttabel1,2,FALSE)</f>
        <v>2.3076923076923078E-2</v>
      </c>
      <c r="M28" s="95">
        <f>prodnorm66</f>
        <v>0</v>
      </c>
      <c r="N28" s="92" t="s">
        <v>101</v>
      </c>
      <c r="O28" s="26">
        <f>uurtarief66</f>
        <v>0</v>
      </c>
      <c r="P28" s="94" t="e">
        <f>IF(ISBLANK(M28),0,L28/ROUND(M28,4))</f>
        <v>#DIV/0!</v>
      </c>
      <c r="Q28" s="26" t="e">
        <f>ROUND(O28,2)*P28</f>
        <v>#DIV/0!</v>
      </c>
      <c r="R28" s="94" t="e">
        <f>P28*dagenperjaar1</f>
        <v>#DIV/0!</v>
      </c>
      <c r="S28" s="27" t="e">
        <f>R28*ROUND(O28,2)</f>
        <v>#DIV/0!</v>
      </c>
    </row>
    <row r="29" spans="1:19" x14ac:dyDescent="0.2">
      <c r="A29" s="91" t="s">
        <v>333</v>
      </c>
      <c r="B29" s="92" t="s">
        <v>334</v>
      </c>
      <c r="C29" s="92" t="s">
        <v>335</v>
      </c>
      <c r="D29" s="92" t="s">
        <v>383</v>
      </c>
      <c r="E29" s="93" t="s">
        <v>384</v>
      </c>
      <c r="F29" s="92" t="s">
        <v>349</v>
      </c>
      <c r="G29" s="92" t="s">
        <v>288</v>
      </c>
      <c r="H29" s="92" t="s">
        <v>18</v>
      </c>
      <c r="I29" s="92" t="s">
        <v>230</v>
      </c>
      <c r="J29" s="93" t="s">
        <v>253</v>
      </c>
      <c r="K29" s="94">
        <v>5.4</v>
      </c>
      <c r="L29" s="94">
        <f>K29*VLOOKUP(H29,dagsoorttabel1,2,FALSE)</f>
        <v>0.10384615384615385</v>
      </c>
      <c r="M29" s="95">
        <f>prodnorm65</f>
        <v>0</v>
      </c>
      <c r="N29" s="92" t="s">
        <v>101</v>
      </c>
      <c r="O29" s="26">
        <f>uurtarief65</f>
        <v>0</v>
      </c>
      <c r="P29" s="94" t="e">
        <f>IF(ISBLANK(M29),0,L29/ROUND(M29,4))</f>
        <v>#DIV/0!</v>
      </c>
      <c r="Q29" s="26" t="e">
        <f>ROUND(O29,2)*P29</f>
        <v>#DIV/0!</v>
      </c>
      <c r="R29" s="94" t="e">
        <f>P29*dagenperjaar1</f>
        <v>#DIV/0!</v>
      </c>
      <c r="S29" s="27" t="e">
        <f>R29*ROUND(O29,2)</f>
        <v>#DIV/0!</v>
      </c>
    </row>
    <row r="30" spans="1:19" x14ac:dyDescent="0.2">
      <c r="A30" s="91" t="s">
        <v>333</v>
      </c>
      <c r="B30" s="92" t="s">
        <v>334</v>
      </c>
      <c r="C30" s="92" t="s">
        <v>335</v>
      </c>
      <c r="D30" s="92" t="s">
        <v>383</v>
      </c>
      <c r="E30" s="93" t="s">
        <v>384</v>
      </c>
      <c r="F30" s="92" t="s">
        <v>349</v>
      </c>
      <c r="G30" s="92" t="s">
        <v>289</v>
      </c>
      <c r="H30" s="92" t="s">
        <v>18</v>
      </c>
      <c r="I30" s="92" t="s">
        <v>230</v>
      </c>
      <c r="J30" s="93" t="s">
        <v>255</v>
      </c>
      <c r="K30" s="94">
        <v>5.4</v>
      </c>
      <c r="L30" s="94">
        <f>K30*VLOOKUP(H30,dagsoorttabel1,2,FALSE)</f>
        <v>0.10384615384615385</v>
      </c>
      <c r="M30" s="95">
        <f>prodnorm66</f>
        <v>0</v>
      </c>
      <c r="N30" s="92" t="s">
        <v>101</v>
      </c>
      <c r="O30" s="26">
        <f>uurtarief66</f>
        <v>0</v>
      </c>
      <c r="P30" s="94" t="e">
        <f>IF(ISBLANK(M30),0,L30/ROUND(M30,4))</f>
        <v>#DIV/0!</v>
      </c>
      <c r="Q30" s="26" t="e">
        <f>ROUND(O30,2)*P30</f>
        <v>#DIV/0!</v>
      </c>
      <c r="R30" s="94" t="e">
        <f>P30*dagenperjaar1</f>
        <v>#DIV/0!</v>
      </c>
      <c r="S30" s="27" t="e">
        <f>R30*ROUND(O30,2)</f>
        <v>#DIV/0!</v>
      </c>
    </row>
    <row r="31" spans="1:19" x14ac:dyDescent="0.2">
      <c r="A31" s="91" t="s">
        <v>333</v>
      </c>
      <c r="B31" s="92" t="s">
        <v>334</v>
      </c>
      <c r="C31" s="92" t="s">
        <v>335</v>
      </c>
      <c r="D31" s="92" t="s">
        <v>385</v>
      </c>
      <c r="E31" s="93" t="s">
        <v>386</v>
      </c>
      <c r="F31" s="92" t="s">
        <v>364</v>
      </c>
      <c r="G31" s="92" t="s">
        <v>290</v>
      </c>
      <c r="H31" s="92" t="s">
        <v>18</v>
      </c>
      <c r="I31" s="92" t="s">
        <v>230</v>
      </c>
      <c r="J31" s="93" t="s">
        <v>257</v>
      </c>
      <c r="K31" s="94">
        <v>34.1</v>
      </c>
      <c r="L31" s="94">
        <f>K31*VLOOKUP(H31,dagsoorttabel1,2,FALSE)</f>
        <v>0.65576923076923088</v>
      </c>
      <c r="M31" s="95">
        <f>prodnorm67</f>
        <v>0</v>
      </c>
      <c r="N31" s="92" t="s">
        <v>101</v>
      </c>
      <c r="O31" s="26">
        <f>uurtarief67</f>
        <v>0</v>
      </c>
      <c r="P31" s="94" t="e">
        <f>IF(ISBLANK(M31),0,L31/ROUND(M31,4))</f>
        <v>#DIV/0!</v>
      </c>
      <c r="Q31" s="26" t="e">
        <f>ROUND(O31,2)*P31</f>
        <v>#DIV/0!</v>
      </c>
      <c r="R31" s="94" t="e">
        <f>P31*dagenperjaar1</f>
        <v>#DIV/0!</v>
      </c>
      <c r="S31" s="27" t="e">
        <f>R31*ROUND(O31,2)</f>
        <v>#DIV/0!</v>
      </c>
    </row>
    <row r="32" spans="1:19" x14ac:dyDescent="0.2">
      <c r="A32" s="91" t="s">
        <v>333</v>
      </c>
      <c r="B32" s="92" t="s">
        <v>334</v>
      </c>
      <c r="C32" s="92" t="s">
        <v>335</v>
      </c>
      <c r="D32" s="92" t="s">
        <v>389</v>
      </c>
      <c r="E32" s="93" t="s">
        <v>390</v>
      </c>
      <c r="F32" s="92" t="s">
        <v>338</v>
      </c>
      <c r="G32" s="92" t="s">
        <v>294</v>
      </c>
      <c r="H32" s="92" t="s">
        <v>18</v>
      </c>
      <c r="I32" s="92" t="s">
        <v>230</v>
      </c>
      <c r="J32" s="93" t="s">
        <v>267</v>
      </c>
      <c r="K32" s="94">
        <v>7.3</v>
      </c>
      <c r="L32" s="94">
        <f>K32*VLOOKUP(H32,dagsoorttabel1,2,FALSE)</f>
        <v>0.14038461538461539</v>
      </c>
      <c r="M32" s="95">
        <f>prodnorm71</f>
        <v>0</v>
      </c>
      <c r="N32" s="92" t="s">
        <v>101</v>
      </c>
      <c r="O32" s="26">
        <f>uurtarief71</f>
        <v>0</v>
      </c>
      <c r="P32" s="94" t="e">
        <f>IF(ISBLANK(M32),0,L32/ROUND(M32,4))</f>
        <v>#DIV/0!</v>
      </c>
      <c r="Q32" s="26" t="e">
        <f>ROUND(O32,2)*P32</f>
        <v>#DIV/0!</v>
      </c>
      <c r="R32" s="94" t="e">
        <f>P32*dagenperjaar1</f>
        <v>#DIV/0!</v>
      </c>
      <c r="S32" s="27" t="e">
        <f>R32*ROUND(O32,2)</f>
        <v>#DIV/0!</v>
      </c>
    </row>
    <row r="33" spans="1:19" x14ac:dyDescent="0.2">
      <c r="A33" s="91" t="s">
        <v>333</v>
      </c>
      <c r="B33" s="92" t="s">
        <v>334</v>
      </c>
      <c r="C33" s="92" t="s">
        <v>393</v>
      </c>
      <c r="D33" s="92" t="s">
        <v>396</v>
      </c>
      <c r="E33" s="93" t="s">
        <v>397</v>
      </c>
      <c r="F33" s="92" t="s">
        <v>342</v>
      </c>
      <c r="G33" s="92" t="s">
        <v>290</v>
      </c>
      <c r="H33" s="92" t="s">
        <v>18</v>
      </c>
      <c r="I33" s="92" t="s">
        <v>230</v>
      </c>
      <c r="J33" s="93" t="s">
        <v>257</v>
      </c>
      <c r="K33" s="94">
        <v>8</v>
      </c>
      <c r="L33" s="94">
        <f>K33*VLOOKUP(H33,dagsoorttabel1,2,FALSE)</f>
        <v>0.15384615384615385</v>
      </c>
      <c r="M33" s="95">
        <f>prodnorm67</f>
        <v>0</v>
      </c>
      <c r="N33" s="92" t="s">
        <v>101</v>
      </c>
      <c r="O33" s="26">
        <f>uurtarief67</f>
        <v>0</v>
      </c>
      <c r="P33" s="94" t="e">
        <f>IF(ISBLANK(M33),0,L33/ROUND(M33,4))</f>
        <v>#DIV/0!</v>
      </c>
      <c r="Q33" s="26" t="e">
        <f>ROUND(O33,2)*P33</f>
        <v>#DIV/0!</v>
      </c>
      <c r="R33" s="94" t="e">
        <f>P33*dagenperjaar1</f>
        <v>#DIV/0!</v>
      </c>
      <c r="S33" s="27" t="e">
        <f>R33*ROUND(O33,2)</f>
        <v>#DIV/0!</v>
      </c>
    </row>
    <row r="34" spans="1:19" x14ac:dyDescent="0.2">
      <c r="A34" s="91" t="s">
        <v>333</v>
      </c>
      <c r="B34" s="92" t="s">
        <v>334</v>
      </c>
      <c r="C34" s="92" t="s">
        <v>393</v>
      </c>
      <c r="D34" s="92" t="s">
        <v>398</v>
      </c>
      <c r="E34" s="93" t="s">
        <v>399</v>
      </c>
      <c r="F34" s="92" t="s">
        <v>364</v>
      </c>
      <c r="G34" s="92" t="s">
        <v>283</v>
      </c>
      <c r="H34" s="92" t="s">
        <v>18</v>
      </c>
      <c r="I34" s="92" t="s">
        <v>230</v>
      </c>
      <c r="J34" s="93" t="s">
        <v>243</v>
      </c>
      <c r="K34" s="94">
        <v>67.8</v>
      </c>
      <c r="L34" s="94">
        <f>K34*VLOOKUP(H34,dagsoorttabel1,2,FALSE)</f>
        <v>1.3038461538461539</v>
      </c>
      <c r="M34" s="95">
        <f>prodnorm61</f>
        <v>0</v>
      </c>
      <c r="N34" s="92" t="s">
        <v>101</v>
      </c>
      <c r="O34" s="26">
        <f>uurtarief61</f>
        <v>0</v>
      </c>
      <c r="P34" s="94" t="e">
        <f>IF(ISBLANK(M34),0,L34/ROUND(M34,4))</f>
        <v>#DIV/0!</v>
      </c>
      <c r="Q34" s="26" t="e">
        <f>ROUND(O34,2)*P34</f>
        <v>#DIV/0!</v>
      </c>
      <c r="R34" s="94" t="e">
        <f>P34*dagenperjaar1</f>
        <v>#DIV/0!</v>
      </c>
      <c r="S34" s="27" t="e">
        <f>R34*ROUND(O34,2)</f>
        <v>#DIV/0!</v>
      </c>
    </row>
    <row r="35" spans="1:19" x14ac:dyDescent="0.2">
      <c r="A35" s="91" t="s">
        <v>333</v>
      </c>
      <c r="B35" s="92" t="s">
        <v>334</v>
      </c>
      <c r="C35" s="92" t="s">
        <v>393</v>
      </c>
      <c r="D35" s="92" t="s">
        <v>400</v>
      </c>
      <c r="E35" s="93" t="s">
        <v>401</v>
      </c>
      <c r="F35" s="92" t="s">
        <v>364</v>
      </c>
      <c r="G35" s="92" t="s">
        <v>283</v>
      </c>
      <c r="H35" s="92" t="s">
        <v>18</v>
      </c>
      <c r="I35" s="92" t="s">
        <v>230</v>
      </c>
      <c r="J35" s="93" t="s">
        <v>243</v>
      </c>
      <c r="K35" s="94">
        <v>40.700000000000003</v>
      </c>
      <c r="L35" s="94">
        <f>K35*VLOOKUP(H35,dagsoorttabel1,2,FALSE)</f>
        <v>0.7826923076923078</v>
      </c>
      <c r="M35" s="95">
        <f>prodnorm61</f>
        <v>0</v>
      </c>
      <c r="N35" s="92" t="s">
        <v>101</v>
      </c>
      <c r="O35" s="26">
        <f>uurtarief61</f>
        <v>0</v>
      </c>
      <c r="P35" s="94" t="e">
        <f>IF(ISBLANK(M35),0,L35/ROUND(M35,4))</f>
        <v>#DIV/0!</v>
      </c>
      <c r="Q35" s="26" t="e">
        <f>ROUND(O35,2)*P35</f>
        <v>#DIV/0!</v>
      </c>
      <c r="R35" s="94" t="e">
        <f>P35*dagenperjaar1</f>
        <v>#DIV/0!</v>
      </c>
      <c r="S35" s="27" t="e">
        <f>R35*ROUND(O35,2)</f>
        <v>#DIV/0!</v>
      </c>
    </row>
    <row r="36" spans="1:19" x14ac:dyDescent="0.2">
      <c r="A36" s="91" t="s">
        <v>333</v>
      </c>
      <c r="B36" s="92" t="s">
        <v>334</v>
      </c>
      <c r="C36" s="92" t="s">
        <v>393</v>
      </c>
      <c r="D36" s="92" t="s">
        <v>402</v>
      </c>
      <c r="E36" s="93" t="s">
        <v>403</v>
      </c>
      <c r="F36" s="92" t="s">
        <v>364</v>
      </c>
      <c r="G36" s="92" t="s">
        <v>283</v>
      </c>
      <c r="H36" s="92" t="s">
        <v>18</v>
      </c>
      <c r="I36" s="92" t="s">
        <v>230</v>
      </c>
      <c r="J36" s="93" t="s">
        <v>243</v>
      </c>
      <c r="K36" s="94">
        <v>68</v>
      </c>
      <c r="L36" s="94">
        <f>K36*VLOOKUP(H36,dagsoorttabel1,2,FALSE)</f>
        <v>1.3076923076923077</v>
      </c>
      <c r="M36" s="95">
        <f>prodnorm61</f>
        <v>0</v>
      </c>
      <c r="N36" s="92" t="s">
        <v>101</v>
      </c>
      <c r="O36" s="26">
        <f>uurtarief61</f>
        <v>0</v>
      </c>
      <c r="P36" s="94" t="e">
        <f>IF(ISBLANK(M36),0,L36/ROUND(M36,4))</f>
        <v>#DIV/0!</v>
      </c>
      <c r="Q36" s="26" t="e">
        <f>ROUND(O36,2)*P36</f>
        <v>#DIV/0!</v>
      </c>
      <c r="R36" s="94" t="e">
        <f>P36*dagenperjaar1</f>
        <v>#DIV/0!</v>
      </c>
      <c r="S36" s="27" t="e">
        <f>R36*ROUND(O36,2)</f>
        <v>#DIV/0!</v>
      </c>
    </row>
    <row r="37" spans="1:19" x14ac:dyDescent="0.2">
      <c r="A37" s="91" t="s">
        <v>333</v>
      </c>
      <c r="B37" s="92" t="s">
        <v>334</v>
      </c>
      <c r="C37" s="92" t="s">
        <v>393</v>
      </c>
      <c r="D37" s="92" t="s">
        <v>404</v>
      </c>
      <c r="E37" s="93" t="s">
        <v>405</v>
      </c>
      <c r="F37" s="92" t="s">
        <v>364</v>
      </c>
      <c r="G37" s="92" t="s">
        <v>283</v>
      </c>
      <c r="H37" s="92" t="s">
        <v>18</v>
      </c>
      <c r="I37" s="92" t="s">
        <v>230</v>
      </c>
      <c r="J37" s="93" t="s">
        <v>243</v>
      </c>
      <c r="K37" s="94">
        <v>41.1</v>
      </c>
      <c r="L37" s="94">
        <f>K37*VLOOKUP(H37,dagsoorttabel1,2,FALSE)</f>
        <v>0.79038461538461546</v>
      </c>
      <c r="M37" s="95">
        <f>prodnorm61</f>
        <v>0</v>
      </c>
      <c r="N37" s="92" t="s">
        <v>101</v>
      </c>
      <c r="O37" s="26">
        <f>uurtarief61</f>
        <v>0</v>
      </c>
      <c r="P37" s="94" t="e">
        <f>IF(ISBLANK(M37),0,L37/ROUND(M37,4))</f>
        <v>#DIV/0!</v>
      </c>
      <c r="Q37" s="26" t="e">
        <f>ROUND(O37,2)*P37</f>
        <v>#DIV/0!</v>
      </c>
      <c r="R37" s="94" t="e">
        <f>P37*dagenperjaar1</f>
        <v>#DIV/0!</v>
      </c>
      <c r="S37" s="27" t="e">
        <f>R37*ROUND(O37,2)</f>
        <v>#DIV/0!</v>
      </c>
    </row>
    <row r="38" spans="1:19" x14ac:dyDescent="0.2">
      <c r="A38" s="91" t="s">
        <v>333</v>
      </c>
      <c r="B38" s="92" t="s">
        <v>334</v>
      </c>
      <c r="C38" s="92" t="s">
        <v>393</v>
      </c>
      <c r="D38" s="92" t="s">
        <v>406</v>
      </c>
      <c r="E38" s="93" t="s">
        <v>407</v>
      </c>
      <c r="F38" s="92" t="s">
        <v>364</v>
      </c>
      <c r="G38" s="92" t="s">
        <v>283</v>
      </c>
      <c r="H38" s="92" t="s">
        <v>18</v>
      </c>
      <c r="I38" s="92" t="s">
        <v>230</v>
      </c>
      <c r="J38" s="93" t="s">
        <v>243</v>
      </c>
      <c r="K38" s="94">
        <v>43.1</v>
      </c>
      <c r="L38" s="94">
        <f>K38*VLOOKUP(H38,dagsoorttabel1,2,FALSE)</f>
        <v>0.8288461538461539</v>
      </c>
      <c r="M38" s="95">
        <f>prodnorm61</f>
        <v>0</v>
      </c>
      <c r="N38" s="92" t="s">
        <v>101</v>
      </c>
      <c r="O38" s="26">
        <f>uurtarief61</f>
        <v>0</v>
      </c>
      <c r="P38" s="94" t="e">
        <f>IF(ISBLANK(M38),0,L38/ROUND(M38,4))</f>
        <v>#DIV/0!</v>
      </c>
      <c r="Q38" s="26" t="e">
        <f>ROUND(O38,2)*P38</f>
        <v>#DIV/0!</v>
      </c>
      <c r="R38" s="94" t="e">
        <f>P38*dagenperjaar1</f>
        <v>#DIV/0!</v>
      </c>
      <c r="S38" s="27" t="e">
        <f>R38*ROUND(O38,2)</f>
        <v>#DIV/0!</v>
      </c>
    </row>
    <row r="39" spans="1:19" x14ac:dyDescent="0.2">
      <c r="A39" s="91" t="s">
        <v>333</v>
      </c>
      <c r="B39" s="92" t="s">
        <v>334</v>
      </c>
      <c r="C39" s="92" t="s">
        <v>393</v>
      </c>
      <c r="D39" s="92" t="s">
        <v>408</v>
      </c>
      <c r="E39" s="93" t="s">
        <v>409</v>
      </c>
      <c r="F39" s="92" t="s">
        <v>364</v>
      </c>
      <c r="G39" s="92" t="s">
        <v>283</v>
      </c>
      <c r="H39" s="92" t="s">
        <v>18</v>
      </c>
      <c r="I39" s="92" t="s">
        <v>230</v>
      </c>
      <c r="J39" s="93" t="s">
        <v>243</v>
      </c>
      <c r="K39" s="94">
        <v>50.6</v>
      </c>
      <c r="L39" s="94">
        <f>K39*VLOOKUP(H39,dagsoorttabel1,2,FALSE)</f>
        <v>0.97307692307692317</v>
      </c>
      <c r="M39" s="95">
        <f>prodnorm61</f>
        <v>0</v>
      </c>
      <c r="N39" s="92" t="s">
        <v>101</v>
      </c>
      <c r="O39" s="26">
        <f>uurtarief61</f>
        <v>0</v>
      </c>
      <c r="P39" s="94" t="e">
        <f>IF(ISBLANK(M39),0,L39/ROUND(M39,4))</f>
        <v>#DIV/0!</v>
      </c>
      <c r="Q39" s="26" t="e">
        <f>ROUND(O39,2)*P39</f>
        <v>#DIV/0!</v>
      </c>
      <c r="R39" s="94" t="e">
        <f>P39*dagenperjaar1</f>
        <v>#DIV/0!</v>
      </c>
      <c r="S39" s="27" t="e">
        <f>R39*ROUND(O39,2)</f>
        <v>#DIV/0!</v>
      </c>
    </row>
    <row r="40" spans="1:19" x14ac:dyDescent="0.2">
      <c r="A40" s="91" t="s">
        <v>333</v>
      </c>
      <c r="B40" s="92" t="s">
        <v>334</v>
      </c>
      <c r="C40" s="92" t="s">
        <v>393</v>
      </c>
      <c r="D40" s="92" t="s">
        <v>410</v>
      </c>
      <c r="E40" s="93" t="s">
        <v>411</v>
      </c>
      <c r="F40" s="92" t="s">
        <v>364</v>
      </c>
      <c r="G40" s="92" t="s">
        <v>283</v>
      </c>
      <c r="H40" s="92" t="s">
        <v>18</v>
      </c>
      <c r="I40" s="92" t="s">
        <v>230</v>
      </c>
      <c r="J40" s="93" t="s">
        <v>243</v>
      </c>
      <c r="K40" s="94">
        <v>48.8</v>
      </c>
      <c r="L40" s="94">
        <f>K40*VLOOKUP(H40,dagsoorttabel1,2,FALSE)</f>
        <v>0.93846153846153846</v>
      </c>
      <c r="M40" s="95">
        <f>prodnorm61</f>
        <v>0</v>
      </c>
      <c r="N40" s="92" t="s">
        <v>101</v>
      </c>
      <c r="O40" s="26">
        <f>uurtarief61</f>
        <v>0</v>
      </c>
      <c r="P40" s="94" t="e">
        <f>IF(ISBLANK(M40),0,L40/ROUND(M40,4))</f>
        <v>#DIV/0!</v>
      </c>
      <c r="Q40" s="26" t="e">
        <f>ROUND(O40,2)*P40</f>
        <v>#DIV/0!</v>
      </c>
      <c r="R40" s="94" t="e">
        <f>P40*dagenperjaar1</f>
        <v>#DIV/0!</v>
      </c>
      <c r="S40" s="27" t="e">
        <f>R40*ROUND(O40,2)</f>
        <v>#DIV/0!</v>
      </c>
    </row>
    <row r="41" spans="1:19" x14ac:dyDescent="0.2">
      <c r="A41" s="91" t="s">
        <v>333</v>
      </c>
      <c r="B41" s="92" t="s">
        <v>334</v>
      </c>
      <c r="C41" s="92" t="s">
        <v>393</v>
      </c>
      <c r="D41" s="92" t="s">
        <v>412</v>
      </c>
      <c r="E41" s="93" t="s">
        <v>413</v>
      </c>
      <c r="F41" s="92" t="s">
        <v>364</v>
      </c>
      <c r="G41" s="92" t="s">
        <v>283</v>
      </c>
      <c r="H41" s="92" t="s">
        <v>18</v>
      </c>
      <c r="I41" s="92" t="s">
        <v>230</v>
      </c>
      <c r="J41" s="93" t="s">
        <v>243</v>
      </c>
      <c r="K41" s="94">
        <v>50.5</v>
      </c>
      <c r="L41" s="94">
        <f>K41*VLOOKUP(H41,dagsoorttabel1,2,FALSE)</f>
        <v>0.97115384615384626</v>
      </c>
      <c r="M41" s="95">
        <f>prodnorm61</f>
        <v>0</v>
      </c>
      <c r="N41" s="92" t="s">
        <v>101</v>
      </c>
      <c r="O41" s="26">
        <f>uurtarief61</f>
        <v>0</v>
      </c>
      <c r="P41" s="94" t="e">
        <f>IF(ISBLANK(M41),0,L41/ROUND(M41,4))</f>
        <v>#DIV/0!</v>
      </c>
      <c r="Q41" s="26" t="e">
        <f>ROUND(O41,2)*P41</f>
        <v>#DIV/0!</v>
      </c>
      <c r="R41" s="94" t="e">
        <f>P41*dagenperjaar1</f>
        <v>#DIV/0!</v>
      </c>
      <c r="S41" s="27" t="e">
        <f>R41*ROUND(O41,2)</f>
        <v>#DIV/0!</v>
      </c>
    </row>
    <row r="42" spans="1:19" x14ac:dyDescent="0.2">
      <c r="A42" s="91" t="s">
        <v>333</v>
      </c>
      <c r="B42" s="92" t="s">
        <v>334</v>
      </c>
      <c r="C42" s="92" t="s">
        <v>393</v>
      </c>
      <c r="D42" s="92" t="s">
        <v>414</v>
      </c>
      <c r="E42" s="93" t="s">
        <v>415</v>
      </c>
      <c r="F42" s="92" t="s">
        <v>416</v>
      </c>
      <c r="G42" s="92" t="s">
        <v>290</v>
      </c>
      <c r="H42" s="92" t="s">
        <v>18</v>
      </c>
      <c r="I42" s="92" t="s">
        <v>230</v>
      </c>
      <c r="J42" s="93" t="s">
        <v>257</v>
      </c>
      <c r="K42" s="94">
        <v>12.8</v>
      </c>
      <c r="L42" s="94">
        <f>K42*VLOOKUP(H42,dagsoorttabel1,2,FALSE)</f>
        <v>0.24615384615384617</v>
      </c>
      <c r="M42" s="95">
        <f>prodnorm67</f>
        <v>0</v>
      </c>
      <c r="N42" s="92" t="s">
        <v>101</v>
      </c>
      <c r="O42" s="26">
        <f>uurtarief67</f>
        <v>0</v>
      </c>
      <c r="P42" s="94" t="e">
        <f>IF(ISBLANK(M42),0,L42/ROUND(M42,4))</f>
        <v>#DIV/0!</v>
      </c>
      <c r="Q42" s="26" t="e">
        <f>ROUND(O42,2)*P42</f>
        <v>#DIV/0!</v>
      </c>
      <c r="R42" s="94" t="e">
        <f>P42*dagenperjaar1</f>
        <v>#DIV/0!</v>
      </c>
      <c r="S42" s="27" t="e">
        <f>R42*ROUND(O42,2)</f>
        <v>#DIV/0!</v>
      </c>
    </row>
    <row r="43" spans="1:19" x14ac:dyDescent="0.2">
      <c r="A43" s="91" t="s">
        <v>333</v>
      </c>
      <c r="B43" s="92" t="s">
        <v>334</v>
      </c>
      <c r="C43" s="92" t="s">
        <v>393</v>
      </c>
      <c r="D43" s="92" t="s">
        <v>417</v>
      </c>
      <c r="E43" s="93" t="s">
        <v>418</v>
      </c>
      <c r="F43" s="92" t="s">
        <v>342</v>
      </c>
      <c r="G43" s="92" t="s">
        <v>294</v>
      </c>
      <c r="H43" s="92" t="s">
        <v>18</v>
      </c>
      <c r="I43" s="92" t="s">
        <v>230</v>
      </c>
      <c r="J43" s="93" t="s">
        <v>267</v>
      </c>
      <c r="K43" s="94">
        <v>9.1</v>
      </c>
      <c r="L43" s="94">
        <f>K43*VLOOKUP(H43,dagsoorttabel1,2,FALSE)</f>
        <v>0.17500000000000002</v>
      </c>
      <c r="M43" s="95">
        <f>prodnorm71</f>
        <v>0</v>
      </c>
      <c r="N43" s="92" t="s">
        <v>101</v>
      </c>
      <c r="O43" s="26">
        <f>uurtarief71</f>
        <v>0</v>
      </c>
      <c r="P43" s="94" t="e">
        <f>IF(ISBLANK(M43),0,L43/ROUND(M43,4))</f>
        <v>#DIV/0!</v>
      </c>
      <c r="Q43" s="26" t="e">
        <f>ROUND(O43,2)*P43</f>
        <v>#DIV/0!</v>
      </c>
      <c r="R43" s="94" t="e">
        <f>P43*dagenperjaar1</f>
        <v>#DIV/0!</v>
      </c>
      <c r="S43" s="27" t="e">
        <f>R43*ROUND(O43,2)</f>
        <v>#DIV/0!</v>
      </c>
    </row>
    <row r="44" spans="1:19" x14ac:dyDescent="0.2">
      <c r="A44" s="91" t="s">
        <v>333</v>
      </c>
      <c r="B44" s="92" t="s">
        <v>334</v>
      </c>
      <c r="C44" s="92" t="s">
        <v>419</v>
      </c>
      <c r="D44" s="92" t="s">
        <v>420</v>
      </c>
      <c r="E44" s="93" t="s">
        <v>421</v>
      </c>
      <c r="F44" s="92" t="s">
        <v>364</v>
      </c>
      <c r="G44" s="92" t="s">
        <v>283</v>
      </c>
      <c r="H44" s="92" t="s">
        <v>18</v>
      </c>
      <c r="I44" s="92" t="s">
        <v>230</v>
      </c>
      <c r="J44" s="93" t="s">
        <v>243</v>
      </c>
      <c r="K44" s="94">
        <v>20</v>
      </c>
      <c r="L44" s="94">
        <f>K44*VLOOKUP(H44,dagsoorttabel1,2,FALSE)</f>
        <v>0.38461538461538464</v>
      </c>
      <c r="M44" s="95">
        <f>prodnorm61</f>
        <v>0</v>
      </c>
      <c r="N44" s="92" t="s">
        <v>101</v>
      </c>
      <c r="O44" s="26">
        <f>uurtarief61</f>
        <v>0</v>
      </c>
      <c r="P44" s="94" t="e">
        <f>IF(ISBLANK(M44),0,L44/ROUND(M44,4))</f>
        <v>#DIV/0!</v>
      </c>
      <c r="Q44" s="26" t="e">
        <f>ROUND(O44,2)*P44</f>
        <v>#DIV/0!</v>
      </c>
      <c r="R44" s="94" t="e">
        <f>P44*dagenperjaar1</f>
        <v>#DIV/0!</v>
      </c>
      <c r="S44" s="27" t="e">
        <f>R44*ROUND(O44,2)</f>
        <v>#DIV/0!</v>
      </c>
    </row>
    <row r="45" spans="1:19" x14ac:dyDescent="0.2">
      <c r="A45" s="91" t="s">
        <v>333</v>
      </c>
      <c r="B45" s="92" t="s">
        <v>334</v>
      </c>
      <c r="C45" s="92" t="s">
        <v>419</v>
      </c>
      <c r="D45" s="92" t="s">
        <v>422</v>
      </c>
      <c r="E45" s="93" t="s">
        <v>423</v>
      </c>
      <c r="F45" s="92" t="s">
        <v>364</v>
      </c>
      <c r="G45" s="92" t="s">
        <v>283</v>
      </c>
      <c r="H45" s="92" t="s">
        <v>18</v>
      </c>
      <c r="I45" s="92" t="s">
        <v>230</v>
      </c>
      <c r="J45" s="93" t="s">
        <v>243</v>
      </c>
      <c r="K45" s="94">
        <v>9.6999999999999993</v>
      </c>
      <c r="L45" s="94">
        <f>K45*VLOOKUP(H45,dagsoorttabel1,2,FALSE)</f>
        <v>0.18653846153846154</v>
      </c>
      <c r="M45" s="95">
        <f>prodnorm61</f>
        <v>0</v>
      </c>
      <c r="N45" s="92" t="s">
        <v>101</v>
      </c>
      <c r="O45" s="26">
        <f>uurtarief61</f>
        <v>0</v>
      </c>
      <c r="P45" s="94" t="e">
        <f>IF(ISBLANK(M45),0,L45/ROUND(M45,4))</f>
        <v>#DIV/0!</v>
      </c>
      <c r="Q45" s="26" t="e">
        <f>ROUND(O45,2)*P45</f>
        <v>#DIV/0!</v>
      </c>
      <c r="R45" s="94" t="e">
        <f>P45*dagenperjaar1</f>
        <v>#DIV/0!</v>
      </c>
      <c r="S45" s="27" t="e">
        <f>R45*ROUND(O45,2)</f>
        <v>#DIV/0!</v>
      </c>
    </row>
    <row r="46" spans="1:19" x14ac:dyDescent="0.2">
      <c r="A46" s="91" t="s">
        <v>333</v>
      </c>
      <c r="B46" s="92" t="s">
        <v>334</v>
      </c>
      <c r="C46" s="92" t="s">
        <v>419</v>
      </c>
      <c r="D46" s="92" t="s">
        <v>424</v>
      </c>
      <c r="E46" s="93" t="s">
        <v>425</v>
      </c>
      <c r="F46" s="92" t="s">
        <v>364</v>
      </c>
      <c r="G46" s="92" t="s">
        <v>283</v>
      </c>
      <c r="H46" s="92" t="s">
        <v>18</v>
      </c>
      <c r="I46" s="92" t="s">
        <v>230</v>
      </c>
      <c r="J46" s="93" t="s">
        <v>243</v>
      </c>
      <c r="K46" s="94">
        <v>62.2</v>
      </c>
      <c r="L46" s="94">
        <f>K46*VLOOKUP(H46,dagsoorttabel1,2,FALSE)</f>
        <v>1.1961538461538463</v>
      </c>
      <c r="M46" s="95">
        <f>prodnorm61</f>
        <v>0</v>
      </c>
      <c r="N46" s="92" t="s">
        <v>101</v>
      </c>
      <c r="O46" s="26">
        <f>uurtarief61</f>
        <v>0</v>
      </c>
      <c r="P46" s="94" t="e">
        <f>IF(ISBLANK(M46),0,L46/ROUND(M46,4))</f>
        <v>#DIV/0!</v>
      </c>
      <c r="Q46" s="26" t="e">
        <f>ROUND(O46,2)*P46</f>
        <v>#DIV/0!</v>
      </c>
      <c r="R46" s="94" t="e">
        <f>P46*dagenperjaar1</f>
        <v>#DIV/0!</v>
      </c>
      <c r="S46" s="27" t="e">
        <f>R46*ROUND(O46,2)</f>
        <v>#DIV/0!</v>
      </c>
    </row>
    <row r="47" spans="1:19" x14ac:dyDescent="0.2">
      <c r="A47" s="91" t="s">
        <v>333</v>
      </c>
      <c r="B47" s="92" t="s">
        <v>334</v>
      </c>
      <c r="C47" s="92" t="s">
        <v>419</v>
      </c>
      <c r="D47" s="92" t="s">
        <v>426</v>
      </c>
      <c r="E47" s="93" t="s">
        <v>427</v>
      </c>
      <c r="F47" s="92" t="s">
        <v>364</v>
      </c>
      <c r="G47" s="92" t="s">
        <v>283</v>
      </c>
      <c r="H47" s="92" t="s">
        <v>18</v>
      </c>
      <c r="I47" s="92" t="s">
        <v>230</v>
      </c>
      <c r="J47" s="93" t="s">
        <v>243</v>
      </c>
      <c r="K47" s="94">
        <v>64.2</v>
      </c>
      <c r="L47" s="94">
        <f>K47*VLOOKUP(H47,dagsoorttabel1,2,FALSE)</f>
        <v>1.2346153846153847</v>
      </c>
      <c r="M47" s="95">
        <f>prodnorm61</f>
        <v>0</v>
      </c>
      <c r="N47" s="92" t="s">
        <v>101</v>
      </c>
      <c r="O47" s="26">
        <f>uurtarief61</f>
        <v>0</v>
      </c>
      <c r="P47" s="94" t="e">
        <f>IF(ISBLANK(M47),0,L47/ROUND(M47,4))</f>
        <v>#DIV/0!</v>
      </c>
      <c r="Q47" s="26" t="e">
        <f>ROUND(O47,2)*P47</f>
        <v>#DIV/0!</v>
      </c>
      <c r="R47" s="94" t="e">
        <f>P47*dagenperjaar1</f>
        <v>#DIV/0!</v>
      </c>
      <c r="S47" s="27" t="e">
        <f>R47*ROUND(O47,2)</f>
        <v>#DIV/0!</v>
      </c>
    </row>
    <row r="48" spans="1:19" x14ac:dyDescent="0.2">
      <c r="A48" s="91" t="s">
        <v>333</v>
      </c>
      <c r="B48" s="92" t="s">
        <v>334</v>
      </c>
      <c r="C48" s="92" t="s">
        <v>419</v>
      </c>
      <c r="D48" s="92" t="s">
        <v>428</v>
      </c>
      <c r="E48" s="93" t="s">
        <v>429</v>
      </c>
      <c r="F48" s="92" t="s">
        <v>364</v>
      </c>
      <c r="G48" s="92" t="s">
        <v>283</v>
      </c>
      <c r="H48" s="92" t="s">
        <v>18</v>
      </c>
      <c r="I48" s="92" t="s">
        <v>230</v>
      </c>
      <c r="J48" s="93" t="s">
        <v>243</v>
      </c>
      <c r="K48" s="94">
        <v>57.3</v>
      </c>
      <c r="L48" s="94">
        <f>K48*VLOOKUP(H48,dagsoorttabel1,2,FALSE)</f>
        <v>1.101923076923077</v>
      </c>
      <c r="M48" s="95">
        <f>prodnorm61</f>
        <v>0</v>
      </c>
      <c r="N48" s="92" t="s">
        <v>101</v>
      </c>
      <c r="O48" s="26">
        <f>uurtarief61</f>
        <v>0</v>
      </c>
      <c r="P48" s="94" t="e">
        <f>IF(ISBLANK(M48),0,L48/ROUND(M48,4))</f>
        <v>#DIV/0!</v>
      </c>
      <c r="Q48" s="26" t="e">
        <f>ROUND(O48,2)*P48</f>
        <v>#DIV/0!</v>
      </c>
      <c r="R48" s="94" t="e">
        <f>P48*dagenperjaar1</f>
        <v>#DIV/0!</v>
      </c>
      <c r="S48" s="27" t="e">
        <f>R48*ROUND(O48,2)</f>
        <v>#DIV/0!</v>
      </c>
    </row>
    <row r="49" spans="1:19" x14ac:dyDescent="0.2">
      <c r="A49" s="91" t="s">
        <v>333</v>
      </c>
      <c r="B49" s="92" t="s">
        <v>334</v>
      </c>
      <c r="C49" s="92" t="s">
        <v>419</v>
      </c>
      <c r="D49" s="92" t="s">
        <v>430</v>
      </c>
      <c r="E49" s="93" t="s">
        <v>431</v>
      </c>
      <c r="F49" s="92" t="s">
        <v>364</v>
      </c>
      <c r="G49" s="92" t="s">
        <v>283</v>
      </c>
      <c r="H49" s="92" t="s">
        <v>18</v>
      </c>
      <c r="I49" s="92" t="s">
        <v>230</v>
      </c>
      <c r="J49" s="93" t="s">
        <v>243</v>
      </c>
      <c r="K49" s="94">
        <v>40.6</v>
      </c>
      <c r="L49" s="94">
        <f>K49*VLOOKUP(H49,dagsoorttabel1,2,FALSE)</f>
        <v>0.78076923076923088</v>
      </c>
      <c r="M49" s="95">
        <f>prodnorm61</f>
        <v>0</v>
      </c>
      <c r="N49" s="92" t="s">
        <v>101</v>
      </c>
      <c r="O49" s="26">
        <f>uurtarief61</f>
        <v>0</v>
      </c>
      <c r="P49" s="94" t="e">
        <f>IF(ISBLANK(M49),0,L49/ROUND(M49,4))</f>
        <v>#DIV/0!</v>
      </c>
      <c r="Q49" s="26" t="e">
        <f>ROUND(O49,2)*P49</f>
        <v>#DIV/0!</v>
      </c>
      <c r="R49" s="94" t="e">
        <f>P49*dagenperjaar1</f>
        <v>#DIV/0!</v>
      </c>
      <c r="S49" s="27" t="e">
        <f>R49*ROUND(O49,2)</f>
        <v>#DIV/0!</v>
      </c>
    </row>
    <row r="50" spans="1:19" x14ac:dyDescent="0.2">
      <c r="A50" s="91" t="s">
        <v>333</v>
      </c>
      <c r="B50" s="92" t="s">
        <v>334</v>
      </c>
      <c r="C50" s="92" t="s">
        <v>419</v>
      </c>
      <c r="D50" s="92" t="s">
        <v>432</v>
      </c>
      <c r="E50" s="93" t="s">
        <v>433</v>
      </c>
      <c r="F50" s="92" t="s">
        <v>364</v>
      </c>
      <c r="G50" s="92" t="s">
        <v>283</v>
      </c>
      <c r="H50" s="92" t="s">
        <v>18</v>
      </c>
      <c r="I50" s="92" t="s">
        <v>230</v>
      </c>
      <c r="J50" s="93" t="s">
        <v>243</v>
      </c>
      <c r="K50" s="94">
        <v>51.3</v>
      </c>
      <c r="L50" s="94">
        <f>K50*VLOOKUP(H50,dagsoorttabel1,2,FALSE)</f>
        <v>0.98653846153846159</v>
      </c>
      <c r="M50" s="95">
        <f>prodnorm61</f>
        <v>0</v>
      </c>
      <c r="N50" s="92" t="s">
        <v>101</v>
      </c>
      <c r="O50" s="26">
        <f>uurtarief61</f>
        <v>0</v>
      </c>
      <c r="P50" s="94" t="e">
        <f>IF(ISBLANK(M50),0,L50/ROUND(M50,4))</f>
        <v>#DIV/0!</v>
      </c>
      <c r="Q50" s="26" t="e">
        <f>ROUND(O50,2)*P50</f>
        <v>#DIV/0!</v>
      </c>
      <c r="R50" s="94" t="e">
        <f>P50*dagenperjaar1</f>
        <v>#DIV/0!</v>
      </c>
      <c r="S50" s="27" t="e">
        <f>R50*ROUND(O50,2)</f>
        <v>#DIV/0!</v>
      </c>
    </row>
    <row r="51" spans="1:19" x14ac:dyDescent="0.2">
      <c r="A51" s="91" t="s">
        <v>333</v>
      </c>
      <c r="B51" s="92" t="s">
        <v>334</v>
      </c>
      <c r="C51" s="92" t="s">
        <v>419</v>
      </c>
      <c r="D51" s="92" t="s">
        <v>434</v>
      </c>
      <c r="E51" s="93" t="s">
        <v>435</v>
      </c>
      <c r="F51" s="92" t="s">
        <v>364</v>
      </c>
      <c r="G51" s="92" t="s">
        <v>283</v>
      </c>
      <c r="H51" s="92" t="s">
        <v>18</v>
      </c>
      <c r="I51" s="92" t="s">
        <v>230</v>
      </c>
      <c r="J51" s="93" t="s">
        <v>243</v>
      </c>
      <c r="K51" s="94">
        <v>69.5</v>
      </c>
      <c r="L51" s="94">
        <f>K51*VLOOKUP(H51,dagsoorttabel1,2,FALSE)</f>
        <v>1.3365384615384617</v>
      </c>
      <c r="M51" s="95">
        <f>prodnorm61</f>
        <v>0</v>
      </c>
      <c r="N51" s="92" t="s">
        <v>101</v>
      </c>
      <c r="O51" s="26">
        <f>uurtarief61</f>
        <v>0</v>
      </c>
      <c r="P51" s="94" t="e">
        <f>IF(ISBLANK(M51),0,L51/ROUND(M51,4))</f>
        <v>#DIV/0!</v>
      </c>
      <c r="Q51" s="26" t="e">
        <f>ROUND(O51,2)*P51</f>
        <v>#DIV/0!</v>
      </c>
      <c r="R51" s="94" t="e">
        <f>P51*dagenperjaar1</f>
        <v>#DIV/0!</v>
      </c>
      <c r="S51" s="27" t="e">
        <f>R51*ROUND(O51,2)</f>
        <v>#DIV/0!</v>
      </c>
    </row>
    <row r="52" spans="1:19" x14ac:dyDescent="0.2">
      <c r="A52" s="91" t="s">
        <v>333</v>
      </c>
      <c r="B52" s="92" t="s">
        <v>334</v>
      </c>
      <c r="C52" s="92" t="s">
        <v>419</v>
      </c>
      <c r="D52" s="92" t="s">
        <v>436</v>
      </c>
      <c r="E52" s="93" t="s">
        <v>437</v>
      </c>
      <c r="F52" s="92" t="s">
        <v>364</v>
      </c>
      <c r="G52" s="92" t="s">
        <v>283</v>
      </c>
      <c r="H52" s="92" t="s">
        <v>18</v>
      </c>
      <c r="I52" s="92" t="s">
        <v>230</v>
      </c>
      <c r="J52" s="93" t="s">
        <v>243</v>
      </c>
      <c r="K52" s="94">
        <v>24.2</v>
      </c>
      <c r="L52" s="94">
        <f>K52*VLOOKUP(H52,dagsoorttabel1,2,FALSE)</f>
        <v>0.4653846153846154</v>
      </c>
      <c r="M52" s="95">
        <f>prodnorm61</f>
        <v>0</v>
      </c>
      <c r="N52" s="92" t="s">
        <v>101</v>
      </c>
      <c r="O52" s="26">
        <f>uurtarief61</f>
        <v>0</v>
      </c>
      <c r="P52" s="94" t="e">
        <f>IF(ISBLANK(M52),0,L52/ROUND(M52,4))</f>
        <v>#DIV/0!</v>
      </c>
      <c r="Q52" s="26" t="e">
        <f>ROUND(O52,2)*P52</f>
        <v>#DIV/0!</v>
      </c>
      <c r="R52" s="94" t="e">
        <f>P52*dagenperjaar1</f>
        <v>#DIV/0!</v>
      </c>
      <c r="S52" s="27" t="e">
        <f>R52*ROUND(O52,2)</f>
        <v>#DIV/0!</v>
      </c>
    </row>
    <row r="53" spans="1:19" x14ac:dyDescent="0.2">
      <c r="A53" s="91" t="s">
        <v>333</v>
      </c>
      <c r="B53" s="92" t="s">
        <v>334</v>
      </c>
      <c r="C53" s="92" t="s">
        <v>419</v>
      </c>
      <c r="D53" s="92" t="s">
        <v>438</v>
      </c>
      <c r="E53" s="93" t="s">
        <v>439</v>
      </c>
      <c r="F53" s="92" t="s">
        <v>364</v>
      </c>
      <c r="G53" s="92" t="s">
        <v>283</v>
      </c>
      <c r="H53" s="92" t="s">
        <v>18</v>
      </c>
      <c r="I53" s="92" t="s">
        <v>230</v>
      </c>
      <c r="J53" s="93" t="s">
        <v>243</v>
      </c>
      <c r="K53" s="94">
        <v>68.8</v>
      </c>
      <c r="L53" s="94">
        <f>K53*VLOOKUP(H53,dagsoorttabel1,2,FALSE)</f>
        <v>1.323076923076923</v>
      </c>
      <c r="M53" s="95">
        <f>prodnorm61</f>
        <v>0</v>
      </c>
      <c r="N53" s="92" t="s">
        <v>101</v>
      </c>
      <c r="O53" s="26">
        <f>uurtarief61</f>
        <v>0</v>
      </c>
      <c r="P53" s="94" t="e">
        <f>IF(ISBLANK(M53),0,L53/ROUND(M53,4))</f>
        <v>#DIV/0!</v>
      </c>
      <c r="Q53" s="26" t="e">
        <f>ROUND(O53,2)*P53</f>
        <v>#DIV/0!</v>
      </c>
      <c r="R53" s="94" t="e">
        <f>P53*dagenperjaar1</f>
        <v>#DIV/0!</v>
      </c>
      <c r="S53" s="27" t="e">
        <f>R53*ROUND(O53,2)</f>
        <v>#DIV/0!</v>
      </c>
    </row>
    <row r="54" spans="1:19" x14ac:dyDescent="0.2">
      <c r="A54" s="91" t="s">
        <v>333</v>
      </c>
      <c r="B54" s="92" t="s">
        <v>334</v>
      </c>
      <c r="C54" s="92" t="s">
        <v>419</v>
      </c>
      <c r="D54" s="92" t="s">
        <v>440</v>
      </c>
      <c r="E54" s="93" t="s">
        <v>415</v>
      </c>
      <c r="F54" s="92" t="s">
        <v>364</v>
      </c>
      <c r="G54" s="92" t="s">
        <v>290</v>
      </c>
      <c r="H54" s="92" t="s">
        <v>18</v>
      </c>
      <c r="I54" s="92" t="s">
        <v>230</v>
      </c>
      <c r="J54" s="93" t="s">
        <v>257</v>
      </c>
      <c r="K54" s="94">
        <v>14.6</v>
      </c>
      <c r="L54" s="94">
        <f>K54*VLOOKUP(H54,dagsoorttabel1,2,FALSE)</f>
        <v>0.28076923076923077</v>
      </c>
      <c r="M54" s="95">
        <f>prodnorm67</f>
        <v>0</v>
      </c>
      <c r="N54" s="92" t="s">
        <v>101</v>
      </c>
      <c r="O54" s="26">
        <f>uurtarief67</f>
        <v>0</v>
      </c>
      <c r="P54" s="94" t="e">
        <f>IF(ISBLANK(M54),0,L54/ROUND(M54,4))</f>
        <v>#DIV/0!</v>
      </c>
      <c r="Q54" s="26" t="e">
        <f>ROUND(O54,2)*P54</f>
        <v>#DIV/0!</v>
      </c>
      <c r="R54" s="94" t="e">
        <f>P54*dagenperjaar1</f>
        <v>#DIV/0!</v>
      </c>
      <c r="S54" s="27" t="e">
        <f>R54*ROUND(O54,2)</f>
        <v>#DIV/0!</v>
      </c>
    </row>
    <row r="55" spans="1:19" x14ac:dyDescent="0.2">
      <c r="A55" s="91" t="s">
        <v>333</v>
      </c>
      <c r="B55" s="92" t="s">
        <v>334</v>
      </c>
      <c r="C55" s="92" t="s">
        <v>419</v>
      </c>
      <c r="D55" s="92" t="s">
        <v>441</v>
      </c>
      <c r="E55" s="93" t="s">
        <v>390</v>
      </c>
      <c r="F55" s="92" t="s">
        <v>338</v>
      </c>
      <c r="G55" s="92" t="s">
        <v>294</v>
      </c>
      <c r="H55" s="92" t="s">
        <v>18</v>
      </c>
      <c r="I55" s="92" t="s">
        <v>230</v>
      </c>
      <c r="J55" s="93" t="s">
        <v>267</v>
      </c>
      <c r="K55" s="94">
        <v>10.199999999999999</v>
      </c>
      <c r="L55" s="94">
        <f>K55*VLOOKUP(H55,dagsoorttabel1,2,FALSE)</f>
        <v>0.19615384615384615</v>
      </c>
      <c r="M55" s="95">
        <f>prodnorm71</f>
        <v>0</v>
      </c>
      <c r="N55" s="92" t="s">
        <v>101</v>
      </c>
      <c r="O55" s="26">
        <f>uurtarief71</f>
        <v>0</v>
      </c>
      <c r="P55" s="94" t="e">
        <f>IF(ISBLANK(M55),0,L55/ROUND(M55,4))</f>
        <v>#DIV/0!</v>
      </c>
      <c r="Q55" s="26" t="e">
        <f>ROUND(O55,2)*P55</f>
        <v>#DIV/0!</v>
      </c>
      <c r="R55" s="94" t="e">
        <f>P55*dagenperjaar1</f>
        <v>#DIV/0!</v>
      </c>
      <c r="S55" s="27" t="e">
        <f>R55*ROUND(O55,2)</f>
        <v>#DIV/0!</v>
      </c>
    </row>
    <row r="56" spans="1:19" x14ac:dyDescent="0.2">
      <c r="A56" s="91" t="s">
        <v>333</v>
      </c>
      <c r="B56" s="92" t="s">
        <v>334</v>
      </c>
      <c r="C56" s="92" t="s">
        <v>419</v>
      </c>
      <c r="D56" s="92" t="s">
        <v>442</v>
      </c>
      <c r="E56" s="93" t="s">
        <v>390</v>
      </c>
      <c r="F56" s="92" t="s">
        <v>338</v>
      </c>
      <c r="G56" s="92" t="s">
        <v>294</v>
      </c>
      <c r="H56" s="92" t="s">
        <v>18</v>
      </c>
      <c r="I56" s="92" t="s">
        <v>230</v>
      </c>
      <c r="J56" s="93" t="s">
        <v>267</v>
      </c>
      <c r="K56" s="94">
        <v>6.7</v>
      </c>
      <c r="L56" s="94">
        <f>K56*VLOOKUP(H56,dagsoorttabel1,2,FALSE)</f>
        <v>0.12884615384615386</v>
      </c>
      <c r="M56" s="95">
        <f>prodnorm71</f>
        <v>0</v>
      </c>
      <c r="N56" s="92" t="s">
        <v>101</v>
      </c>
      <c r="O56" s="26">
        <f>uurtarief71</f>
        <v>0</v>
      </c>
      <c r="P56" s="94" t="e">
        <f>IF(ISBLANK(M56),0,L56/ROUND(M56,4))</f>
        <v>#DIV/0!</v>
      </c>
      <c r="Q56" s="26" t="e">
        <f>ROUND(O56,2)*P56</f>
        <v>#DIV/0!</v>
      </c>
      <c r="R56" s="94" t="e">
        <f>P56*dagenperjaar1</f>
        <v>#DIV/0!</v>
      </c>
      <c r="S56" s="27" t="e">
        <f>R56*ROUND(O56,2)</f>
        <v>#DIV/0!</v>
      </c>
    </row>
    <row r="57" spans="1:19" x14ac:dyDescent="0.2">
      <c r="A57" s="91" t="s">
        <v>333</v>
      </c>
      <c r="B57" s="92" t="s">
        <v>334</v>
      </c>
      <c r="C57" s="92" t="s">
        <v>443</v>
      </c>
      <c r="D57" s="92" t="s">
        <v>444</v>
      </c>
      <c r="E57" s="93" t="s">
        <v>445</v>
      </c>
      <c r="F57" s="92" t="s">
        <v>342</v>
      </c>
      <c r="G57" s="92" t="s">
        <v>290</v>
      </c>
      <c r="H57" s="92" t="s">
        <v>18</v>
      </c>
      <c r="I57" s="92" t="s">
        <v>230</v>
      </c>
      <c r="J57" s="93" t="s">
        <v>257</v>
      </c>
      <c r="K57" s="94">
        <v>5.9</v>
      </c>
      <c r="L57" s="94">
        <f>K57*VLOOKUP(H57,dagsoorttabel1,2,FALSE)</f>
        <v>0.11346153846153847</v>
      </c>
      <c r="M57" s="95">
        <f>prodnorm67</f>
        <v>0</v>
      </c>
      <c r="N57" s="92" t="s">
        <v>101</v>
      </c>
      <c r="O57" s="26">
        <f>uurtarief67</f>
        <v>0</v>
      </c>
      <c r="P57" s="94" t="e">
        <f>IF(ISBLANK(M57),0,L57/ROUND(M57,4))</f>
        <v>#DIV/0!</v>
      </c>
      <c r="Q57" s="26" t="e">
        <f>ROUND(O57,2)*P57</f>
        <v>#DIV/0!</v>
      </c>
      <c r="R57" s="94" t="e">
        <f>P57*dagenperjaar1</f>
        <v>#DIV/0!</v>
      </c>
      <c r="S57" s="27" t="e">
        <f>R57*ROUND(O57,2)</f>
        <v>#DIV/0!</v>
      </c>
    </row>
    <row r="58" spans="1:19" x14ac:dyDescent="0.2">
      <c r="A58" s="91" t="s">
        <v>333</v>
      </c>
      <c r="B58" s="92" t="s">
        <v>334</v>
      </c>
      <c r="C58" s="92" t="s">
        <v>443</v>
      </c>
      <c r="D58" s="92" t="s">
        <v>446</v>
      </c>
      <c r="E58" s="93" t="s">
        <v>447</v>
      </c>
      <c r="F58" s="92" t="s">
        <v>342</v>
      </c>
      <c r="G58" s="92" t="s">
        <v>283</v>
      </c>
      <c r="H58" s="92" t="s">
        <v>18</v>
      </c>
      <c r="I58" s="92" t="s">
        <v>230</v>
      </c>
      <c r="J58" s="93" t="s">
        <v>243</v>
      </c>
      <c r="K58" s="94">
        <v>45.2</v>
      </c>
      <c r="L58" s="94">
        <f>K58*VLOOKUP(H58,dagsoorttabel1,2,FALSE)</f>
        <v>0.86923076923076936</v>
      </c>
      <c r="M58" s="95">
        <f>prodnorm61</f>
        <v>0</v>
      </c>
      <c r="N58" s="92" t="s">
        <v>101</v>
      </c>
      <c r="O58" s="26">
        <f>uurtarief61</f>
        <v>0</v>
      </c>
      <c r="P58" s="94" t="e">
        <f>IF(ISBLANK(M58),0,L58/ROUND(M58,4))</f>
        <v>#DIV/0!</v>
      </c>
      <c r="Q58" s="26" t="e">
        <f>ROUND(O58,2)*P58</f>
        <v>#DIV/0!</v>
      </c>
      <c r="R58" s="94" t="e">
        <f>P58*dagenperjaar1</f>
        <v>#DIV/0!</v>
      </c>
      <c r="S58" s="27" t="e">
        <f>R58*ROUND(O58,2)</f>
        <v>#DIV/0!</v>
      </c>
    </row>
    <row r="59" spans="1:19" x14ac:dyDescent="0.2">
      <c r="A59" s="91" t="s">
        <v>333</v>
      </c>
      <c r="B59" s="92" t="s">
        <v>334</v>
      </c>
      <c r="C59" s="92" t="s">
        <v>443</v>
      </c>
      <c r="D59" s="92" t="s">
        <v>448</v>
      </c>
      <c r="E59" s="93" t="s">
        <v>447</v>
      </c>
      <c r="F59" s="92" t="s">
        <v>342</v>
      </c>
      <c r="G59" s="92" t="s">
        <v>283</v>
      </c>
      <c r="H59" s="92" t="s">
        <v>18</v>
      </c>
      <c r="I59" s="92" t="s">
        <v>230</v>
      </c>
      <c r="J59" s="93" t="s">
        <v>243</v>
      </c>
      <c r="K59" s="94">
        <v>51.7</v>
      </c>
      <c r="L59" s="94">
        <f>K59*VLOOKUP(H59,dagsoorttabel1,2,FALSE)</f>
        <v>0.99423076923076936</v>
      </c>
      <c r="M59" s="95">
        <f>prodnorm61</f>
        <v>0</v>
      </c>
      <c r="N59" s="92" t="s">
        <v>101</v>
      </c>
      <c r="O59" s="26">
        <f>uurtarief61</f>
        <v>0</v>
      </c>
      <c r="P59" s="94" t="e">
        <f>IF(ISBLANK(M59),0,L59/ROUND(M59,4))</f>
        <v>#DIV/0!</v>
      </c>
      <c r="Q59" s="26" t="e">
        <f>ROUND(O59,2)*P59</f>
        <v>#DIV/0!</v>
      </c>
      <c r="R59" s="94" t="e">
        <f>P59*dagenperjaar1</f>
        <v>#DIV/0!</v>
      </c>
      <c r="S59" s="27" t="e">
        <f>R59*ROUND(O59,2)</f>
        <v>#DIV/0!</v>
      </c>
    </row>
    <row r="60" spans="1:19" x14ac:dyDescent="0.2">
      <c r="A60" s="91" t="s">
        <v>333</v>
      </c>
      <c r="B60" s="92" t="s">
        <v>334</v>
      </c>
      <c r="C60" s="92" t="s">
        <v>443</v>
      </c>
      <c r="D60" s="92" t="s">
        <v>451</v>
      </c>
      <c r="E60" s="93" t="s">
        <v>452</v>
      </c>
      <c r="F60" s="92" t="s">
        <v>342</v>
      </c>
      <c r="G60" s="92" t="s">
        <v>283</v>
      </c>
      <c r="H60" s="92" t="s">
        <v>18</v>
      </c>
      <c r="I60" s="92" t="s">
        <v>230</v>
      </c>
      <c r="J60" s="93" t="s">
        <v>243</v>
      </c>
      <c r="K60" s="94">
        <v>77.3</v>
      </c>
      <c r="L60" s="94">
        <f>K60*VLOOKUP(H60,dagsoorttabel1,2,FALSE)</f>
        <v>1.4865384615384616</v>
      </c>
      <c r="M60" s="95">
        <f>prodnorm61</f>
        <v>0</v>
      </c>
      <c r="N60" s="92" t="s">
        <v>101</v>
      </c>
      <c r="O60" s="26">
        <f>uurtarief61</f>
        <v>0</v>
      </c>
      <c r="P60" s="94" t="e">
        <f>IF(ISBLANK(M60),0,L60/ROUND(M60,4))</f>
        <v>#DIV/0!</v>
      </c>
      <c r="Q60" s="26" t="e">
        <f>ROUND(O60,2)*P60</f>
        <v>#DIV/0!</v>
      </c>
      <c r="R60" s="94" t="e">
        <f>P60*dagenperjaar1</f>
        <v>#DIV/0!</v>
      </c>
      <c r="S60" s="27" t="e">
        <f>R60*ROUND(O60,2)</f>
        <v>#DIV/0!</v>
      </c>
    </row>
    <row r="61" spans="1:19" x14ac:dyDescent="0.2">
      <c r="A61" s="91" t="s">
        <v>333</v>
      </c>
      <c r="B61" s="92" t="s">
        <v>334</v>
      </c>
      <c r="C61" s="92" t="s">
        <v>443</v>
      </c>
      <c r="D61" s="92" t="s">
        <v>453</v>
      </c>
      <c r="E61" s="93" t="s">
        <v>452</v>
      </c>
      <c r="F61" s="92" t="s">
        <v>342</v>
      </c>
      <c r="G61" s="92" t="s">
        <v>283</v>
      </c>
      <c r="H61" s="92" t="s">
        <v>18</v>
      </c>
      <c r="I61" s="92" t="s">
        <v>230</v>
      </c>
      <c r="J61" s="93" t="s">
        <v>243</v>
      </c>
      <c r="K61" s="94">
        <v>56.6</v>
      </c>
      <c r="L61" s="94">
        <f>K61*VLOOKUP(H61,dagsoorttabel1,2,FALSE)</f>
        <v>1.0884615384615386</v>
      </c>
      <c r="M61" s="95">
        <f>prodnorm61</f>
        <v>0</v>
      </c>
      <c r="N61" s="92" t="s">
        <v>101</v>
      </c>
      <c r="O61" s="26">
        <f>uurtarief61</f>
        <v>0</v>
      </c>
      <c r="P61" s="94" t="e">
        <f>IF(ISBLANK(M61),0,L61/ROUND(M61,4))</f>
        <v>#DIV/0!</v>
      </c>
      <c r="Q61" s="26" t="e">
        <f>ROUND(O61,2)*P61</f>
        <v>#DIV/0!</v>
      </c>
      <c r="R61" s="94" t="e">
        <f>P61*dagenperjaar1</f>
        <v>#DIV/0!</v>
      </c>
      <c r="S61" s="27" t="e">
        <f>R61*ROUND(O61,2)</f>
        <v>#DIV/0!</v>
      </c>
    </row>
    <row r="62" spans="1:19" x14ac:dyDescent="0.2">
      <c r="A62" s="91" t="s">
        <v>333</v>
      </c>
      <c r="B62" s="92" t="s">
        <v>334</v>
      </c>
      <c r="C62" s="92" t="s">
        <v>443</v>
      </c>
      <c r="D62" s="92" t="s">
        <v>454</v>
      </c>
      <c r="E62" s="93" t="s">
        <v>452</v>
      </c>
      <c r="F62" s="92" t="s">
        <v>342</v>
      </c>
      <c r="G62" s="92" t="s">
        <v>283</v>
      </c>
      <c r="H62" s="92" t="s">
        <v>18</v>
      </c>
      <c r="I62" s="92" t="s">
        <v>230</v>
      </c>
      <c r="J62" s="93" t="s">
        <v>243</v>
      </c>
      <c r="K62" s="94">
        <v>72</v>
      </c>
      <c r="L62" s="94">
        <f>K62*VLOOKUP(H62,dagsoorttabel1,2,FALSE)</f>
        <v>1.3846153846153846</v>
      </c>
      <c r="M62" s="95">
        <f>prodnorm61</f>
        <v>0</v>
      </c>
      <c r="N62" s="92" t="s">
        <v>101</v>
      </c>
      <c r="O62" s="26">
        <f>uurtarief61</f>
        <v>0</v>
      </c>
      <c r="P62" s="94" t="e">
        <f>IF(ISBLANK(M62),0,L62/ROUND(M62,4))</f>
        <v>#DIV/0!</v>
      </c>
      <c r="Q62" s="26" t="e">
        <f>ROUND(O62,2)*P62</f>
        <v>#DIV/0!</v>
      </c>
      <c r="R62" s="94" t="e">
        <f>P62*dagenperjaar1</f>
        <v>#DIV/0!</v>
      </c>
      <c r="S62" s="27" t="e">
        <f>R62*ROUND(O62,2)</f>
        <v>#DIV/0!</v>
      </c>
    </row>
    <row r="63" spans="1:19" x14ac:dyDescent="0.2">
      <c r="A63" s="91" t="s">
        <v>333</v>
      </c>
      <c r="B63" s="92" t="s">
        <v>334</v>
      </c>
      <c r="C63" s="92" t="s">
        <v>443</v>
      </c>
      <c r="D63" s="92" t="s">
        <v>455</v>
      </c>
      <c r="E63" s="93" t="s">
        <v>415</v>
      </c>
      <c r="F63" s="92" t="s">
        <v>364</v>
      </c>
      <c r="G63" s="92" t="s">
        <v>290</v>
      </c>
      <c r="H63" s="92" t="s">
        <v>18</v>
      </c>
      <c r="I63" s="92" t="s">
        <v>230</v>
      </c>
      <c r="J63" s="93" t="s">
        <v>257</v>
      </c>
      <c r="K63" s="94">
        <v>13</v>
      </c>
      <c r="L63" s="94">
        <f>K63*VLOOKUP(H63,dagsoorttabel1,2,FALSE)</f>
        <v>0.25</v>
      </c>
      <c r="M63" s="95">
        <f>prodnorm67</f>
        <v>0</v>
      </c>
      <c r="N63" s="92" t="s">
        <v>101</v>
      </c>
      <c r="O63" s="26">
        <f>uurtarief67</f>
        <v>0</v>
      </c>
      <c r="P63" s="94" t="e">
        <f>IF(ISBLANK(M63),0,L63/ROUND(M63,4))</f>
        <v>#DIV/0!</v>
      </c>
      <c r="Q63" s="26" t="e">
        <f>ROUND(O63,2)*P63</f>
        <v>#DIV/0!</v>
      </c>
      <c r="R63" s="94" t="e">
        <f>P63*dagenperjaar1</f>
        <v>#DIV/0!</v>
      </c>
      <c r="S63" s="27" t="e">
        <f>R63*ROUND(O63,2)</f>
        <v>#DIV/0!</v>
      </c>
    </row>
    <row r="64" spans="1:19" x14ac:dyDescent="0.2">
      <c r="A64" s="91" t="s">
        <v>333</v>
      </c>
      <c r="B64" s="92" t="s">
        <v>334</v>
      </c>
      <c r="C64" s="92" t="s">
        <v>443</v>
      </c>
      <c r="D64" s="92" t="s">
        <v>456</v>
      </c>
      <c r="E64" s="93" t="s">
        <v>457</v>
      </c>
      <c r="F64" s="92" t="s">
        <v>458</v>
      </c>
      <c r="G64" s="92" t="s">
        <v>288</v>
      </c>
      <c r="H64" s="92" t="s">
        <v>18</v>
      </c>
      <c r="I64" s="92" t="s">
        <v>230</v>
      </c>
      <c r="J64" s="93" t="s">
        <v>253</v>
      </c>
      <c r="K64" s="94">
        <v>2.1</v>
      </c>
      <c r="L64" s="94">
        <f>K64*VLOOKUP(H64,dagsoorttabel1,2,FALSE)</f>
        <v>4.0384615384615387E-2</v>
      </c>
      <c r="M64" s="95">
        <f>prodnorm65</f>
        <v>0</v>
      </c>
      <c r="N64" s="92" t="s">
        <v>101</v>
      </c>
      <c r="O64" s="26">
        <f>uurtarief65</f>
        <v>0</v>
      </c>
      <c r="P64" s="94" t="e">
        <f>IF(ISBLANK(M64),0,L64/ROUND(M64,4))</f>
        <v>#DIV/0!</v>
      </c>
      <c r="Q64" s="26" t="e">
        <f>ROUND(O64,2)*P64</f>
        <v>#DIV/0!</v>
      </c>
      <c r="R64" s="94" t="e">
        <f>P64*dagenperjaar1</f>
        <v>#DIV/0!</v>
      </c>
      <c r="S64" s="27" t="e">
        <f>R64*ROUND(O64,2)</f>
        <v>#DIV/0!</v>
      </c>
    </row>
    <row r="65" spans="1:19" x14ac:dyDescent="0.2">
      <c r="A65" s="91" t="s">
        <v>333</v>
      </c>
      <c r="B65" s="92" t="s">
        <v>334</v>
      </c>
      <c r="C65" s="92" t="s">
        <v>443</v>
      </c>
      <c r="D65" s="92" t="s">
        <v>456</v>
      </c>
      <c r="E65" s="93" t="s">
        <v>457</v>
      </c>
      <c r="F65" s="92" t="s">
        <v>458</v>
      </c>
      <c r="G65" s="92" t="s">
        <v>289</v>
      </c>
      <c r="H65" s="92" t="s">
        <v>18</v>
      </c>
      <c r="I65" s="92" t="s">
        <v>230</v>
      </c>
      <c r="J65" s="93" t="s">
        <v>255</v>
      </c>
      <c r="K65" s="94">
        <v>2.1</v>
      </c>
      <c r="L65" s="94">
        <f>K65*VLOOKUP(H65,dagsoorttabel1,2,FALSE)</f>
        <v>4.0384615384615387E-2</v>
      </c>
      <c r="M65" s="95">
        <f>prodnorm66</f>
        <v>0</v>
      </c>
      <c r="N65" s="92" t="s">
        <v>101</v>
      </c>
      <c r="O65" s="26">
        <f>uurtarief66</f>
        <v>0</v>
      </c>
      <c r="P65" s="94" t="e">
        <f>IF(ISBLANK(M65),0,L65/ROUND(M65,4))</f>
        <v>#DIV/0!</v>
      </c>
      <c r="Q65" s="26" t="e">
        <f>ROUND(O65,2)*P65</f>
        <v>#DIV/0!</v>
      </c>
      <c r="R65" s="94" t="e">
        <f>P65*dagenperjaar1</f>
        <v>#DIV/0!</v>
      </c>
      <c r="S65" s="27" t="e">
        <f>R65*ROUND(O65,2)</f>
        <v>#DIV/0!</v>
      </c>
    </row>
    <row r="66" spans="1:19" x14ac:dyDescent="0.2">
      <c r="A66" s="91" t="s">
        <v>333</v>
      </c>
      <c r="B66" s="92" t="s">
        <v>476</v>
      </c>
      <c r="C66" s="92" t="s">
        <v>393</v>
      </c>
      <c r="D66" s="92" t="s">
        <v>479</v>
      </c>
      <c r="E66" s="93" t="s">
        <v>480</v>
      </c>
      <c r="F66" s="92" t="s">
        <v>349</v>
      </c>
      <c r="G66" s="92" t="s">
        <v>295</v>
      </c>
      <c r="H66" s="92" t="s">
        <v>18</v>
      </c>
      <c r="I66" s="92" t="s">
        <v>230</v>
      </c>
      <c r="J66" s="93" t="s">
        <v>296</v>
      </c>
      <c r="K66" s="94">
        <v>164.3</v>
      </c>
      <c r="L66" s="94">
        <f>K66*VLOOKUP(H66,dagsoorttabel1,2,FALSE)</f>
        <v>3.1596153846153849</v>
      </c>
      <c r="M66" s="95">
        <f>prodnorm72</f>
        <v>0</v>
      </c>
      <c r="N66" s="92" t="s">
        <v>101</v>
      </c>
      <c r="O66" s="26">
        <f>uurtarief72</f>
        <v>0</v>
      </c>
      <c r="P66" s="94" t="e">
        <f>IF(ISBLANK(M66),0,L66/ROUND(M66,4))</f>
        <v>#DIV/0!</v>
      </c>
      <c r="Q66" s="26" t="e">
        <f>ROUND(O66,2)*P66</f>
        <v>#DIV/0!</v>
      </c>
      <c r="R66" s="94" t="e">
        <f>P66*dagenperjaar1</f>
        <v>#DIV/0!</v>
      </c>
      <c r="S66" s="27" t="e">
        <f>R66*ROUND(O66,2)</f>
        <v>#DIV/0!</v>
      </c>
    </row>
    <row r="67" spans="1:19" x14ac:dyDescent="0.2">
      <c r="A67" s="91" t="s">
        <v>333</v>
      </c>
      <c r="B67" s="92" t="s">
        <v>485</v>
      </c>
      <c r="C67" s="92" t="s">
        <v>335</v>
      </c>
      <c r="D67" s="92" t="s">
        <v>487</v>
      </c>
      <c r="E67" s="93" t="s">
        <v>488</v>
      </c>
      <c r="F67" s="92" t="s">
        <v>349</v>
      </c>
      <c r="G67" s="92" t="s">
        <v>290</v>
      </c>
      <c r="H67" s="92" t="s">
        <v>18</v>
      </c>
      <c r="I67" s="92" t="s">
        <v>230</v>
      </c>
      <c r="J67" s="93" t="s">
        <v>257</v>
      </c>
      <c r="K67" s="94">
        <v>52.3</v>
      </c>
      <c r="L67" s="94">
        <f>K67*VLOOKUP(H67,dagsoorttabel1,2,FALSE)</f>
        <v>1.0057692307692307</v>
      </c>
      <c r="M67" s="95">
        <f>prodnorm67</f>
        <v>0</v>
      </c>
      <c r="N67" s="92" t="s">
        <v>101</v>
      </c>
      <c r="O67" s="26">
        <f>uurtarief67</f>
        <v>0</v>
      </c>
      <c r="P67" s="94" t="e">
        <f>IF(ISBLANK(M67),0,L67/ROUND(M67,4))</f>
        <v>#DIV/0!</v>
      </c>
      <c r="Q67" s="26" t="e">
        <f>ROUND(O67,2)*P67</f>
        <v>#DIV/0!</v>
      </c>
      <c r="R67" s="94" t="e">
        <f>P67*dagenperjaar1</f>
        <v>#DIV/0!</v>
      </c>
      <c r="S67" s="27" t="e">
        <f>R67*ROUND(O67,2)</f>
        <v>#DIV/0!</v>
      </c>
    </row>
    <row r="68" spans="1:19" x14ac:dyDescent="0.2">
      <c r="A68" s="91" t="s">
        <v>333</v>
      </c>
      <c r="B68" s="92" t="s">
        <v>485</v>
      </c>
      <c r="C68" s="92" t="s">
        <v>335</v>
      </c>
      <c r="D68" s="92" t="s">
        <v>493</v>
      </c>
      <c r="E68" s="93" t="s">
        <v>494</v>
      </c>
      <c r="F68" s="92" t="s">
        <v>458</v>
      </c>
      <c r="G68" s="92" t="s">
        <v>293</v>
      </c>
      <c r="H68" s="92" t="s">
        <v>18</v>
      </c>
      <c r="I68" s="92" t="s">
        <v>230</v>
      </c>
      <c r="J68" s="93" t="s">
        <v>265</v>
      </c>
      <c r="K68" s="94">
        <v>4.5</v>
      </c>
      <c r="L68" s="94">
        <f>K68*VLOOKUP(H68,dagsoorttabel1,2,FALSE)</f>
        <v>8.6538461538461536E-2</v>
      </c>
      <c r="M68" s="95">
        <f>prodnorm70</f>
        <v>0</v>
      </c>
      <c r="N68" s="92" t="s">
        <v>101</v>
      </c>
      <c r="O68" s="26">
        <f>uurtarief70</f>
        <v>0</v>
      </c>
      <c r="P68" s="94" t="e">
        <f>IF(ISBLANK(M68),0,L68/ROUND(M68,4))</f>
        <v>#DIV/0!</v>
      </c>
      <c r="Q68" s="26" t="e">
        <f>ROUND(O68,2)*P68</f>
        <v>#DIV/0!</v>
      </c>
      <c r="R68" s="94" t="e">
        <f>P68*dagenperjaar1</f>
        <v>#DIV/0!</v>
      </c>
      <c r="S68" s="27" t="e">
        <f>R68*ROUND(O68,2)</f>
        <v>#DIV/0!</v>
      </c>
    </row>
    <row r="69" spans="1:19" x14ac:dyDescent="0.2">
      <c r="A69" s="91" t="s">
        <v>333</v>
      </c>
      <c r="B69" s="92" t="s">
        <v>485</v>
      </c>
      <c r="C69" s="92" t="s">
        <v>335</v>
      </c>
      <c r="D69" s="92" t="s">
        <v>495</v>
      </c>
      <c r="E69" s="93" t="s">
        <v>496</v>
      </c>
      <c r="F69" s="92" t="s">
        <v>338</v>
      </c>
      <c r="G69" s="92" t="s">
        <v>294</v>
      </c>
      <c r="H69" s="92" t="s">
        <v>18</v>
      </c>
      <c r="I69" s="92" t="s">
        <v>230</v>
      </c>
      <c r="J69" s="93" t="s">
        <v>267</v>
      </c>
      <c r="K69" s="94">
        <v>13.8</v>
      </c>
      <c r="L69" s="94">
        <f>K69*VLOOKUP(H69,dagsoorttabel1,2,FALSE)</f>
        <v>0.26538461538461539</v>
      </c>
      <c r="M69" s="95">
        <f>prodnorm71</f>
        <v>0</v>
      </c>
      <c r="N69" s="92" t="s">
        <v>101</v>
      </c>
      <c r="O69" s="26">
        <f>uurtarief71</f>
        <v>0</v>
      </c>
      <c r="P69" s="94" t="e">
        <f>IF(ISBLANK(M69),0,L69/ROUND(M69,4))</f>
        <v>#DIV/0!</v>
      </c>
      <c r="Q69" s="26" t="e">
        <f>ROUND(O69,2)*P69</f>
        <v>#DIV/0!</v>
      </c>
      <c r="R69" s="94" t="e">
        <f>P69*dagenperjaar1</f>
        <v>#DIV/0!</v>
      </c>
      <c r="S69" s="27" t="e">
        <f>R69*ROUND(O69,2)</f>
        <v>#DIV/0!</v>
      </c>
    </row>
    <row r="70" spans="1:19" x14ac:dyDescent="0.2">
      <c r="A70" s="91" t="s">
        <v>333</v>
      </c>
      <c r="B70" s="92" t="s">
        <v>485</v>
      </c>
      <c r="C70" s="92" t="s">
        <v>335</v>
      </c>
      <c r="D70" s="92" t="s">
        <v>497</v>
      </c>
      <c r="E70" s="93" t="s">
        <v>498</v>
      </c>
      <c r="F70" s="92" t="s">
        <v>499</v>
      </c>
      <c r="G70" s="92" t="s">
        <v>283</v>
      </c>
      <c r="H70" s="92" t="s">
        <v>18</v>
      </c>
      <c r="I70" s="92" t="s">
        <v>230</v>
      </c>
      <c r="J70" s="93" t="s">
        <v>243</v>
      </c>
      <c r="K70" s="94">
        <v>70.3</v>
      </c>
      <c r="L70" s="94">
        <f>K70*VLOOKUP(H70,dagsoorttabel1,2,FALSE)</f>
        <v>1.351923076923077</v>
      </c>
      <c r="M70" s="95">
        <f>prodnorm61</f>
        <v>0</v>
      </c>
      <c r="N70" s="92" t="s">
        <v>101</v>
      </c>
      <c r="O70" s="26">
        <f>uurtarief61</f>
        <v>0</v>
      </c>
      <c r="P70" s="94" t="e">
        <f>IF(ISBLANK(M70),0,L70/ROUND(M70,4))</f>
        <v>#DIV/0!</v>
      </c>
      <c r="Q70" s="26" t="e">
        <f>ROUND(O70,2)*P70</f>
        <v>#DIV/0!</v>
      </c>
      <c r="R70" s="94" t="e">
        <f>P70*dagenperjaar1</f>
        <v>#DIV/0!</v>
      </c>
      <c r="S70" s="27" t="e">
        <f>R70*ROUND(O70,2)</f>
        <v>#DIV/0!</v>
      </c>
    </row>
    <row r="71" spans="1:19" x14ac:dyDescent="0.2">
      <c r="A71" s="91" t="s">
        <v>333</v>
      </c>
      <c r="B71" s="92" t="s">
        <v>485</v>
      </c>
      <c r="C71" s="92" t="s">
        <v>335</v>
      </c>
      <c r="D71" s="92" t="s">
        <v>500</v>
      </c>
      <c r="E71" s="93" t="s">
        <v>501</v>
      </c>
      <c r="F71" s="92" t="s">
        <v>502</v>
      </c>
      <c r="G71" s="92" t="s">
        <v>294</v>
      </c>
      <c r="H71" s="92" t="s">
        <v>18</v>
      </c>
      <c r="I71" s="92" t="s">
        <v>230</v>
      </c>
      <c r="J71" s="93" t="s">
        <v>267</v>
      </c>
      <c r="K71" s="94">
        <v>22.2</v>
      </c>
      <c r="L71" s="94">
        <f>K71*VLOOKUP(H71,dagsoorttabel1,2,FALSE)</f>
        <v>0.42692307692307696</v>
      </c>
      <c r="M71" s="95">
        <f>prodnorm71</f>
        <v>0</v>
      </c>
      <c r="N71" s="92" t="s">
        <v>101</v>
      </c>
      <c r="O71" s="26">
        <f>uurtarief71</f>
        <v>0</v>
      </c>
      <c r="P71" s="94" t="e">
        <f>IF(ISBLANK(M71),0,L71/ROUND(M71,4))</f>
        <v>#DIV/0!</v>
      </c>
      <c r="Q71" s="26" t="e">
        <f>ROUND(O71,2)*P71</f>
        <v>#DIV/0!</v>
      </c>
      <c r="R71" s="94" t="e">
        <f>P71*dagenperjaar1</f>
        <v>#DIV/0!</v>
      </c>
      <c r="S71" s="27" t="e">
        <f>R71*ROUND(O71,2)</f>
        <v>#DIV/0!</v>
      </c>
    </row>
    <row r="72" spans="1:19" x14ac:dyDescent="0.2">
      <c r="A72" s="91" t="s">
        <v>333</v>
      </c>
      <c r="B72" s="92" t="s">
        <v>485</v>
      </c>
      <c r="C72" s="92" t="s">
        <v>393</v>
      </c>
      <c r="D72" s="92" t="s">
        <v>503</v>
      </c>
      <c r="E72" s="93" t="s">
        <v>504</v>
      </c>
      <c r="F72" s="92" t="s">
        <v>505</v>
      </c>
      <c r="G72" s="92" t="s">
        <v>291</v>
      </c>
      <c r="H72" s="92" t="s">
        <v>18</v>
      </c>
      <c r="I72" s="92" t="s">
        <v>230</v>
      </c>
      <c r="J72" s="93" t="s">
        <v>261</v>
      </c>
      <c r="K72" s="94">
        <v>57.6</v>
      </c>
      <c r="L72" s="94">
        <f>K72*VLOOKUP(H72,dagsoorttabel1,2,FALSE)</f>
        <v>1.1076923076923078</v>
      </c>
      <c r="M72" s="95">
        <f>prodnorm68</f>
        <v>0</v>
      </c>
      <c r="N72" s="92" t="s">
        <v>101</v>
      </c>
      <c r="O72" s="26">
        <f>uurtarief68</f>
        <v>0</v>
      </c>
      <c r="P72" s="94" t="e">
        <f>IF(ISBLANK(M72),0,L72/ROUND(M72,4))</f>
        <v>#DIV/0!</v>
      </c>
      <c r="Q72" s="26" t="e">
        <f>ROUND(O72,2)*P72</f>
        <v>#DIV/0!</v>
      </c>
      <c r="R72" s="94" t="e">
        <f>P72*dagenperjaar1</f>
        <v>#DIV/0!</v>
      </c>
      <c r="S72" s="27" t="e">
        <f>R72*ROUND(O72,2)</f>
        <v>#DIV/0!</v>
      </c>
    </row>
    <row r="73" spans="1:19" x14ac:dyDescent="0.2">
      <c r="A73" s="91" t="s">
        <v>333</v>
      </c>
      <c r="B73" s="92" t="s">
        <v>485</v>
      </c>
      <c r="C73" s="92" t="s">
        <v>393</v>
      </c>
      <c r="D73" s="92" t="s">
        <v>506</v>
      </c>
      <c r="E73" s="93" t="s">
        <v>477</v>
      </c>
      <c r="F73" s="92" t="s">
        <v>338</v>
      </c>
      <c r="G73" s="92" t="s">
        <v>294</v>
      </c>
      <c r="H73" s="92" t="s">
        <v>18</v>
      </c>
      <c r="I73" s="92" t="s">
        <v>230</v>
      </c>
      <c r="J73" s="93" t="s">
        <v>267</v>
      </c>
      <c r="K73" s="94">
        <v>26.2</v>
      </c>
      <c r="L73" s="94">
        <f>K73*VLOOKUP(H73,dagsoorttabel1,2,FALSE)</f>
        <v>0.50384615384615383</v>
      </c>
      <c r="M73" s="95">
        <f>prodnorm71</f>
        <v>0</v>
      </c>
      <c r="N73" s="92" t="s">
        <v>101</v>
      </c>
      <c r="O73" s="26">
        <f>uurtarief71</f>
        <v>0</v>
      </c>
      <c r="P73" s="94" t="e">
        <f>IF(ISBLANK(M73),0,L73/ROUND(M73,4))</f>
        <v>#DIV/0!</v>
      </c>
      <c r="Q73" s="26" t="e">
        <f>ROUND(O73,2)*P73</f>
        <v>#DIV/0!</v>
      </c>
      <c r="R73" s="94" t="e">
        <f>P73*dagenperjaar1</f>
        <v>#DIV/0!</v>
      </c>
      <c r="S73" s="27" t="e">
        <f>R73*ROUND(O73,2)</f>
        <v>#DIV/0!</v>
      </c>
    </row>
    <row r="74" spans="1:19" x14ac:dyDescent="0.2">
      <c r="A74" s="91" t="s">
        <v>333</v>
      </c>
      <c r="B74" s="92" t="s">
        <v>485</v>
      </c>
      <c r="C74" s="92" t="s">
        <v>393</v>
      </c>
      <c r="D74" s="92" t="s">
        <v>507</v>
      </c>
      <c r="E74" s="93" t="s">
        <v>508</v>
      </c>
      <c r="F74" s="92" t="s">
        <v>478</v>
      </c>
      <c r="G74" s="92" t="s">
        <v>283</v>
      </c>
      <c r="H74" s="92" t="s">
        <v>18</v>
      </c>
      <c r="I74" s="92" t="s">
        <v>230</v>
      </c>
      <c r="J74" s="93" t="s">
        <v>243</v>
      </c>
      <c r="K74" s="94">
        <v>183.6</v>
      </c>
      <c r="L74" s="94">
        <f>K74*VLOOKUP(H74,dagsoorttabel1,2,FALSE)</f>
        <v>3.5307692307692307</v>
      </c>
      <c r="M74" s="95">
        <f>prodnorm61</f>
        <v>0</v>
      </c>
      <c r="N74" s="92" t="s">
        <v>101</v>
      </c>
      <c r="O74" s="26">
        <f>uurtarief61</f>
        <v>0</v>
      </c>
      <c r="P74" s="94" t="e">
        <f>IF(ISBLANK(M74),0,L74/ROUND(M74,4))</f>
        <v>#DIV/0!</v>
      </c>
      <c r="Q74" s="26" t="e">
        <f>ROUND(O74,2)*P74</f>
        <v>#DIV/0!</v>
      </c>
      <c r="R74" s="94" t="e">
        <f>P74*dagenperjaar1</f>
        <v>#DIV/0!</v>
      </c>
      <c r="S74" s="27" t="e">
        <f>R74*ROUND(O74,2)</f>
        <v>#DIV/0!</v>
      </c>
    </row>
    <row r="75" spans="1:19" x14ac:dyDescent="0.2">
      <c r="A75" s="91" t="s">
        <v>333</v>
      </c>
      <c r="B75" s="92" t="s">
        <v>485</v>
      </c>
      <c r="C75" s="92" t="s">
        <v>393</v>
      </c>
      <c r="D75" s="92" t="s">
        <v>509</v>
      </c>
      <c r="E75" s="93" t="s">
        <v>510</v>
      </c>
      <c r="F75" s="92" t="s">
        <v>511</v>
      </c>
      <c r="G75" s="92" t="s">
        <v>290</v>
      </c>
      <c r="H75" s="92" t="s">
        <v>18</v>
      </c>
      <c r="I75" s="92" t="s">
        <v>230</v>
      </c>
      <c r="J75" s="93" t="s">
        <v>257</v>
      </c>
      <c r="K75" s="94">
        <v>9</v>
      </c>
      <c r="L75" s="94">
        <f>K75*VLOOKUP(H75,dagsoorttabel1,2,FALSE)</f>
        <v>0.17307692307692307</v>
      </c>
      <c r="M75" s="95">
        <f>prodnorm67</f>
        <v>0</v>
      </c>
      <c r="N75" s="92" t="s">
        <v>101</v>
      </c>
      <c r="O75" s="26">
        <f>uurtarief67</f>
        <v>0</v>
      </c>
      <c r="P75" s="94" t="e">
        <f>IF(ISBLANK(M75),0,L75/ROUND(M75,4))</f>
        <v>#DIV/0!</v>
      </c>
      <c r="Q75" s="26" t="e">
        <f>ROUND(O75,2)*P75</f>
        <v>#DIV/0!</v>
      </c>
      <c r="R75" s="94" t="e">
        <f>P75*dagenperjaar1</f>
        <v>#DIV/0!</v>
      </c>
      <c r="S75" s="27" t="e">
        <f>R75*ROUND(O75,2)</f>
        <v>#DIV/0!</v>
      </c>
    </row>
    <row r="76" spans="1:19" x14ac:dyDescent="0.2">
      <c r="A76" s="91" t="s">
        <v>333</v>
      </c>
      <c r="B76" s="92" t="s">
        <v>485</v>
      </c>
      <c r="C76" s="92" t="s">
        <v>419</v>
      </c>
      <c r="D76" s="92" t="s">
        <v>512</v>
      </c>
      <c r="E76" s="93" t="s">
        <v>513</v>
      </c>
      <c r="F76" s="92" t="s">
        <v>342</v>
      </c>
      <c r="G76" s="92" t="s">
        <v>290</v>
      </c>
      <c r="H76" s="92" t="s">
        <v>18</v>
      </c>
      <c r="I76" s="92" t="s">
        <v>230</v>
      </c>
      <c r="J76" s="93" t="s">
        <v>257</v>
      </c>
      <c r="K76" s="94">
        <v>21.9</v>
      </c>
      <c r="L76" s="94">
        <f>K76*VLOOKUP(H76,dagsoorttabel1,2,FALSE)</f>
        <v>0.42115384615384616</v>
      </c>
      <c r="M76" s="95">
        <f>prodnorm67</f>
        <v>0</v>
      </c>
      <c r="N76" s="92" t="s">
        <v>101</v>
      </c>
      <c r="O76" s="26">
        <f>uurtarief67</f>
        <v>0</v>
      </c>
      <c r="P76" s="94" t="e">
        <f>IF(ISBLANK(M76),0,L76/ROUND(M76,4))</f>
        <v>#DIV/0!</v>
      </c>
      <c r="Q76" s="26" t="e">
        <f>ROUND(O76,2)*P76</f>
        <v>#DIV/0!</v>
      </c>
      <c r="R76" s="94" t="e">
        <f>P76*dagenperjaar1</f>
        <v>#DIV/0!</v>
      </c>
      <c r="S76" s="27" t="e">
        <f>R76*ROUND(O76,2)</f>
        <v>#DIV/0!</v>
      </c>
    </row>
    <row r="77" spans="1:19" x14ac:dyDescent="0.2">
      <c r="A77" s="91" t="s">
        <v>333</v>
      </c>
      <c r="B77" s="92" t="s">
        <v>485</v>
      </c>
      <c r="C77" s="92" t="s">
        <v>419</v>
      </c>
      <c r="D77" s="92" t="s">
        <v>514</v>
      </c>
      <c r="E77" s="93" t="s">
        <v>477</v>
      </c>
      <c r="F77" s="92" t="s">
        <v>338</v>
      </c>
      <c r="G77" s="92" t="s">
        <v>294</v>
      </c>
      <c r="H77" s="92" t="s">
        <v>18</v>
      </c>
      <c r="I77" s="92" t="s">
        <v>230</v>
      </c>
      <c r="J77" s="93" t="s">
        <v>267</v>
      </c>
      <c r="K77" s="94">
        <v>22.1</v>
      </c>
      <c r="L77" s="94">
        <f>K77*VLOOKUP(H77,dagsoorttabel1,2,FALSE)</f>
        <v>0.42500000000000004</v>
      </c>
      <c r="M77" s="95">
        <f>prodnorm71</f>
        <v>0</v>
      </c>
      <c r="N77" s="92" t="s">
        <v>101</v>
      </c>
      <c r="O77" s="26">
        <f>uurtarief71</f>
        <v>0</v>
      </c>
      <c r="P77" s="94" t="e">
        <f>IF(ISBLANK(M77),0,L77/ROUND(M77,4))</f>
        <v>#DIV/0!</v>
      </c>
      <c r="Q77" s="26" t="e">
        <f>ROUND(O77,2)*P77</f>
        <v>#DIV/0!</v>
      </c>
      <c r="R77" s="94" t="e">
        <f>P77*dagenperjaar1</f>
        <v>#DIV/0!</v>
      </c>
      <c r="S77" s="27" t="e">
        <f>R77*ROUND(O77,2)</f>
        <v>#DIV/0!</v>
      </c>
    </row>
    <row r="78" spans="1:19" x14ac:dyDescent="0.2">
      <c r="A78" s="91" t="s">
        <v>333</v>
      </c>
      <c r="B78" s="92" t="s">
        <v>485</v>
      </c>
      <c r="C78" s="92" t="s">
        <v>419</v>
      </c>
      <c r="D78" s="92" t="s">
        <v>515</v>
      </c>
      <c r="E78" s="93" t="s">
        <v>516</v>
      </c>
      <c r="F78" s="92" t="s">
        <v>364</v>
      </c>
      <c r="G78" s="92" t="s">
        <v>283</v>
      </c>
      <c r="H78" s="92" t="s">
        <v>18</v>
      </c>
      <c r="I78" s="92" t="s">
        <v>230</v>
      </c>
      <c r="J78" s="93" t="s">
        <v>243</v>
      </c>
      <c r="K78" s="94">
        <v>163.69999999999999</v>
      </c>
      <c r="L78" s="94">
        <f>K78*VLOOKUP(H78,dagsoorttabel1,2,FALSE)</f>
        <v>3.148076923076923</v>
      </c>
      <c r="M78" s="95">
        <f>prodnorm61</f>
        <v>0</v>
      </c>
      <c r="N78" s="92" t="s">
        <v>101</v>
      </c>
      <c r="O78" s="26">
        <f>uurtarief61</f>
        <v>0</v>
      </c>
      <c r="P78" s="94" t="e">
        <f>IF(ISBLANK(M78),0,L78/ROUND(M78,4))</f>
        <v>#DIV/0!</v>
      </c>
      <c r="Q78" s="26" t="e">
        <f>ROUND(O78,2)*P78</f>
        <v>#DIV/0!</v>
      </c>
      <c r="R78" s="94" t="e">
        <f>P78*dagenperjaar1</f>
        <v>#DIV/0!</v>
      </c>
      <c r="S78" s="27" t="e">
        <f>R78*ROUND(O78,2)</f>
        <v>#DIV/0!</v>
      </c>
    </row>
    <row r="79" spans="1:19" x14ac:dyDescent="0.2">
      <c r="A79" s="91" t="s">
        <v>333</v>
      </c>
      <c r="B79" s="92" t="s">
        <v>485</v>
      </c>
      <c r="C79" s="92" t="s">
        <v>419</v>
      </c>
      <c r="D79" s="92" t="s">
        <v>517</v>
      </c>
      <c r="E79" s="93" t="s">
        <v>501</v>
      </c>
      <c r="F79" s="92" t="s">
        <v>502</v>
      </c>
      <c r="G79" s="92" t="s">
        <v>294</v>
      </c>
      <c r="H79" s="92" t="s">
        <v>18</v>
      </c>
      <c r="I79" s="92" t="s">
        <v>230</v>
      </c>
      <c r="J79" s="93" t="s">
        <v>267</v>
      </c>
      <c r="K79" s="94">
        <v>19.100000000000001</v>
      </c>
      <c r="L79" s="94">
        <f>K79*VLOOKUP(H79,dagsoorttabel1,2,FALSE)</f>
        <v>0.36730769230769234</v>
      </c>
      <c r="M79" s="95">
        <f>prodnorm71</f>
        <v>0</v>
      </c>
      <c r="N79" s="92" t="s">
        <v>101</v>
      </c>
      <c r="O79" s="26">
        <f>uurtarief71</f>
        <v>0</v>
      </c>
      <c r="P79" s="94" t="e">
        <f>IF(ISBLANK(M79),0,L79/ROUND(M79,4))</f>
        <v>#DIV/0!</v>
      </c>
      <c r="Q79" s="26" t="e">
        <f>ROUND(O79,2)*P79</f>
        <v>#DIV/0!</v>
      </c>
      <c r="R79" s="94" t="e">
        <f>P79*dagenperjaar1</f>
        <v>#DIV/0!</v>
      </c>
      <c r="S79" s="27" t="e">
        <f>R79*ROUND(O79,2)</f>
        <v>#DIV/0!</v>
      </c>
    </row>
    <row r="80" spans="1:19" x14ac:dyDescent="0.2">
      <c r="A80" s="91" t="s">
        <v>333</v>
      </c>
      <c r="B80" s="92" t="s">
        <v>485</v>
      </c>
      <c r="C80" s="92" t="s">
        <v>443</v>
      </c>
      <c r="D80" s="92" t="s">
        <v>518</v>
      </c>
      <c r="E80" s="93" t="s">
        <v>519</v>
      </c>
      <c r="F80" s="92" t="s">
        <v>342</v>
      </c>
      <c r="G80" s="92" t="s">
        <v>290</v>
      </c>
      <c r="H80" s="92" t="s">
        <v>18</v>
      </c>
      <c r="I80" s="92" t="s">
        <v>230</v>
      </c>
      <c r="J80" s="93" t="s">
        <v>257</v>
      </c>
      <c r="K80" s="94">
        <v>18.7</v>
      </c>
      <c r="L80" s="94">
        <f>K80*VLOOKUP(H80,dagsoorttabel1,2,FALSE)</f>
        <v>0.35961538461538461</v>
      </c>
      <c r="M80" s="95">
        <f>prodnorm67</f>
        <v>0</v>
      </c>
      <c r="N80" s="92" t="s">
        <v>101</v>
      </c>
      <c r="O80" s="26">
        <f>uurtarief67</f>
        <v>0</v>
      </c>
      <c r="P80" s="94" t="e">
        <f>IF(ISBLANK(M80),0,L80/ROUND(M80,4))</f>
        <v>#DIV/0!</v>
      </c>
      <c r="Q80" s="26" t="e">
        <f>ROUND(O80,2)*P80</f>
        <v>#DIV/0!</v>
      </c>
      <c r="R80" s="94" t="e">
        <f>P80*dagenperjaar1</f>
        <v>#DIV/0!</v>
      </c>
      <c r="S80" s="27" t="e">
        <f>R80*ROUND(O80,2)</f>
        <v>#DIV/0!</v>
      </c>
    </row>
    <row r="81" spans="1:19" x14ac:dyDescent="0.2">
      <c r="A81" s="91" t="s">
        <v>333</v>
      </c>
      <c r="B81" s="92" t="s">
        <v>485</v>
      </c>
      <c r="C81" s="92" t="s">
        <v>443</v>
      </c>
      <c r="D81" s="92" t="s">
        <v>520</v>
      </c>
      <c r="E81" s="93" t="s">
        <v>513</v>
      </c>
      <c r="F81" s="92" t="s">
        <v>349</v>
      </c>
      <c r="G81" s="92" t="s">
        <v>290</v>
      </c>
      <c r="H81" s="92" t="s">
        <v>18</v>
      </c>
      <c r="I81" s="92" t="s">
        <v>230</v>
      </c>
      <c r="J81" s="93" t="s">
        <v>257</v>
      </c>
      <c r="K81" s="94">
        <v>6.3</v>
      </c>
      <c r="L81" s="94">
        <f>K81*VLOOKUP(H81,dagsoorttabel1,2,FALSE)</f>
        <v>0.12115384615384615</v>
      </c>
      <c r="M81" s="95">
        <f>prodnorm67</f>
        <v>0</v>
      </c>
      <c r="N81" s="92" t="s">
        <v>101</v>
      </c>
      <c r="O81" s="26">
        <f>uurtarief67</f>
        <v>0</v>
      </c>
      <c r="P81" s="94" t="e">
        <f>IF(ISBLANK(M81),0,L81/ROUND(M81,4))</f>
        <v>#DIV/0!</v>
      </c>
      <c r="Q81" s="26" t="e">
        <f>ROUND(O81,2)*P81</f>
        <v>#DIV/0!</v>
      </c>
      <c r="R81" s="94" t="e">
        <f>P81*dagenperjaar1</f>
        <v>#DIV/0!</v>
      </c>
      <c r="S81" s="27" t="e">
        <f>R81*ROUND(O81,2)</f>
        <v>#DIV/0!</v>
      </c>
    </row>
    <row r="82" spans="1:19" x14ac:dyDescent="0.2">
      <c r="A82" s="91" t="s">
        <v>333</v>
      </c>
      <c r="B82" s="92" t="s">
        <v>485</v>
      </c>
      <c r="C82" s="92" t="s">
        <v>443</v>
      </c>
      <c r="D82" s="92" t="s">
        <v>521</v>
      </c>
      <c r="E82" s="93" t="s">
        <v>477</v>
      </c>
      <c r="F82" s="92" t="s">
        <v>338</v>
      </c>
      <c r="G82" s="92" t="s">
        <v>294</v>
      </c>
      <c r="H82" s="92" t="s">
        <v>18</v>
      </c>
      <c r="I82" s="92" t="s">
        <v>230</v>
      </c>
      <c r="J82" s="93" t="s">
        <v>267</v>
      </c>
      <c r="K82" s="94">
        <v>11.9</v>
      </c>
      <c r="L82" s="94">
        <f>K82*VLOOKUP(H82,dagsoorttabel1,2,FALSE)</f>
        <v>0.22884615384615387</v>
      </c>
      <c r="M82" s="95">
        <f>prodnorm71</f>
        <v>0</v>
      </c>
      <c r="N82" s="92" t="s">
        <v>101</v>
      </c>
      <c r="O82" s="26">
        <f>uurtarief71</f>
        <v>0</v>
      </c>
      <c r="P82" s="94" t="e">
        <f>IF(ISBLANK(M82),0,L82/ROUND(M82,4))</f>
        <v>#DIV/0!</v>
      </c>
      <c r="Q82" s="26" t="e">
        <f>ROUND(O82,2)*P82</f>
        <v>#DIV/0!</v>
      </c>
      <c r="R82" s="94" t="e">
        <f>P82*dagenperjaar1</f>
        <v>#DIV/0!</v>
      </c>
      <c r="S82" s="27" t="e">
        <f>R82*ROUND(O82,2)</f>
        <v>#DIV/0!</v>
      </c>
    </row>
    <row r="83" spans="1:19" x14ac:dyDescent="0.2">
      <c r="A83" s="91" t="s">
        <v>333</v>
      </c>
      <c r="B83" s="92" t="s">
        <v>485</v>
      </c>
      <c r="C83" s="92" t="s">
        <v>443</v>
      </c>
      <c r="D83" s="92" t="s">
        <v>524</v>
      </c>
      <c r="E83" s="93" t="s">
        <v>525</v>
      </c>
      <c r="F83" s="92" t="s">
        <v>458</v>
      </c>
      <c r="G83" s="92" t="s">
        <v>283</v>
      </c>
      <c r="H83" s="92" t="s">
        <v>18</v>
      </c>
      <c r="I83" s="92" t="s">
        <v>230</v>
      </c>
      <c r="J83" s="93" t="s">
        <v>243</v>
      </c>
      <c r="K83" s="94">
        <v>146.30000000000001</v>
      </c>
      <c r="L83" s="94">
        <f>K83*VLOOKUP(H83,dagsoorttabel1,2,FALSE)</f>
        <v>2.8134615384615387</v>
      </c>
      <c r="M83" s="95">
        <f>prodnorm61</f>
        <v>0</v>
      </c>
      <c r="N83" s="92" t="s">
        <v>101</v>
      </c>
      <c r="O83" s="26">
        <f>uurtarief61</f>
        <v>0</v>
      </c>
      <c r="P83" s="94" t="e">
        <f>IF(ISBLANK(M83),0,L83/ROUND(M83,4))</f>
        <v>#DIV/0!</v>
      </c>
      <c r="Q83" s="26" t="e">
        <f>ROUND(O83,2)*P83</f>
        <v>#DIV/0!</v>
      </c>
      <c r="R83" s="94" t="e">
        <f>P83*dagenperjaar1</f>
        <v>#DIV/0!</v>
      </c>
      <c r="S83" s="27" t="e">
        <f>R83*ROUND(O83,2)</f>
        <v>#DIV/0!</v>
      </c>
    </row>
    <row r="84" spans="1:19" x14ac:dyDescent="0.2">
      <c r="A84" s="91" t="s">
        <v>333</v>
      </c>
      <c r="B84" s="92" t="s">
        <v>536</v>
      </c>
      <c r="C84" s="92" t="s">
        <v>393</v>
      </c>
      <c r="D84" s="92" t="s">
        <v>541</v>
      </c>
      <c r="E84" s="93" t="s">
        <v>542</v>
      </c>
      <c r="F84" s="92" t="s">
        <v>543</v>
      </c>
      <c r="G84" s="92" t="s">
        <v>284</v>
      </c>
      <c r="H84" s="92" t="s">
        <v>18</v>
      </c>
      <c r="I84" s="92" t="s">
        <v>230</v>
      </c>
      <c r="J84" s="93" t="s">
        <v>245</v>
      </c>
      <c r="K84" s="94">
        <v>198.3</v>
      </c>
      <c r="L84" s="94">
        <f>K84*VLOOKUP(H84,dagsoorttabel1,2,FALSE)</f>
        <v>3.8134615384615387</v>
      </c>
      <c r="M84" s="95">
        <f>prodnorm62</f>
        <v>0</v>
      </c>
      <c r="N84" s="92" t="s">
        <v>101</v>
      </c>
      <c r="O84" s="26">
        <f>uurtarief62</f>
        <v>0</v>
      </c>
      <c r="P84" s="94" t="e">
        <f>IF(ISBLANK(M84),0,L84/ROUND(M84,4))</f>
        <v>#DIV/0!</v>
      </c>
      <c r="Q84" s="26" t="e">
        <f>ROUND(O84,2)*P84</f>
        <v>#DIV/0!</v>
      </c>
      <c r="R84" s="94" t="e">
        <f>P84*dagenperjaar1</f>
        <v>#DIV/0!</v>
      </c>
      <c r="S84" s="27" t="e">
        <f>R84*ROUND(O84,2)</f>
        <v>#DIV/0!</v>
      </c>
    </row>
    <row r="85" spans="1:19" x14ac:dyDescent="0.2">
      <c r="A85" s="91" t="s">
        <v>333</v>
      </c>
      <c r="B85" s="92" t="s">
        <v>536</v>
      </c>
      <c r="C85" s="92" t="s">
        <v>393</v>
      </c>
      <c r="D85" s="92" t="s">
        <v>544</v>
      </c>
      <c r="E85" s="93" t="s">
        <v>545</v>
      </c>
      <c r="F85" s="92" t="s">
        <v>342</v>
      </c>
      <c r="G85" s="92" t="s">
        <v>294</v>
      </c>
      <c r="H85" s="92" t="s">
        <v>18</v>
      </c>
      <c r="I85" s="92" t="s">
        <v>230</v>
      </c>
      <c r="J85" s="93" t="s">
        <v>267</v>
      </c>
      <c r="K85" s="94">
        <v>7.8</v>
      </c>
      <c r="L85" s="94">
        <f>K85*VLOOKUP(H85,dagsoorttabel1,2,FALSE)</f>
        <v>0.15</v>
      </c>
      <c r="M85" s="95">
        <f>prodnorm71</f>
        <v>0</v>
      </c>
      <c r="N85" s="92" t="s">
        <v>101</v>
      </c>
      <c r="O85" s="26">
        <f>uurtarief71</f>
        <v>0</v>
      </c>
      <c r="P85" s="94" t="e">
        <f>IF(ISBLANK(M85),0,L85/ROUND(M85,4))</f>
        <v>#DIV/0!</v>
      </c>
      <c r="Q85" s="26" t="e">
        <f>ROUND(O85,2)*P85</f>
        <v>#DIV/0!</v>
      </c>
      <c r="R85" s="94" t="e">
        <f>P85*dagenperjaar1</f>
        <v>#DIV/0!</v>
      </c>
      <c r="S85" s="27" t="e">
        <f>R85*ROUND(O85,2)</f>
        <v>#DIV/0!</v>
      </c>
    </row>
    <row r="86" spans="1:19" x14ac:dyDescent="0.2">
      <c r="A86" s="91" t="s">
        <v>333</v>
      </c>
      <c r="B86" s="92" t="s">
        <v>536</v>
      </c>
      <c r="C86" s="92" t="s">
        <v>393</v>
      </c>
      <c r="D86" s="92" t="s">
        <v>546</v>
      </c>
      <c r="E86" s="93" t="s">
        <v>547</v>
      </c>
      <c r="F86" s="92" t="s">
        <v>342</v>
      </c>
      <c r="G86" s="92" t="s">
        <v>294</v>
      </c>
      <c r="H86" s="92" t="s">
        <v>18</v>
      </c>
      <c r="I86" s="92" t="s">
        <v>230</v>
      </c>
      <c r="J86" s="93" t="s">
        <v>267</v>
      </c>
      <c r="K86" s="94">
        <v>8.1</v>
      </c>
      <c r="L86" s="94">
        <f>K86*VLOOKUP(H86,dagsoorttabel1,2,FALSE)</f>
        <v>0.15576923076923077</v>
      </c>
      <c r="M86" s="95">
        <f>prodnorm71</f>
        <v>0</v>
      </c>
      <c r="N86" s="92" t="s">
        <v>101</v>
      </c>
      <c r="O86" s="26">
        <f>uurtarief71</f>
        <v>0</v>
      </c>
      <c r="P86" s="94" t="e">
        <f>IF(ISBLANK(M86),0,L86/ROUND(M86,4))</f>
        <v>#DIV/0!</v>
      </c>
      <c r="Q86" s="26" t="e">
        <f>ROUND(O86,2)*P86</f>
        <v>#DIV/0!</v>
      </c>
      <c r="R86" s="94" t="e">
        <f>P86*dagenperjaar1</f>
        <v>#DIV/0!</v>
      </c>
      <c r="S86" s="27" t="e">
        <f>R86*ROUND(O86,2)</f>
        <v>#DIV/0!</v>
      </c>
    </row>
    <row r="87" spans="1:19" x14ac:dyDescent="0.2">
      <c r="A87" s="91" t="s">
        <v>333</v>
      </c>
      <c r="B87" s="92" t="s">
        <v>536</v>
      </c>
      <c r="C87" s="92" t="s">
        <v>393</v>
      </c>
      <c r="D87" s="92" t="s">
        <v>548</v>
      </c>
      <c r="E87" s="93" t="s">
        <v>549</v>
      </c>
      <c r="F87" s="92" t="s">
        <v>543</v>
      </c>
      <c r="G87" s="92" t="s">
        <v>284</v>
      </c>
      <c r="H87" s="92" t="s">
        <v>18</v>
      </c>
      <c r="I87" s="92" t="s">
        <v>230</v>
      </c>
      <c r="J87" s="93" t="s">
        <v>245</v>
      </c>
      <c r="K87" s="94">
        <v>112.9</v>
      </c>
      <c r="L87" s="94">
        <f>K87*VLOOKUP(H87,dagsoorttabel1,2,FALSE)</f>
        <v>2.1711538461538464</v>
      </c>
      <c r="M87" s="95">
        <f>prodnorm62</f>
        <v>0</v>
      </c>
      <c r="N87" s="92" t="s">
        <v>101</v>
      </c>
      <c r="O87" s="26">
        <f>uurtarief62</f>
        <v>0</v>
      </c>
      <c r="P87" s="94" t="e">
        <f>IF(ISBLANK(M87),0,L87/ROUND(M87,4))</f>
        <v>#DIV/0!</v>
      </c>
      <c r="Q87" s="26" t="e">
        <f>ROUND(O87,2)*P87</f>
        <v>#DIV/0!</v>
      </c>
      <c r="R87" s="94" t="e">
        <f>P87*dagenperjaar1</f>
        <v>#DIV/0!</v>
      </c>
      <c r="S87" s="27" t="e">
        <f>R87*ROUND(O87,2)</f>
        <v>#DIV/0!</v>
      </c>
    </row>
    <row r="88" spans="1:19" x14ac:dyDescent="0.2">
      <c r="A88" s="91" t="s">
        <v>333</v>
      </c>
      <c r="B88" s="92" t="s">
        <v>536</v>
      </c>
      <c r="C88" s="92" t="s">
        <v>393</v>
      </c>
      <c r="D88" s="92" t="s">
        <v>550</v>
      </c>
      <c r="E88" s="93" t="s">
        <v>549</v>
      </c>
      <c r="F88" s="92" t="s">
        <v>543</v>
      </c>
      <c r="G88" s="92" t="s">
        <v>284</v>
      </c>
      <c r="H88" s="92" t="s">
        <v>18</v>
      </c>
      <c r="I88" s="92" t="s">
        <v>230</v>
      </c>
      <c r="J88" s="93" t="s">
        <v>245</v>
      </c>
      <c r="K88" s="94">
        <v>33</v>
      </c>
      <c r="L88" s="94">
        <f>K88*VLOOKUP(H88,dagsoorttabel1,2,FALSE)</f>
        <v>0.63461538461538469</v>
      </c>
      <c r="M88" s="95">
        <f>prodnorm62</f>
        <v>0</v>
      </c>
      <c r="N88" s="92" t="s">
        <v>101</v>
      </c>
      <c r="O88" s="26">
        <f>uurtarief62</f>
        <v>0</v>
      </c>
      <c r="P88" s="94" t="e">
        <f>IF(ISBLANK(M88),0,L88/ROUND(M88,4))</f>
        <v>#DIV/0!</v>
      </c>
      <c r="Q88" s="26" t="e">
        <f>ROUND(O88,2)*P88</f>
        <v>#DIV/0!</v>
      </c>
      <c r="R88" s="94" t="e">
        <f>P88*dagenperjaar1</f>
        <v>#DIV/0!</v>
      </c>
      <c r="S88" s="27" t="e">
        <f>R88*ROUND(O88,2)</f>
        <v>#DIV/0!</v>
      </c>
    </row>
    <row r="89" spans="1:19" x14ac:dyDescent="0.2">
      <c r="A89" s="91" t="s">
        <v>333</v>
      </c>
      <c r="B89" s="92" t="s">
        <v>536</v>
      </c>
      <c r="C89" s="92" t="s">
        <v>393</v>
      </c>
      <c r="D89" s="92" t="s">
        <v>551</v>
      </c>
      <c r="E89" s="93" t="s">
        <v>549</v>
      </c>
      <c r="F89" s="92" t="s">
        <v>543</v>
      </c>
      <c r="G89" s="92" t="s">
        <v>284</v>
      </c>
      <c r="H89" s="92" t="s">
        <v>18</v>
      </c>
      <c r="I89" s="92" t="s">
        <v>230</v>
      </c>
      <c r="J89" s="93" t="s">
        <v>245</v>
      </c>
      <c r="K89" s="94">
        <v>79</v>
      </c>
      <c r="L89" s="94">
        <f>K89*VLOOKUP(H89,dagsoorttabel1,2,FALSE)</f>
        <v>1.5192307692307694</v>
      </c>
      <c r="M89" s="95">
        <f>prodnorm62</f>
        <v>0</v>
      </c>
      <c r="N89" s="92" t="s">
        <v>101</v>
      </c>
      <c r="O89" s="26">
        <f>uurtarief62</f>
        <v>0</v>
      </c>
      <c r="P89" s="94" t="e">
        <f>IF(ISBLANK(M89),0,L89/ROUND(M89,4))</f>
        <v>#DIV/0!</v>
      </c>
      <c r="Q89" s="26" t="e">
        <f>ROUND(O89,2)*P89</f>
        <v>#DIV/0!</v>
      </c>
      <c r="R89" s="94" t="e">
        <f>P89*dagenperjaar1</f>
        <v>#DIV/0!</v>
      </c>
      <c r="S89" s="27" t="e">
        <f>R89*ROUND(O89,2)</f>
        <v>#DIV/0!</v>
      </c>
    </row>
    <row r="90" spans="1:19" x14ac:dyDescent="0.2">
      <c r="A90" s="91" t="s">
        <v>333</v>
      </c>
      <c r="B90" s="92" t="s">
        <v>536</v>
      </c>
      <c r="C90" s="92" t="s">
        <v>393</v>
      </c>
      <c r="D90" s="92" t="s">
        <v>557</v>
      </c>
      <c r="E90" s="93" t="s">
        <v>558</v>
      </c>
      <c r="F90" s="92" t="s">
        <v>458</v>
      </c>
      <c r="G90" s="92" t="s">
        <v>290</v>
      </c>
      <c r="H90" s="92" t="s">
        <v>18</v>
      </c>
      <c r="I90" s="92" t="s">
        <v>230</v>
      </c>
      <c r="J90" s="93" t="s">
        <v>257</v>
      </c>
      <c r="K90" s="94">
        <v>11.4</v>
      </c>
      <c r="L90" s="94">
        <f>K90*VLOOKUP(H90,dagsoorttabel1,2,FALSE)</f>
        <v>0.21923076923076926</v>
      </c>
      <c r="M90" s="95">
        <f>prodnorm67</f>
        <v>0</v>
      </c>
      <c r="N90" s="92" t="s">
        <v>101</v>
      </c>
      <c r="O90" s="26">
        <f>uurtarief67</f>
        <v>0</v>
      </c>
      <c r="P90" s="94" t="e">
        <f>IF(ISBLANK(M90),0,L90/ROUND(M90,4))</f>
        <v>#DIV/0!</v>
      </c>
      <c r="Q90" s="26" t="e">
        <f>ROUND(O90,2)*P90</f>
        <v>#DIV/0!</v>
      </c>
      <c r="R90" s="94" t="e">
        <f>P90*dagenperjaar1</f>
        <v>#DIV/0!</v>
      </c>
      <c r="S90" s="27" t="e">
        <f>R90*ROUND(O90,2)</f>
        <v>#DIV/0!</v>
      </c>
    </row>
    <row r="91" spans="1:19" x14ac:dyDescent="0.2">
      <c r="A91" s="91" t="s">
        <v>333</v>
      </c>
      <c r="B91" s="92" t="s">
        <v>536</v>
      </c>
      <c r="C91" s="92" t="s">
        <v>393</v>
      </c>
      <c r="D91" s="92" t="s">
        <v>559</v>
      </c>
      <c r="E91" s="93" t="s">
        <v>560</v>
      </c>
      <c r="F91" s="92" t="s">
        <v>349</v>
      </c>
      <c r="G91" s="92" t="s">
        <v>288</v>
      </c>
      <c r="H91" s="92" t="s">
        <v>18</v>
      </c>
      <c r="I91" s="92" t="s">
        <v>230</v>
      </c>
      <c r="J91" s="93" t="s">
        <v>253</v>
      </c>
      <c r="K91" s="94">
        <v>4.8</v>
      </c>
      <c r="L91" s="94">
        <f>K91*VLOOKUP(H91,dagsoorttabel1,2,FALSE)</f>
        <v>9.2307692307692313E-2</v>
      </c>
      <c r="M91" s="95">
        <f>prodnorm65</f>
        <v>0</v>
      </c>
      <c r="N91" s="92" t="s">
        <v>101</v>
      </c>
      <c r="O91" s="26">
        <f>uurtarief65</f>
        <v>0</v>
      </c>
      <c r="P91" s="94" t="e">
        <f>IF(ISBLANK(M91),0,L91/ROUND(M91,4))</f>
        <v>#DIV/0!</v>
      </c>
      <c r="Q91" s="26" t="e">
        <f>ROUND(O91,2)*P91</f>
        <v>#DIV/0!</v>
      </c>
      <c r="R91" s="94" t="e">
        <f>P91*dagenperjaar1</f>
        <v>#DIV/0!</v>
      </c>
      <c r="S91" s="27" t="e">
        <f>R91*ROUND(O91,2)</f>
        <v>#DIV/0!</v>
      </c>
    </row>
    <row r="92" spans="1:19" x14ac:dyDescent="0.2">
      <c r="A92" s="91" t="s">
        <v>333</v>
      </c>
      <c r="B92" s="92" t="s">
        <v>536</v>
      </c>
      <c r="C92" s="92" t="s">
        <v>393</v>
      </c>
      <c r="D92" s="92" t="s">
        <v>563</v>
      </c>
      <c r="E92" s="93" t="s">
        <v>564</v>
      </c>
      <c r="F92" s="92" t="s">
        <v>543</v>
      </c>
      <c r="G92" s="92" t="s">
        <v>284</v>
      </c>
      <c r="H92" s="92" t="s">
        <v>18</v>
      </c>
      <c r="I92" s="92" t="s">
        <v>230</v>
      </c>
      <c r="J92" s="93" t="s">
        <v>245</v>
      </c>
      <c r="K92" s="94">
        <v>243.5</v>
      </c>
      <c r="L92" s="94">
        <f>K92*VLOOKUP(H92,dagsoorttabel1,2,FALSE)</f>
        <v>4.6826923076923084</v>
      </c>
      <c r="M92" s="95">
        <f>prodnorm62</f>
        <v>0</v>
      </c>
      <c r="N92" s="92" t="s">
        <v>101</v>
      </c>
      <c r="O92" s="26">
        <f>uurtarief62</f>
        <v>0</v>
      </c>
      <c r="P92" s="94" t="e">
        <f>IF(ISBLANK(M92),0,L92/ROUND(M92,4))</f>
        <v>#DIV/0!</v>
      </c>
      <c r="Q92" s="26" t="e">
        <f>ROUND(O92,2)*P92</f>
        <v>#DIV/0!</v>
      </c>
      <c r="R92" s="94" t="e">
        <f>P92*dagenperjaar1</f>
        <v>#DIV/0!</v>
      </c>
      <c r="S92" s="27" t="e">
        <f>R92*ROUND(O92,2)</f>
        <v>#DIV/0!</v>
      </c>
    </row>
    <row r="93" spans="1:19" x14ac:dyDescent="0.2">
      <c r="A93" s="91" t="s">
        <v>333</v>
      </c>
      <c r="B93" s="92" t="s">
        <v>536</v>
      </c>
      <c r="C93" s="92" t="s">
        <v>393</v>
      </c>
      <c r="D93" s="92" t="s">
        <v>565</v>
      </c>
      <c r="E93" s="93" t="s">
        <v>566</v>
      </c>
      <c r="F93" s="92" t="s">
        <v>543</v>
      </c>
      <c r="G93" s="92" t="s">
        <v>284</v>
      </c>
      <c r="H93" s="92" t="s">
        <v>18</v>
      </c>
      <c r="I93" s="92" t="s">
        <v>230</v>
      </c>
      <c r="J93" s="93" t="s">
        <v>245</v>
      </c>
      <c r="K93" s="94">
        <v>202.5</v>
      </c>
      <c r="L93" s="94">
        <f>K93*VLOOKUP(H93,dagsoorttabel1,2,FALSE)</f>
        <v>3.8942307692307696</v>
      </c>
      <c r="M93" s="95">
        <f>prodnorm62</f>
        <v>0</v>
      </c>
      <c r="N93" s="92" t="s">
        <v>101</v>
      </c>
      <c r="O93" s="26">
        <f>uurtarief62</f>
        <v>0</v>
      </c>
      <c r="P93" s="94" t="e">
        <f>IF(ISBLANK(M93),0,L93/ROUND(M93,4))</f>
        <v>#DIV/0!</v>
      </c>
      <c r="Q93" s="26" t="e">
        <f>ROUND(O93,2)*P93</f>
        <v>#DIV/0!</v>
      </c>
      <c r="R93" s="94" t="e">
        <f>P93*dagenperjaar1</f>
        <v>#DIV/0!</v>
      </c>
      <c r="S93" s="27" t="e">
        <f>R93*ROUND(O93,2)</f>
        <v>#DIV/0!</v>
      </c>
    </row>
    <row r="94" spans="1:19" x14ac:dyDescent="0.2">
      <c r="A94" s="91" t="s">
        <v>333</v>
      </c>
      <c r="B94" s="92" t="s">
        <v>536</v>
      </c>
      <c r="C94" s="92" t="s">
        <v>393</v>
      </c>
      <c r="D94" s="92" t="s">
        <v>565</v>
      </c>
      <c r="E94" s="93" t="s">
        <v>567</v>
      </c>
      <c r="F94" s="92" t="s">
        <v>342</v>
      </c>
      <c r="G94" s="92" t="s">
        <v>294</v>
      </c>
      <c r="H94" s="92" t="s">
        <v>18</v>
      </c>
      <c r="I94" s="92" t="s">
        <v>230</v>
      </c>
      <c r="J94" s="93" t="s">
        <v>267</v>
      </c>
      <c r="K94" s="94">
        <v>7.1</v>
      </c>
      <c r="L94" s="94">
        <f>K94*VLOOKUP(H94,dagsoorttabel1,2,FALSE)</f>
        <v>0.13653846153846155</v>
      </c>
      <c r="M94" s="95">
        <f>prodnorm71</f>
        <v>0</v>
      </c>
      <c r="N94" s="92" t="s">
        <v>101</v>
      </c>
      <c r="O94" s="26">
        <f>uurtarief71</f>
        <v>0</v>
      </c>
      <c r="P94" s="94" t="e">
        <f>IF(ISBLANK(M94),0,L94/ROUND(M94,4))</f>
        <v>#DIV/0!</v>
      </c>
      <c r="Q94" s="26" t="e">
        <f>ROUND(O94,2)*P94</f>
        <v>#DIV/0!</v>
      </c>
      <c r="R94" s="94" t="e">
        <f>P94*dagenperjaar1</f>
        <v>#DIV/0!</v>
      </c>
      <c r="S94" s="27" t="e">
        <f>R94*ROUND(O94,2)</f>
        <v>#DIV/0!</v>
      </c>
    </row>
    <row r="95" spans="1:19" x14ac:dyDescent="0.2">
      <c r="A95" s="91" t="s">
        <v>333</v>
      </c>
      <c r="B95" s="92" t="s">
        <v>536</v>
      </c>
      <c r="C95" s="92" t="s">
        <v>393</v>
      </c>
      <c r="D95" s="92" t="s">
        <v>568</v>
      </c>
      <c r="E95" s="93" t="s">
        <v>569</v>
      </c>
      <c r="F95" s="92" t="s">
        <v>342</v>
      </c>
      <c r="G95" s="92" t="s">
        <v>294</v>
      </c>
      <c r="H95" s="92" t="s">
        <v>18</v>
      </c>
      <c r="I95" s="92" t="s">
        <v>230</v>
      </c>
      <c r="J95" s="93" t="s">
        <v>267</v>
      </c>
      <c r="K95" s="94">
        <v>7.8</v>
      </c>
      <c r="L95" s="94">
        <f>K95*VLOOKUP(H95,dagsoorttabel1,2,FALSE)</f>
        <v>0.15</v>
      </c>
      <c r="M95" s="95">
        <f>prodnorm71</f>
        <v>0</v>
      </c>
      <c r="N95" s="92" t="s">
        <v>101</v>
      </c>
      <c r="O95" s="26">
        <f>uurtarief71</f>
        <v>0</v>
      </c>
      <c r="P95" s="94" t="e">
        <f>IF(ISBLANK(M95),0,L95/ROUND(M95,4))</f>
        <v>#DIV/0!</v>
      </c>
      <c r="Q95" s="26" t="e">
        <f>ROUND(O95,2)*P95</f>
        <v>#DIV/0!</v>
      </c>
      <c r="R95" s="94" t="e">
        <f>P95*dagenperjaar1</f>
        <v>#DIV/0!</v>
      </c>
      <c r="S95" s="27" t="e">
        <f>R95*ROUND(O95,2)</f>
        <v>#DIV/0!</v>
      </c>
    </row>
    <row r="96" spans="1:19" x14ac:dyDescent="0.2">
      <c r="A96" s="91" t="s">
        <v>333</v>
      </c>
      <c r="B96" s="92" t="s">
        <v>536</v>
      </c>
      <c r="C96" s="92" t="s">
        <v>393</v>
      </c>
      <c r="D96" s="92" t="s">
        <v>571</v>
      </c>
      <c r="E96" s="93" t="s">
        <v>572</v>
      </c>
      <c r="F96" s="92" t="s">
        <v>338</v>
      </c>
      <c r="G96" s="92" t="s">
        <v>290</v>
      </c>
      <c r="H96" s="92" t="s">
        <v>18</v>
      </c>
      <c r="I96" s="92" t="s">
        <v>230</v>
      </c>
      <c r="J96" s="93" t="s">
        <v>257</v>
      </c>
      <c r="K96" s="94">
        <v>55.3</v>
      </c>
      <c r="L96" s="94">
        <f>K96*VLOOKUP(H96,dagsoorttabel1,2,FALSE)</f>
        <v>1.0634615384615385</v>
      </c>
      <c r="M96" s="95">
        <f>prodnorm67</f>
        <v>0</v>
      </c>
      <c r="N96" s="92" t="s">
        <v>101</v>
      </c>
      <c r="O96" s="26">
        <f>uurtarief67</f>
        <v>0</v>
      </c>
      <c r="P96" s="94" t="e">
        <f>IF(ISBLANK(M96),0,L96/ROUND(M96,4))</f>
        <v>#DIV/0!</v>
      </c>
      <c r="Q96" s="26" t="e">
        <f>ROUND(O96,2)*P96</f>
        <v>#DIV/0!</v>
      </c>
      <c r="R96" s="94" t="e">
        <f>P96*dagenperjaar1</f>
        <v>#DIV/0!</v>
      </c>
      <c r="S96" s="27" t="e">
        <f>R96*ROUND(O96,2)</f>
        <v>#DIV/0!</v>
      </c>
    </row>
    <row r="97" spans="1:19" x14ac:dyDescent="0.2">
      <c r="A97" s="91" t="s">
        <v>333</v>
      </c>
      <c r="B97" s="92" t="s">
        <v>536</v>
      </c>
      <c r="C97" s="92" t="s">
        <v>419</v>
      </c>
      <c r="D97" s="92" t="s">
        <v>575</v>
      </c>
      <c r="E97" s="93" t="s">
        <v>576</v>
      </c>
      <c r="F97" s="92" t="s">
        <v>543</v>
      </c>
      <c r="G97" s="92" t="s">
        <v>284</v>
      </c>
      <c r="H97" s="92" t="s">
        <v>18</v>
      </c>
      <c r="I97" s="92" t="s">
        <v>230</v>
      </c>
      <c r="J97" s="93" t="s">
        <v>245</v>
      </c>
      <c r="K97" s="94">
        <v>69.5</v>
      </c>
      <c r="L97" s="94">
        <f>K97*VLOOKUP(H97,dagsoorttabel1,2,FALSE)</f>
        <v>1.3365384615384617</v>
      </c>
      <c r="M97" s="95">
        <f>prodnorm62</f>
        <v>0</v>
      </c>
      <c r="N97" s="92" t="s">
        <v>101</v>
      </c>
      <c r="O97" s="26">
        <f>uurtarief62</f>
        <v>0</v>
      </c>
      <c r="P97" s="94" t="e">
        <f>IF(ISBLANK(M97),0,L97/ROUND(M97,4))</f>
        <v>#DIV/0!</v>
      </c>
      <c r="Q97" s="26" t="e">
        <f>ROUND(O97,2)*P97</f>
        <v>#DIV/0!</v>
      </c>
      <c r="R97" s="94" t="e">
        <f>P97*dagenperjaar1</f>
        <v>#DIV/0!</v>
      </c>
      <c r="S97" s="27" t="e">
        <f>R97*ROUND(O97,2)</f>
        <v>#DIV/0!</v>
      </c>
    </row>
    <row r="98" spans="1:19" x14ac:dyDescent="0.2">
      <c r="A98" s="97" t="s">
        <v>333</v>
      </c>
      <c r="B98" s="98" t="s">
        <v>536</v>
      </c>
      <c r="C98" s="98" t="s">
        <v>419</v>
      </c>
      <c r="D98" s="98" t="s">
        <v>585</v>
      </c>
      <c r="E98" s="99" t="s">
        <v>586</v>
      </c>
      <c r="F98" s="98" t="s">
        <v>543</v>
      </c>
      <c r="G98" s="98" t="s">
        <v>284</v>
      </c>
      <c r="H98" s="98" t="s">
        <v>18</v>
      </c>
      <c r="I98" s="98" t="s">
        <v>230</v>
      </c>
      <c r="J98" s="99" t="s">
        <v>245</v>
      </c>
      <c r="K98" s="100">
        <v>75.7</v>
      </c>
      <c r="L98" s="100">
        <f>K98*VLOOKUP(H98,dagsoorttabel1,2,FALSE)</f>
        <v>1.4557692307692309</v>
      </c>
      <c r="M98" s="101">
        <f>prodnorm62</f>
        <v>0</v>
      </c>
      <c r="N98" s="98" t="s">
        <v>101</v>
      </c>
      <c r="O98" s="36">
        <f>uurtarief62</f>
        <v>0</v>
      </c>
      <c r="P98" s="100" t="e">
        <f>IF(ISBLANK(M98),0,L98/ROUND(M98,4))</f>
        <v>#DIV/0!</v>
      </c>
      <c r="Q98" s="36" t="e">
        <f>ROUND(O98,2)*P98</f>
        <v>#DIV/0!</v>
      </c>
      <c r="R98" s="100" t="e">
        <f>P98*dagenperjaar1</f>
        <v>#DIV/0!</v>
      </c>
      <c r="S98" s="37" t="e">
        <f>R98*ROUND(O98,2)</f>
        <v>#DIV/0!</v>
      </c>
    </row>
    <row r="99" spans="1:19" x14ac:dyDescent="0.2">
      <c r="A99" s="103" t="s">
        <v>947</v>
      </c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6" t="e">
        <f>IF(_xlfn.SINGLE(object1_urenjaar2)&gt;0,_xlfn.SINGLE(object1_prijsjaar2)/_xlfn.SINGLE(object1_urenjaar2),0)</f>
        <v>#DIV/0!</v>
      </c>
      <c r="P99" s="75" t="e">
        <f>SUM(P5:P98)</f>
        <v>#DIV/0!</v>
      </c>
      <c r="Q99" s="76" t="e">
        <f>SUM(Q5:Q98)</f>
        <v>#DIV/0!</v>
      </c>
      <c r="R99" s="75" t="e">
        <f>SUM(R5:R98)</f>
        <v>#DIV/0!</v>
      </c>
      <c r="S99" s="77" t="e">
        <f>SUM(S5:S98)</f>
        <v>#DIV/0!</v>
      </c>
    </row>
    <row r="100" spans="1:19" x14ac:dyDescent="0.2">
      <c r="A100" s="82" t="s">
        <v>605</v>
      </c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72"/>
    </row>
    <row r="101" spans="1:19" x14ac:dyDescent="0.2">
      <c r="A101" s="83" t="s">
        <v>606</v>
      </c>
      <c r="B101" s="84" t="s">
        <v>607</v>
      </c>
      <c r="C101" s="84" t="s">
        <v>335</v>
      </c>
      <c r="D101" s="84" t="s">
        <v>613</v>
      </c>
      <c r="E101" s="85" t="s">
        <v>614</v>
      </c>
      <c r="F101" s="84" t="s">
        <v>349</v>
      </c>
      <c r="G101" s="84" t="s">
        <v>297</v>
      </c>
      <c r="H101" s="84" t="s">
        <v>18</v>
      </c>
      <c r="I101" s="84" t="s">
        <v>273</v>
      </c>
      <c r="J101" s="85" t="s">
        <v>298</v>
      </c>
      <c r="K101" s="86">
        <v>1</v>
      </c>
      <c r="L101" s="86">
        <f>K101*VLOOKUP(H101,dagsoorttabel1,2,FALSE)</f>
        <v>1.9230769230769232E-2</v>
      </c>
      <c r="M101" s="87">
        <f>prodnorm55</f>
        <v>0</v>
      </c>
      <c r="N101" s="84" t="s">
        <v>275</v>
      </c>
      <c r="O101" s="88">
        <f>uurtarief55</f>
        <v>0</v>
      </c>
      <c r="P101" s="86">
        <f>L101*ROUND(M101,4)/60</f>
        <v>0</v>
      </c>
      <c r="Q101" s="88">
        <f>ROUND(O101,2)*P101</f>
        <v>0</v>
      </c>
      <c r="R101" s="86">
        <f>P101*dagenperjaar1</f>
        <v>0</v>
      </c>
      <c r="S101" s="90">
        <f>R101*ROUND(O101,2)</f>
        <v>0</v>
      </c>
    </row>
    <row r="102" spans="1:19" x14ac:dyDescent="0.2">
      <c r="A102" s="91" t="s">
        <v>606</v>
      </c>
      <c r="B102" s="92" t="s">
        <v>607</v>
      </c>
      <c r="C102" s="92" t="s">
        <v>335</v>
      </c>
      <c r="D102" s="92" t="s">
        <v>613</v>
      </c>
      <c r="E102" s="93" t="s">
        <v>614</v>
      </c>
      <c r="F102" s="92" t="s">
        <v>349</v>
      </c>
      <c r="G102" s="92" t="s">
        <v>281</v>
      </c>
      <c r="H102" s="92" t="s">
        <v>18</v>
      </c>
      <c r="I102" s="92" t="s">
        <v>230</v>
      </c>
      <c r="J102" s="93" t="s">
        <v>239</v>
      </c>
      <c r="K102" s="94">
        <v>75.7</v>
      </c>
      <c r="L102" s="94">
        <f>K102*VLOOKUP(H102,dagsoorttabel1,2,FALSE)</f>
        <v>1.4557692307692309</v>
      </c>
      <c r="M102" s="95">
        <f>prodnorm59</f>
        <v>0</v>
      </c>
      <c r="N102" s="92" t="s">
        <v>101</v>
      </c>
      <c r="O102" s="26">
        <f>uurtarief59</f>
        <v>0</v>
      </c>
      <c r="P102" s="94" t="e">
        <f>IF(ISBLANK(M102),0,L102/ROUND(M102,4))</f>
        <v>#DIV/0!</v>
      </c>
      <c r="Q102" s="26" t="e">
        <f>ROUND(O102,2)*P102</f>
        <v>#DIV/0!</v>
      </c>
      <c r="R102" s="94" t="e">
        <f>P102*dagenperjaar1</f>
        <v>#DIV/0!</v>
      </c>
      <c r="S102" s="27" t="e">
        <f>R102*ROUND(O102,2)</f>
        <v>#DIV/0!</v>
      </c>
    </row>
    <row r="103" spans="1:19" x14ac:dyDescent="0.2">
      <c r="A103" s="91" t="s">
        <v>606</v>
      </c>
      <c r="B103" s="92" t="s">
        <v>607</v>
      </c>
      <c r="C103" s="92" t="s">
        <v>335</v>
      </c>
      <c r="D103" s="92" t="s">
        <v>631</v>
      </c>
      <c r="E103" s="93" t="s">
        <v>632</v>
      </c>
      <c r="F103" s="92" t="s">
        <v>458</v>
      </c>
      <c r="G103" s="92" t="s">
        <v>287</v>
      </c>
      <c r="H103" s="92" t="s">
        <v>18</v>
      </c>
      <c r="I103" s="92" t="s">
        <v>230</v>
      </c>
      <c r="J103" s="93" t="s">
        <v>251</v>
      </c>
      <c r="K103" s="94">
        <v>12.8</v>
      </c>
      <c r="L103" s="94">
        <f>K103*VLOOKUP(H103,dagsoorttabel1,2,FALSE)</f>
        <v>0.24615384615384617</v>
      </c>
      <c r="M103" s="95">
        <f>prodnorm64</f>
        <v>0</v>
      </c>
      <c r="N103" s="92" t="s">
        <v>101</v>
      </c>
      <c r="O103" s="26">
        <f>uurtarief64</f>
        <v>0</v>
      </c>
      <c r="P103" s="94" t="e">
        <f>IF(ISBLANK(M103),0,L103/ROUND(M103,4))</f>
        <v>#DIV/0!</v>
      </c>
      <c r="Q103" s="26" t="e">
        <f>ROUND(O103,2)*P103</f>
        <v>#DIV/0!</v>
      </c>
      <c r="R103" s="94" t="e">
        <f>P103*dagenperjaar1</f>
        <v>#DIV/0!</v>
      </c>
      <c r="S103" s="27" t="e">
        <f>R103*ROUND(O103,2)</f>
        <v>#DIV/0!</v>
      </c>
    </row>
    <row r="104" spans="1:19" x14ac:dyDescent="0.2">
      <c r="A104" s="91" t="s">
        <v>606</v>
      </c>
      <c r="B104" s="92" t="s">
        <v>607</v>
      </c>
      <c r="C104" s="92" t="s">
        <v>335</v>
      </c>
      <c r="D104" s="92" t="s">
        <v>633</v>
      </c>
      <c r="E104" s="93" t="s">
        <v>560</v>
      </c>
      <c r="F104" s="92" t="s">
        <v>349</v>
      </c>
      <c r="G104" s="92" t="s">
        <v>288</v>
      </c>
      <c r="H104" s="92" t="s">
        <v>18</v>
      </c>
      <c r="I104" s="92" t="s">
        <v>230</v>
      </c>
      <c r="J104" s="93" t="s">
        <v>253</v>
      </c>
      <c r="K104" s="94">
        <v>3.4</v>
      </c>
      <c r="L104" s="94">
        <f>K104*VLOOKUP(H104,dagsoorttabel1,2,FALSE)</f>
        <v>6.5384615384615388E-2</v>
      </c>
      <c r="M104" s="95">
        <f>prodnorm65</f>
        <v>0</v>
      </c>
      <c r="N104" s="92" t="s">
        <v>101</v>
      </c>
      <c r="O104" s="26">
        <f>uurtarief65</f>
        <v>0</v>
      </c>
      <c r="P104" s="94" t="e">
        <f>IF(ISBLANK(M104),0,L104/ROUND(M104,4))</f>
        <v>#DIV/0!</v>
      </c>
      <c r="Q104" s="26" t="e">
        <f>ROUND(O104,2)*P104</f>
        <v>#DIV/0!</v>
      </c>
      <c r="R104" s="94" t="e">
        <f>P104*dagenperjaar1</f>
        <v>#DIV/0!</v>
      </c>
      <c r="S104" s="27" t="e">
        <f>R104*ROUND(O104,2)</f>
        <v>#DIV/0!</v>
      </c>
    </row>
    <row r="105" spans="1:19" x14ac:dyDescent="0.2">
      <c r="A105" s="91" t="s">
        <v>606</v>
      </c>
      <c r="B105" s="92" t="s">
        <v>607</v>
      </c>
      <c r="C105" s="92" t="s">
        <v>335</v>
      </c>
      <c r="D105" s="92" t="s">
        <v>634</v>
      </c>
      <c r="E105" s="93" t="s">
        <v>635</v>
      </c>
      <c r="F105" s="92" t="s">
        <v>349</v>
      </c>
      <c r="G105" s="92" t="s">
        <v>288</v>
      </c>
      <c r="H105" s="92" t="s">
        <v>18</v>
      </c>
      <c r="I105" s="92" t="s">
        <v>230</v>
      </c>
      <c r="J105" s="93" t="s">
        <v>253</v>
      </c>
      <c r="K105" s="94">
        <v>2.2999999999999998</v>
      </c>
      <c r="L105" s="94">
        <f>K105*VLOOKUP(H105,dagsoorttabel1,2,FALSE)</f>
        <v>4.4230769230769233E-2</v>
      </c>
      <c r="M105" s="95">
        <f>prodnorm65</f>
        <v>0</v>
      </c>
      <c r="N105" s="92" t="s">
        <v>101</v>
      </c>
      <c r="O105" s="26">
        <f>uurtarief65</f>
        <v>0</v>
      </c>
      <c r="P105" s="94" t="e">
        <f>IF(ISBLANK(M105),0,L105/ROUND(M105,4))</f>
        <v>#DIV/0!</v>
      </c>
      <c r="Q105" s="26" t="e">
        <f>ROUND(O105,2)*P105</f>
        <v>#DIV/0!</v>
      </c>
      <c r="R105" s="94" t="e">
        <f>P105*dagenperjaar1</f>
        <v>#DIV/0!</v>
      </c>
      <c r="S105" s="27" t="e">
        <f>R105*ROUND(O105,2)</f>
        <v>#DIV/0!</v>
      </c>
    </row>
    <row r="106" spans="1:19" x14ac:dyDescent="0.2">
      <c r="A106" s="91" t="s">
        <v>606</v>
      </c>
      <c r="B106" s="92" t="s">
        <v>607</v>
      </c>
      <c r="C106" s="92" t="s">
        <v>335</v>
      </c>
      <c r="D106" s="92" t="s">
        <v>637</v>
      </c>
      <c r="E106" s="93" t="s">
        <v>638</v>
      </c>
      <c r="F106" s="92" t="s">
        <v>349</v>
      </c>
      <c r="G106" s="92" t="s">
        <v>288</v>
      </c>
      <c r="H106" s="92" t="s">
        <v>18</v>
      </c>
      <c r="I106" s="92" t="s">
        <v>230</v>
      </c>
      <c r="J106" s="93" t="s">
        <v>253</v>
      </c>
      <c r="K106" s="94">
        <v>1.2</v>
      </c>
      <c r="L106" s="94">
        <f>K106*VLOOKUP(H106,dagsoorttabel1,2,FALSE)</f>
        <v>2.3076923076923078E-2</v>
      </c>
      <c r="M106" s="95">
        <f>prodnorm65</f>
        <v>0</v>
      </c>
      <c r="N106" s="92" t="s">
        <v>101</v>
      </c>
      <c r="O106" s="26">
        <f>uurtarief65</f>
        <v>0</v>
      </c>
      <c r="P106" s="94" t="e">
        <f>IF(ISBLANK(M106),0,L106/ROUND(M106,4))</f>
        <v>#DIV/0!</v>
      </c>
      <c r="Q106" s="26" t="e">
        <f>ROUND(O106,2)*P106</f>
        <v>#DIV/0!</v>
      </c>
      <c r="R106" s="94" t="e">
        <f>P106*dagenperjaar1</f>
        <v>#DIV/0!</v>
      </c>
      <c r="S106" s="27" t="e">
        <f>R106*ROUND(O106,2)</f>
        <v>#DIV/0!</v>
      </c>
    </row>
    <row r="107" spans="1:19" x14ac:dyDescent="0.2">
      <c r="A107" s="91" t="s">
        <v>606</v>
      </c>
      <c r="B107" s="92" t="s">
        <v>607</v>
      </c>
      <c r="C107" s="92" t="s">
        <v>335</v>
      </c>
      <c r="D107" s="92" t="s">
        <v>639</v>
      </c>
      <c r="E107" s="93" t="s">
        <v>640</v>
      </c>
      <c r="F107" s="92" t="s">
        <v>349</v>
      </c>
      <c r="G107" s="92" t="s">
        <v>288</v>
      </c>
      <c r="H107" s="92" t="s">
        <v>18</v>
      </c>
      <c r="I107" s="92" t="s">
        <v>230</v>
      </c>
      <c r="J107" s="93" t="s">
        <v>253</v>
      </c>
      <c r="K107" s="94">
        <v>1.6</v>
      </c>
      <c r="L107" s="94">
        <f>K107*VLOOKUP(H107,dagsoorttabel1,2,FALSE)</f>
        <v>3.0769230769230771E-2</v>
      </c>
      <c r="M107" s="95">
        <f>prodnorm65</f>
        <v>0</v>
      </c>
      <c r="N107" s="92" t="s">
        <v>101</v>
      </c>
      <c r="O107" s="26">
        <f>uurtarief65</f>
        <v>0</v>
      </c>
      <c r="P107" s="94" t="e">
        <f>IF(ISBLANK(M107),0,L107/ROUND(M107,4))</f>
        <v>#DIV/0!</v>
      </c>
      <c r="Q107" s="26" t="e">
        <f>ROUND(O107,2)*P107</f>
        <v>#DIV/0!</v>
      </c>
      <c r="R107" s="94" t="e">
        <f>P107*dagenperjaar1</f>
        <v>#DIV/0!</v>
      </c>
      <c r="S107" s="27" t="e">
        <f>R107*ROUND(O107,2)</f>
        <v>#DIV/0!</v>
      </c>
    </row>
    <row r="108" spans="1:19" x14ac:dyDescent="0.2">
      <c r="A108" s="91" t="s">
        <v>606</v>
      </c>
      <c r="B108" s="92" t="s">
        <v>607</v>
      </c>
      <c r="C108" s="92" t="s">
        <v>335</v>
      </c>
      <c r="D108" s="92" t="s">
        <v>639</v>
      </c>
      <c r="E108" s="93" t="s">
        <v>640</v>
      </c>
      <c r="F108" s="92" t="s">
        <v>349</v>
      </c>
      <c r="G108" s="92" t="s">
        <v>289</v>
      </c>
      <c r="H108" s="92" t="s">
        <v>18</v>
      </c>
      <c r="I108" s="92" t="s">
        <v>230</v>
      </c>
      <c r="J108" s="93" t="s">
        <v>255</v>
      </c>
      <c r="K108" s="94">
        <v>1.6</v>
      </c>
      <c r="L108" s="94">
        <f>K108*VLOOKUP(H108,dagsoorttabel1,2,FALSE)</f>
        <v>3.0769230769230771E-2</v>
      </c>
      <c r="M108" s="95">
        <f>prodnorm66</f>
        <v>0</v>
      </c>
      <c r="N108" s="92" t="s">
        <v>101</v>
      </c>
      <c r="O108" s="26">
        <f>uurtarief66</f>
        <v>0</v>
      </c>
      <c r="P108" s="94" t="e">
        <f>IF(ISBLANK(M108),0,L108/ROUND(M108,4))</f>
        <v>#DIV/0!</v>
      </c>
      <c r="Q108" s="26" t="e">
        <f>ROUND(O108,2)*P108</f>
        <v>#DIV/0!</v>
      </c>
      <c r="R108" s="94" t="e">
        <f>P108*dagenperjaar1</f>
        <v>#DIV/0!</v>
      </c>
      <c r="S108" s="27" t="e">
        <f>R108*ROUND(O108,2)</f>
        <v>#DIV/0!</v>
      </c>
    </row>
    <row r="109" spans="1:19" ht="25.5" x14ac:dyDescent="0.2">
      <c r="A109" s="91" t="s">
        <v>606</v>
      </c>
      <c r="B109" s="92" t="s">
        <v>607</v>
      </c>
      <c r="C109" s="92" t="s">
        <v>335</v>
      </c>
      <c r="D109" s="92" t="s">
        <v>641</v>
      </c>
      <c r="E109" s="93" t="s">
        <v>642</v>
      </c>
      <c r="F109" s="92" t="s">
        <v>349</v>
      </c>
      <c r="G109" s="92" t="s">
        <v>288</v>
      </c>
      <c r="H109" s="92" t="s">
        <v>18</v>
      </c>
      <c r="I109" s="92" t="s">
        <v>230</v>
      </c>
      <c r="J109" s="93" t="s">
        <v>253</v>
      </c>
      <c r="K109" s="94">
        <v>1.6</v>
      </c>
      <c r="L109" s="94">
        <f>K109*VLOOKUP(H109,dagsoorttabel1,2,FALSE)</f>
        <v>3.0769230769230771E-2</v>
      </c>
      <c r="M109" s="95">
        <f>prodnorm65</f>
        <v>0</v>
      </c>
      <c r="N109" s="92" t="s">
        <v>101</v>
      </c>
      <c r="O109" s="26">
        <f>uurtarief65</f>
        <v>0</v>
      </c>
      <c r="P109" s="94" t="e">
        <f>IF(ISBLANK(M109),0,L109/ROUND(M109,4))</f>
        <v>#DIV/0!</v>
      </c>
      <c r="Q109" s="26" t="e">
        <f>ROUND(O109,2)*P109</f>
        <v>#DIV/0!</v>
      </c>
      <c r="R109" s="94" t="e">
        <f>P109*dagenperjaar1</f>
        <v>#DIV/0!</v>
      </c>
      <c r="S109" s="27" t="e">
        <f>R109*ROUND(O109,2)</f>
        <v>#DIV/0!</v>
      </c>
    </row>
    <row r="110" spans="1:19" x14ac:dyDescent="0.2">
      <c r="A110" s="91" t="s">
        <v>606</v>
      </c>
      <c r="B110" s="92" t="s">
        <v>607</v>
      </c>
      <c r="C110" s="92" t="s">
        <v>335</v>
      </c>
      <c r="D110" s="92" t="s">
        <v>643</v>
      </c>
      <c r="E110" s="93" t="s">
        <v>644</v>
      </c>
      <c r="F110" s="92" t="s">
        <v>349</v>
      </c>
      <c r="G110" s="92" t="s">
        <v>287</v>
      </c>
      <c r="H110" s="92" t="s">
        <v>18</v>
      </c>
      <c r="I110" s="92" t="s">
        <v>230</v>
      </c>
      <c r="J110" s="93" t="s">
        <v>251</v>
      </c>
      <c r="K110" s="94">
        <v>13.1</v>
      </c>
      <c r="L110" s="94">
        <f>K110*VLOOKUP(H110,dagsoorttabel1,2,FALSE)</f>
        <v>0.25192307692307692</v>
      </c>
      <c r="M110" s="95">
        <f>prodnorm64</f>
        <v>0</v>
      </c>
      <c r="N110" s="92" t="s">
        <v>101</v>
      </c>
      <c r="O110" s="26">
        <f>uurtarief64</f>
        <v>0</v>
      </c>
      <c r="P110" s="94" t="e">
        <f>IF(ISBLANK(M110),0,L110/ROUND(M110,4))</f>
        <v>#DIV/0!</v>
      </c>
      <c r="Q110" s="26" t="e">
        <f>ROUND(O110,2)*P110</f>
        <v>#DIV/0!</v>
      </c>
      <c r="R110" s="94" t="e">
        <f>P110*dagenperjaar1</f>
        <v>#DIV/0!</v>
      </c>
      <c r="S110" s="27" t="e">
        <f>R110*ROUND(O110,2)</f>
        <v>#DIV/0!</v>
      </c>
    </row>
    <row r="111" spans="1:19" x14ac:dyDescent="0.2">
      <c r="A111" s="91" t="s">
        <v>606</v>
      </c>
      <c r="B111" s="92" t="s">
        <v>607</v>
      </c>
      <c r="C111" s="92" t="s">
        <v>393</v>
      </c>
      <c r="D111" s="92" t="s">
        <v>674</v>
      </c>
      <c r="E111" s="93" t="s">
        <v>675</v>
      </c>
      <c r="F111" s="92" t="s">
        <v>349</v>
      </c>
      <c r="G111" s="92" t="s">
        <v>288</v>
      </c>
      <c r="H111" s="92" t="s">
        <v>18</v>
      </c>
      <c r="I111" s="92" t="s">
        <v>230</v>
      </c>
      <c r="J111" s="93" t="s">
        <v>253</v>
      </c>
      <c r="K111" s="94">
        <v>8.6</v>
      </c>
      <c r="L111" s="94">
        <f>K111*VLOOKUP(H111,dagsoorttabel1,2,FALSE)</f>
        <v>0.16538461538461538</v>
      </c>
      <c r="M111" s="95">
        <f>prodnorm65</f>
        <v>0</v>
      </c>
      <c r="N111" s="92" t="s">
        <v>101</v>
      </c>
      <c r="O111" s="26">
        <f>uurtarief65</f>
        <v>0</v>
      </c>
      <c r="P111" s="94" t="e">
        <f>IF(ISBLANK(M111),0,L111/ROUND(M111,4))</f>
        <v>#DIV/0!</v>
      </c>
      <c r="Q111" s="26" t="e">
        <f>ROUND(O111,2)*P111</f>
        <v>#DIV/0!</v>
      </c>
      <c r="R111" s="94" t="e">
        <f>P111*dagenperjaar1</f>
        <v>#DIV/0!</v>
      </c>
      <c r="S111" s="27" t="e">
        <f>R111*ROUND(O111,2)</f>
        <v>#DIV/0!</v>
      </c>
    </row>
    <row r="112" spans="1:19" x14ac:dyDescent="0.2">
      <c r="A112" s="91" t="s">
        <v>606</v>
      </c>
      <c r="B112" s="92" t="s">
        <v>607</v>
      </c>
      <c r="C112" s="92" t="s">
        <v>393</v>
      </c>
      <c r="D112" s="92" t="s">
        <v>674</v>
      </c>
      <c r="E112" s="93" t="s">
        <v>675</v>
      </c>
      <c r="F112" s="92" t="s">
        <v>349</v>
      </c>
      <c r="G112" s="92" t="s">
        <v>289</v>
      </c>
      <c r="H112" s="92" t="s">
        <v>18</v>
      </c>
      <c r="I112" s="92" t="s">
        <v>230</v>
      </c>
      <c r="J112" s="93" t="s">
        <v>255</v>
      </c>
      <c r="K112" s="94">
        <v>8.6</v>
      </c>
      <c r="L112" s="94">
        <f>K112*VLOOKUP(H112,dagsoorttabel1,2,FALSE)</f>
        <v>0.16538461538461538</v>
      </c>
      <c r="M112" s="95">
        <f>prodnorm66</f>
        <v>0</v>
      </c>
      <c r="N112" s="92" t="s">
        <v>101</v>
      </c>
      <c r="O112" s="26">
        <f>uurtarief66</f>
        <v>0</v>
      </c>
      <c r="P112" s="94" t="e">
        <f>IF(ISBLANK(M112),0,L112/ROUND(M112,4))</f>
        <v>#DIV/0!</v>
      </c>
      <c r="Q112" s="26" t="e">
        <f>ROUND(O112,2)*P112</f>
        <v>#DIV/0!</v>
      </c>
      <c r="R112" s="94" t="e">
        <f>P112*dagenperjaar1</f>
        <v>#DIV/0!</v>
      </c>
      <c r="S112" s="27" t="e">
        <f>R112*ROUND(O112,2)</f>
        <v>#DIV/0!</v>
      </c>
    </row>
    <row r="113" spans="1:19" x14ac:dyDescent="0.2">
      <c r="A113" s="91" t="s">
        <v>606</v>
      </c>
      <c r="B113" s="92" t="s">
        <v>607</v>
      </c>
      <c r="C113" s="92" t="s">
        <v>393</v>
      </c>
      <c r="D113" s="92" t="s">
        <v>676</v>
      </c>
      <c r="E113" s="93" t="s">
        <v>677</v>
      </c>
      <c r="F113" s="92" t="s">
        <v>349</v>
      </c>
      <c r="G113" s="92" t="s">
        <v>288</v>
      </c>
      <c r="H113" s="92" t="s">
        <v>18</v>
      </c>
      <c r="I113" s="92" t="s">
        <v>230</v>
      </c>
      <c r="J113" s="93" t="s">
        <v>253</v>
      </c>
      <c r="K113" s="94">
        <v>1.1000000000000001</v>
      </c>
      <c r="L113" s="94">
        <f>K113*VLOOKUP(H113,dagsoorttabel1,2,FALSE)</f>
        <v>2.1153846153846155E-2</v>
      </c>
      <c r="M113" s="95">
        <f>prodnorm65</f>
        <v>0</v>
      </c>
      <c r="N113" s="92" t="s">
        <v>101</v>
      </c>
      <c r="O113" s="26">
        <f>uurtarief65</f>
        <v>0</v>
      </c>
      <c r="P113" s="94" t="e">
        <f>IF(ISBLANK(M113),0,L113/ROUND(M113,4))</f>
        <v>#DIV/0!</v>
      </c>
      <c r="Q113" s="26" t="e">
        <f>ROUND(O113,2)*P113</f>
        <v>#DIV/0!</v>
      </c>
      <c r="R113" s="94" t="e">
        <f>P113*dagenperjaar1</f>
        <v>#DIV/0!</v>
      </c>
      <c r="S113" s="27" t="e">
        <f>R113*ROUND(O113,2)</f>
        <v>#DIV/0!</v>
      </c>
    </row>
    <row r="114" spans="1:19" x14ac:dyDescent="0.2">
      <c r="A114" s="91" t="s">
        <v>606</v>
      </c>
      <c r="B114" s="92" t="s">
        <v>607</v>
      </c>
      <c r="C114" s="92" t="s">
        <v>393</v>
      </c>
      <c r="D114" s="92" t="s">
        <v>676</v>
      </c>
      <c r="E114" s="93" t="s">
        <v>677</v>
      </c>
      <c r="F114" s="92" t="s">
        <v>349</v>
      </c>
      <c r="G114" s="92" t="s">
        <v>289</v>
      </c>
      <c r="H114" s="92" t="s">
        <v>18</v>
      </c>
      <c r="I114" s="92" t="s">
        <v>230</v>
      </c>
      <c r="J114" s="93" t="s">
        <v>255</v>
      </c>
      <c r="K114" s="94">
        <v>1.1000000000000001</v>
      </c>
      <c r="L114" s="94">
        <f>K114*VLOOKUP(H114,dagsoorttabel1,2,FALSE)</f>
        <v>2.1153846153846155E-2</v>
      </c>
      <c r="M114" s="95">
        <f>prodnorm66</f>
        <v>0</v>
      </c>
      <c r="N114" s="92" t="s">
        <v>101</v>
      </c>
      <c r="O114" s="26">
        <f>uurtarief66</f>
        <v>0</v>
      </c>
      <c r="P114" s="94" t="e">
        <f>IF(ISBLANK(M114),0,L114/ROUND(M114,4))</f>
        <v>#DIV/0!</v>
      </c>
      <c r="Q114" s="26" t="e">
        <f>ROUND(O114,2)*P114</f>
        <v>#DIV/0!</v>
      </c>
      <c r="R114" s="94" t="e">
        <f>P114*dagenperjaar1</f>
        <v>#DIV/0!</v>
      </c>
      <c r="S114" s="27" t="e">
        <f>R114*ROUND(O114,2)</f>
        <v>#DIV/0!</v>
      </c>
    </row>
    <row r="115" spans="1:19" x14ac:dyDescent="0.2">
      <c r="A115" s="91" t="s">
        <v>606</v>
      </c>
      <c r="B115" s="92" t="s">
        <v>607</v>
      </c>
      <c r="C115" s="92" t="s">
        <v>393</v>
      </c>
      <c r="D115" s="92" t="s">
        <v>678</v>
      </c>
      <c r="E115" s="93" t="s">
        <v>677</v>
      </c>
      <c r="F115" s="92" t="s">
        <v>349</v>
      </c>
      <c r="G115" s="92" t="s">
        <v>288</v>
      </c>
      <c r="H115" s="92" t="s">
        <v>18</v>
      </c>
      <c r="I115" s="92" t="s">
        <v>230</v>
      </c>
      <c r="J115" s="93" t="s">
        <v>253</v>
      </c>
      <c r="K115" s="94">
        <v>1.1000000000000001</v>
      </c>
      <c r="L115" s="94">
        <f>K115*VLOOKUP(H115,dagsoorttabel1,2,FALSE)</f>
        <v>2.1153846153846155E-2</v>
      </c>
      <c r="M115" s="95">
        <f>prodnorm65</f>
        <v>0</v>
      </c>
      <c r="N115" s="92" t="s">
        <v>101</v>
      </c>
      <c r="O115" s="26">
        <f>uurtarief65</f>
        <v>0</v>
      </c>
      <c r="P115" s="94" t="e">
        <f>IF(ISBLANK(M115),0,L115/ROUND(M115,4))</f>
        <v>#DIV/0!</v>
      </c>
      <c r="Q115" s="26" t="e">
        <f>ROUND(O115,2)*P115</f>
        <v>#DIV/0!</v>
      </c>
      <c r="R115" s="94" t="e">
        <f>P115*dagenperjaar1</f>
        <v>#DIV/0!</v>
      </c>
      <c r="S115" s="27" t="e">
        <f>R115*ROUND(O115,2)</f>
        <v>#DIV/0!</v>
      </c>
    </row>
    <row r="116" spans="1:19" x14ac:dyDescent="0.2">
      <c r="A116" s="91" t="s">
        <v>606</v>
      </c>
      <c r="B116" s="92" t="s">
        <v>607</v>
      </c>
      <c r="C116" s="92" t="s">
        <v>393</v>
      </c>
      <c r="D116" s="92" t="s">
        <v>678</v>
      </c>
      <c r="E116" s="93" t="s">
        <v>677</v>
      </c>
      <c r="F116" s="92" t="s">
        <v>349</v>
      </c>
      <c r="G116" s="92" t="s">
        <v>289</v>
      </c>
      <c r="H116" s="92" t="s">
        <v>18</v>
      </c>
      <c r="I116" s="92" t="s">
        <v>230</v>
      </c>
      <c r="J116" s="93" t="s">
        <v>255</v>
      </c>
      <c r="K116" s="94">
        <v>1.1000000000000001</v>
      </c>
      <c r="L116" s="94">
        <f>K116*VLOOKUP(H116,dagsoorttabel1,2,FALSE)</f>
        <v>2.1153846153846155E-2</v>
      </c>
      <c r="M116" s="95">
        <f>prodnorm66</f>
        <v>0</v>
      </c>
      <c r="N116" s="92" t="s">
        <v>101</v>
      </c>
      <c r="O116" s="26">
        <f>uurtarief66</f>
        <v>0</v>
      </c>
      <c r="P116" s="94" t="e">
        <f>IF(ISBLANK(M116),0,L116/ROUND(M116,4))</f>
        <v>#DIV/0!</v>
      </c>
      <c r="Q116" s="26" t="e">
        <f>ROUND(O116,2)*P116</f>
        <v>#DIV/0!</v>
      </c>
      <c r="R116" s="94" t="e">
        <f>P116*dagenperjaar1</f>
        <v>#DIV/0!</v>
      </c>
      <c r="S116" s="27" t="e">
        <f>R116*ROUND(O116,2)</f>
        <v>#DIV/0!</v>
      </c>
    </row>
    <row r="117" spans="1:19" x14ac:dyDescent="0.2">
      <c r="A117" s="91" t="s">
        <v>606</v>
      </c>
      <c r="B117" s="92" t="s">
        <v>607</v>
      </c>
      <c r="C117" s="92" t="s">
        <v>393</v>
      </c>
      <c r="D117" s="92" t="s">
        <v>679</v>
      </c>
      <c r="E117" s="93" t="s">
        <v>680</v>
      </c>
      <c r="F117" s="92" t="s">
        <v>349</v>
      </c>
      <c r="G117" s="92" t="s">
        <v>288</v>
      </c>
      <c r="H117" s="92" t="s">
        <v>18</v>
      </c>
      <c r="I117" s="92" t="s">
        <v>230</v>
      </c>
      <c r="J117" s="93" t="s">
        <v>253</v>
      </c>
      <c r="K117" s="94">
        <v>1.2</v>
      </c>
      <c r="L117" s="94">
        <f>K117*VLOOKUP(H117,dagsoorttabel1,2,FALSE)</f>
        <v>2.3076923076923078E-2</v>
      </c>
      <c r="M117" s="95">
        <f>prodnorm65</f>
        <v>0</v>
      </c>
      <c r="N117" s="92" t="s">
        <v>101</v>
      </c>
      <c r="O117" s="26">
        <f>uurtarief65</f>
        <v>0</v>
      </c>
      <c r="P117" s="94" t="e">
        <f>IF(ISBLANK(M117),0,L117/ROUND(M117,4))</f>
        <v>#DIV/0!</v>
      </c>
      <c r="Q117" s="26" t="e">
        <f>ROUND(O117,2)*P117</f>
        <v>#DIV/0!</v>
      </c>
      <c r="R117" s="94" t="e">
        <f>P117*dagenperjaar1</f>
        <v>#DIV/0!</v>
      </c>
      <c r="S117" s="27" t="e">
        <f>R117*ROUND(O117,2)</f>
        <v>#DIV/0!</v>
      </c>
    </row>
    <row r="118" spans="1:19" x14ac:dyDescent="0.2">
      <c r="A118" s="91" t="s">
        <v>606</v>
      </c>
      <c r="B118" s="92" t="s">
        <v>607</v>
      </c>
      <c r="C118" s="92" t="s">
        <v>393</v>
      </c>
      <c r="D118" s="92" t="s">
        <v>679</v>
      </c>
      <c r="E118" s="93" t="s">
        <v>680</v>
      </c>
      <c r="F118" s="92" t="s">
        <v>349</v>
      </c>
      <c r="G118" s="92" t="s">
        <v>289</v>
      </c>
      <c r="H118" s="92" t="s">
        <v>18</v>
      </c>
      <c r="I118" s="92" t="s">
        <v>230</v>
      </c>
      <c r="J118" s="93" t="s">
        <v>255</v>
      </c>
      <c r="K118" s="94">
        <v>1.2</v>
      </c>
      <c r="L118" s="94">
        <f>K118*VLOOKUP(H118,dagsoorttabel1,2,FALSE)</f>
        <v>2.3076923076923078E-2</v>
      </c>
      <c r="M118" s="95">
        <f>prodnorm66</f>
        <v>0</v>
      </c>
      <c r="N118" s="92" t="s">
        <v>101</v>
      </c>
      <c r="O118" s="26">
        <f>uurtarief66</f>
        <v>0</v>
      </c>
      <c r="P118" s="94" t="e">
        <f>IF(ISBLANK(M118),0,L118/ROUND(M118,4))</f>
        <v>#DIV/0!</v>
      </c>
      <c r="Q118" s="26" t="e">
        <f>ROUND(O118,2)*P118</f>
        <v>#DIV/0!</v>
      </c>
      <c r="R118" s="94" t="e">
        <f>P118*dagenperjaar1</f>
        <v>#DIV/0!</v>
      </c>
      <c r="S118" s="27" t="e">
        <f>R118*ROUND(O118,2)</f>
        <v>#DIV/0!</v>
      </c>
    </row>
    <row r="119" spans="1:19" x14ac:dyDescent="0.2">
      <c r="A119" s="91" t="s">
        <v>606</v>
      </c>
      <c r="B119" s="92" t="s">
        <v>607</v>
      </c>
      <c r="C119" s="92" t="s">
        <v>393</v>
      </c>
      <c r="D119" s="92" t="s">
        <v>681</v>
      </c>
      <c r="E119" s="93" t="s">
        <v>680</v>
      </c>
      <c r="F119" s="92" t="s">
        <v>349</v>
      </c>
      <c r="G119" s="92" t="s">
        <v>288</v>
      </c>
      <c r="H119" s="92" t="s">
        <v>18</v>
      </c>
      <c r="I119" s="92" t="s">
        <v>230</v>
      </c>
      <c r="J119" s="93" t="s">
        <v>253</v>
      </c>
      <c r="K119" s="94">
        <v>1.2</v>
      </c>
      <c r="L119" s="94">
        <f>K119*VLOOKUP(H119,dagsoorttabel1,2,FALSE)</f>
        <v>2.3076923076923078E-2</v>
      </c>
      <c r="M119" s="95">
        <f>prodnorm65</f>
        <v>0</v>
      </c>
      <c r="N119" s="92" t="s">
        <v>101</v>
      </c>
      <c r="O119" s="26">
        <f>uurtarief65</f>
        <v>0</v>
      </c>
      <c r="P119" s="94" t="e">
        <f>IF(ISBLANK(M119),0,L119/ROUND(M119,4))</f>
        <v>#DIV/0!</v>
      </c>
      <c r="Q119" s="26" t="e">
        <f>ROUND(O119,2)*P119</f>
        <v>#DIV/0!</v>
      </c>
      <c r="R119" s="94" t="e">
        <f>P119*dagenperjaar1</f>
        <v>#DIV/0!</v>
      </c>
      <c r="S119" s="27" t="e">
        <f>R119*ROUND(O119,2)</f>
        <v>#DIV/0!</v>
      </c>
    </row>
    <row r="120" spans="1:19" x14ac:dyDescent="0.2">
      <c r="A120" s="91" t="s">
        <v>606</v>
      </c>
      <c r="B120" s="92" t="s">
        <v>607</v>
      </c>
      <c r="C120" s="92" t="s">
        <v>393</v>
      </c>
      <c r="D120" s="92" t="s">
        <v>681</v>
      </c>
      <c r="E120" s="93" t="s">
        <v>680</v>
      </c>
      <c r="F120" s="92" t="s">
        <v>349</v>
      </c>
      <c r="G120" s="92" t="s">
        <v>289</v>
      </c>
      <c r="H120" s="92" t="s">
        <v>18</v>
      </c>
      <c r="I120" s="92" t="s">
        <v>230</v>
      </c>
      <c r="J120" s="93" t="s">
        <v>255</v>
      </c>
      <c r="K120" s="94">
        <v>1.2</v>
      </c>
      <c r="L120" s="94">
        <f>K120*VLOOKUP(H120,dagsoorttabel1,2,FALSE)</f>
        <v>2.3076923076923078E-2</v>
      </c>
      <c r="M120" s="95">
        <f>prodnorm66</f>
        <v>0</v>
      </c>
      <c r="N120" s="92" t="s">
        <v>101</v>
      </c>
      <c r="O120" s="26">
        <f>uurtarief66</f>
        <v>0</v>
      </c>
      <c r="P120" s="94" t="e">
        <f>IF(ISBLANK(M120),0,L120/ROUND(M120,4))</f>
        <v>#DIV/0!</v>
      </c>
      <c r="Q120" s="26" t="e">
        <f>ROUND(O120,2)*P120</f>
        <v>#DIV/0!</v>
      </c>
      <c r="R120" s="94" t="e">
        <f>P120*dagenperjaar1</f>
        <v>#DIV/0!</v>
      </c>
      <c r="S120" s="27" t="e">
        <f>R120*ROUND(O120,2)</f>
        <v>#DIV/0!</v>
      </c>
    </row>
    <row r="121" spans="1:19" x14ac:dyDescent="0.2">
      <c r="A121" s="91" t="s">
        <v>606</v>
      </c>
      <c r="B121" s="92" t="s">
        <v>607</v>
      </c>
      <c r="C121" s="92" t="s">
        <v>393</v>
      </c>
      <c r="D121" s="92" t="s">
        <v>682</v>
      </c>
      <c r="E121" s="93" t="s">
        <v>683</v>
      </c>
      <c r="F121" s="92" t="s">
        <v>349</v>
      </c>
      <c r="G121" s="92" t="s">
        <v>288</v>
      </c>
      <c r="H121" s="92" t="s">
        <v>18</v>
      </c>
      <c r="I121" s="92" t="s">
        <v>230</v>
      </c>
      <c r="J121" s="93" t="s">
        <v>253</v>
      </c>
      <c r="K121" s="94">
        <v>4.7</v>
      </c>
      <c r="L121" s="94">
        <f>K121*VLOOKUP(H121,dagsoorttabel1,2,FALSE)</f>
        <v>9.0384615384615397E-2</v>
      </c>
      <c r="M121" s="95">
        <f>prodnorm65</f>
        <v>0</v>
      </c>
      <c r="N121" s="92" t="s">
        <v>101</v>
      </c>
      <c r="O121" s="26">
        <f>uurtarief65</f>
        <v>0</v>
      </c>
      <c r="P121" s="94" t="e">
        <f>IF(ISBLANK(M121),0,L121/ROUND(M121,4))</f>
        <v>#DIV/0!</v>
      </c>
      <c r="Q121" s="26" t="e">
        <f>ROUND(O121,2)*P121</f>
        <v>#DIV/0!</v>
      </c>
      <c r="R121" s="94" t="e">
        <f>P121*dagenperjaar1</f>
        <v>#DIV/0!</v>
      </c>
      <c r="S121" s="27" t="e">
        <f>R121*ROUND(O121,2)</f>
        <v>#DIV/0!</v>
      </c>
    </row>
    <row r="122" spans="1:19" x14ac:dyDescent="0.2">
      <c r="A122" s="91" t="s">
        <v>606</v>
      </c>
      <c r="B122" s="92" t="s">
        <v>607</v>
      </c>
      <c r="C122" s="92" t="s">
        <v>393</v>
      </c>
      <c r="D122" s="92" t="s">
        <v>682</v>
      </c>
      <c r="E122" s="93" t="s">
        <v>683</v>
      </c>
      <c r="F122" s="92" t="s">
        <v>349</v>
      </c>
      <c r="G122" s="92" t="s">
        <v>289</v>
      </c>
      <c r="H122" s="92" t="s">
        <v>18</v>
      </c>
      <c r="I122" s="92" t="s">
        <v>230</v>
      </c>
      <c r="J122" s="93" t="s">
        <v>255</v>
      </c>
      <c r="K122" s="94">
        <v>4.7</v>
      </c>
      <c r="L122" s="94">
        <f>K122*VLOOKUP(H122,dagsoorttabel1,2,FALSE)</f>
        <v>9.0384615384615397E-2</v>
      </c>
      <c r="M122" s="95">
        <f>prodnorm66</f>
        <v>0</v>
      </c>
      <c r="N122" s="92" t="s">
        <v>101</v>
      </c>
      <c r="O122" s="26">
        <f>uurtarief66</f>
        <v>0</v>
      </c>
      <c r="P122" s="94" t="e">
        <f>IF(ISBLANK(M122),0,L122/ROUND(M122,4))</f>
        <v>#DIV/0!</v>
      </c>
      <c r="Q122" s="26" t="e">
        <f>ROUND(O122,2)*P122</f>
        <v>#DIV/0!</v>
      </c>
      <c r="R122" s="94" t="e">
        <f>P122*dagenperjaar1</f>
        <v>#DIV/0!</v>
      </c>
      <c r="S122" s="27" t="e">
        <f>R122*ROUND(O122,2)</f>
        <v>#DIV/0!</v>
      </c>
    </row>
    <row r="123" spans="1:19" x14ac:dyDescent="0.2">
      <c r="A123" s="91" t="s">
        <v>606</v>
      </c>
      <c r="B123" s="92" t="s">
        <v>607</v>
      </c>
      <c r="C123" s="92" t="s">
        <v>393</v>
      </c>
      <c r="D123" s="92" t="s">
        <v>684</v>
      </c>
      <c r="E123" s="93" t="s">
        <v>685</v>
      </c>
      <c r="F123" s="92" t="s">
        <v>349</v>
      </c>
      <c r="G123" s="92" t="s">
        <v>288</v>
      </c>
      <c r="H123" s="92" t="s">
        <v>18</v>
      </c>
      <c r="I123" s="92" t="s">
        <v>230</v>
      </c>
      <c r="J123" s="93" t="s">
        <v>253</v>
      </c>
      <c r="K123" s="94">
        <v>5.4</v>
      </c>
      <c r="L123" s="94">
        <f>K123*VLOOKUP(H123,dagsoorttabel1,2,FALSE)</f>
        <v>0.10384615384615385</v>
      </c>
      <c r="M123" s="95">
        <f>prodnorm65</f>
        <v>0</v>
      </c>
      <c r="N123" s="92" t="s">
        <v>101</v>
      </c>
      <c r="O123" s="26">
        <f>uurtarief65</f>
        <v>0</v>
      </c>
      <c r="P123" s="94" t="e">
        <f>IF(ISBLANK(M123),0,L123/ROUND(M123,4))</f>
        <v>#DIV/0!</v>
      </c>
      <c r="Q123" s="26" t="e">
        <f>ROUND(O123,2)*P123</f>
        <v>#DIV/0!</v>
      </c>
      <c r="R123" s="94" t="e">
        <f>P123*dagenperjaar1</f>
        <v>#DIV/0!</v>
      </c>
      <c r="S123" s="27" t="e">
        <f>R123*ROUND(O123,2)</f>
        <v>#DIV/0!</v>
      </c>
    </row>
    <row r="124" spans="1:19" x14ac:dyDescent="0.2">
      <c r="A124" s="91" t="s">
        <v>606</v>
      </c>
      <c r="B124" s="92" t="s">
        <v>607</v>
      </c>
      <c r="C124" s="92" t="s">
        <v>393</v>
      </c>
      <c r="D124" s="92" t="s">
        <v>684</v>
      </c>
      <c r="E124" s="93" t="s">
        <v>685</v>
      </c>
      <c r="F124" s="92" t="s">
        <v>349</v>
      </c>
      <c r="G124" s="92" t="s">
        <v>289</v>
      </c>
      <c r="H124" s="92" t="s">
        <v>18</v>
      </c>
      <c r="I124" s="92" t="s">
        <v>230</v>
      </c>
      <c r="J124" s="93" t="s">
        <v>255</v>
      </c>
      <c r="K124" s="94">
        <v>5.4</v>
      </c>
      <c r="L124" s="94">
        <f>K124*VLOOKUP(H124,dagsoorttabel1,2,FALSE)</f>
        <v>0.10384615384615385</v>
      </c>
      <c r="M124" s="95">
        <f>prodnorm66</f>
        <v>0</v>
      </c>
      <c r="N124" s="92" t="s">
        <v>101</v>
      </c>
      <c r="O124" s="26">
        <f>uurtarief66</f>
        <v>0</v>
      </c>
      <c r="P124" s="94" t="e">
        <f>IF(ISBLANK(M124),0,L124/ROUND(M124,4))</f>
        <v>#DIV/0!</v>
      </c>
      <c r="Q124" s="26" t="e">
        <f>ROUND(O124,2)*P124</f>
        <v>#DIV/0!</v>
      </c>
      <c r="R124" s="94" t="e">
        <f>P124*dagenperjaar1</f>
        <v>#DIV/0!</v>
      </c>
      <c r="S124" s="27" t="e">
        <f>R124*ROUND(O124,2)</f>
        <v>#DIV/0!</v>
      </c>
    </row>
    <row r="125" spans="1:19" x14ac:dyDescent="0.2">
      <c r="A125" s="91" t="s">
        <v>606</v>
      </c>
      <c r="B125" s="92" t="s">
        <v>607</v>
      </c>
      <c r="C125" s="92" t="s">
        <v>462</v>
      </c>
      <c r="D125" s="92" t="s">
        <v>761</v>
      </c>
      <c r="E125" s="93" t="s">
        <v>513</v>
      </c>
      <c r="F125" s="92" t="s">
        <v>458</v>
      </c>
      <c r="G125" s="92" t="s">
        <v>290</v>
      </c>
      <c r="H125" s="92" t="s">
        <v>18</v>
      </c>
      <c r="I125" s="92" t="s">
        <v>230</v>
      </c>
      <c r="J125" s="93" t="s">
        <v>257</v>
      </c>
      <c r="K125" s="94">
        <v>7.6</v>
      </c>
      <c r="L125" s="94">
        <f>K125*VLOOKUP(H125,dagsoorttabel1,2,FALSE)</f>
        <v>0.14615384615384616</v>
      </c>
      <c r="M125" s="95">
        <f>prodnorm67</f>
        <v>0</v>
      </c>
      <c r="N125" s="92" t="s">
        <v>101</v>
      </c>
      <c r="O125" s="26">
        <f>uurtarief67</f>
        <v>0</v>
      </c>
      <c r="P125" s="94" t="e">
        <f>IF(ISBLANK(M125),0,L125/ROUND(M125,4))</f>
        <v>#DIV/0!</v>
      </c>
      <c r="Q125" s="26" t="e">
        <f>ROUND(O125,2)*P125</f>
        <v>#DIV/0!</v>
      </c>
      <c r="R125" s="94" t="e">
        <f>P125*dagenperjaar1</f>
        <v>#DIV/0!</v>
      </c>
      <c r="S125" s="27" t="e">
        <f>R125*ROUND(O125,2)</f>
        <v>#DIV/0!</v>
      </c>
    </row>
    <row r="126" spans="1:19" x14ac:dyDescent="0.2">
      <c r="A126" s="91" t="s">
        <v>606</v>
      </c>
      <c r="B126" s="92" t="s">
        <v>607</v>
      </c>
      <c r="C126" s="92" t="s">
        <v>462</v>
      </c>
      <c r="D126" s="92" t="s">
        <v>762</v>
      </c>
      <c r="E126" s="93" t="s">
        <v>611</v>
      </c>
      <c r="F126" s="92" t="s">
        <v>458</v>
      </c>
      <c r="G126" s="92" t="s">
        <v>294</v>
      </c>
      <c r="H126" s="92" t="s">
        <v>18</v>
      </c>
      <c r="I126" s="92" t="s">
        <v>230</v>
      </c>
      <c r="J126" s="93" t="s">
        <v>267</v>
      </c>
      <c r="K126" s="94">
        <v>12.8</v>
      </c>
      <c r="L126" s="94">
        <f>K126*VLOOKUP(H126,dagsoorttabel1,2,FALSE)</f>
        <v>0.24615384615384617</v>
      </c>
      <c r="M126" s="95">
        <f>prodnorm71</f>
        <v>0</v>
      </c>
      <c r="N126" s="92" t="s">
        <v>101</v>
      </c>
      <c r="O126" s="26">
        <f>uurtarief71</f>
        <v>0</v>
      </c>
      <c r="P126" s="94" t="e">
        <f>IF(ISBLANK(M126),0,L126/ROUND(M126,4))</f>
        <v>#DIV/0!</v>
      </c>
      <c r="Q126" s="26" t="e">
        <f>ROUND(O126,2)*P126</f>
        <v>#DIV/0!</v>
      </c>
      <c r="R126" s="94" t="e">
        <f>P126*dagenperjaar1</f>
        <v>#DIV/0!</v>
      </c>
      <c r="S126" s="27" t="e">
        <f>R126*ROUND(O126,2)</f>
        <v>#DIV/0!</v>
      </c>
    </row>
    <row r="127" spans="1:19" x14ac:dyDescent="0.2">
      <c r="A127" s="97" t="s">
        <v>606</v>
      </c>
      <c r="B127" s="98" t="s">
        <v>607</v>
      </c>
      <c r="C127" s="98" t="s">
        <v>771</v>
      </c>
      <c r="D127" s="98" t="s">
        <v>777</v>
      </c>
      <c r="E127" s="99" t="s">
        <v>532</v>
      </c>
      <c r="F127" s="98" t="s">
        <v>349</v>
      </c>
      <c r="G127" s="98" t="s">
        <v>287</v>
      </c>
      <c r="H127" s="98" t="s">
        <v>18</v>
      </c>
      <c r="I127" s="98" t="s">
        <v>230</v>
      </c>
      <c r="J127" s="99" t="s">
        <v>251</v>
      </c>
      <c r="K127" s="100">
        <v>1</v>
      </c>
      <c r="L127" s="100">
        <f>K127*VLOOKUP(H127,dagsoorttabel1,2,FALSE)</f>
        <v>1.9230769230769232E-2</v>
      </c>
      <c r="M127" s="101">
        <f>prodnorm64</f>
        <v>0</v>
      </c>
      <c r="N127" s="98" t="s">
        <v>101</v>
      </c>
      <c r="O127" s="36">
        <f>uurtarief64</f>
        <v>0</v>
      </c>
      <c r="P127" s="100" t="e">
        <f>IF(ISBLANK(M127),0,L127/ROUND(M127,4))</f>
        <v>#DIV/0!</v>
      </c>
      <c r="Q127" s="36" t="e">
        <f>ROUND(O127,2)*P127</f>
        <v>#DIV/0!</v>
      </c>
      <c r="R127" s="100" t="e">
        <f>P127*dagenperjaar1</f>
        <v>#DIV/0!</v>
      </c>
      <c r="S127" s="37" t="e">
        <f>R127*ROUND(O127,2)</f>
        <v>#DIV/0!</v>
      </c>
    </row>
    <row r="128" spans="1:19" x14ac:dyDescent="0.2">
      <c r="A128" s="103" t="s">
        <v>947</v>
      </c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6" t="e">
        <f>IF(_xlfn.SINGLE(object2_urenjaar2)&gt;0,_xlfn.SINGLE(object2_prijsjaar2)/_xlfn.SINGLE(object2_urenjaar2),0)</f>
        <v>#DIV/0!</v>
      </c>
      <c r="P128" s="75" t="e">
        <f>SUM(P101:P127)</f>
        <v>#DIV/0!</v>
      </c>
      <c r="Q128" s="76" t="e">
        <f>SUM(Q101:Q127)</f>
        <v>#DIV/0!</v>
      </c>
      <c r="R128" s="75" t="e">
        <f>SUM(R101:R127)</f>
        <v>#DIV/0!</v>
      </c>
      <c r="S128" s="77" t="e">
        <f>SUM(S101:S127)</f>
        <v>#DIV/0!</v>
      </c>
    </row>
    <row r="129" spans="1:19" x14ac:dyDescent="0.2">
      <c r="A129" s="82" t="s">
        <v>780</v>
      </c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72"/>
    </row>
    <row r="130" spans="1:19" x14ac:dyDescent="0.2">
      <c r="A130" s="83" t="s">
        <v>781</v>
      </c>
      <c r="B130" s="84" t="s">
        <v>36</v>
      </c>
      <c r="C130" s="84" t="s">
        <v>393</v>
      </c>
      <c r="D130" s="84" t="s">
        <v>787</v>
      </c>
      <c r="E130" s="85" t="s">
        <v>788</v>
      </c>
      <c r="F130" s="84" t="s">
        <v>789</v>
      </c>
      <c r="G130" s="84" t="s">
        <v>290</v>
      </c>
      <c r="H130" s="84" t="s">
        <v>18</v>
      </c>
      <c r="I130" s="84" t="s">
        <v>230</v>
      </c>
      <c r="J130" s="85" t="s">
        <v>257</v>
      </c>
      <c r="K130" s="86">
        <v>38</v>
      </c>
      <c r="L130" s="86">
        <f>K130*VLOOKUP(H130,dagsoorttabel1,2,FALSE)</f>
        <v>0.73076923076923084</v>
      </c>
      <c r="M130" s="87">
        <f>prodnorm67</f>
        <v>0</v>
      </c>
      <c r="N130" s="84" t="s">
        <v>101</v>
      </c>
      <c r="O130" s="88">
        <f>uurtarief67</f>
        <v>0</v>
      </c>
      <c r="P130" s="86" t="e">
        <f>IF(ISBLANK(M130),0,L130/ROUND(M130,4))</f>
        <v>#DIV/0!</v>
      </c>
      <c r="Q130" s="88" t="e">
        <f>ROUND(O130,2)*P130</f>
        <v>#DIV/0!</v>
      </c>
      <c r="R130" s="86" t="e">
        <f>P130*dagenperjaar1</f>
        <v>#DIV/0!</v>
      </c>
      <c r="S130" s="90" t="e">
        <f>R130*ROUND(O130,2)</f>
        <v>#DIV/0!</v>
      </c>
    </row>
    <row r="131" spans="1:19" x14ac:dyDescent="0.2">
      <c r="A131" s="91" t="s">
        <v>781</v>
      </c>
      <c r="B131" s="92" t="s">
        <v>36</v>
      </c>
      <c r="C131" s="92" t="s">
        <v>393</v>
      </c>
      <c r="D131" s="92" t="s">
        <v>790</v>
      </c>
      <c r="E131" s="93" t="s">
        <v>791</v>
      </c>
      <c r="F131" s="92" t="s">
        <v>342</v>
      </c>
      <c r="G131" s="92" t="s">
        <v>288</v>
      </c>
      <c r="H131" s="92" t="s">
        <v>18</v>
      </c>
      <c r="I131" s="92" t="s">
        <v>230</v>
      </c>
      <c r="J131" s="93" t="s">
        <v>253</v>
      </c>
      <c r="K131" s="94">
        <v>25</v>
      </c>
      <c r="L131" s="94">
        <f>K131*VLOOKUP(H131,dagsoorttabel1,2,FALSE)</f>
        <v>0.48076923076923078</v>
      </c>
      <c r="M131" s="95">
        <f>prodnorm65</f>
        <v>0</v>
      </c>
      <c r="N131" s="92" t="s">
        <v>101</v>
      </c>
      <c r="O131" s="26">
        <f>uurtarief65</f>
        <v>0</v>
      </c>
      <c r="P131" s="94" t="e">
        <f>IF(ISBLANK(M131),0,L131/ROUND(M131,4))</f>
        <v>#DIV/0!</v>
      </c>
      <c r="Q131" s="26" t="e">
        <f>ROUND(O131,2)*P131</f>
        <v>#DIV/0!</v>
      </c>
      <c r="R131" s="94" t="e">
        <f>P131*dagenperjaar1</f>
        <v>#DIV/0!</v>
      </c>
      <c r="S131" s="27" t="e">
        <f>R131*ROUND(O131,2)</f>
        <v>#DIV/0!</v>
      </c>
    </row>
    <row r="132" spans="1:19" x14ac:dyDescent="0.2">
      <c r="A132" s="91" t="s">
        <v>781</v>
      </c>
      <c r="B132" s="92" t="s">
        <v>36</v>
      </c>
      <c r="C132" s="92" t="s">
        <v>393</v>
      </c>
      <c r="D132" s="92" t="s">
        <v>790</v>
      </c>
      <c r="E132" s="93" t="s">
        <v>791</v>
      </c>
      <c r="F132" s="92" t="s">
        <v>342</v>
      </c>
      <c r="G132" s="92" t="s">
        <v>289</v>
      </c>
      <c r="H132" s="92" t="s">
        <v>18</v>
      </c>
      <c r="I132" s="92" t="s">
        <v>230</v>
      </c>
      <c r="J132" s="93" t="s">
        <v>255</v>
      </c>
      <c r="K132" s="94">
        <v>25</v>
      </c>
      <c r="L132" s="94">
        <f>K132*VLOOKUP(H132,dagsoorttabel1,2,FALSE)</f>
        <v>0.48076923076923078</v>
      </c>
      <c r="M132" s="95">
        <f>prodnorm66</f>
        <v>0</v>
      </c>
      <c r="N132" s="92" t="s">
        <v>101</v>
      </c>
      <c r="O132" s="26">
        <f>uurtarief66</f>
        <v>0</v>
      </c>
      <c r="P132" s="94" t="e">
        <f>IF(ISBLANK(M132),0,L132/ROUND(M132,4))</f>
        <v>#DIV/0!</v>
      </c>
      <c r="Q132" s="26" t="e">
        <f>ROUND(O132,2)*P132</f>
        <v>#DIV/0!</v>
      </c>
      <c r="R132" s="94" t="e">
        <f>P132*dagenperjaar1</f>
        <v>#DIV/0!</v>
      </c>
      <c r="S132" s="27" t="e">
        <f>R132*ROUND(O132,2)</f>
        <v>#DIV/0!</v>
      </c>
    </row>
    <row r="133" spans="1:19" x14ac:dyDescent="0.2">
      <c r="A133" s="91" t="s">
        <v>781</v>
      </c>
      <c r="B133" s="92" t="s">
        <v>36</v>
      </c>
      <c r="C133" s="92" t="s">
        <v>393</v>
      </c>
      <c r="D133" s="92" t="s">
        <v>792</v>
      </c>
      <c r="E133" s="93" t="s">
        <v>793</v>
      </c>
      <c r="F133" s="92" t="s">
        <v>342</v>
      </c>
      <c r="G133" s="92" t="s">
        <v>288</v>
      </c>
      <c r="H133" s="92" t="s">
        <v>18</v>
      </c>
      <c r="I133" s="92" t="s">
        <v>230</v>
      </c>
      <c r="J133" s="93" t="s">
        <v>253</v>
      </c>
      <c r="K133" s="94">
        <v>1.3</v>
      </c>
      <c r="L133" s="94">
        <f>K133*VLOOKUP(H133,dagsoorttabel1,2,FALSE)</f>
        <v>2.5000000000000001E-2</v>
      </c>
      <c r="M133" s="95">
        <f>prodnorm65</f>
        <v>0</v>
      </c>
      <c r="N133" s="92" t="s">
        <v>101</v>
      </c>
      <c r="O133" s="26">
        <f>uurtarief65</f>
        <v>0</v>
      </c>
      <c r="P133" s="94" t="e">
        <f>IF(ISBLANK(M133),0,L133/ROUND(M133,4))</f>
        <v>#DIV/0!</v>
      </c>
      <c r="Q133" s="26" t="e">
        <f>ROUND(O133,2)*P133</f>
        <v>#DIV/0!</v>
      </c>
      <c r="R133" s="94" t="e">
        <f>P133*dagenperjaar1</f>
        <v>#DIV/0!</v>
      </c>
      <c r="S133" s="27" t="e">
        <f>R133*ROUND(O133,2)</f>
        <v>#DIV/0!</v>
      </c>
    </row>
    <row r="134" spans="1:19" x14ac:dyDescent="0.2">
      <c r="A134" s="91" t="s">
        <v>781</v>
      </c>
      <c r="B134" s="92" t="s">
        <v>36</v>
      </c>
      <c r="C134" s="92" t="s">
        <v>393</v>
      </c>
      <c r="D134" s="92" t="s">
        <v>792</v>
      </c>
      <c r="E134" s="93" t="s">
        <v>793</v>
      </c>
      <c r="F134" s="92" t="s">
        <v>342</v>
      </c>
      <c r="G134" s="92" t="s">
        <v>289</v>
      </c>
      <c r="H134" s="92" t="s">
        <v>18</v>
      </c>
      <c r="I134" s="92" t="s">
        <v>230</v>
      </c>
      <c r="J134" s="93" t="s">
        <v>255</v>
      </c>
      <c r="K134" s="94">
        <v>1.3</v>
      </c>
      <c r="L134" s="94">
        <f>K134*VLOOKUP(H134,dagsoorttabel1,2,FALSE)</f>
        <v>2.5000000000000001E-2</v>
      </c>
      <c r="M134" s="95">
        <f>prodnorm66</f>
        <v>0</v>
      </c>
      <c r="N134" s="92" t="s">
        <v>101</v>
      </c>
      <c r="O134" s="26">
        <f>uurtarief66</f>
        <v>0</v>
      </c>
      <c r="P134" s="94" t="e">
        <f>IF(ISBLANK(M134),0,L134/ROUND(M134,4))</f>
        <v>#DIV/0!</v>
      </c>
      <c r="Q134" s="26" t="e">
        <f>ROUND(O134,2)*P134</f>
        <v>#DIV/0!</v>
      </c>
      <c r="R134" s="94" t="e">
        <f>P134*dagenperjaar1</f>
        <v>#DIV/0!</v>
      </c>
      <c r="S134" s="27" t="e">
        <f>R134*ROUND(O134,2)</f>
        <v>#DIV/0!</v>
      </c>
    </row>
    <row r="135" spans="1:19" x14ac:dyDescent="0.2">
      <c r="A135" s="91" t="s">
        <v>781</v>
      </c>
      <c r="B135" s="92" t="s">
        <v>36</v>
      </c>
      <c r="C135" s="92" t="s">
        <v>393</v>
      </c>
      <c r="D135" s="92" t="s">
        <v>794</v>
      </c>
      <c r="E135" s="93" t="s">
        <v>795</v>
      </c>
      <c r="F135" s="92" t="s">
        <v>342</v>
      </c>
      <c r="G135" s="92" t="s">
        <v>288</v>
      </c>
      <c r="H135" s="92" t="s">
        <v>18</v>
      </c>
      <c r="I135" s="92" t="s">
        <v>230</v>
      </c>
      <c r="J135" s="93" t="s">
        <v>253</v>
      </c>
      <c r="K135" s="94">
        <v>1.3</v>
      </c>
      <c r="L135" s="94">
        <f>K135*VLOOKUP(H135,dagsoorttabel1,2,FALSE)</f>
        <v>2.5000000000000001E-2</v>
      </c>
      <c r="M135" s="95">
        <f>prodnorm65</f>
        <v>0</v>
      </c>
      <c r="N135" s="92" t="s">
        <v>101</v>
      </c>
      <c r="O135" s="26">
        <f>uurtarief65</f>
        <v>0</v>
      </c>
      <c r="P135" s="94" t="e">
        <f>IF(ISBLANK(M135),0,L135/ROUND(M135,4))</f>
        <v>#DIV/0!</v>
      </c>
      <c r="Q135" s="26" t="e">
        <f>ROUND(O135,2)*P135</f>
        <v>#DIV/0!</v>
      </c>
      <c r="R135" s="94" t="e">
        <f>P135*dagenperjaar1</f>
        <v>#DIV/0!</v>
      </c>
      <c r="S135" s="27" t="e">
        <f>R135*ROUND(O135,2)</f>
        <v>#DIV/0!</v>
      </c>
    </row>
    <row r="136" spans="1:19" x14ac:dyDescent="0.2">
      <c r="A136" s="91" t="s">
        <v>781</v>
      </c>
      <c r="B136" s="92" t="s">
        <v>36</v>
      </c>
      <c r="C136" s="92" t="s">
        <v>393</v>
      </c>
      <c r="D136" s="92" t="s">
        <v>794</v>
      </c>
      <c r="E136" s="93" t="s">
        <v>795</v>
      </c>
      <c r="F136" s="92" t="s">
        <v>342</v>
      </c>
      <c r="G136" s="92" t="s">
        <v>289</v>
      </c>
      <c r="H136" s="92" t="s">
        <v>18</v>
      </c>
      <c r="I136" s="92" t="s">
        <v>230</v>
      </c>
      <c r="J136" s="93" t="s">
        <v>255</v>
      </c>
      <c r="K136" s="94">
        <v>1.3</v>
      </c>
      <c r="L136" s="94">
        <f>K136*VLOOKUP(H136,dagsoorttabel1,2,FALSE)</f>
        <v>2.5000000000000001E-2</v>
      </c>
      <c r="M136" s="95">
        <f>prodnorm66</f>
        <v>0</v>
      </c>
      <c r="N136" s="92" t="s">
        <v>101</v>
      </c>
      <c r="O136" s="26">
        <f>uurtarief66</f>
        <v>0</v>
      </c>
      <c r="P136" s="94" t="e">
        <f>IF(ISBLANK(M136),0,L136/ROUND(M136,4))</f>
        <v>#DIV/0!</v>
      </c>
      <c r="Q136" s="26" t="e">
        <f>ROUND(O136,2)*P136</f>
        <v>#DIV/0!</v>
      </c>
      <c r="R136" s="94" t="e">
        <f>P136*dagenperjaar1</f>
        <v>#DIV/0!</v>
      </c>
      <c r="S136" s="27" t="e">
        <f>R136*ROUND(O136,2)</f>
        <v>#DIV/0!</v>
      </c>
    </row>
    <row r="137" spans="1:19" x14ac:dyDescent="0.2">
      <c r="A137" s="91" t="s">
        <v>781</v>
      </c>
      <c r="B137" s="92" t="s">
        <v>36</v>
      </c>
      <c r="C137" s="92" t="s">
        <v>393</v>
      </c>
      <c r="D137" s="92" t="s">
        <v>796</v>
      </c>
      <c r="E137" s="93" t="s">
        <v>797</v>
      </c>
      <c r="F137" s="92" t="s">
        <v>342</v>
      </c>
      <c r="G137" s="92" t="s">
        <v>288</v>
      </c>
      <c r="H137" s="92" t="s">
        <v>18</v>
      </c>
      <c r="I137" s="92" t="s">
        <v>230</v>
      </c>
      <c r="J137" s="93" t="s">
        <v>253</v>
      </c>
      <c r="K137" s="94">
        <v>1.3</v>
      </c>
      <c r="L137" s="94">
        <f>K137*VLOOKUP(H137,dagsoorttabel1,2,FALSE)</f>
        <v>2.5000000000000001E-2</v>
      </c>
      <c r="M137" s="95">
        <f>prodnorm65</f>
        <v>0</v>
      </c>
      <c r="N137" s="92" t="s">
        <v>101</v>
      </c>
      <c r="O137" s="26">
        <f>uurtarief65</f>
        <v>0</v>
      </c>
      <c r="P137" s="94" t="e">
        <f>IF(ISBLANK(M137),0,L137/ROUND(M137,4))</f>
        <v>#DIV/0!</v>
      </c>
      <c r="Q137" s="26" t="e">
        <f>ROUND(O137,2)*P137</f>
        <v>#DIV/0!</v>
      </c>
      <c r="R137" s="94" t="e">
        <f>P137*dagenperjaar1</f>
        <v>#DIV/0!</v>
      </c>
      <c r="S137" s="27" t="e">
        <f>R137*ROUND(O137,2)</f>
        <v>#DIV/0!</v>
      </c>
    </row>
    <row r="138" spans="1:19" x14ac:dyDescent="0.2">
      <c r="A138" s="91" t="s">
        <v>781</v>
      </c>
      <c r="B138" s="92" t="s">
        <v>36</v>
      </c>
      <c r="C138" s="92" t="s">
        <v>393</v>
      </c>
      <c r="D138" s="92" t="s">
        <v>796</v>
      </c>
      <c r="E138" s="93" t="s">
        <v>797</v>
      </c>
      <c r="F138" s="92" t="s">
        <v>342</v>
      </c>
      <c r="G138" s="92" t="s">
        <v>289</v>
      </c>
      <c r="H138" s="92" t="s">
        <v>18</v>
      </c>
      <c r="I138" s="92" t="s">
        <v>230</v>
      </c>
      <c r="J138" s="93" t="s">
        <v>255</v>
      </c>
      <c r="K138" s="94">
        <v>1.3</v>
      </c>
      <c r="L138" s="94">
        <f>K138*VLOOKUP(H138,dagsoorttabel1,2,FALSE)</f>
        <v>2.5000000000000001E-2</v>
      </c>
      <c r="M138" s="95">
        <f>prodnorm66</f>
        <v>0</v>
      </c>
      <c r="N138" s="92" t="s">
        <v>101</v>
      </c>
      <c r="O138" s="26">
        <f>uurtarief66</f>
        <v>0</v>
      </c>
      <c r="P138" s="94" t="e">
        <f>IF(ISBLANK(M138),0,L138/ROUND(M138,4))</f>
        <v>#DIV/0!</v>
      </c>
      <c r="Q138" s="26" t="e">
        <f>ROUND(O138,2)*P138</f>
        <v>#DIV/0!</v>
      </c>
      <c r="R138" s="94" t="e">
        <f>P138*dagenperjaar1</f>
        <v>#DIV/0!</v>
      </c>
      <c r="S138" s="27" t="e">
        <f>R138*ROUND(O138,2)</f>
        <v>#DIV/0!</v>
      </c>
    </row>
    <row r="139" spans="1:19" x14ac:dyDescent="0.2">
      <c r="A139" s="91" t="s">
        <v>781</v>
      </c>
      <c r="B139" s="92" t="s">
        <v>36</v>
      </c>
      <c r="C139" s="92" t="s">
        <v>393</v>
      </c>
      <c r="D139" s="92" t="s">
        <v>798</v>
      </c>
      <c r="E139" s="93" t="s">
        <v>799</v>
      </c>
      <c r="F139" s="92" t="s">
        <v>342</v>
      </c>
      <c r="G139" s="92" t="s">
        <v>288</v>
      </c>
      <c r="H139" s="92" t="s">
        <v>18</v>
      </c>
      <c r="I139" s="92" t="s">
        <v>230</v>
      </c>
      <c r="J139" s="93" t="s">
        <v>253</v>
      </c>
      <c r="K139" s="94">
        <v>1.6</v>
      </c>
      <c r="L139" s="94">
        <f>K139*VLOOKUP(H139,dagsoorttabel1,2,FALSE)</f>
        <v>3.0769230769230771E-2</v>
      </c>
      <c r="M139" s="95">
        <f>prodnorm65</f>
        <v>0</v>
      </c>
      <c r="N139" s="92" t="s">
        <v>101</v>
      </c>
      <c r="O139" s="26">
        <f>uurtarief65</f>
        <v>0</v>
      </c>
      <c r="P139" s="94" t="e">
        <f>IF(ISBLANK(M139),0,L139/ROUND(M139,4))</f>
        <v>#DIV/0!</v>
      </c>
      <c r="Q139" s="26" t="e">
        <f>ROUND(O139,2)*P139</f>
        <v>#DIV/0!</v>
      </c>
      <c r="R139" s="94" t="e">
        <f>P139*dagenperjaar1</f>
        <v>#DIV/0!</v>
      </c>
      <c r="S139" s="27" t="e">
        <f>R139*ROUND(O139,2)</f>
        <v>#DIV/0!</v>
      </c>
    </row>
    <row r="140" spans="1:19" x14ac:dyDescent="0.2">
      <c r="A140" s="91" t="s">
        <v>781</v>
      </c>
      <c r="B140" s="92" t="s">
        <v>36</v>
      </c>
      <c r="C140" s="92" t="s">
        <v>393</v>
      </c>
      <c r="D140" s="92" t="s">
        <v>798</v>
      </c>
      <c r="E140" s="93" t="s">
        <v>799</v>
      </c>
      <c r="F140" s="92" t="s">
        <v>342</v>
      </c>
      <c r="G140" s="92" t="s">
        <v>289</v>
      </c>
      <c r="H140" s="92" t="s">
        <v>18</v>
      </c>
      <c r="I140" s="92" t="s">
        <v>230</v>
      </c>
      <c r="J140" s="93" t="s">
        <v>255</v>
      </c>
      <c r="K140" s="94">
        <v>1.6</v>
      </c>
      <c r="L140" s="94">
        <f>K140*VLOOKUP(H140,dagsoorttabel1,2,FALSE)</f>
        <v>3.0769230769230771E-2</v>
      </c>
      <c r="M140" s="95">
        <f>prodnorm66</f>
        <v>0</v>
      </c>
      <c r="N140" s="92" t="s">
        <v>101</v>
      </c>
      <c r="O140" s="26">
        <f>uurtarief66</f>
        <v>0</v>
      </c>
      <c r="P140" s="94" t="e">
        <f>IF(ISBLANK(M140),0,L140/ROUND(M140,4))</f>
        <v>#DIV/0!</v>
      </c>
      <c r="Q140" s="26" t="e">
        <f>ROUND(O140,2)*P140</f>
        <v>#DIV/0!</v>
      </c>
      <c r="R140" s="94" t="e">
        <f>P140*dagenperjaar1</f>
        <v>#DIV/0!</v>
      </c>
      <c r="S140" s="27" t="e">
        <f>R140*ROUND(O140,2)</f>
        <v>#DIV/0!</v>
      </c>
    </row>
    <row r="141" spans="1:19" x14ac:dyDescent="0.2">
      <c r="A141" s="91" t="s">
        <v>781</v>
      </c>
      <c r="B141" s="92" t="s">
        <v>36</v>
      </c>
      <c r="C141" s="92" t="s">
        <v>393</v>
      </c>
      <c r="D141" s="92" t="s">
        <v>800</v>
      </c>
      <c r="E141" s="93" t="s">
        <v>801</v>
      </c>
      <c r="F141" s="92" t="s">
        <v>342</v>
      </c>
      <c r="G141" s="92" t="s">
        <v>288</v>
      </c>
      <c r="H141" s="92" t="s">
        <v>18</v>
      </c>
      <c r="I141" s="92" t="s">
        <v>230</v>
      </c>
      <c r="J141" s="93" t="s">
        <v>253</v>
      </c>
      <c r="K141" s="94">
        <v>2.5</v>
      </c>
      <c r="L141" s="94">
        <f>K141*VLOOKUP(H141,dagsoorttabel1,2,FALSE)</f>
        <v>4.807692307692308E-2</v>
      </c>
      <c r="M141" s="95">
        <f>prodnorm65</f>
        <v>0</v>
      </c>
      <c r="N141" s="92" t="s">
        <v>101</v>
      </c>
      <c r="O141" s="26">
        <f>uurtarief65</f>
        <v>0</v>
      </c>
      <c r="P141" s="94" t="e">
        <f>IF(ISBLANK(M141),0,L141/ROUND(M141,4))</f>
        <v>#DIV/0!</v>
      </c>
      <c r="Q141" s="26" t="e">
        <f>ROUND(O141,2)*P141</f>
        <v>#DIV/0!</v>
      </c>
      <c r="R141" s="94" t="e">
        <f>P141*dagenperjaar1</f>
        <v>#DIV/0!</v>
      </c>
      <c r="S141" s="27" t="e">
        <f>R141*ROUND(O141,2)</f>
        <v>#DIV/0!</v>
      </c>
    </row>
    <row r="142" spans="1:19" x14ac:dyDescent="0.2">
      <c r="A142" s="91" t="s">
        <v>781</v>
      </c>
      <c r="B142" s="92" t="s">
        <v>36</v>
      </c>
      <c r="C142" s="92" t="s">
        <v>393</v>
      </c>
      <c r="D142" s="92" t="s">
        <v>800</v>
      </c>
      <c r="E142" s="93" t="s">
        <v>801</v>
      </c>
      <c r="F142" s="92" t="s">
        <v>342</v>
      </c>
      <c r="G142" s="92" t="s">
        <v>289</v>
      </c>
      <c r="H142" s="92" t="s">
        <v>18</v>
      </c>
      <c r="I142" s="92" t="s">
        <v>230</v>
      </c>
      <c r="J142" s="93" t="s">
        <v>255</v>
      </c>
      <c r="K142" s="94">
        <v>2.5</v>
      </c>
      <c r="L142" s="94">
        <f>K142*VLOOKUP(H142,dagsoorttabel1,2,FALSE)</f>
        <v>4.807692307692308E-2</v>
      </c>
      <c r="M142" s="95">
        <f>prodnorm66</f>
        <v>0</v>
      </c>
      <c r="N142" s="92" t="s">
        <v>101</v>
      </c>
      <c r="O142" s="26">
        <f>uurtarief66</f>
        <v>0</v>
      </c>
      <c r="P142" s="94" t="e">
        <f>IF(ISBLANK(M142),0,L142/ROUND(M142,4))</f>
        <v>#DIV/0!</v>
      </c>
      <c r="Q142" s="26" t="e">
        <f>ROUND(O142,2)*P142</f>
        <v>#DIV/0!</v>
      </c>
      <c r="R142" s="94" t="e">
        <f>P142*dagenperjaar1</f>
        <v>#DIV/0!</v>
      </c>
      <c r="S142" s="27" t="e">
        <f>R142*ROUND(O142,2)</f>
        <v>#DIV/0!</v>
      </c>
    </row>
    <row r="143" spans="1:19" x14ac:dyDescent="0.2">
      <c r="A143" s="91" t="s">
        <v>781</v>
      </c>
      <c r="B143" s="92" t="s">
        <v>36</v>
      </c>
      <c r="C143" s="92" t="s">
        <v>393</v>
      </c>
      <c r="D143" s="92" t="s">
        <v>802</v>
      </c>
      <c r="E143" s="93" t="s">
        <v>803</v>
      </c>
      <c r="F143" s="92" t="s">
        <v>789</v>
      </c>
      <c r="G143" s="92" t="s">
        <v>285</v>
      </c>
      <c r="H143" s="92" t="s">
        <v>18</v>
      </c>
      <c r="I143" s="92" t="s">
        <v>230</v>
      </c>
      <c r="J143" s="93" t="s">
        <v>286</v>
      </c>
      <c r="K143" s="94">
        <v>18</v>
      </c>
      <c r="L143" s="94">
        <f>K143*VLOOKUP(H143,dagsoorttabel1,2,FALSE)</f>
        <v>0.34615384615384615</v>
      </c>
      <c r="M143" s="95">
        <f>prodnorm63</f>
        <v>0</v>
      </c>
      <c r="N143" s="92" t="s">
        <v>101</v>
      </c>
      <c r="O143" s="26">
        <f>uurtarief63</f>
        <v>0</v>
      </c>
      <c r="P143" s="94" t="e">
        <f>IF(ISBLANK(M143),0,L143/ROUND(M143,4))</f>
        <v>#DIV/0!</v>
      </c>
      <c r="Q143" s="26" t="e">
        <f>ROUND(O143,2)*P143</f>
        <v>#DIV/0!</v>
      </c>
      <c r="R143" s="94" t="e">
        <f>P143*dagenperjaar1</f>
        <v>#DIV/0!</v>
      </c>
      <c r="S143" s="27" t="e">
        <f>R143*ROUND(O143,2)</f>
        <v>#DIV/0!</v>
      </c>
    </row>
    <row r="144" spans="1:19" x14ac:dyDescent="0.2">
      <c r="A144" s="91" t="s">
        <v>781</v>
      </c>
      <c r="B144" s="92" t="s">
        <v>36</v>
      </c>
      <c r="C144" s="92" t="s">
        <v>393</v>
      </c>
      <c r="D144" s="92" t="s">
        <v>804</v>
      </c>
      <c r="E144" s="93" t="s">
        <v>805</v>
      </c>
      <c r="F144" s="92" t="s">
        <v>789</v>
      </c>
      <c r="G144" s="92" t="s">
        <v>285</v>
      </c>
      <c r="H144" s="92" t="s">
        <v>18</v>
      </c>
      <c r="I144" s="92" t="s">
        <v>230</v>
      </c>
      <c r="J144" s="93" t="s">
        <v>286</v>
      </c>
      <c r="K144" s="94">
        <v>116</v>
      </c>
      <c r="L144" s="94">
        <f>K144*VLOOKUP(H144,dagsoorttabel1,2,FALSE)</f>
        <v>2.2307692307692308</v>
      </c>
      <c r="M144" s="95">
        <f>prodnorm63</f>
        <v>0</v>
      </c>
      <c r="N144" s="92" t="s">
        <v>101</v>
      </c>
      <c r="O144" s="26">
        <f>uurtarief63</f>
        <v>0</v>
      </c>
      <c r="P144" s="94" t="e">
        <f>IF(ISBLANK(M144),0,L144/ROUND(M144,4))</f>
        <v>#DIV/0!</v>
      </c>
      <c r="Q144" s="26" t="e">
        <f>ROUND(O144,2)*P144</f>
        <v>#DIV/0!</v>
      </c>
      <c r="R144" s="94" t="e">
        <f>P144*dagenperjaar1</f>
        <v>#DIV/0!</v>
      </c>
      <c r="S144" s="27" t="e">
        <f>R144*ROUND(O144,2)</f>
        <v>#DIV/0!</v>
      </c>
    </row>
    <row r="145" spans="1:19" x14ac:dyDescent="0.2">
      <c r="A145" s="91" t="s">
        <v>781</v>
      </c>
      <c r="B145" s="92" t="s">
        <v>36</v>
      </c>
      <c r="C145" s="92" t="s">
        <v>393</v>
      </c>
      <c r="D145" s="92" t="s">
        <v>806</v>
      </c>
      <c r="E145" s="93" t="s">
        <v>807</v>
      </c>
      <c r="F145" s="92" t="s">
        <v>543</v>
      </c>
      <c r="G145" s="92" t="s">
        <v>292</v>
      </c>
      <c r="H145" s="92" t="s">
        <v>18</v>
      </c>
      <c r="I145" s="92" t="s">
        <v>230</v>
      </c>
      <c r="J145" s="93" t="s">
        <v>263</v>
      </c>
      <c r="K145" s="94">
        <v>15</v>
      </c>
      <c r="L145" s="94">
        <f>K145*VLOOKUP(H145,dagsoorttabel1,2,FALSE)</f>
        <v>0.28846153846153849</v>
      </c>
      <c r="M145" s="95">
        <f>prodnorm69</f>
        <v>0</v>
      </c>
      <c r="N145" s="92" t="s">
        <v>101</v>
      </c>
      <c r="O145" s="26">
        <f>uurtarief69</f>
        <v>0</v>
      </c>
      <c r="P145" s="94" t="e">
        <f>IF(ISBLANK(M145),0,L145/ROUND(M145,4))</f>
        <v>#DIV/0!</v>
      </c>
      <c r="Q145" s="26" t="e">
        <f>ROUND(O145,2)*P145</f>
        <v>#DIV/0!</v>
      </c>
      <c r="R145" s="94" t="e">
        <f>P145*dagenperjaar1</f>
        <v>#DIV/0!</v>
      </c>
      <c r="S145" s="27" t="e">
        <f>R145*ROUND(O145,2)</f>
        <v>#DIV/0!</v>
      </c>
    </row>
    <row r="146" spans="1:19" x14ac:dyDescent="0.2">
      <c r="A146" s="91" t="s">
        <v>781</v>
      </c>
      <c r="B146" s="92" t="s">
        <v>36</v>
      </c>
      <c r="C146" s="92" t="s">
        <v>393</v>
      </c>
      <c r="D146" s="92" t="s">
        <v>808</v>
      </c>
      <c r="E146" s="93" t="s">
        <v>809</v>
      </c>
      <c r="F146" s="92" t="s">
        <v>342</v>
      </c>
      <c r="G146" s="92" t="s">
        <v>290</v>
      </c>
      <c r="H146" s="92" t="s">
        <v>18</v>
      </c>
      <c r="I146" s="92" t="s">
        <v>230</v>
      </c>
      <c r="J146" s="93" t="s">
        <v>257</v>
      </c>
      <c r="K146" s="94">
        <v>27.4</v>
      </c>
      <c r="L146" s="94">
        <f>K146*VLOOKUP(H146,dagsoorttabel1,2,FALSE)</f>
        <v>0.52692307692307694</v>
      </c>
      <c r="M146" s="95">
        <f>prodnorm67</f>
        <v>0</v>
      </c>
      <c r="N146" s="92" t="s">
        <v>101</v>
      </c>
      <c r="O146" s="26">
        <f>uurtarief67</f>
        <v>0</v>
      </c>
      <c r="P146" s="94" t="e">
        <f>IF(ISBLANK(M146),0,L146/ROUND(M146,4))</f>
        <v>#DIV/0!</v>
      </c>
      <c r="Q146" s="26" t="e">
        <f>ROUND(O146,2)*P146</f>
        <v>#DIV/0!</v>
      </c>
      <c r="R146" s="94" t="e">
        <f>P146*dagenperjaar1</f>
        <v>#DIV/0!</v>
      </c>
      <c r="S146" s="27" t="e">
        <f>R146*ROUND(O146,2)</f>
        <v>#DIV/0!</v>
      </c>
    </row>
    <row r="147" spans="1:19" x14ac:dyDescent="0.2">
      <c r="A147" s="91" t="s">
        <v>781</v>
      </c>
      <c r="B147" s="92" t="s">
        <v>36</v>
      </c>
      <c r="C147" s="92" t="s">
        <v>393</v>
      </c>
      <c r="D147" s="92" t="s">
        <v>810</v>
      </c>
      <c r="E147" s="93" t="s">
        <v>560</v>
      </c>
      <c r="F147" s="92" t="s">
        <v>342</v>
      </c>
      <c r="G147" s="92" t="s">
        <v>288</v>
      </c>
      <c r="H147" s="92" t="s">
        <v>18</v>
      </c>
      <c r="I147" s="92" t="s">
        <v>230</v>
      </c>
      <c r="J147" s="93" t="s">
        <v>253</v>
      </c>
      <c r="K147" s="94">
        <v>7</v>
      </c>
      <c r="L147" s="94">
        <f>K147*VLOOKUP(H147,dagsoorttabel1,2,FALSE)</f>
        <v>0.13461538461538464</v>
      </c>
      <c r="M147" s="95">
        <f>prodnorm65</f>
        <v>0</v>
      </c>
      <c r="N147" s="92" t="s">
        <v>101</v>
      </c>
      <c r="O147" s="26">
        <f>uurtarief65</f>
        <v>0</v>
      </c>
      <c r="P147" s="94" t="e">
        <f>IF(ISBLANK(M147),0,L147/ROUND(M147,4))</f>
        <v>#DIV/0!</v>
      </c>
      <c r="Q147" s="26" t="e">
        <f>ROUND(O147,2)*P147</f>
        <v>#DIV/0!</v>
      </c>
      <c r="R147" s="94" t="e">
        <f>P147*dagenperjaar1</f>
        <v>#DIV/0!</v>
      </c>
      <c r="S147" s="27" t="e">
        <f>R147*ROUND(O147,2)</f>
        <v>#DIV/0!</v>
      </c>
    </row>
    <row r="148" spans="1:19" x14ac:dyDescent="0.2">
      <c r="A148" s="91" t="s">
        <v>781</v>
      </c>
      <c r="B148" s="92" t="s">
        <v>36</v>
      </c>
      <c r="C148" s="92" t="s">
        <v>393</v>
      </c>
      <c r="D148" s="92" t="s">
        <v>810</v>
      </c>
      <c r="E148" s="93" t="s">
        <v>560</v>
      </c>
      <c r="F148" s="92" t="s">
        <v>342</v>
      </c>
      <c r="G148" s="92" t="s">
        <v>289</v>
      </c>
      <c r="H148" s="92" t="s">
        <v>18</v>
      </c>
      <c r="I148" s="92" t="s">
        <v>230</v>
      </c>
      <c r="J148" s="93" t="s">
        <v>255</v>
      </c>
      <c r="K148" s="94">
        <v>7</v>
      </c>
      <c r="L148" s="94">
        <f>K148*VLOOKUP(H148,dagsoorttabel1,2,FALSE)</f>
        <v>0.13461538461538464</v>
      </c>
      <c r="M148" s="95">
        <f>prodnorm66</f>
        <v>0</v>
      </c>
      <c r="N148" s="92" t="s">
        <v>101</v>
      </c>
      <c r="O148" s="26">
        <f>uurtarief66</f>
        <v>0</v>
      </c>
      <c r="P148" s="94" t="e">
        <f>IF(ISBLANK(M148),0,L148/ROUND(M148,4))</f>
        <v>#DIV/0!</v>
      </c>
      <c r="Q148" s="26" t="e">
        <f>ROUND(O148,2)*P148</f>
        <v>#DIV/0!</v>
      </c>
      <c r="R148" s="94" t="e">
        <f>P148*dagenperjaar1</f>
        <v>#DIV/0!</v>
      </c>
      <c r="S148" s="27" t="e">
        <f>R148*ROUND(O148,2)</f>
        <v>#DIV/0!</v>
      </c>
    </row>
    <row r="149" spans="1:19" x14ac:dyDescent="0.2">
      <c r="A149" s="91" t="s">
        <v>781</v>
      </c>
      <c r="B149" s="92" t="s">
        <v>36</v>
      </c>
      <c r="C149" s="92" t="s">
        <v>393</v>
      </c>
      <c r="D149" s="92" t="s">
        <v>811</v>
      </c>
      <c r="E149" s="93" t="s">
        <v>812</v>
      </c>
      <c r="F149" s="92" t="s">
        <v>342</v>
      </c>
      <c r="G149" s="92" t="s">
        <v>290</v>
      </c>
      <c r="H149" s="92" t="s">
        <v>18</v>
      </c>
      <c r="I149" s="92" t="s">
        <v>230</v>
      </c>
      <c r="J149" s="93" t="s">
        <v>257</v>
      </c>
      <c r="K149" s="94">
        <v>18</v>
      </c>
      <c r="L149" s="94">
        <f>K149*VLOOKUP(H149,dagsoorttabel1,2,FALSE)</f>
        <v>0.34615384615384615</v>
      </c>
      <c r="M149" s="95">
        <f>prodnorm67</f>
        <v>0</v>
      </c>
      <c r="N149" s="92" t="s">
        <v>101</v>
      </c>
      <c r="O149" s="26">
        <f>uurtarief67</f>
        <v>0</v>
      </c>
      <c r="P149" s="94" t="e">
        <f>IF(ISBLANK(M149),0,L149/ROUND(M149,4))</f>
        <v>#DIV/0!</v>
      </c>
      <c r="Q149" s="26" t="e">
        <f>ROUND(O149,2)*P149</f>
        <v>#DIV/0!</v>
      </c>
      <c r="R149" s="94" t="e">
        <f>P149*dagenperjaar1</f>
        <v>#DIV/0!</v>
      </c>
      <c r="S149" s="27" t="e">
        <f>R149*ROUND(O149,2)</f>
        <v>#DIV/0!</v>
      </c>
    </row>
    <row r="150" spans="1:19" x14ac:dyDescent="0.2">
      <c r="A150" s="91" t="s">
        <v>781</v>
      </c>
      <c r="B150" s="92" t="s">
        <v>36</v>
      </c>
      <c r="C150" s="92" t="s">
        <v>393</v>
      </c>
      <c r="D150" s="92" t="s">
        <v>813</v>
      </c>
      <c r="E150" s="93" t="s">
        <v>477</v>
      </c>
      <c r="F150" s="92" t="s">
        <v>461</v>
      </c>
      <c r="G150" s="92" t="s">
        <v>294</v>
      </c>
      <c r="H150" s="92" t="s">
        <v>18</v>
      </c>
      <c r="I150" s="92" t="s">
        <v>230</v>
      </c>
      <c r="J150" s="93" t="s">
        <v>267</v>
      </c>
      <c r="K150" s="94">
        <v>11</v>
      </c>
      <c r="L150" s="94">
        <f>K150*VLOOKUP(H150,dagsoorttabel1,2,FALSE)</f>
        <v>0.21153846153846156</v>
      </c>
      <c r="M150" s="95">
        <f>prodnorm71</f>
        <v>0</v>
      </c>
      <c r="N150" s="92" t="s">
        <v>101</v>
      </c>
      <c r="O150" s="26">
        <f>uurtarief71</f>
        <v>0</v>
      </c>
      <c r="P150" s="94" t="e">
        <f>IF(ISBLANK(M150),0,L150/ROUND(M150,4))</f>
        <v>#DIV/0!</v>
      </c>
      <c r="Q150" s="26" t="e">
        <f>ROUND(O150,2)*P150</f>
        <v>#DIV/0!</v>
      </c>
      <c r="R150" s="94" t="e">
        <f>P150*dagenperjaar1</f>
        <v>#DIV/0!</v>
      </c>
      <c r="S150" s="27" t="e">
        <f>R150*ROUND(O150,2)</f>
        <v>#DIV/0!</v>
      </c>
    </row>
    <row r="151" spans="1:19" x14ac:dyDescent="0.2">
      <c r="A151" s="91" t="s">
        <v>781</v>
      </c>
      <c r="B151" s="92" t="s">
        <v>36</v>
      </c>
      <c r="C151" s="92" t="s">
        <v>393</v>
      </c>
      <c r="D151" s="92" t="s">
        <v>814</v>
      </c>
      <c r="E151" s="93" t="s">
        <v>815</v>
      </c>
      <c r="F151" s="92" t="s">
        <v>349</v>
      </c>
      <c r="G151" s="92" t="s">
        <v>285</v>
      </c>
      <c r="H151" s="92" t="s">
        <v>18</v>
      </c>
      <c r="I151" s="92" t="s">
        <v>230</v>
      </c>
      <c r="J151" s="93" t="s">
        <v>286</v>
      </c>
      <c r="K151" s="94">
        <v>18</v>
      </c>
      <c r="L151" s="94">
        <f>K151*VLOOKUP(H151,dagsoorttabel1,2,FALSE)</f>
        <v>0.34615384615384615</v>
      </c>
      <c r="M151" s="95">
        <f>prodnorm63</f>
        <v>0</v>
      </c>
      <c r="N151" s="92" t="s">
        <v>101</v>
      </c>
      <c r="O151" s="26">
        <f>uurtarief63</f>
        <v>0</v>
      </c>
      <c r="P151" s="94" t="e">
        <f>IF(ISBLANK(M151),0,L151/ROUND(M151,4))</f>
        <v>#DIV/0!</v>
      </c>
      <c r="Q151" s="26" t="e">
        <f>ROUND(O151,2)*P151</f>
        <v>#DIV/0!</v>
      </c>
      <c r="R151" s="94" t="e">
        <f>P151*dagenperjaar1</f>
        <v>#DIV/0!</v>
      </c>
      <c r="S151" s="27" t="e">
        <f>R151*ROUND(O151,2)</f>
        <v>#DIV/0!</v>
      </c>
    </row>
    <row r="152" spans="1:19" x14ac:dyDescent="0.2">
      <c r="A152" s="91" t="s">
        <v>781</v>
      </c>
      <c r="B152" s="92" t="s">
        <v>36</v>
      </c>
      <c r="C152" s="92" t="s">
        <v>393</v>
      </c>
      <c r="D152" s="92" t="s">
        <v>816</v>
      </c>
      <c r="E152" s="93" t="s">
        <v>817</v>
      </c>
      <c r="F152" s="92" t="s">
        <v>461</v>
      </c>
      <c r="G152" s="92" t="s">
        <v>285</v>
      </c>
      <c r="H152" s="92" t="s">
        <v>18</v>
      </c>
      <c r="I152" s="92" t="s">
        <v>230</v>
      </c>
      <c r="J152" s="93" t="s">
        <v>286</v>
      </c>
      <c r="K152" s="94">
        <v>45.5</v>
      </c>
      <c r="L152" s="94">
        <f>K152*VLOOKUP(H152,dagsoorttabel1,2,FALSE)</f>
        <v>0.875</v>
      </c>
      <c r="M152" s="95">
        <f>prodnorm63</f>
        <v>0</v>
      </c>
      <c r="N152" s="92" t="s">
        <v>101</v>
      </c>
      <c r="O152" s="26">
        <f>uurtarief63</f>
        <v>0</v>
      </c>
      <c r="P152" s="94" t="e">
        <f>IF(ISBLANK(M152),0,L152/ROUND(M152,4))</f>
        <v>#DIV/0!</v>
      </c>
      <c r="Q152" s="26" t="e">
        <f>ROUND(O152,2)*P152</f>
        <v>#DIV/0!</v>
      </c>
      <c r="R152" s="94" t="e">
        <f>P152*dagenperjaar1</f>
        <v>#DIV/0!</v>
      </c>
      <c r="S152" s="27" t="e">
        <f>R152*ROUND(O152,2)</f>
        <v>#DIV/0!</v>
      </c>
    </row>
    <row r="153" spans="1:19" x14ac:dyDescent="0.2">
      <c r="A153" s="91" t="s">
        <v>781</v>
      </c>
      <c r="B153" s="92" t="s">
        <v>36</v>
      </c>
      <c r="C153" s="92" t="s">
        <v>393</v>
      </c>
      <c r="D153" s="92" t="s">
        <v>820</v>
      </c>
      <c r="E153" s="93" t="s">
        <v>821</v>
      </c>
      <c r="F153" s="92" t="s">
        <v>349</v>
      </c>
      <c r="G153" s="92" t="s">
        <v>285</v>
      </c>
      <c r="H153" s="92" t="s">
        <v>18</v>
      </c>
      <c r="I153" s="92" t="s">
        <v>230</v>
      </c>
      <c r="J153" s="93" t="s">
        <v>286</v>
      </c>
      <c r="K153" s="94">
        <v>84.5</v>
      </c>
      <c r="L153" s="94">
        <f>K153*VLOOKUP(H153,dagsoorttabel1,2,FALSE)</f>
        <v>1.625</v>
      </c>
      <c r="M153" s="95">
        <f>prodnorm63</f>
        <v>0</v>
      </c>
      <c r="N153" s="92" t="s">
        <v>101</v>
      </c>
      <c r="O153" s="26">
        <f>uurtarief63</f>
        <v>0</v>
      </c>
      <c r="P153" s="94" t="e">
        <f>IF(ISBLANK(M153),0,L153/ROUND(M153,4))</f>
        <v>#DIV/0!</v>
      </c>
      <c r="Q153" s="26" t="e">
        <f>ROUND(O153,2)*P153</f>
        <v>#DIV/0!</v>
      </c>
      <c r="R153" s="94" t="e">
        <f>P153*dagenperjaar1</f>
        <v>#DIV/0!</v>
      </c>
      <c r="S153" s="27" t="e">
        <f>R153*ROUND(O153,2)</f>
        <v>#DIV/0!</v>
      </c>
    </row>
    <row r="154" spans="1:19" x14ac:dyDescent="0.2">
      <c r="A154" s="91" t="s">
        <v>781</v>
      </c>
      <c r="B154" s="92" t="s">
        <v>36</v>
      </c>
      <c r="C154" s="92" t="s">
        <v>393</v>
      </c>
      <c r="D154" s="92" t="s">
        <v>822</v>
      </c>
      <c r="E154" s="93" t="s">
        <v>477</v>
      </c>
      <c r="F154" s="92" t="s">
        <v>478</v>
      </c>
      <c r="G154" s="92" t="s">
        <v>294</v>
      </c>
      <c r="H154" s="92" t="s">
        <v>18</v>
      </c>
      <c r="I154" s="92" t="s">
        <v>230</v>
      </c>
      <c r="J154" s="93" t="s">
        <v>267</v>
      </c>
      <c r="K154" s="94">
        <v>11</v>
      </c>
      <c r="L154" s="94">
        <f>K154*VLOOKUP(H154,dagsoorttabel1,2,FALSE)</f>
        <v>0.21153846153846156</v>
      </c>
      <c r="M154" s="95">
        <f>prodnorm71</f>
        <v>0</v>
      </c>
      <c r="N154" s="92" t="s">
        <v>101</v>
      </c>
      <c r="O154" s="26">
        <f>uurtarief71</f>
        <v>0</v>
      </c>
      <c r="P154" s="94" t="e">
        <f>IF(ISBLANK(M154),0,L154/ROUND(M154,4))</f>
        <v>#DIV/0!</v>
      </c>
      <c r="Q154" s="26" t="e">
        <f>ROUND(O154,2)*P154</f>
        <v>#DIV/0!</v>
      </c>
      <c r="R154" s="94" t="e">
        <f>P154*dagenperjaar1</f>
        <v>#DIV/0!</v>
      </c>
      <c r="S154" s="27" t="e">
        <f>R154*ROUND(O154,2)</f>
        <v>#DIV/0!</v>
      </c>
    </row>
    <row r="155" spans="1:19" x14ac:dyDescent="0.2">
      <c r="A155" s="91" t="s">
        <v>781</v>
      </c>
      <c r="B155" s="92" t="s">
        <v>36</v>
      </c>
      <c r="C155" s="92" t="s">
        <v>419</v>
      </c>
      <c r="D155" s="92" t="s">
        <v>825</v>
      </c>
      <c r="E155" s="93" t="s">
        <v>826</v>
      </c>
      <c r="F155" s="92" t="s">
        <v>827</v>
      </c>
      <c r="G155" s="92" t="s">
        <v>285</v>
      </c>
      <c r="H155" s="92" t="s">
        <v>18</v>
      </c>
      <c r="I155" s="92" t="s">
        <v>230</v>
      </c>
      <c r="J155" s="93" t="s">
        <v>286</v>
      </c>
      <c r="K155" s="94">
        <v>144</v>
      </c>
      <c r="L155" s="94">
        <f>K155*VLOOKUP(H155,dagsoorttabel1,2,FALSE)</f>
        <v>2.7692307692307692</v>
      </c>
      <c r="M155" s="95">
        <f>prodnorm63</f>
        <v>0</v>
      </c>
      <c r="N155" s="92" t="s">
        <v>101</v>
      </c>
      <c r="O155" s="26">
        <f>uurtarief63</f>
        <v>0</v>
      </c>
      <c r="P155" s="94" t="e">
        <f>IF(ISBLANK(M155),0,L155/ROUND(M155,4))</f>
        <v>#DIV/0!</v>
      </c>
      <c r="Q155" s="26" t="e">
        <f>ROUND(O155,2)*P155</f>
        <v>#DIV/0!</v>
      </c>
      <c r="R155" s="94" t="e">
        <f>P155*dagenperjaar1</f>
        <v>#DIV/0!</v>
      </c>
      <c r="S155" s="27" t="e">
        <f>R155*ROUND(O155,2)</f>
        <v>#DIV/0!</v>
      </c>
    </row>
    <row r="156" spans="1:19" x14ac:dyDescent="0.2">
      <c r="A156" s="91" t="s">
        <v>781</v>
      </c>
      <c r="B156" s="92" t="s">
        <v>36</v>
      </c>
      <c r="C156" s="92" t="s">
        <v>419</v>
      </c>
      <c r="D156" s="92" t="s">
        <v>828</v>
      </c>
      <c r="E156" s="93" t="s">
        <v>829</v>
      </c>
      <c r="F156" s="92" t="s">
        <v>349</v>
      </c>
      <c r="G156" s="92" t="s">
        <v>288</v>
      </c>
      <c r="H156" s="92" t="s">
        <v>18</v>
      </c>
      <c r="I156" s="92" t="s">
        <v>230</v>
      </c>
      <c r="J156" s="93" t="s">
        <v>253</v>
      </c>
      <c r="K156" s="94">
        <v>15</v>
      </c>
      <c r="L156" s="94">
        <f>K156*VLOOKUP(H156,dagsoorttabel1,2,FALSE)</f>
        <v>0.28846153846153849</v>
      </c>
      <c r="M156" s="95">
        <f>prodnorm65</f>
        <v>0</v>
      </c>
      <c r="N156" s="92" t="s">
        <v>101</v>
      </c>
      <c r="O156" s="26">
        <f>uurtarief65</f>
        <v>0</v>
      </c>
      <c r="P156" s="94" t="e">
        <f>IF(ISBLANK(M156),0,L156/ROUND(M156,4))</f>
        <v>#DIV/0!</v>
      </c>
      <c r="Q156" s="26" t="e">
        <f>ROUND(O156,2)*P156</f>
        <v>#DIV/0!</v>
      </c>
      <c r="R156" s="94" t="e">
        <f>P156*dagenperjaar1</f>
        <v>#DIV/0!</v>
      </c>
      <c r="S156" s="27" t="e">
        <f>R156*ROUND(O156,2)</f>
        <v>#DIV/0!</v>
      </c>
    </row>
    <row r="157" spans="1:19" x14ac:dyDescent="0.2">
      <c r="A157" s="91" t="s">
        <v>781</v>
      </c>
      <c r="B157" s="92" t="s">
        <v>36</v>
      </c>
      <c r="C157" s="92" t="s">
        <v>419</v>
      </c>
      <c r="D157" s="92" t="s">
        <v>828</v>
      </c>
      <c r="E157" s="93" t="s">
        <v>829</v>
      </c>
      <c r="F157" s="92" t="s">
        <v>349</v>
      </c>
      <c r="G157" s="92" t="s">
        <v>289</v>
      </c>
      <c r="H157" s="92" t="s">
        <v>18</v>
      </c>
      <c r="I157" s="92" t="s">
        <v>230</v>
      </c>
      <c r="J157" s="93" t="s">
        <v>255</v>
      </c>
      <c r="K157" s="94">
        <v>15</v>
      </c>
      <c r="L157" s="94">
        <f>K157*VLOOKUP(H157,dagsoorttabel1,2,FALSE)</f>
        <v>0.28846153846153849</v>
      </c>
      <c r="M157" s="95">
        <f>prodnorm66</f>
        <v>0</v>
      </c>
      <c r="N157" s="92" t="s">
        <v>101</v>
      </c>
      <c r="O157" s="26">
        <f>uurtarief66</f>
        <v>0</v>
      </c>
      <c r="P157" s="94" t="e">
        <f>IF(ISBLANK(M157),0,L157/ROUND(M157,4))</f>
        <v>#DIV/0!</v>
      </c>
      <c r="Q157" s="26" t="e">
        <f>ROUND(O157,2)*P157</f>
        <v>#DIV/0!</v>
      </c>
      <c r="R157" s="94" t="e">
        <f>P157*dagenperjaar1</f>
        <v>#DIV/0!</v>
      </c>
      <c r="S157" s="27" t="e">
        <f>R157*ROUND(O157,2)</f>
        <v>#DIV/0!</v>
      </c>
    </row>
    <row r="158" spans="1:19" x14ac:dyDescent="0.2">
      <c r="A158" s="91" t="s">
        <v>781</v>
      </c>
      <c r="B158" s="92" t="s">
        <v>36</v>
      </c>
      <c r="C158" s="92" t="s">
        <v>419</v>
      </c>
      <c r="D158" s="92" t="s">
        <v>830</v>
      </c>
      <c r="E158" s="93" t="s">
        <v>739</v>
      </c>
      <c r="F158" s="92" t="s">
        <v>478</v>
      </c>
      <c r="G158" s="92" t="s">
        <v>288</v>
      </c>
      <c r="H158" s="92" t="s">
        <v>18</v>
      </c>
      <c r="I158" s="92" t="s">
        <v>230</v>
      </c>
      <c r="J158" s="93" t="s">
        <v>253</v>
      </c>
      <c r="K158" s="94">
        <v>15</v>
      </c>
      <c r="L158" s="94">
        <f>K158*VLOOKUP(H158,dagsoorttabel1,2,FALSE)</f>
        <v>0.28846153846153849</v>
      </c>
      <c r="M158" s="95">
        <f>prodnorm65</f>
        <v>0</v>
      </c>
      <c r="N158" s="92" t="s">
        <v>101</v>
      </c>
      <c r="O158" s="26">
        <f>uurtarief65</f>
        <v>0</v>
      </c>
      <c r="P158" s="94" t="e">
        <f>IF(ISBLANK(M158),0,L158/ROUND(M158,4))</f>
        <v>#DIV/0!</v>
      </c>
      <c r="Q158" s="26" t="e">
        <f>ROUND(O158,2)*P158</f>
        <v>#DIV/0!</v>
      </c>
      <c r="R158" s="94" t="e">
        <f>P158*dagenperjaar1</f>
        <v>#DIV/0!</v>
      </c>
      <c r="S158" s="27" t="e">
        <f>R158*ROUND(O158,2)</f>
        <v>#DIV/0!</v>
      </c>
    </row>
    <row r="159" spans="1:19" x14ac:dyDescent="0.2">
      <c r="A159" s="91" t="s">
        <v>781</v>
      </c>
      <c r="B159" s="92" t="s">
        <v>36</v>
      </c>
      <c r="C159" s="92" t="s">
        <v>419</v>
      </c>
      <c r="D159" s="92" t="s">
        <v>830</v>
      </c>
      <c r="E159" s="93" t="s">
        <v>739</v>
      </c>
      <c r="F159" s="92" t="s">
        <v>478</v>
      </c>
      <c r="G159" s="92" t="s">
        <v>289</v>
      </c>
      <c r="H159" s="92" t="s">
        <v>18</v>
      </c>
      <c r="I159" s="92" t="s">
        <v>230</v>
      </c>
      <c r="J159" s="93" t="s">
        <v>255</v>
      </c>
      <c r="K159" s="94">
        <v>15</v>
      </c>
      <c r="L159" s="94">
        <f>K159*VLOOKUP(H159,dagsoorttabel1,2,FALSE)</f>
        <v>0.28846153846153849</v>
      </c>
      <c r="M159" s="95">
        <f>prodnorm66</f>
        <v>0</v>
      </c>
      <c r="N159" s="92" t="s">
        <v>101</v>
      </c>
      <c r="O159" s="26">
        <f>uurtarief66</f>
        <v>0</v>
      </c>
      <c r="P159" s="94" t="e">
        <f>IF(ISBLANK(M159),0,L159/ROUND(M159,4))</f>
        <v>#DIV/0!</v>
      </c>
      <c r="Q159" s="26" t="e">
        <f>ROUND(O159,2)*P159</f>
        <v>#DIV/0!</v>
      </c>
      <c r="R159" s="94" t="e">
        <f>P159*dagenperjaar1</f>
        <v>#DIV/0!</v>
      </c>
      <c r="S159" s="27" t="e">
        <f>R159*ROUND(O159,2)</f>
        <v>#DIV/0!</v>
      </c>
    </row>
    <row r="160" spans="1:19" x14ac:dyDescent="0.2">
      <c r="A160" s="91" t="s">
        <v>781</v>
      </c>
      <c r="B160" s="92" t="s">
        <v>36</v>
      </c>
      <c r="C160" s="92" t="s">
        <v>419</v>
      </c>
      <c r="D160" s="92" t="s">
        <v>831</v>
      </c>
      <c r="E160" s="93" t="s">
        <v>832</v>
      </c>
      <c r="F160" s="92" t="s">
        <v>458</v>
      </c>
      <c r="G160" s="92" t="s">
        <v>285</v>
      </c>
      <c r="H160" s="92" t="s">
        <v>18</v>
      </c>
      <c r="I160" s="92" t="s">
        <v>230</v>
      </c>
      <c r="J160" s="93" t="s">
        <v>286</v>
      </c>
      <c r="K160" s="94">
        <v>80</v>
      </c>
      <c r="L160" s="94">
        <f>K160*VLOOKUP(H160,dagsoorttabel1,2,FALSE)</f>
        <v>1.5384615384615385</v>
      </c>
      <c r="M160" s="95">
        <f>prodnorm63</f>
        <v>0</v>
      </c>
      <c r="N160" s="92" t="s">
        <v>101</v>
      </c>
      <c r="O160" s="26">
        <f>uurtarief63</f>
        <v>0</v>
      </c>
      <c r="P160" s="94" t="e">
        <f>IF(ISBLANK(M160),0,L160/ROUND(M160,4))</f>
        <v>#DIV/0!</v>
      </c>
      <c r="Q160" s="26" t="e">
        <f>ROUND(O160,2)*P160</f>
        <v>#DIV/0!</v>
      </c>
      <c r="R160" s="94" t="e">
        <f>P160*dagenperjaar1</f>
        <v>#DIV/0!</v>
      </c>
      <c r="S160" s="27" t="e">
        <f>R160*ROUND(O160,2)</f>
        <v>#DIV/0!</v>
      </c>
    </row>
    <row r="161" spans="1:19" x14ac:dyDescent="0.2">
      <c r="A161" s="91" t="s">
        <v>781</v>
      </c>
      <c r="B161" s="92" t="s">
        <v>36</v>
      </c>
      <c r="C161" s="92" t="s">
        <v>419</v>
      </c>
      <c r="D161" s="92" t="s">
        <v>833</v>
      </c>
      <c r="E161" s="93" t="s">
        <v>805</v>
      </c>
      <c r="F161" s="92" t="s">
        <v>458</v>
      </c>
      <c r="G161" s="92" t="s">
        <v>285</v>
      </c>
      <c r="H161" s="92" t="s">
        <v>18</v>
      </c>
      <c r="I161" s="92" t="s">
        <v>230</v>
      </c>
      <c r="J161" s="93" t="s">
        <v>286</v>
      </c>
      <c r="K161" s="94">
        <v>55</v>
      </c>
      <c r="L161" s="94">
        <f>K161*VLOOKUP(H161,dagsoorttabel1,2,FALSE)</f>
        <v>1.0576923076923077</v>
      </c>
      <c r="M161" s="95">
        <f>prodnorm63</f>
        <v>0</v>
      </c>
      <c r="N161" s="92" t="s">
        <v>101</v>
      </c>
      <c r="O161" s="26">
        <f>uurtarief63</f>
        <v>0</v>
      </c>
      <c r="P161" s="94" t="e">
        <f>IF(ISBLANK(M161),0,L161/ROUND(M161,4))</f>
        <v>#DIV/0!</v>
      </c>
      <c r="Q161" s="26" t="e">
        <f>ROUND(O161,2)*P161</f>
        <v>#DIV/0!</v>
      </c>
      <c r="R161" s="94" t="e">
        <f>P161*dagenperjaar1</f>
        <v>#DIV/0!</v>
      </c>
      <c r="S161" s="27" t="e">
        <f>R161*ROUND(O161,2)</f>
        <v>#DIV/0!</v>
      </c>
    </row>
    <row r="162" spans="1:19" x14ac:dyDescent="0.2">
      <c r="A162" s="91" t="s">
        <v>781</v>
      </c>
      <c r="B162" s="92" t="s">
        <v>36</v>
      </c>
      <c r="C162" s="92" t="s">
        <v>419</v>
      </c>
      <c r="D162" s="92" t="s">
        <v>834</v>
      </c>
      <c r="E162" s="93" t="s">
        <v>809</v>
      </c>
      <c r="F162" s="92" t="s">
        <v>458</v>
      </c>
      <c r="G162" s="92" t="s">
        <v>290</v>
      </c>
      <c r="H162" s="92" t="s">
        <v>18</v>
      </c>
      <c r="I162" s="92" t="s">
        <v>230</v>
      </c>
      <c r="J162" s="93" t="s">
        <v>257</v>
      </c>
      <c r="K162" s="94">
        <v>54</v>
      </c>
      <c r="L162" s="94">
        <f>K162*VLOOKUP(H162,dagsoorttabel1,2,FALSE)</f>
        <v>1.0384615384615385</v>
      </c>
      <c r="M162" s="95">
        <f>prodnorm67</f>
        <v>0</v>
      </c>
      <c r="N162" s="92" t="s">
        <v>101</v>
      </c>
      <c r="O162" s="26">
        <f>uurtarief67</f>
        <v>0</v>
      </c>
      <c r="P162" s="94" t="e">
        <f>IF(ISBLANK(M162),0,L162/ROUND(M162,4))</f>
        <v>#DIV/0!</v>
      </c>
      <c r="Q162" s="26" t="e">
        <f>ROUND(O162,2)*P162</f>
        <v>#DIV/0!</v>
      </c>
      <c r="R162" s="94" t="e">
        <f>P162*dagenperjaar1</f>
        <v>#DIV/0!</v>
      </c>
      <c r="S162" s="27" t="e">
        <f>R162*ROUND(O162,2)</f>
        <v>#DIV/0!</v>
      </c>
    </row>
    <row r="163" spans="1:19" x14ac:dyDescent="0.2">
      <c r="A163" s="91" t="s">
        <v>781</v>
      </c>
      <c r="B163" s="92" t="s">
        <v>36</v>
      </c>
      <c r="C163" s="92" t="s">
        <v>419</v>
      </c>
      <c r="D163" s="92" t="s">
        <v>835</v>
      </c>
      <c r="E163" s="93" t="s">
        <v>836</v>
      </c>
      <c r="F163" s="92" t="s">
        <v>458</v>
      </c>
      <c r="G163" s="92" t="s">
        <v>280</v>
      </c>
      <c r="H163" s="92" t="s">
        <v>18</v>
      </c>
      <c r="I163" s="92" t="s">
        <v>230</v>
      </c>
      <c r="J163" s="93" t="s">
        <v>237</v>
      </c>
      <c r="K163" s="94">
        <v>3.5</v>
      </c>
      <c r="L163" s="94">
        <f>K163*VLOOKUP(H163,dagsoorttabel1,2,FALSE)</f>
        <v>6.7307692307692318E-2</v>
      </c>
      <c r="M163" s="95">
        <f>prodnorm58</f>
        <v>0</v>
      </c>
      <c r="N163" s="92" t="s">
        <v>101</v>
      </c>
      <c r="O163" s="26">
        <f>uurtarief58</f>
        <v>0</v>
      </c>
      <c r="P163" s="94" t="e">
        <f>IF(ISBLANK(M163),0,L163/ROUND(M163,4))</f>
        <v>#DIV/0!</v>
      </c>
      <c r="Q163" s="26" t="e">
        <f>ROUND(O163,2)*P163</f>
        <v>#DIV/0!</v>
      </c>
      <c r="R163" s="94" t="e">
        <f>P163*dagenperjaar1</f>
        <v>#DIV/0!</v>
      </c>
      <c r="S163" s="27" t="e">
        <f>R163*ROUND(O163,2)</f>
        <v>#DIV/0!</v>
      </c>
    </row>
    <row r="164" spans="1:19" x14ac:dyDescent="0.2">
      <c r="A164" s="91" t="s">
        <v>781</v>
      </c>
      <c r="B164" s="92" t="s">
        <v>36</v>
      </c>
      <c r="C164" s="92" t="s">
        <v>419</v>
      </c>
      <c r="D164" s="92" t="s">
        <v>837</v>
      </c>
      <c r="E164" s="93" t="s">
        <v>629</v>
      </c>
      <c r="F164" s="92" t="s">
        <v>458</v>
      </c>
      <c r="G164" s="92" t="s">
        <v>290</v>
      </c>
      <c r="H164" s="92" t="s">
        <v>18</v>
      </c>
      <c r="I164" s="92" t="s">
        <v>230</v>
      </c>
      <c r="J164" s="93" t="s">
        <v>257</v>
      </c>
      <c r="K164" s="94">
        <v>20</v>
      </c>
      <c r="L164" s="94">
        <f>K164*VLOOKUP(H164,dagsoorttabel1,2,FALSE)</f>
        <v>0.38461538461538464</v>
      </c>
      <c r="M164" s="95">
        <f>prodnorm67</f>
        <v>0</v>
      </c>
      <c r="N164" s="92" t="s">
        <v>101</v>
      </c>
      <c r="O164" s="26">
        <f>uurtarief67</f>
        <v>0</v>
      </c>
      <c r="P164" s="94" t="e">
        <f>IF(ISBLANK(M164),0,L164/ROUND(M164,4))</f>
        <v>#DIV/0!</v>
      </c>
      <c r="Q164" s="26" t="e">
        <f>ROUND(O164,2)*P164</f>
        <v>#DIV/0!</v>
      </c>
      <c r="R164" s="94" t="e">
        <f>P164*dagenperjaar1</f>
        <v>#DIV/0!</v>
      </c>
      <c r="S164" s="27" t="e">
        <f>R164*ROUND(O164,2)</f>
        <v>#DIV/0!</v>
      </c>
    </row>
    <row r="165" spans="1:19" x14ac:dyDescent="0.2">
      <c r="A165" s="91" t="s">
        <v>781</v>
      </c>
      <c r="B165" s="92" t="s">
        <v>36</v>
      </c>
      <c r="C165" s="92" t="s">
        <v>419</v>
      </c>
      <c r="D165" s="92" t="s">
        <v>838</v>
      </c>
      <c r="E165" s="93" t="s">
        <v>477</v>
      </c>
      <c r="F165" s="92" t="s">
        <v>461</v>
      </c>
      <c r="G165" s="92" t="s">
        <v>294</v>
      </c>
      <c r="H165" s="92" t="s">
        <v>18</v>
      </c>
      <c r="I165" s="92" t="s">
        <v>230</v>
      </c>
      <c r="J165" s="93" t="s">
        <v>267</v>
      </c>
      <c r="K165" s="94">
        <v>11</v>
      </c>
      <c r="L165" s="94">
        <f>K165*VLOOKUP(H165,dagsoorttabel1,2,FALSE)</f>
        <v>0.21153846153846156</v>
      </c>
      <c r="M165" s="95">
        <f>prodnorm71</f>
        <v>0</v>
      </c>
      <c r="N165" s="92" t="s">
        <v>101</v>
      </c>
      <c r="O165" s="26">
        <f>uurtarief71</f>
        <v>0</v>
      </c>
      <c r="P165" s="94" t="e">
        <f>IF(ISBLANK(M165),0,L165/ROUND(M165,4))</f>
        <v>#DIV/0!</v>
      </c>
      <c r="Q165" s="26" t="e">
        <f>ROUND(O165,2)*P165</f>
        <v>#DIV/0!</v>
      </c>
      <c r="R165" s="94" t="e">
        <f>P165*dagenperjaar1</f>
        <v>#DIV/0!</v>
      </c>
      <c r="S165" s="27" t="e">
        <f>R165*ROUND(O165,2)</f>
        <v>#DIV/0!</v>
      </c>
    </row>
    <row r="166" spans="1:19" x14ac:dyDescent="0.2">
      <c r="A166" s="91" t="s">
        <v>781</v>
      </c>
      <c r="B166" s="92" t="s">
        <v>36</v>
      </c>
      <c r="C166" s="92" t="s">
        <v>419</v>
      </c>
      <c r="D166" s="92" t="s">
        <v>839</v>
      </c>
      <c r="E166" s="93" t="s">
        <v>840</v>
      </c>
      <c r="F166" s="92" t="s">
        <v>841</v>
      </c>
      <c r="G166" s="92" t="s">
        <v>285</v>
      </c>
      <c r="H166" s="92" t="s">
        <v>18</v>
      </c>
      <c r="I166" s="92" t="s">
        <v>230</v>
      </c>
      <c r="J166" s="93" t="s">
        <v>286</v>
      </c>
      <c r="K166" s="94">
        <v>41</v>
      </c>
      <c r="L166" s="94">
        <f>K166*VLOOKUP(H166,dagsoorttabel1,2,FALSE)</f>
        <v>0.78846153846153855</v>
      </c>
      <c r="M166" s="95">
        <f>prodnorm63</f>
        <v>0</v>
      </c>
      <c r="N166" s="92" t="s">
        <v>101</v>
      </c>
      <c r="O166" s="26">
        <f>uurtarief63</f>
        <v>0</v>
      </c>
      <c r="P166" s="94" t="e">
        <f>IF(ISBLANK(M166),0,L166/ROUND(M166,4))</f>
        <v>#DIV/0!</v>
      </c>
      <c r="Q166" s="26" t="e">
        <f>ROUND(O166,2)*P166</f>
        <v>#DIV/0!</v>
      </c>
      <c r="R166" s="94" t="e">
        <f>P166*dagenperjaar1</f>
        <v>#DIV/0!</v>
      </c>
      <c r="S166" s="27" t="e">
        <f>R166*ROUND(O166,2)</f>
        <v>#DIV/0!</v>
      </c>
    </row>
    <row r="167" spans="1:19" x14ac:dyDescent="0.2">
      <c r="A167" s="91" t="s">
        <v>781</v>
      </c>
      <c r="B167" s="92" t="s">
        <v>842</v>
      </c>
      <c r="C167" s="92" t="s">
        <v>393</v>
      </c>
      <c r="D167" s="92" t="s">
        <v>845</v>
      </c>
      <c r="E167" s="93" t="s">
        <v>629</v>
      </c>
      <c r="F167" s="92" t="s">
        <v>342</v>
      </c>
      <c r="G167" s="92" t="s">
        <v>290</v>
      </c>
      <c r="H167" s="92" t="s">
        <v>18</v>
      </c>
      <c r="I167" s="92" t="s">
        <v>230</v>
      </c>
      <c r="J167" s="93" t="s">
        <v>257</v>
      </c>
      <c r="K167" s="94">
        <v>4.5</v>
      </c>
      <c r="L167" s="94">
        <f>K167*VLOOKUP(H167,dagsoorttabel1,2,FALSE)</f>
        <v>8.6538461538461536E-2</v>
      </c>
      <c r="M167" s="95">
        <f>prodnorm67</f>
        <v>0</v>
      </c>
      <c r="N167" s="92" t="s">
        <v>101</v>
      </c>
      <c r="O167" s="26">
        <f>uurtarief67</f>
        <v>0</v>
      </c>
      <c r="P167" s="94" t="e">
        <f>IF(ISBLANK(M167),0,L167/ROUND(M167,4))</f>
        <v>#DIV/0!</v>
      </c>
      <c r="Q167" s="26" t="e">
        <f>ROUND(O167,2)*P167</f>
        <v>#DIV/0!</v>
      </c>
      <c r="R167" s="94" t="e">
        <f>P167*dagenperjaar1</f>
        <v>#DIV/0!</v>
      </c>
      <c r="S167" s="27" t="e">
        <f>R167*ROUND(O167,2)</f>
        <v>#DIV/0!</v>
      </c>
    </row>
    <row r="168" spans="1:19" x14ac:dyDescent="0.2">
      <c r="A168" s="91" t="s">
        <v>781</v>
      </c>
      <c r="B168" s="92" t="s">
        <v>842</v>
      </c>
      <c r="C168" s="92" t="s">
        <v>393</v>
      </c>
      <c r="D168" s="92" t="s">
        <v>846</v>
      </c>
      <c r="E168" s="93" t="s">
        <v>616</v>
      </c>
      <c r="F168" s="92" t="s">
        <v>342</v>
      </c>
      <c r="G168" s="92" t="s">
        <v>280</v>
      </c>
      <c r="H168" s="92" t="s">
        <v>18</v>
      </c>
      <c r="I168" s="92" t="s">
        <v>230</v>
      </c>
      <c r="J168" s="93" t="s">
        <v>237</v>
      </c>
      <c r="K168" s="94">
        <v>13</v>
      </c>
      <c r="L168" s="94">
        <f>K168*VLOOKUP(H168,dagsoorttabel1,2,FALSE)</f>
        <v>0.25</v>
      </c>
      <c r="M168" s="95">
        <f>prodnorm58</f>
        <v>0</v>
      </c>
      <c r="N168" s="92" t="s">
        <v>101</v>
      </c>
      <c r="O168" s="26">
        <f>uurtarief58</f>
        <v>0</v>
      </c>
      <c r="P168" s="94" t="e">
        <f>IF(ISBLANK(M168),0,L168/ROUND(M168,4))</f>
        <v>#DIV/0!</v>
      </c>
      <c r="Q168" s="26" t="e">
        <f>ROUND(O168,2)*P168</f>
        <v>#DIV/0!</v>
      </c>
      <c r="R168" s="94" t="e">
        <f>P168*dagenperjaar1</f>
        <v>#DIV/0!</v>
      </c>
      <c r="S168" s="27" t="e">
        <f>R168*ROUND(O168,2)</f>
        <v>#DIV/0!</v>
      </c>
    </row>
    <row r="169" spans="1:19" x14ac:dyDescent="0.2">
      <c r="A169" s="91" t="s">
        <v>781</v>
      </c>
      <c r="B169" s="92" t="s">
        <v>842</v>
      </c>
      <c r="C169" s="92" t="s">
        <v>393</v>
      </c>
      <c r="D169" s="92" t="s">
        <v>847</v>
      </c>
      <c r="E169" s="93" t="s">
        <v>848</v>
      </c>
      <c r="F169" s="92" t="s">
        <v>342</v>
      </c>
      <c r="G169" s="92" t="s">
        <v>281</v>
      </c>
      <c r="H169" s="92" t="s">
        <v>18</v>
      </c>
      <c r="I169" s="92" t="s">
        <v>230</v>
      </c>
      <c r="J169" s="93" t="s">
        <v>239</v>
      </c>
      <c r="K169" s="94">
        <v>181</v>
      </c>
      <c r="L169" s="94">
        <f>K169*VLOOKUP(H169,dagsoorttabel1,2,FALSE)</f>
        <v>3.4807692307692308</v>
      </c>
      <c r="M169" s="95">
        <f>prodnorm59</f>
        <v>0</v>
      </c>
      <c r="N169" s="92" t="s">
        <v>101</v>
      </c>
      <c r="O169" s="26">
        <f>uurtarief59</f>
        <v>0</v>
      </c>
      <c r="P169" s="94" t="e">
        <f>IF(ISBLANK(M169),0,L169/ROUND(M169,4))</f>
        <v>#DIV/0!</v>
      </c>
      <c r="Q169" s="26" t="e">
        <f>ROUND(O169,2)*P169</f>
        <v>#DIV/0!</v>
      </c>
      <c r="R169" s="94" t="e">
        <f>P169*dagenperjaar1</f>
        <v>#DIV/0!</v>
      </c>
      <c r="S169" s="27" t="e">
        <f>R169*ROUND(O169,2)</f>
        <v>#DIV/0!</v>
      </c>
    </row>
    <row r="170" spans="1:19" x14ac:dyDescent="0.2">
      <c r="A170" s="91" t="s">
        <v>781</v>
      </c>
      <c r="B170" s="92" t="s">
        <v>842</v>
      </c>
      <c r="C170" s="92" t="s">
        <v>393</v>
      </c>
      <c r="D170" s="92" t="s">
        <v>849</v>
      </c>
      <c r="E170" s="93" t="s">
        <v>850</v>
      </c>
      <c r="F170" s="92" t="s">
        <v>342</v>
      </c>
      <c r="G170" s="92" t="s">
        <v>290</v>
      </c>
      <c r="H170" s="92" t="s">
        <v>18</v>
      </c>
      <c r="I170" s="92" t="s">
        <v>230</v>
      </c>
      <c r="J170" s="93" t="s">
        <v>257</v>
      </c>
      <c r="K170" s="94">
        <v>41</v>
      </c>
      <c r="L170" s="94">
        <f>K170*VLOOKUP(H170,dagsoorttabel1,2,FALSE)</f>
        <v>0.78846153846153855</v>
      </c>
      <c r="M170" s="95">
        <f>prodnorm67</f>
        <v>0</v>
      </c>
      <c r="N170" s="92" t="s">
        <v>101</v>
      </c>
      <c r="O170" s="26">
        <f>uurtarief67</f>
        <v>0</v>
      </c>
      <c r="P170" s="94" t="e">
        <f>IF(ISBLANK(M170),0,L170/ROUND(M170,4))</f>
        <v>#DIV/0!</v>
      </c>
      <c r="Q170" s="26" t="e">
        <f>ROUND(O170,2)*P170</f>
        <v>#DIV/0!</v>
      </c>
      <c r="R170" s="94" t="e">
        <f>P170*dagenperjaar1</f>
        <v>#DIV/0!</v>
      </c>
      <c r="S170" s="27" t="e">
        <f>R170*ROUND(O170,2)</f>
        <v>#DIV/0!</v>
      </c>
    </row>
    <row r="171" spans="1:19" x14ac:dyDescent="0.2">
      <c r="A171" s="91" t="s">
        <v>781</v>
      </c>
      <c r="B171" s="92" t="s">
        <v>842</v>
      </c>
      <c r="C171" s="92" t="s">
        <v>419</v>
      </c>
      <c r="D171" s="92" t="s">
        <v>851</v>
      </c>
      <c r="E171" s="93" t="s">
        <v>629</v>
      </c>
      <c r="F171" s="92" t="s">
        <v>342</v>
      </c>
      <c r="G171" s="92" t="s">
        <v>290</v>
      </c>
      <c r="H171" s="92" t="s">
        <v>18</v>
      </c>
      <c r="I171" s="92" t="s">
        <v>230</v>
      </c>
      <c r="J171" s="93" t="s">
        <v>257</v>
      </c>
      <c r="K171" s="94">
        <v>5</v>
      </c>
      <c r="L171" s="94">
        <f>K171*VLOOKUP(H171,dagsoorttabel1,2,FALSE)</f>
        <v>9.6153846153846159E-2</v>
      </c>
      <c r="M171" s="95">
        <f>prodnorm67</f>
        <v>0</v>
      </c>
      <c r="N171" s="92" t="s">
        <v>101</v>
      </c>
      <c r="O171" s="26">
        <f>uurtarief67</f>
        <v>0</v>
      </c>
      <c r="P171" s="94" t="e">
        <f>IF(ISBLANK(M171),0,L171/ROUND(M171,4))</f>
        <v>#DIV/0!</v>
      </c>
      <c r="Q171" s="26" t="e">
        <f>ROUND(O171,2)*P171</f>
        <v>#DIV/0!</v>
      </c>
      <c r="R171" s="94" t="e">
        <f>P171*dagenperjaar1</f>
        <v>#DIV/0!</v>
      </c>
      <c r="S171" s="27" t="e">
        <f>R171*ROUND(O171,2)</f>
        <v>#DIV/0!</v>
      </c>
    </row>
    <row r="172" spans="1:19" x14ac:dyDescent="0.2">
      <c r="A172" s="91" t="s">
        <v>781</v>
      </c>
      <c r="B172" s="92" t="s">
        <v>842</v>
      </c>
      <c r="C172" s="92" t="s">
        <v>419</v>
      </c>
      <c r="D172" s="92" t="s">
        <v>853</v>
      </c>
      <c r="E172" s="93" t="s">
        <v>854</v>
      </c>
      <c r="F172" s="92" t="s">
        <v>342</v>
      </c>
      <c r="G172" s="92" t="s">
        <v>285</v>
      </c>
      <c r="H172" s="92" t="s">
        <v>18</v>
      </c>
      <c r="I172" s="92" t="s">
        <v>230</v>
      </c>
      <c r="J172" s="93" t="s">
        <v>286</v>
      </c>
      <c r="K172" s="94">
        <v>190</v>
      </c>
      <c r="L172" s="94">
        <f>K172*VLOOKUP(H172,dagsoorttabel1,2,FALSE)</f>
        <v>3.6538461538461542</v>
      </c>
      <c r="M172" s="95">
        <f>prodnorm63</f>
        <v>0</v>
      </c>
      <c r="N172" s="92" t="s">
        <v>101</v>
      </c>
      <c r="O172" s="26">
        <f>uurtarief63</f>
        <v>0</v>
      </c>
      <c r="P172" s="94" t="e">
        <f>IF(ISBLANK(M172),0,L172/ROUND(M172,4))</f>
        <v>#DIV/0!</v>
      </c>
      <c r="Q172" s="26" t="e">
        <f>ROUND(O172,2)*P172</f>
        <v>#DIV/0!</v>
      </c>
      <c r="R172" s="94" t="e">
        <f>P172*dagenperjaar1</f>
        <v>#DIV/0!</v>
      </c>
      <c r="S172" s="27" t="e">
        <f>R172*ROUND(O172,2)</f>
        <v>#DIV/0!</v>
      </c>
    </row>
    <row r="173" spans="1:19" x14ac:dyDescent="0.2">
      <c r="A173" s="91" t="s">
        <v>781</v>
      </c>
      <c r="B173" s="92" t="s">
        <v>842</v>
      </c>
      <c r="C173" s="92" t="s">
        <v>419</v>
      </c>
      <c r="D173" s="92" t="s">
        <v>855</v>
      </c>
      <c r="E173" s="93" t="s">
        <v>856</v>
      </c>
      <c r="F173" s="92" t="s">
        <v>342</v>
      </c>
      <c r="G173" s="92" t="s">
        <v>290</v>
      </c>
      <c r="H173" s="92" t="s">
        <v>18</v>
      </c>
      <c r="I173" s="92" t="s">
        <v>230</v>
      </c>
      <c r="J173" s="93" t="s">
        <v>257</v>
      </c>
      <c r="K173" s="94">
        <v>11</v>
      </c>
      <c r="L173" s="94">
        <f>K173*VLOOKUP(H173,dagsoorttabel1,2,FALSE)</f>
        <v>0.21153846153846156</v>
      </c>
      <c r="M173" s="95">
        <f>prodnorm67</f>
        <v>0</v>
      </c>
      <c r="N173" s="92" t="s">
        <v>101</v>
      </c>
      <c r="O173" s="26">
        <f>uurtarief67</f>
        <v>0</v>
      </c>
      <c r="P173" s="94" t="e">
        <f>IF(ISBLANK(M173),0,L173/ROUND(M173,4))</f>
        <v>#DIV/0!</v>
      </c>
      <c r="Q173" s="26" t="e">
        <f>ROUND(O173,2)*P173</f>
        <v>#DIV/0!</v>
      </c>
      <c r="R173" s="94" t="e">
        <f>P173*dagenperjaar1</f>
        <v>#DIV/0!</v>
      </c>
      <c r="S173" s="27" t="e">
        <f>R173*ROUND(O173,2)</f>
        <v>#DIV/0!</v>
      </c>
    </row>
    <row r="174" spans="1:19" x14ac:dyDescent="0.2">
      <c r="A174" s="91" t="s">
        <v>781</v>
      </c>
      <c r="B174" s="92" t="s">
        <v>842</v>
      </c>
      <c r="C174" s="92" t="s">
        <v>443</v>
      </c>
      <c r="D174" s="92" t="s">
        <v>857</v>
      </c>
      <c r="E174" s="93" t="s">
        <v>858</v>
      </c>
      <c r="F174" s="92" t="s">
        <v>342</v>
      </c>
      <c r="G174" s="92" t="s">
        <v>282</v>
      </c>
      <c r="H174" s="92" t="s">
        <v>18</v>
      </c>
      <c r="I174" s="92" t="s">
        <v>230</v>
      </c>
      <c r="J174" s="93" t="s">
        <v>241</v>
      </c>
      <c r="K174" s="94">
        <v>119</v>
      </c>
      <c r="L174" s="94">
        <f>K174*VLOOKUP(H174,dagsoorttabel1,2,FALSE)</f>
        <v>2.2884615384615388</v>
      </c>
      <c r="M174" s="95">
        <f>prodnorm60</f>
        <v>0</v>
      </c>
      <c r="N174" s="92" t="s">
        <v>101</v>
      </c>
      <c r="O174" s="26">
        <f>uurtarief60</f>
        <v>0</v>
      </c>
      <c r="P174" s="94" t="e">
        <f>IF(ISBLANK(M174),0,L174/ROUND(M174,4))</f>
        <v>#DIV/0!</v>
      </c>
      <c r="Q174" s="26" t="e">
        <f>ROUND(O174,2)*P174</f>
        <v>#DIV/0!</v>
      </c>
      <c r="R174" s="94" t="e">
        <f>P174*dagenperjaar1</f>
        <v>#DIV/0!</v>
      </c>
      <c r="S174" s="27" t="e">
        <f>R174*ROUND(O174,2)</f>
        <v>#DIV/0!</v>
      </c>
    </row>
    <row r="175" spans="1:19" x14ac:dyDescent="0.2">
      <c r="A175" s="91" t="s">
        <v>781</v>
      </c>
      <c r="B175" s="92" t="s">
        <v>842</v>
      </c>
      <c r="C175" s="92" t="s">
        <v>443</v>
      </c>
      <c r="D175" s="92" t="s">
        <v>862</v>
      </c>
      <c r="E175" s="93" t="s">
        <v>863</v>
      </c>
      <c r="F175" s="92" t="s">
        <v>864</v>
      </c>
      <c r="G175" s="92" t="s">
        <v>290</v>
      </c>
      <c r="H175" s="92" t="s">
        <v>18</v>
      </c>
      <c r="I175" s="92" t="s">
        <v>230</v>
      </c>
      <c r="J175" s="93" t="s">
        <v>257</v>
      </c>
      <c r="K175" s="94">
        <v>3</v>
      </c>
      <c r="L175" s="94">
        <f>K175*VLOOKUP(H175,dagsoorttabel1,2,FALSE)</f>
        <v>5.7692307692307696E-2</v>
      </c>
      <c r="M175" s="95">
        <f>prodnorm67</f>
        <v>0</v>
      </c>
      <c r="N175" s="92" t="s">
        <v>101</v>
      </c>
      <c r="O175" s="26">
        <f>uurtarief67</f>
        <v>0</v>
      </c>
      <c r="P175" s="94" t="e">
        <f>IF(ISBLANK(M175),0,L175/ROUND(M175,4))</f>
        <v>#DIV/0!</v>
      </c>
      <c r="Q175" s="26" t="e">
        <f>ROUND(O175,2)*P175</f>
        <v>#DIV/0!</v>
      </c>
      <c r="R175" s="94" t="e">
        <f>P175*dagenperjaar1</f>
        <v>#DIV/0!</v>
      </c>
      <c r="S175" s="27" t="e">
        <f>R175*ROUND(O175,2)</f>
        <v>#DIV/0!</v>
      </c>
    </row>
    <row r="176" spans="1:19" x14ac:dyDescent="0.2">
      <c r="A176" s="91" t="s">
        <v>781</v>
      </c>
      <c r="B176" s="92" t="s">
        <v>842</v>
      </c>
      <c r="C176" s="92" t="s">
        <v>443</v>
      </c>
      <c r="D176" s="92" t="s">
        <v>865</v>
      </c>
      <c r="E176" s="93" t="s">
        <v>866</v>
      </c>
      <c r="F176" s="92" t="s">
        <v>342</v>
      </c>
      <c r="G176" s="92" t="s">
        <v>290</v>
      </c>
      <c r="H176" s="92" t="s">
        <v>18</v>
      </c>
      <c r="I176" s="92" t="s">
        <v>230</v>
      </c>
      <c r="J176" s="93" t="s">
        <v>257</v>
      </c>
      <c r="K176" s="94">
        <v>16</v>
      </c>
      <c r="L176" s="94">
        <f>K176*VLOOKUP(H176,dagsoorttabel1,2,FALSE)</f>
        <v>0.30769230769230771</v>
      </c>
      <c r="M176" s="95">
        <f>prodnorm67</f>
        <v>0</v>
      </c>
      <c r="N176" s="92" t="s">
        <v>101</v>
      </c>
      <c r="O176" s="26">
        <f>uurtarief67</f>
        <v>0</v>
      </c>
      <c r="P176" s="94" t="e">
        <f>IF(ISBLANK(M176),0,L176/ROUND(M176,4))</f>
        <v>#DIV/0!</v>
      </c>
      <c r="Q176" s="26" t="e">
        <f>ROUND(O176,2)*P176</f>
        <v>#DIV/0!</v>
      </c>
      <c r="R176" s="94" t="e">
        <f>P176*dagenperjaar1</f>
        <v>#DIV/0!</v>
      </c>
      <c r="S176" s="27" t="e">
        <f>R176*ROUND(O176,2)</f>
        <v>#DIV/0!</v>
      </c>
    </row>
    <row r="177" spans="1:19" x14ac:dyDescent="0.2">
      <c r="A177" s="91" t="s">
        <v>781</v>
      </c>
      <c r="B177" s="92" t="s">
        <v>842</v>
      </c>
      <c r="C177" s="92" t="s">
        <v>443</v>
      </c>
      <c r="D177" s="92" t="s">
        <v>867</v>
      </c>
      <c r="E177" s="93" t="s">
        <v>868</v>
      </c>
      <c r="F177" s="92" t="s">
        <v>342</v>
      </c>
      <c r="G177" s="92" t="s">
        <v>288</v>
      </c>
      <c r="H177" s="92" t="s">
        <v>18</v>
      </c>
      <c r="I177" s="92" t="s">
        <v>230</v>
      </c>
      <c r="J177" s="93" t="s">
        <v>253</v>
      </c>
      <c r="K177" s="94">
        <v>14</v>
      </c>
      <c r="L177" s="94">
        <f>K177*VLOOKUP(H177,dagsoorttabel1,2,FALSE)</f>
        <v>0.26923076923076927</v>
      </c>
      <c r="M177" s="95">
        <f>prodnorm65</f>
        <v>0</v>
      </c>
      <c r="N177" s="92" t="s">
        <v>101</v>
      </c>
      <c r="O177" s="26">
        <f>uurtarief65</f>
        <v>0</v>
      </c>
      <c r="P177" s="94" t="e">
        <f>IF(ISBLANK(M177),0,L177/ROUND(M177,4))</f>
        <v>#DIV/0!</v>
      </c>
      <c r="Q177" s="26" t="e">
        <f>ROUND(O177,2)*P177</f>
        <v>#DIV/0!</v>
      </c>
      <c r="R177" s="94" t="e">
        <f>P177*dagenperjaar1</f>
        <v>#DIV/0!</v>
      </c>
      <c r="S177" s="27" t="e">
        <f>R177*ROUND(O177,2)</f>
        <v>#DIV/0!</v>
      </c>
    </row>
    <row r="178" spans="1:19" x14ac:dyDescent="0.2">
      <c r="A178" s="97" t="s">
        <v>781</v>
      </c>
      <c r="B178" s="98" t="s">
        <v>842</v>
      </c>
      <c r="C178" s="98" t="s">
        <v>443</v>
      </c>
      <c r="D178" s="98" t="s">
        <v>867</v>
      </c>
      <c r="E178" s="99" t="s">
        <v>868</v>
      </c>
      <c r="F178" s="98" t="s">
        <v>342</v>
      </c>
      <c r="G178" s="98" t="s">
        <v>289</v>
      </c>
      <c r="H178" s="98" t="s">
        <v>18</v>
      </c>
      <c r="I178" s="98" t="s">
        <v>230</v>
      </c>
      <c r="J178" s="99" t="s">
        <v>255</v>
      </c>
      <c r="K178" s="100">
        <v>14</v>
      </c>
      <c r="L178" s="100">
        <f>K178*VLOOKUP(H178,dagsoorttabel1,2,FALSE)</f>
        <v>0.26923076923076927</v>
      </c>
      <c r="M178" s="101">
        <f>prodnorm66</f>
        <v>0</v>
      </c>
      <c r="N178" s="98" t="s">
        <v>101</v>
      </c>
      <c r="O178" s="36">
        <f>uurtarief66</f>
        <v>0</v>
      </c>
      <c r="P178" s="100" t="e">
        <f>IF(ISBLANK(M178),0,L178/ROUND(M178,4))</f>
        <v>#DIV/0!</v>
      </c>
      <c r="Q178" s="36" t="e">
        <f>ROUND(O178,2)*P178</f>
        <v>#DIV/0!</v>
      </c>
      <c r="R178" s="100" t="e">
        <f>P178*dagenperjaar1</f>
        <v>#DIV/0!</v>
      </c>
      <c r="S178" s="37" t="e">
        <f>R178*ROUND(O178,2)</f>
        <v>#DIV/0!</v>
      </c>
    </row>
    <row r="179" spans="1:19" x14ac:dyDescent="0.2">
      <c r="A179" s="103" t="s">
        <v>947</v>
      </c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6" t="e">
        <f>IF(_xlfn.SINGLE(object3_urenjaar2)&gt;0,_xlfn.SINGLE(object3_prijsjaar2)/_xlfn.SINGLE(object3_urenjaar2),0)</f>
        <v>#DIV/0!</v>
      </c>
      <c r="P179" s="75" t="e">
        <f>SUM(P130:P178)</f>
        <v>#DIV/0!</v>
      </c>
      <c r="Q179" s="76" t="e">
        <f>SUM(Q130:Q178)</f>
        <v>#DIV/0!</v>
      </c>
      <c r="R179" s="75" t="e">
        <f>SUM(R130:R178)</f>
        <v>#DIV/0!</v>
      </c>
      <c r="S179" s="77" t="e">
        <f>SUM(S130:S178)</f>
        <v>#DIV/0!</v>
      </c>
    </row>
    <row r="180" spans="1:19" x14ac:dyDescent="0.2">
      <c r="A180" s="82" t="s">
        <v>871</v>
      </c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72"/>
    </row>
    <row r="181" spans="1:19" x14ac:dyDescent="0.2">
      <c r="A181" s="83" t="s">
        <v>872</v>
      </c>
      <c r="B181" s="84" t="s">
        <v>873</v>
      </c>
      <c r="C181" s="84" t="s">
        <v>335</v>
      </c>
      <c r="D181" s="84" t="s">
        <v>885</v>
      </c>
      <c r="E181" s="85" t="s">
        <v>635</v>
      </c>
      <c r="F181" s="84" t="s">
        <v>349</v>
      </c>
      <c r="G181" s="84" t="s">
        <v>288</v>
      </c>
      <c r="H181" s="84" t="s">
        <v>18</v>
      </c>
      <c r="I181" s="84" t="s">
        <v>230</v>
      </c>
      <c r="J181" s="85" t="s">
        <v>253</v>
      </c>
      <c r="K181" s="86">
        <v>1.2</v>
      </c>
      <c r="L181" s="86">
        <f>K181*VLOOKUP(H181,dagsoorttabel1,2,FALSE)</f>
        <v>2.3076923076923078E-2</v>
      </c>
      <c r="M181" s="87">
        <f>prodnorm65</f>
        <v>0</v>
      </c>
      <c r="N181" s="84" t="s">
        <v>101</v>
      </c>
      <c r="O181" s="88">
        <f>uurtarief65</f>
        <v>0</v>
      </c>
      <c r="P181" s="86" t="e">
        <f>IF(ISBLANK(M181),0,L181/ROUND(M181,4))</f>
        <v>#DIV/0!</v>
      </c>
      <c r="Q181" s="88" t="e">
        <f>ROUND(O181,2)*P181</f>
        <v>#DIV/0!</v>
      </c>
      <c r="R181" s="86" t="e">
        <f>P181*dagenperjaar1</f>
        <v>#DIV/0!</v>
      </c>
      <c r="S181" s="90" t="e">
        <f>R181*ROUND(O181,2)</f>
        <v>#DIV/0!</v>
      </c>
    </row>
    <row r="182" spans="1:19" x14ac:dyDescent="0.2">
      <c r="A182" s="91" t="s">
        <v>872</v>
      </c>
      <c r="B182" s="92" t="s">
        <v>873</v>
      </c>
      <c r="C182" s="92" t="s">
        <v>335</v>
      </c>
      <c r="D182" s="92" t="s">
        <v>885</v>
      </c>
      <c r="E182" s="93" t="s">
        <v>635</v>
      </c>
      <c r="F182" s="92" t="s">
        <v>349</v>
      </c>
      <c r="G182" s="92" t="s">
        <v>289</v>
      </c>
      <c r="H182" s="92" t="s">
        <v>18</v>
      </c>
      <c r="I182" s="92" t="s">
        <v>230</v>
      </c>
      <c r="J182" s="93" t="s">
        <v>255</v>
      </c>
      <c r="K182" s="94">
        <v>1.2</v>
      </c>
      <c r="L182" s="94">
        <f>K182*VLOOKUP(H182,dagsoorttabel1,2,FALSE)</f>
        <v>2.3076923076923078E-2</v>
      </c>
      <c r="M182" s="95">
        <f>prodnorm66</f>
        <v>0</v>
      </c>
      <c r="N182" s="92" t="s">
        <v>101</v>
      </c>
      <c r="O182" s="26">
        <f>uurtarief66</f>
        <v>0</v>
      </c>
      <c r="P182" s="94" t="e">
        <f>IF(ISBLANK(M182),0,L182/ROUND(M182,4))</f>
        <v>#DIV/0!</v>
      </c>
      <c r="Q182" s="26" t="e">
        <f>ROUND(O182,2)*P182</f>
        <v>#DIV/0!</v>
      </c>
      <c r="R182" s="94" t="e">
        <f>P182*dagenperjaar1</f>
        <v>#DIV/0!</v>
      </c>
      <c r="S182" s="27" t="e">
        <f>R182*ROUND(O182,2)</f>
        <v>#DIV/0!</v>
      </c>
    </row>
    <row r="183" spans="1:19" x14ac:dyDescent="0.2">
      <c r="A183" s="91" t="s">
        <v>872</v>
      </c>
      <c r="B183" s="92" t="s">
        <v>873</v>
      </c>
      <c r="C183" s="92" t="s">
        <v>335</v>
      </c>
      <c r="D183" s="92" t="s">
        <v>886</v>
      </c>
      <c r="E183" s="93" t="s">
        <v>635</v>
      </c>
      <c r="F183" s="92" t="s">
        <v>349</v>
      </c>
      <c r="G183" s="92" t="s">
        <v>288</v>
      </c>
      <c r="H183" s="92" t="s">
        <v>18</v>
      </c>
      <c r="I183" s="92" t="s">
        <v>230</v>
      </c>
      <c r="J183" s="93" t="s">
        <v>253</v>
      </c>
      <c r="K183" s="94">
        <v>1.1000000000000001</v>
      </c>
      <c r="L183" s="94">
        <f>K183*VLOOKUP(H183,dagsoorttabel1,2,FALSE)</f>
        <v>2.1153846153846155E-2</v>
      </c>
      <c r="M183" s="95">
        <f>prodnorm65</f>
        <v>0</v>
      </c>
      <c r="N183" s="92" t="s">
        <v>101</v>
      </c>
      <c r="O183" s="26">
        <f>uurtarief65</f>
        <v>0</v>
      </c>
      <c r="P183" s="94" t="e">
        <f>IF(ISBLANK(M183),0,L183/ROUND(M183,4))</f>
        <v>#DIV/0!</v>
      </c>
      <c r="Q183" s="26" t="e">
        <f>ROUND(O183,2)*P183</f>
        <v>#DIV/0!</v>
      </c>
      <c r="R183" s="94" t="e">
        <f>P183*dagenperjaar1</f>
        <v>#DIV/0!</v>
      </c>
      <c r="S183" s="27" t="e">
        <f>R183*ROUND(O183,2)</f>
        <v>#DIV/0!</v>
      </c>
    </row>
    <row r="184" spans="1:19" x14ac:dyDescent="0.2">
      <c r="A184" s="91" t="s">
        <v>872</v>
      </c>
      <c r="B184" s="92" t="s">
        <v>873</v>
      </c>
      <c r="C184" s="92" t="s">
        <v>335</v>
      </c>
      <c r="D184" s="92" t="s">
        <v>886</v>
      </c>
      <c r="E184" s="93" t="s">
        <v>635</v>
      </c>
      <c r="F184" s="92" t="s">
        <v>349</v>
      </c>
      <c r="G184" s="92" t="s">
        <v>289</v>
      </c>
      <c r="H184" s="92" t="s">
        <v>18</v>
      </c>
      <c r="I184" s="92" t="s">
        <v>230</v>
      </c>
      <c r="J184" s="93" t="s">
        <v>255</v>
      </c>
      <c r="K184" s="94">
        <v>1.1000000000000001</v>
      </c>
      <c r="L184" s="94">
        <f>K184*VLOOKUP(H184,dagsoorttabel1,2,FALSE)</f>
        <v>2.1153846153846155E-2</v>
      </c>
      <c r="M184" s="95">
        <f>prodnorm66</f>
        <v>0</v>
      </c>
      <c r="N184" s="92" t="s">
        <v>101</v>
      </c>
      <c r="O184" s="26">
        <f>uurtarief66</f>
        <v>0</v>
      </c>
      <c r="P184" s="94" t="e">
        <f>IF(ISBLANK(M184),0,L184/ROUND(M184,4))</f>
        <v>#DIV/0!</v>
      </c>
      <c r="Q184" s="26" t="e">
        <f>ROUND(O184,2)*P184</f>
        <v>#DIV/0!</v>
      </c>
      <c r="R184" s="94" t="e">
        <f>P184*dagenperjaar1</f>
        <v>#DIV/0!</v>
      </c>
      <c r="S184" s="27" t="e">
        <f>R184*ROUND(O184,2)</f>
        <v>#DIV/0!</v>
      </c>
    </row>
    <row r="185" spans="1:19" x14ac:dyDescent="0.2">
      <c r="A185" s="91" t="s">
        <v>872</v>
      </c>
      <c r="B185" s="92" t="s">
        <v>873</v>
      </c>
      <c r="C185" s="92" t="s">
        <v>335</v>
      </c>
      <c r="D185" s="92" t="s">
        <v>887</v>
      </c>
      <c r="E185" s="93" t="s">
        <v>560</v>
      </c>
      <c r="F185" s="92" t="s">
        <v>349</v>
      </c>
      <c r="G185" s="92" t="s">
        <v>288</v>
      </c>
      <c r="H185" s="92" t="s">
        <v>18</v>
      </c>
      <c r="I185" s="92" t="s">
        <v>230</v>
      </c>
      <c r="J185" s="93" t="s">
        <v>253</v>
      </c>
      <c r="K185" s="94">
        <v>4.4000000000000004</v>
      </c>
      <c r="L185" s="94">
        <f>K185*VLOOKUP(H185,dagsoorttabel1,2,FALSE)</f>
        <v>8.461538461538462E-2</v>
      </c>
      <c r="M185" s="95">
        <f>prodnorm65</f>
        <v>0</v>
      </c>
      <c r="N185" s="92" t="s">
        <v>101</v>
      </c>
      <c r="O185" s="26">
        <f>uurtarief65</f>
        <v>0</v>
      </c>
      <c r="P185" s="94" t="e">
        <f>IF(ISBLANK(M185),0,L185/ROUND(M185,4))</f>
        <v>#DIV/0!</v>
      </c>
      <c r="Q185" s="26" t="e">
        <f>ROUND(O185,2)*P185</f>
        <v>#DIV/0!</v>
      </c>
      <c r="R185" s="94" t="e">
        <f>P185*dagenperjaar1</f>
        <v>#DIV/0!</v>
      </c>
      <c r="S185" s="27" t="e">
        <f>R185*ROUND(O185,2)</f>
        <v>#DIV/0!</v>
      </c>
    </row>
    <row r="186" spans="1:19" x14ac:dyDescent="0.2">
      <c r="A186" s="91" t="s">
        <v>872</v>
      </c>
      <c r="B186" s="92" t="s">
        <v>873</v>
      </c>
      <c r="C186" s="92" t="s">
        <v>335</v>
      </c>
      <c r="D186" s="92" t="s">
        <v>887</v>
      </c>
      <c r="E186" s="93" t="s">
        <v>560</v>
      </c>
      <c r="F186" s="92" t="s">
        <v>349</v>
      </c>
      <c r="G186" s="92" t="s">
        <v>289</v>
      </c>
      <c r="H186" s="92" t="s">
        <v>18</v>
      </c>
      <c r="I186" s="92" t="s">
        <v>230</v>
      </c>
      <c r="J186" s="93" t="s">
        <v>255</v>
      </c>
      <c r="K186" s="94">
        <v>4.4000000000000004</v>
      </c>
      <c r="L186" s="94">
        <f>K186*VLOOKUP(H186,dagsoorttabel1,2,FALSE)</f>
        <v>8.461538461538462E-2</v>
      </c>
      <c r="M186" s="95">
        <f>prodnorm66</f>
        <v>0</v>
      </c>
      <c r="N186" s="92" t="s">
        <v>101</v>
      </c>
      <c r="O186" s="26">
        <f>uurtarief66</f>
        <v>0</v>
      </c>
      <c r="P186" s="94" t="e">
        <f>IF(ISBLANK(M186),0,L186/ROUND(M186,4))</f>
        <v>#DIV/0!</v>
      </c>
      <c r="Q186" s="26" t="e">
        <f>ROUND(O186,2)*P186</f>
        <v>#DIV/0!</v>
      </c>
      <c r="R186" s="94" t="e">
        <f>P186*dagenperjaar1</f>
        <v>#DIV/0!</v>
      </c>
      <c r="S186" s="27" t="e">
        <f>R186*ROUND(O186,2)</f>
        <v>#DIV/0!</v>
      </c>
    </row>
    <row r="187" spans="1:19" x14ac:dyDescent="0.2">
      <c r="A187" s="91" t="s">
        <v>872</v>
      </c>
      <c r="B187" s="92" t="s">
        <v>873</v>
      </c>
      <c r="C187" s="92" t="s">
        <v>335</v>
      </c>
      <c r="D187" s="92" t="s">
        <v>888</v>
      </c>
      <c r="E187" s="93" t="s">
        <v>727</v>
      </c>
      <c r="F187" s="92" t="s">
        <v>349</v>
      </c>
      <c r="G187" s="92" t="s">
        <v>288</v>
      </c>
      <c r="H187" s="92" t="s">
        <v>18</v>
      </c>
      <c r="I187" s="92" t="s">
        <v>230</v>
      </c>
      <c r="J187" s="93" t="s">
        <v>253</v>
      </c>
      <c r="K187" s="94">
        <v>1.2</v>
      </c>
      <c r="L187" s="94">
        <f>K187*VLOOKUP(H187,dagsoorttabel1,2,FALSE)</f>
        <v>2.3076923076923078E-2</v>
      </c>
      <c r="M187" s="95">
        <f>prodnorm65</f>
        <v>0</v>
      </c>
      <c r="N187" s="92" t="s">
        <v>101</v>
      </c>
      <c r="O187" s="26">
        <f>uurtarief65</f>
        <v>0</v>
      </c>
      <c r="P187" s="94" t="e">
        <f>IF(ISBLANK(M187),0,L187/ROUND(M187,4))</f>
        <v>#DIV/0!</v>
      </c>
      <c r="Q187" s="26" t="e">
        <f>ROUND(O187,2)*P187</f>
        <v>#DIV/0!</v>
      </c>
      <c r="R187" s="94" t="e">
        <f>P187*dagenperjaar1</f>
        <v>#DIV/0!</v>
      </c>
      <c r="S187" s="27" t="e">
        <f>R187*ROUND(O187,2)</f>
        <v>#DIV/0!</v>
      </c>
    </row>
    <row r="188" spans="1:19" x14ac:dyDescent="0.2">
      <c r="A188" s="91" t="s">
        <v>872</v>
      </c>
      <c r="B188" s="92" t="s">
        <v>873</v>
      </c>
      <c r="C188" s="92" t="s">
        <v>335</v>
      </c>
      <c r="D188" s="92" t="s">
        <v>888</v>
      </c>
      <c r="E188" s="93" t="s">
        <v>727</v>
      </c>
      <c r="F188" s="92" t="s">
        <v>349</v>
      </c>
      <c r="G188" s="92" t="s">
        <v>289</v>
      </c>
      <c r="H188" s="92" t="s">
        <v>18</v>
      </c>
      <c r="I188" s="92" t="s">
        <v>230</v>
      </c>
      <c r="J188" s="93" t="s">
        <v>255</v>
      </c>
      <c r="K188" s="94">
        <v>1.2</v>
      </c>
      <c r="L188" s="94">
        <f>K188*VLOOKUP(H188,dagsoorttabel1,2,FALSE)</f>
        <v>2.3076923076923078E-2</v>
      </c>
      <c r="M188" s="95">
        <f>prodnorm66</f>
        <v>0</v>
      </c>
      <c r="N188" s="92" t="s">
        <v>101</v>
      </c>
      <c r="O188" s="26">
        <f>uurtarief66</f>
        <v>0</v>
      </c>
      <c r="P188" s="94" t="e">
        <f>IF(ISBLANK(M188),0,L188/ROUND(M188,4))</f>
        <v>#DIV/0!</v>
      </c>
      <c r="Q188" s="26" t="e">
        <f>ROUND(O188,2)*P188</f>
        <v>#DIV/0!</v>
      </c>
      <c r="R188" s="94" t="e">
        <f>P188*dagenperjaar1</f>
        <v>#DIV/0!</v>
      </c>
      <c r="S188" s="27" t="e">
        <f>R188*ROUND(O188,2)</f>
        <v>#DIV/0!</v>
      </c>
    </row>
    <row r="189" spans="1:19" x14ac:dyDescent="0.2">
      <c r="A189" s="91" t="s">
        <v>872</v>
      </c>
      <c r="B189" s="92" t="s">
        <v>873</v>
      </c>
      <c r="C189" s="92" t="s">
        <v>335</v>
      </c>
      <c r="D189" s="92" t="s">
        <v>889</v>
      </c>
      <c r="E189" s="93" t="s">
        <v>727</v>
      </c>
      <c r="F189" s="92" t="s">
        <v>349</v>
      </c>
      <c r="G189" s="92" t="s">
        <v>288</v>
      </c>
      <c r="H189" s="92" t="s">
        <v>18</v>
      </c>
      <c r="I189" s="92" t="s">
        <v>230</v>
      </c>
      <c r="J189" s="93" t="s">
        <v>253</v>
      </c>
      <c r="K189" s="94">
        <v>1.2</v>
      </c>
      <c r="L189" s="94">
        <f>K189*VLOOKUP(H189,dagsoorttabel1,2,FALSE)</f>
        <v>2.3076923076923078E-2</v>
      </c>
      <c r="M189" s="95">
        <f>prodnorm65</f>
        <v>0</v>
      </c>
      <c r="N189" s="92" t="s">
        <v>101</v>
      </c>
      <c r="O189" s="26">
        <f>uurtarief65</f>
        <v>0</v>
      </c>
      <c r="P189" s="94" t="e">
        <f>IF(ISBLANK(M189),0,L189/ROUND(M189,4))</f>
        <v>#DIV/0!</v>
      </c>
      <c r="Q189" s="26" t="e">
        <f>ROUND(O189,2)*P189</f>
        <v>#DIV/0!</v>
      </c>
      <c r="R189" s="94" t="e">
        <f>P189*dagenperjaar1</f>
        <v>#DIV/0!</v>
      </c>
      <c r="S189" s="27" t="e">
        <f>R189*ROUND(O189,2)</f>
        <v>#DIV/0!</v>
      </c>
    </row>
    <row r="190" spans="1:19" x14ac:dyDescent="0.2">
      <c r="A190" s="91" t="s">
        <v>872</v>
      </c>
      <c r="B190" s="92" t="s">
        <v>873</v>
      </c>
      <c r="C190" s="92" t="s">
        <v>335</v>
      </c>
      <c r="D190" s="92" t="s">
        <v>889</v>
      </c>
      <c r="E190" s="93" t="s">
        <v>727</v>
      </c>
      <c r="F190" s="92" t="s">
        <v>349</v>
      </c>
      <c r="G190" s="92" t="s">
        <v>289</v>
      </c>
      <c r="H190" s="92" t="s">
        <v>18</v>
      </c>
      <c r="I190" s="92" t="s">
        <v>230</v>
      </c>
      <c r="J190" s="93" t="s">
        <v>255</v>
      </c>
      <c r="K190" s="94">
        <v>1.2</v>
      </c>
      <c r="L190" s="94">
        <f>K190*VLOOKUP(H190,dagsoorttabel1,2,FALSE)</f>
        <v>2.3076923076923078E-2</v>
      </c>
      <c r="M190" s="95">
        <f>prodnorm66</f>
        <v>0</v>
      </c>
      <c r="N190" s="92" t="s">
        <v>101</v>
      </c>
      <c r="O190" s="26">
        <f>uurtarief66</f>
        <v>0</v>
      </c>
      <c r="P190" s="94" t="e">
        <f>IF(ISBLANK(M190),0,L190/ROUND(M190,4))</f>
        <v>#DIV/0!</v>
      </c>
      <c r="Q190" s="26" t="e">
        <f>ROUND(O190,2)*P190</f>
        <v>#DIV/0!</v>
      </c>
      <c r="R190" s="94" t="e">
        <f>P190*dagenperjaar1</f>
        <v>#DIV/0!</v>
      </c>
      <c r="S190" s="27" t="e">
        <f>R190*ROUND(O190,2)</f>
        <v>#DIV/0!</v>
      </c>
    </row>
    <row r="191" spans="1:19" x14ac:dyDescent="0.2">
      <c r="A191" s="91" t="s">
        <v>872</v>
      </c>
      <c r="B191" s="92" t="s">
        <v>873</v>
      </c>
      <c r="C191" s="92" t="s">
        <v>335</v>
      </c>
      <c r="D191" s="92" t="s">
        <v>890</v>
      </c>
      <c r="E191" s="93" t="s">
        <v>891</v>
      </c>
      <c r="F191" s="92" t="s">
        <v>349</v>
      </c>
      <c r="G191" s="92" t="s">
        <v>288</v>
      </c>
      <c r="H191" s="92" t="s">
        <v>18</v>
      </c>
      <c r="I191" s="92" t="s">
        <v>230</v>
      </c>
      <c r="J191" s="93" t="s">
        <v>253</v>
      </c>
      <c r="K191" s="94">
        <v>5.4</v>
      </c>
      <c r="L191" s="94">
        <f>K191*VLOOKUP(H191,dagsoorttabel1,2,FALSE)</f>
        <v>0.10384615384615385</v>
      </c>
      <c r="M191" s="95">
        <f>prodnorm65</f>
        <v>0</v>
      </c>
      <c r="N191" s="92" t="s">
        <v>101</v>
      </c>
      <c r="O191" s="26">
        <f>uurtarief65</f>
        <v>0</v>
      </c>
      <c r="P191" s="94" t="e">
        <f>IF(ISBLANK(M191),0,L191/ROUND(M191,4))</f>
        <v>#DIV/0!</v>
      </c>
      <c r="Q191" s="26" t="e">
        <f>ROUND(O191,2)*P191</f>
        <v>#DIV/0!</v>
      </c>
      <c r="R191" s="94" t="e">
        <f>P191*dagenperjaar1</f>
        <v>#DIV/0!</v>
      </c>
      <c r="S191" s="27" t="e">
        <f>R191*ROUND(O191,2)</f>
        <v>#DIV/0!</v>
      </c>
    </row>
    <row r="192" spans="1:19" x14ac:dyDescent="0.2">
      <c r="A192" s="91" t="s">
        <v>872</v>
      </c>
      <c r="B192" s="92" t="s">
        <v>873</v>
      </c>
      <c r="C192" s="92" t="s">
        <v>335</v>
      </c>
      <c r="D192" s="92" t="s">
        <v>890</v>
      </c>
      <c r="E192" s="93" t="s">
        <v>891</v>
      </c>
      <c r="F192" s="92" t="s">
        <v>349</v>
      </c>
      <c r="G192" s="92" t="s">
        <v>289</v>
      </c>
      <c r="H192" s="92" t="s">
        <v>18</v>
      </c>
      <c r="I192" s="92" t="s">
        <v>230</v>
      </c>
      <c r="J192" s="93" t="s">
        <v>255</v>
      </c>
      <c r="K192" s="94">
        <v>5.4</v>
      </c>
      <c r="L192" s="94">
        <f>K192*VLOOKUP(H192,dagsoorttabel1,2,FALSE)</f>
        <v>0.10384615384615385</v>
      </c>
      <c r="M192" s="95">
        <f>prodnorm66</f>
        <v>0</v>
      </c>
      <c r="N192" s="92" t="s">
        <v>101</v>
      </c>
      <c r="O192" s="26">
        <f>uurtarief66</f>
        <v>0</v>
      </c>
      <c r="P192" s="94" t="e">
        <f>IF(ISBLANK(M192),0,L192/ROUND(M192,4))</f>
        <v>#DIV/0!</v>
      </c>
      <c r="Q192" s="26" t="e">
        <f>ROUND(O192,2)*P192</f>
        <v>#DIV/0!</v>
      </c>
      <c r="R192" s="94" t="e">
        <f>P192*dagenperjaar1</f>
        <v>#DIV/0!</v>
      </c>
      <c r="S192" s="27" t="e">
        <f>R192*ROUND(O192,2)</f>
        <v>#DIV/0!</v>
      </c>
    </row>
    <row r="193" spans="1:19" x14ac:dyDescent="0.2">
      <c r="A193" s="91" t="s">
        <v>872</v>
      </c>
      <c r="B193" s="92" t="s">
        <v>873</v>
      </c>
      <c r="C193" s="92" t="s">
        <v>335</v>
      </c>
      <c r="D193" s="92" t="s">
        <v>896</v>
      </c>
      <c r="E193" s="93" t="s">
        <v>494</v>
      </c>
      <c r="F193" s="92" t="s">
        <v>458</v>
      </c>
      <c r="G193" s="92" t="s">
        <v>293</v>
      </c>
      <c r="H193" s="92" t="s">
        <v>18</v>
      </c>
      <c r="I193" s="92" t="s">
        <v>230</v>
      </c>
      <c r="J193" s="93" t="s">
        <v>265</v>
      </c>
      <c r="K193" s="94">
        <v>30</v>
      </c>
      <c r="L193" s="94">
        <f>K193*VLOOKUP(H193,dagsoorttabel1,2,FALSE)</f>
        <v>0.57692307692307698</v>
      </c>
      <c r="M193" s="95">
        <f>prodnorm70</f>
        <v>0</v>
      </c>
      <c r="N193" s="92" t="s">
        <v>101</v>
      </c>
      <c r="O193" s="26">
        <f>uurtarief70</f>
        <v>0</v>
      </c>
      <c r="P193" s="94" t="e">
        <f>IF(ISBLANK(M193),0,L193/ROUND(M193,4))</f>
        <v>#DIV/0!</v>
      </c>
      <c r="Q193" s="26" t="e">
        <f>ROUND(O193,2)*P193</f>
        <v>#DIV/0!</v>
      </c>
      <c r="R193" s="94" t="e">
        <f>P193*dagenperjaar1</f>
        <v>#DIV/0!</v>
      </c>
      <c r="S193" s="27" t="e">
        <f>R193*ROUND(O193,2)</f>
        <v>#DIV/0!</v>
      </c>
    </row>
    <row r="194" spans="1:19" x14ac:dyDescent="0.2">
      <c r="A194" s="91" t="s">
        <v>872</v>
      </c>
      <c r="B194" s="92" t="s">
        <v>873</v>
      </c>
      <c r="C194" s="92" t="s">
        <v>335</v>
      </c>
      <c r="D194" s="92" t="s">
        <v>897</v>
      </c>
      <c r="E194" s="93" t="s">
        <v>898</v>
      </c>
      <c r="F194" s="92" t="s">
        <v>899</v>
      </c>
      <c r="G194" s="92" t="s">
        <v>294</v>
      </c>
      <c r="H194" s="92" t="s">
        <v>18</v>
      </c>
      <c r="I194" s="92" t="s">
        <v>230</v>
      </c>
      <c r="J194" s="93" t="s">
        <v>267</v>
      </c>
      <c r="K194" s="94">
        <v>30</v>
      </c>
      <c r="L194" s="94">
        <f>K194*VLOOKUP(H194,dagsoorttabel1,2,FALSE)</f>
        <v>0.57692307692307698</v>
      </c>
      <c r="M194" s="95">
        <f>prodnorm71</f>
        <v>0</v>
      </c>
      <c r="N194" s="92" t="s">
        <v>101</v>
      </c>
      <c r="O194" s="26">
        <f>uurtarief71</f>
        <v>0</v>
      </c>
      <c r="P194" s="94" t="e">
        <f>IF(ISBLANK(M194),0,L194/ROUND(M194,4))</f>
        <v>#DIV/0!</v>
      </c>
      <c r="Q194" s="26" t="e">
        <f>ROUND(O194,2)*P194</f>
        <v>#DIV/0!</v>
      </c>
      <c r="R194" s="94" t="e">
        <f>P194*dagenperjaar1</f>
        <v>#DIV/0!</v>
      </c>
      <c r="S194" s="27" t="e">
        <f>R194*ROUND(O194,2)</f>
        <v>#DIV/0!</v>
      </c>
    </row>
    <row r="195" spans="1:19" ht="25.5" x14ac:dyDescent="0.2">
      <c r="A195" s="91" t="s">
        <v>872</v>
      </c>
      <c r="B195" s="92" t="s">
        <v>873</v>
      </c>
      <c r="C195" s="92" t="s">
        <v>335</v>
      </c>
      <c r="D195" s="92" t="s">
        <v>900</v>
      </c>
      <c r="E195" s="93" t="s">
        <v>901</v>
      </c>
      <c r="F195" s="92" t="s">
        <v>349</v>
      </c>
      <c r="G195" s="92" t="s">
        <v>290</v>
      </c>
      <c r="H195" s="92" t="s">
        <v>18</v>
      </c>
      <c r="I195" s="92" t="s">
        <v>230</v>
      </c>
      <c r="J195" s="93" t="s">
        <v>257</v>
      </c>
      <c r="K195" s="94">
        <v>10</v>
      </c>
      <c r="L195" s="94">
        <f>K195*VLOOKUP(H195,dagsoorttabel1,2,FALSE)</f>
        <v>0.19230769230769232</v>
      </c>
      <c r="M195" s="95">
        <f>prodnorm67</f>
        <v>0</v>
      </c>
      <c r="N195" s="92" t="s">
        <v>101</v>
      </c>
      <c r="O195" s="26">
        <f>uurtarief67</f>
        <v>0</v>
      </c>
      <c r="P195" s="94" t="e">
        <f>IF(ISBLANK(M195),0,L195/ROUND(M195,4))</f>
        <v>#DIV/0!</v>
      </c>
      <c r="Q195" s="26" t="e">
        <f>ROUND(O195,2)*P195</f>
        <v>#DIV/0!</v>
      </c>
      <c r="R195" s="94" t="e">
        <f>P195*dagenperjaar1</f>
        <v>#DIV/0!</v>
      </c>
      <c r="S195" s="27" t="e">
        <f>R195*ROUND(O195,2)</f>
        <v>#DIV/0!</v>
      </c>
    </row>
    <row r="196" spans="1:19" x14ac:dyDescent="0.2">
      <c r="A196" s="91" t="s">
        <v>872</v>
      </c>
      <c r="B196" s="92" t="s">
        <v>873</v>
      </c>
      <c r="C196" s="92" t="s">
        <v>335</v>
      </c>
      <c r="D196" s="92" t="s">
        <v>902</v>
      </c>
      <c r="E196" s="93" t="s">
        <v>903</v>
      </c>
      <c r="F196" s="92" t="s">
        <v>349</v>
      </c>
      <c r="G196" s="92" t="s">
        <v>288</v>
      </c>
      <c r="H196" s="92" t="s">
        <v>18</v>
      </c>
      <c r="I196" s="92" t="s">
        <v>230</v>
      </c>
      <c r="J196" s="93" t="s">
        <v>253</v>
      </c>
      <c r="K196" s="94">
        <v>1</v>
      </c>
      <c r="L196" s="94">
        <f>K196*VLOOKUP(H196,dagsoorttabel1,2,FALSE)</f>
        <v>1.9230769230769232E-2</v>
      </c>
      <c r="M196" s="95">
        <f>prodnorm65</f>
        <v>0</v>
      </c>
      <c r="N196" s="92" t="s">
        <v>101</v>
      </c>
      <c r="O196" s="26">
        <f>uurtarief65</f>
        <v>0</v>
      </c>
      <c r="P196" s="94" t="e">
        <f>IF(ISBLANK(M196),0,L196/ROUND(M196,4))</f>
        <v>#DIV/0!</v>
      </c>
      <c r="Q196" s="26" t="e">
        <f>ROUND(O196,2)*P196</f>
        <v>#DIV/0!</v>
      </c>
      <c r="R196" s="94" t="e">
        <f>P196*dagenperjaar1</f>
        <v>#DIV/0!</v>
      </c>
      <c r="S196" s="27" t="e">
        <f>R196*ROUND(O196,2)</f>
        <v>#DIV/0!</v>
      </c>
    </row>
    <row r="197" spans="1:19" x14ac:dyDescent="0.2">
      <c r="A197" s="91" t="s">
        <v>872</v>
      </c>
      <c r="B197" s="92" t="s">
        <v>873</v>
      </c>
      <c r="C197" s="92" t="s">
        <v>335</v>
      </c>
      <c r="D197" s="92" t="s">
        <v>902</v>
      </c>
      <c r="E197" s="93" t="s">
        <v>903</v>
      </c>
      <c r="F197" s="92" t="s">
        <v>349</v>
      </c>
      <c r="G197" s="92" t="s">
        <v>289</v>
      </c>
      <c r="H197" s="92" t="s">
        <v>18</v>
      </c>
      <c r="I197" s="92" t="s">
        <v>230</v>
      </c>
      <c r="J197" s="93" t="s">
        <v>255</v>
      </c>
      <c r="K197" s="94">
        <v>1</v>
      </c>
      <c r="L197" s="94">
        <f>K197*VLOOKUP(H197,dagsoorttabel1,2,FALSE)</f>
        <v>1.9230769230769232E-2</v>
      </c>
      <c r="M197" s="95">
        <f>prodnorm66</f>
        <v>0</v>
      </c>
      <c r="N197" s="92" t="s">
        <v>101</v>
      </c>
      <c r="O197" s="26">
        <f>uurtarief66</f>
        <v>0</v>
      </c>
      <c r="P197" s="94" t="e">
        <f>IF(ISBLANK(M197),0,L197/ROUND(M197,4))</f>
        <v>#DIV/0!</v>
      </c>
      <c r="Q197" s="26" t="e">
        <f>ROUND(O197,2)*P197</f>
        <v>#DIV/0!</v>
      </c>
      <c r="R197" s="94" t="e">
        <f>P197*dagenperjaar1</f>
        <v>#DIV/0!</v>
      </c>
      <c r="S197" s="27" t="e">
        <f>R197*ROUND(O197,2)</f>
        <v>#DIV/0!</v>
      </c>
    </row>
    <row r="198" spans="1:19" x14ac:dyDescent="0.2">
      <c r="A198" s="91" t="s">
        <v>872</v>
      </c>
      <c r="B198" s="92" t="s">
        <v>873</v>
      </c>
      <c r="C198" s="92" t="s">
        <v>335</v>
      </c>
      <c r="D198" s="92" t="s">
        <v>904</v>
      </c>
      <c r="E198" s="93" t="s">
        <v>903</v>
      </c>
      <c r="F198" s="92" t="s">
        <v>349</v>
      </c>
      <c r="G198" s="92" t="s">
        <v>288</v>
      </c>
      <c r="H198" s="92" t="s">
        <v>18</v>
      </c>
      <c r="I198" s="92" t="s">
        <v>230</v>
      </c>
      <c r="J198" s="93" t="s">
        <v>253</v>
      </c>
      <c r="K198" s="94">
        <v>1</v>
      </c>
      <c r="L198" s="94">
        <f>K198*VLOOKUP(H198,dagsoorttabel1,2,FALSE)</f>
        <v>1.9230769230769232E-2</v>
      </c>
      <c r="M198" s="95">
        <f>prodnorm65</f>
        <v>0</v>
      </c>
      <c r="N198" s="92" t="s">
        <v>101</v>
      </c>
      <c r="O198" s="26">
        <f>uurtarief65</f>
        <v>0</v>
      </c>
      <c r="P198" s="94" t="e">
        <f>IF(ISBLANK(M198),0,L198/ROUND(M198,4))</f>
        <v>#DIV/0!</v>
      </c>
      <c r="Q198" s="26" t="e">
        <f>ROUND(O198,2)*P198</f>
        <v>#DIV/0!</v>
      </c>
      <c r="R198" s="94" t="e">
        <f>P198*dagenperjaar1</f>
        <v>#DIV/0!</v>
      </c>
      <c r="S198" s="27" t="e">
        <f>R198*ROUND(O198,2)</f>
        <v>#DIV/0!</v>
      </c>
    </row>
    <row r="199" spans="1:19" x14ac:dyDescent="0.2">
      <c r="A199" s="91" t="s">
        <v>872</v>
      </c>
      <c r="B199" s="92" t="s">
        <v>873</v>
      </c>
      <c r="C199" s="92" t="s">
        <v>335</v>
      </c>
      <c r="D199" s="92" t="s">
        <v>904</v>
      </c>
      <c r="E199" s="93" t="s">
        <v>903</v>
      </c>
      <c r="F199" s="92" t="s">
        <v>349</v>
      </c>
      <c r="G199" s="92" t="s">
        <v>289</v>
      </c>
      <c r="H199" s="92" t="s">
        <v>18</v>
      </c>
      <c r="I199" s="92" t="s">
        <v>230</v>
      </c>
      <c r="J199" s="93" t="s">
        <v>255</v>
      </c>
      <c r="K199" s="94">
        <v>1</v>
      </c>
      <c r="L199" s="94">
        <f>K199*VLOOKUP(H199,dagsoorttabel1,2,FALSE)</f>
        <v>1.9230769230769232E-2</v>
      </c>
      <c r="M199" s="95">
        <f>prodnorm66</f>
        <v>0</v>
      </c>
      <c r="N199" s="92" t="s">
        <v>101</v>
      </c>
      <c r="O199" s="26">
        <f>uurtarief66</f>
        <v>0</v>
      </c>
      <c r="P199" s="94" t="e">
        <f>IF(ISBLANK(M199),0,L199/ROUND(M199,4))</f>
        <v>#DIV/0!</v>
      </c>
      <c r="Q199" s="26" t="e">
        <f>ROUND(O199,2)*P199</f>
        <v>#DIV/0!</v>
      </c>
      <c r="R199" s="94" t="e">
        <f>P199*dagenperjaar1</f>
        <v>#DIV/0!</v>
      </c>
      <c r="S199" s="27" t="e">
        <f>R199*ROUND(O199,2)</f>
        <v>#DIV/0!</v>
      </c>
    </row>
    <row r="200" spans="1:19" x14ac:dyDescent="0.2">
      <c r="A200" s="91" t="s">
        <v>872</v>
      </c>
      <c r="B200" s="92" t="s">
        <v>873</v>
      </c>
      <c r="C200" s="92" t="s">
        <v>393</v>
      </c>
      <c r="D200" s="92" t="s">
        <v>907</v>
      </c>
      <c r="E200" s="93" t="s">
        <v>898</v>
      </c>
      <c r="F200" s="92" t="s">
        <v>899</v>
      </c>
      <c r="G200" s="92" t="s">
        <v>294</v>
      </c>
      <c r="H200" s="92" t="s">
        <v>18</v>
      </c>
      <c r="I200" s="92" t="s">
        <v>230</v>
      </c>
      <c r="J200" s="93" t="s">
        <v>267</v>
      </c>
      <c r="K200" s="94">
        <v>21</v>
      </c>
      <c r="L200" s="94">
        <f>K200*VLOOKUP(H200,dagsoorttabel1,2,FALSE)</f>
        <v>0.40384615384615385</v>
      </c>
      <c r="M200" s="95">
        <f>prodnorm71</f>
        <v>0</v>
      </c>
      <c r="N200" s="92" t="s">
        <v>101</v>
      </c>
      <c r="O200" s="26">
        <f>uurtarief71</f>
        <v>0</v>
      </c>
      <c r="P200" s="94" t="e">
        <f>IF(ISBLANK(M200),0,L200/ROUND(M200,4))</f>
        <v>#DIV/0!</v>
      </c>
      <c r="Q200" s="26" t="e">
        <f>ROUND(O200,2)*P200</f>
        <v>#DIV/0!</v>
      </c>
      <c r="R200" s="94" t="e">
        <f>P200*dagenperjaar1</f>
        <v>#DIV/0!</v>
      </c>
      <c r="S200" s="27" t="e">
        <f>R200*ROUND(O200,2)</f>
        <v>#DIV/0!</v>
      </c>
    </row>
    <row r="201" spans="1:19" x14ac:dyDescent="0.2">
      <c r="A201" s="91" t="s">
        <v>872</v>
      </c>
      <c r="B201" s="92" t="s">
        <v>873</v>
      </c>
      <c r="C201" s="92" t="s">
        <v>393</v>
      </c>
      <c r="D201" s="92" t="s">
        <v>908</v>
      </c>
      <c r="E201" s="93" t="s">
        <v>477</v>
      </c>
      <c r="F201" s="92" t="s">
        <v>899</v>
      </c>
      <c r="G201" s="92" t="s">
        <v>294</v>
      </c>
      <c r="H201" s="92" t="s">
        <v>18</v>
      </c>
      <c r="I201" s="92" t="s">
        <v>230</v>
      </c>
      <c r="J201" s="93" t="s">
        <v>267</v>
      </c>
      <c r="K201" s="94">
        <v>18</v>
      </c>
      <c r="L201" s="94">
        <f>K201*VLOOKUP(H201,dagsoorttabel1,2,FALSE)</f>
        <v>0.34615384615384615</v>
      </c>
      <c r="M201" s="95">
        <f>prodnorm71</f>
        <v>0</v>
      </c>
      <c r="N201" s="92" t="s">
        <v>101</v>
      </c>
      <c r="O201" s="26">
        <f>uurtarief71</f>
        <v>0</v>
      </c>
      <c r="P201" s="94" t="e">
        <f>IF(ISBLANK(M201),0,L201/ROUND(M201,4))</f>
        <v>#DIV/0!</v>
      </c>
      <c r="Q201" s="26" t="e">
        <f>ROUND(O201,2)*P201</f>
        <v>#DIV/0!</v>
      </c>
      <c r="R201" s="94" t="e">
        <f>P201*dagenperjaar1</f>
        <v>#DIV/0!</v>
      </c>
      <c r="S201" s="27" t="e">
        <f>R201*ROUND(O201,2)</f>
        <v>#DIV/0!</v>
      </c>
    </row>
    <row r="202" spans="1:19" x14ac:dyDescent="0.2">
      <c r="A202" s="91" t="s">
        <v>872</v>
      </c>
      <c r="B202" s="92" t="s">
        <v>873</v>
      </c>
      <c r="C202" s="92" t="s">
        <v>393</v>
      </c>
      <c r="D202" s="92" t="s">
        <v>909</v>
      </c>
      <c r="E202" s="93" t="s">
        <v>656</v>
      </c>
      <c r="F202" s="92" t="s">
        <v>349</v>
      </c>
      <c r="G202" s="92" t="s">
        <v>290</v>
      </c>
      <c r="H202" s="92" t="s">
        <v>18</v>
      </c>
      <c r="I202" s="92" t="s">
        <v>230</v>
      </c>
      <c r="J202" s="93" t="s">
        <v>257</v>
      </c>
      <c r="K202" s="94">
        <v>10</v>
      </c>
      <c r="L202" s="94">
        <f>K202*VLOOKUP(H202,dagsoorttabel1,2,FALSE)</f>
        <v>0.19230769230769232</v>
      </c>
      <c r="M202" s="95">
        <f>prodnorm67</f>
        <v>0</v>
      </c>
      <c r="N202" s="92" t="s">
        <v>101</v>
      </c>
      <c r="O202" s="26">
        <f>uurtarief67</f>
        <v>0</v>
      </c>
      <c r="P202" s="94" t="e">
        <f>IF(ISBLANK(M202),0,L202/ROUND(M202,4))</f>
        <v>#DIV/0!</v>
      </c>
      <c r="Q202" s="26" t="e">
        <f>ROUND(O202,2)*P202</f>
        <v>#DIV/0!</v>
      </c>
      <c r="R202" s="94" t="e">
        <f>P202*dagenperjaar1</f>
        <v>#DIV/0!</v>
      </c>
      <c r="S202" s="27" t="e">
        <f>R202*ROUND(O202,2)</f>
        <v>#DIV/0!</v>
      </c>
    </row>
    <row r="203" spans="1:19" x14ac:dyDescent="0.2">
      <c r="A203" s="91" t="s">
        <v>872</v>
      </c>
      <c r="B203" s="92" t="s">
        <v>873</v>
      </c>
      <c r="C203" s="92" t="s">
        <v>393</v>
      </c>
      <c r="D203" s="92" t="s">
        <v>910</v>
      </c>
      <c r="E203" s="93" t="s">
        <v>911</v>
      </c>
      <c r="F203" s="92" t="s">
        <v>349</v>
      </c>
      <c r="G203" s="92" t="s">
        <v>281</v>
      </c>
      <c r="H203" s="92" t="s">
        <v>18</v>
      </c>
      <c r="I203" s="92" t="s">
        <v>230</v>
      </c>
      <c r="J203" s="93" t="s">
        <v>239</v>
      </c>
      <c r="K203" s="94">
        <v>133</v>
      </c>
      <c r="L203" s="94">
        <f>K203*VLOOKUP(H203,dagsoorttabel1,2,FALSE)</f>
        <v>2.5576923076923079</v>
      </c>
      <c r="M203" s="95">
        <f>prodnorm59</f>
        <v>0</v>
      </c>
      <c r="N203" s="92" t="s">
        <v>101</v>
      </c>
      <c r="O203" s="26">
        <f>uurtarief59</f>
        <v>0</v>
      </c>
      <c r="P203" s="94" t="e">
        <f>IF(ISBLANK(M203),0,L203/ROUND(M203,4))</f>
        <v>#DIV/0!</v>
      </c>
      <c r="Q203" s="26" t="e">
        <f>ROUND(O203,2)*P203</f>
        <v>#DIV/0!</v>
      </c>
      <c r="R203" s="94" t="e">
        <f>P203*dagenperjaar1</f>
        <v>#DIV/0!</v>
      </c>
      <c r="S203" s="27" t="e">
        <f>R203*ROUND(O203,2)</f>
        <v>#DIV/0!</v>
      </c>
    </row>
    <row r="204" spans="1:19" x14ac:dyDescent="0.2">
      <c r="A204" s="91" t="s">
        <v>872</v>
      </c>
      <c r="B204" s="92" t="s">
        <v>873</v>
      </c>
      <c r="C204" s="92" t="s">
        <v>419</v>
      </c>
      <c r="D204" s="92" t="s">
        <v>912</v>
      </c>
      <c r="E204" s="93" t="s">
        <v>477</v>
      </c>
      <c r="F204" s="92" t="s">
        <v>913</v>
      </c>
      <c r="G204" s="92" t="s">
        <v>294</v>
      </c>
      <c r="H204" s="92" t="s">
        <v>18</v>
      </c>
      <c r="I204" s="92" t="s">
        <v>230</v>
      </c>
      <c r="J204" s="93" t="s">
        <v>267</v>
      </c>
      <c r="K204" s="94">
        <v>31</v>
      </c>
      <c r="L204" s="94">
        <f>K204*VLOOKUP(H204,dagsoorttabel1,2,FALSE)</f>
        <v>0.59615384615384615</v>
      </c>
      <c r="M204" s="95">
        <f>prodnorm71</f>
        <v>0</v>
      </c>
      <c r="N204" s="92" t="s">
        <v>101</v>
      </c>
      <c r="O204" s="26">
        <f>uurtarief71</f>
        <v>0</v>
      </c>
      <c r="P204" s="94" t="e">
        <f>IF(ISBLANK(M204),0,L204/ROUND(M204,4))</f>
        <v>#DIV/0!</v>
      </c>
      <c r="Q204" s="26" t="e">
        <f>ROUND(O204,2)*P204</f>
        <v>#DIV/0!</v>
      </c>
      <c r="R204" s="94" t="e">
        <f>P204*dagenperjaar1</f>
        <v>#DIV/0!</v>
      </c>
      <c r="S204" s="27" t="e">
        <f>R204*ROUND(O204,2)</f>
        <v>#DIV/0!</v>
      </c>
    </row>
    <row r="205" spans="1:19" x14ac:dyDescent="0.2">
      <c r="A205" s="91" t="s">
        <v>872</v>
      </c>
      <c r="B205" s="92" t="s">
        <v>873</v>
      </c>
      <c r="C205" s="92" t="s">
        <v>419</v>
      </c>
      <c r="D205" s="92" t="s">
        <v>914</v>
      </c>
      <c r="E205" s="93" t="s">
        <v>477</v>
      </c>
      <c r="F205" s="92" t="s">
        <v>913</v>
      </c>
      <c r="G205" s="92" t="s">
        <v>294</v>
      </c>
      <c r="H205" s="92" t="s">
        <v>18</v>
      </c>
      <c r="I205" s="92" t="s">
        <v>230</v>
      </c>
      <c r="J205" s="93" t="s">
        <v>267</v>
      </c>
      <c r="K205" s="94">
        <v>32</v>
      </c>
      <c r="L205" s="94">
        <f>K205*VLOOKUP(H205,dagsoorttabel1,2,FALSE)</f>
        <v>0.61538461538461542</v>
      </c>
      <c r="M205" s="95">
        <f>prodnorm71</f>
        <v>0</v>
      </c>
      <c r="N205" s="92" t="s">
        <v>101</v>
      </c>
      <c r="O205" s="26">
        <f>uurtarief71</f>
        <v>0</v>
      </c>
      <c r="P205" s="94" t="e">
        <f>IF(ISBLANK(M205),0,L205/ROUND(M205,4))</f>
        <v>#DIV/0!</v>
      </c>
      <c r="Q205" s="26" t="e">
        <f>ROUND(O205,2)*P205</f>
        <v>#DIV/0!</v>
      </c>
      <c r="R205" s="94" t="e">
        <f>P205*dagenperjaar1</f>
        <v>#DIV/0!</v>
      </c>
      <c r="S205" s="27" t="e">
        <f>R205*ROUND(O205,2)</f>
        <v>#DIV/0!</v>
      </c>
    </row>
    <row r="206" spans="1:19" x14ac:dyDescent="0.2">
      <c r="A206" s="97" t="s">
        <v>872</v>
      </c>
      <c r="B206" s="98" t="s">
        <v>873</v>
      </c>
      <c r="C206" s="98" t="s">
        <v>443</v>
      </c>
      <c r="D206" s="98" t="s">
        <v>915</v>
      </c>
      <c r="E206" s="99" t="s">
        <v>477</v>
      </c>
      <c r="F206" s="98" t="s">
        <v>913</v>
      </c>
      <c r="G206" s="98" t="s">
        <v>294</v>
      </c>
      <c r="H206" s="98" t="s">
        <v>18</v>
      </c>
      <c r="I206" s="98" t="s">
        <v>230</v>
      </c>
      <c r="J206" s="99" t="s">
        <v>267</v>
      </c>
      <c r="K206" s="100">
        <v>31</v>
      </c>
      <c r="L206" s="100">
        <f>K206*VLOOKUP(H206,dagsoorttabel1,2,FALSE)</f>
        <v>0.59615384615384615</v>
      </c>
      <c r="M206" s="101">
        <f>prodnorm71</f>
        <v>0</v>
      </c>
      <c r="N206" s="98" t="s">
        <v>101</v>
      </c>
      <c r="O206" s="36">
        <f>uurtarief71</f>
        <v>0</v>
      </c>
      <c r="P206" s="100" t="e">
        <f>IF(ISBLANK(M206),0,L206/ROUND(M206,4))</f>
        <v>#DIV/0!</v>
      </c>
      <c r="Q206" s="36" t="e">
        <f>ROUND(O206,2)*P206</f>
        <v>#DIV/0!</v>
      </c>
      <c r="R206" s="100" t="e">
        <f>P206*dagenperjaar1</f>
        <v>#DIV/0!</v>
      </c>
      <c r="S206" s="37" t="e">
        <f>R206*ROUND(O206,2)</f>
        <v>#DIV/0!</v>
      </c>
    </row>
    <row r="207" spans="1:19" x14ac:dyDescent="0.2">
      <c r="A207" s="103" t="s">
        <v>947</v>
      </c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6" t="e">
        <f>IF(_xlfn.SINGLE(object4_urenjaar2)&gt;0,_xlfn.SINGLE(object4_prijsjaar2)/_xlfn.SINGLE(object4_urenjaar2),0)</f>
        <v>#DIV/0!</v>
      </c>
      <c r="P207" s="75" t="e">
        <f>SUM(P181:P206)</f>
        <v>#DIV/0!</v>
      </c>
      <c r="Q207" s="76" t="e">
        <f>SUM(Q181:Q206)</f>
        <v>#DIV/0!</v>
      </c>
      <c r="R207" s="75" t="e">
        <f>SUM(R181:R206)</f>
        <v>#DIV/0!</v>
      </c>
      <c r="S207" s="77" t="e">
        <f>SUM(S181:S206)</f>
        <v>#DIV/0!</v>
      </c>
    </row>
    <row r="208" spans="1:19" x14ac:dyDescent="0.2">
      <c r="A208" s="82" t="s">
        <v>933</v>
      </c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72"/>
    </row>
    <row r="209" spans="1:19" x14ac:dyDescent="0.2">
      <c r="A209" s="83" t="s">
        <v>934</v>
      </c>
      <c r="B209" s="84" t="s">
        <v>944</v>
      </c>
      <c r="C209" s="84" t="s">
        <v>393</v>
      </c>
      <c r="D209" s="84" t="s">
        <v>36</v>
      </c>
      <c r="E209" s="85" t="s">
        <v>945</v>
      </c>
      <c r="F209" s="84" t="s">
        <v>458</v>
      </c>
      <c r="G209" s="84" t="s">
        <v>278</v>
      </c>
      <c r="H209" s="84" t="s">
        <v>18</v>
      </c>
      <c r="I209" s="84" t="s">
        <v>230</v>
      </c>
      <c r="J209" s="85" t="s">
        <v>231</v>
      </c>
      <c r="K209" s="86">
        <v>12.39</v>
      </c>
      <c r="L209" s="86">
        <f>K209*VLOOKUP(H209,dagsoorttabel1,2,FALSE)</f>
        <v>0.23826923076923079</v>
      </c>
      <c r="M209" s="87">
        <f>prodnorm56</f>
        <v>0</v>
      </c>
      <c r="N209" s="84" t="s">
        <v>101</v>
      </c>
      <c r="O209" s="88">
        <f>uurtarief56</f>
        <v>0</v>
      </c>
      <c r="P209" s="86" t="e">
        <f>IF(ISBLANK(M209),0,L209/ROUND(M209,4))</f>
        <v>#DIV/0!</v>
      </c>
      <c r="Q209" s="88" t="e">
        <f>ROUND(O209,2)*P209</f>
        <v>#DIV/0!</v>
      </c>
      <c r="R209" s="86" t="e">
        <f>P209*dagenperjaar1</f>
        <v>#DIV/0!</v>
      </c>
      <c r="S209" s="90" t="e">
        <f>R209*ROUND(O209,2)</f>
        <v>#DIV/0!</v>
      </c>
    </row>
    <row r="210" spans="1:19" x14ac:dyDescent="0.2">
      <c r="A210" s="91" t="s">
        <v>934</v>
      </c>
      <c r="B210" s="92" t="s">
        <v>944</v>
      </c>
      <c r="C210" s="92" t="s">
        <v>393</v>
      </c>
      <c r="D210" s="92" t="s">
        <v>36</v>
      </c>
      <c r="E210" s="93" t="s">
        <v>924</v>
      </c>
      <c r="F210" s="92" t="s">
        <v>349</v>
      </c>
      <c r="G210" s="92" t="s">
        <v>288</v>
      </c>
      <c r="H210" s="92" t="s">
        <v>18</v>
      </c>
      <c r="I210" s="92" t="s">
        <v>230</v>
      </c>
      <c r="J210" s="93" t="s">
        <v>253</v>
      </c>
      <c r="K210" s="94">
        <v>0.87</v>
      </c>
      <c r="L210" s="94">
        <f>K210*VLOOKUP(H210,dagsoorttabel1,2,FALSE)</f>
        <v>1.6730769230769233E-2</v>
      </c>
      <c r="M210" s="95">
        <f>prodnorm65</f>
        <v>0</v>
      </c>
      <c r="N210" s="92" t="s">
        <v>101</v>
      </c>
      <c r="O210" s="26">
        <f>uurtarief65</f>
        <v>0</v>
      </c>
      <c r="P210" s="94" t="e">
        <f>IF(ISBLANK(M210),0,L210/ROUND(M210,4))</f>
        <v>#DIV/0!</v>
      </c>
      <c r="Q210" s="26" t="e">
        <f>ROUND(O210,2)*P210</f>
        <v>#DIV/0!</v>
      </c>
      <c r="R210" s="94" t="e">
        <f>P210*dagenperjaar1</f>
        <v>#DIV/0!</v>
      </c>
      <c r="S210" s="27" t="e">
        <f>R210*ROUND(O210,2)</f>
        <v>#DIV/0!</v>
      </c>
    </row>
    <row r="211" spans="1:19" x14ac:dyDescent="0.2">
      <c r="A211" s="91" t="s">
        <v>934</v>
      </c>
      <c r="B211" s="92" t="s">
        <v>944</v>
      </c>
      <c r="C211" s="92" t="s">
        <v>393</v>
      </c>
      <c r="D211" s="92" t="s">
        <v>36</v>
      </c>
      <c r="E211" s="93" t="s">
        <v>807</v>
      </c>
      <c r="F211" s="92" t="s">
        <v>543</v>
      </c>
      <c r="G211" s="92" t="s">
        <v>291</v>
      </c>
      <c r="H211" s="92" t="s">
        <v>18</v>
      </c>
      <c r="I211" s="92" t="s">
        <v>230</v>
      </c>
      <c r="J211" s="93" t="s">
        <v>261</v>
      </c>
      <c r="K211" s="94">
        <v>2.44</v>
      </c>
      <c r="L211" s="94">
        <f>K211*VLOOKUP(H211,dagsoorttabel1,2,FALSE)</f>
        <v>4.6923076923076922E-2</v>
      </c>
      <c r="M211" s="95">
        <f>prodnorm68</f>
        <v>0</v>
      </c>
      <c r="N211" s="92" t="s">
        <v>101</v>
      </c>
      <c r="O211" s="26">
        <f>uurtarief68</f>
        <v>0</v>
      </c>
      <c r="P211" s="94" t="e">
        <f>IF(ISBLANK(M211),0,L211/ROUND(M211,4))</f>
        <v>#DIV/0!</v>
      </c>
      <c r="Q211" s="26" t="e">
        <f>ROUND(O211,2)*P211</f>
        <v>#DIV/0!</v>
      </c>
      <c r="R211" s="94" t="e">
        <f>P211*dagenperjaar1</f>
        <v>#DIV/0!</v>
      </c>
      <c r="S211" s="27" t="e">
        <f>R211*ROUND(O211,2)</f>
        <v>#DIV/0!</v>
      </c>
    </row>
    <row r="212" spans="1:19" x14ac:dyDescent="0.2">
      <c r="A212" s="91" t="s">
        <v>934</v>
      </c>
      <c r="B212" s="92" t="s">
        <v>944</v>
      </c>
      <c r="C212" s="92" t="s">
        <v>393</v>
      </c>
      <c r="D212" s="92" t="s">
        <v>36</v>
      </c>
      <c r="E212" s="93" t="s">
        <v>925</v>
      </c>
      <c r="F212" s="92" t="s">
        <v>349</v>
      </c>
      <c r="G212" s="92" t="s">
        <v>288</v>
      </c>
      <c r="H212" s="92" t="s">
        <v>18</v>
      </c>
      <c r="I212" s="92" t="s">
        <v>230</v>
      </c>
      <c r="J212" s="93" t="s">
        <v>253</v>
      </c>
      <c r="K212" s="94">
        <v>0.87</v>
      </c>
      <c r="L212" s="94">
        <f>K212*VLOOKUP(H212,dagsoorttabel1,2,FALSE)</f>
        <v>1.6730769230769233E-2</v>
      </c>
      <c r="M212" s="95">
        <f>prodnorm65</f>
        <v>0</v>
      </c>
      <c r="N212" s="92" t="s">
        <v>101</v>
      </c>
      <c r="O212" s="26">
        <f>uurtarief65</f>
        <v>0</v>
      </c>
      <c r="P212" s="94" t="e">
        <f>IF(ISBLANK(M212),0,L212/ROUND(M212,4))</f>
        <v>#DIV/0!</v>
      </c>
      <c r="Q212" s="26" t="e">
        <f>ROUND(O212,2)*P212</f>
        <v>#DIV/0!</v>
      </c>
      <c r="R212" s="94" t="e">
        <f>P212*dagenperjaar1</f>
        <v>#DIV/0!</v>
      </c>
      <c r="S212" s="27" t="e">
        <f>R212*ROUND(O212,2)</f>
        <v>#DIV/0!</v>
      </c>
    </row>
    <row r="213" spans="1:19" x14ac:dyDescent="0.2">
      <c r="A213" s="91" t="s">
        <v>934</v>
      </c>
      <c r="B213" s="92" t="s">
        <v>944</v>
      </c>
      <c r="C213" s="92" t="s">
        <v>393</v>
      </c>
      <c r="D213" s="92" t="s">
        <v>36</v>
      </c>
      <c r="E213" s="93" t="s">
        <v>774</v>
      </c>
      <c r="F213" s="92" t="s">
        <v>458</v>
      </c>
      <c r="G213" s="92" t="s">
        <v>280</v>
      </c>
      <c r="H213" s="92" t="s">
        <v>18</v>
      </c>
      <c r="I213" s="92" t="s">
        <v>230</v>
      </c>
      <c r="J213" s="93" t="s">
        <v>237</v>
      </c>
      <c r="K213" s="94">
        <v>5.26</v>
      </c>
      <c r="L213" s="94">
        <f>K213*VLOOKUP(H213,dagsoorttabel1,2,FALSE)</f>
        <v>0.10115384615384615</v>
      </c>
      <c r="M213" s="95">
        <f>prodnorm58</f>
        <v>0</v>
      </c>
      <c r="N213" s="92" t="s">
        <v>101</v>
      </c>
      <c r="O213" s="26">
        <f>uurtarief58</f>
        <v>0</v>
      </c>
      <c r="P213" s="94" t="e">
        <f>IF(ISBLANK(M213),0,L213/ROUND(M213,4))</f>
        <v>#DIV/0!</v>
      </c>
      <c r="Q213" s="26" t="e">
        <f>ROUND(O213,2)*P213</f>
        <v>#DIV/0!</v>
      </c>
      <c r="R213" s="94" t="e">
        <f>P213*dagenperjaar1</f>
        <v>#DIV/0!</v>
      </c>
      <c r="S213" s="27" t="e">
        <f>R213*ROUND(O213,2)</f>
        <v>#DIV/0!</v>
      </c>
    </row>
    <row r="214" spans="1:19" x14ac:dyDescent="0.2">
      <c r="A214" s="91" t="s">
        <v>934</v>
      </c>
      <c r="B214" s="92" t="s">
        <v>944</v>
      </c>
      <c r="C214" s="92" t="s">
        <v>393</v>
      </c>
      <c r="D214" s="92" t="s">
        <v>36</v>
      </c>
      <c r="E214" s="93" t="s">
        <v>946</v>
      </c>
      <c r="F214" s="92" t="s">
        <v>458</v>
      </c>
      <c r="G214" s="92" t="s">
        <v>279</v>
      </c>
      <c r="H214" s="92" t="s">
        <v>18</v>
      </c>
      <c r="I214" s="92" t="s">
        <v>230</v>
      </c>
      <c r="J214" s="93" t="s">
        <v>235</v>
      </c>
      <c r="K214" s="94">
        <v>14.79</v>
      </c>
      <c r="L214" s="94">
        <f>K214*VLOOKUP(H214,dagsoorttabel1,2,FALSE)</f>
        <v>0.28442307692307695</v>
      </c>
      <c r="M214" s="95">
        <f>prodnorm57</f>
        <v>0</v>
      </c>
      <c r="N214" s="92" t="s">
        <v>101</v>
      </c>
      <c r="O214" s="26">
        <f>uurtarief57</f>
        <v>0</v>
      </c>
      <c r="P214" s="94" t="e">
        <f>IF(ISBLANK(M214),0,L214/ROUND(M214,4))</f>
        <v>#DIV/0!</v>
      </c>
      <c r="Q214" s="26" t="e">
        <f>ROUND(O214,2)*P214</f>
        <v>#DIV/0!</v>
      </c>
      <c r="R214" s="94" t="e">
        <f>P214*dagenperjaar1</f>
        <v>#DIV/0!</v>
      </c>
      <c r="S214" s="27" t="e">
        <f>R214*ROUND(O214,2)</f>
        <v>#DIV/0!</v>
      </c>
    </row>
    <row r="215" spans="1:19" x14ac:dyDescent="0.2">
      <c r="A215" s="97" t="s">
        <v>934</v>
      </c>
      <c r="B215" s="98" t="s">
        <v>944</v>
      </c>
      <c r="C215" s="98" t="s">
        <v>393</v>
      </c>
      <c r="D215" s="98" t="s">
        <v>36</v>
      </c>
      <c r="E215" s="99" t="s">
        <v>932</v>
      </c>
      <c r="F215" s="98" t="s">
        <v>458</v>
      </c>
      <c r="G215" s="98" t="s">
        <v>290</v>
      </c>
      <c r="H215" s="98" t="s">
        <v>18</v>
      </c>
      <c r="I215" s="98" t="s">
        <v>230</v>
      </c>
      <c r="J215" s="99" t="s">
        <v>257</v>
      </c>
      <c r="K215" s="100">
        <v>39.54</v>
      </c>
      <c r="L215" s="100">
        <f>K215*VLOOKUP(H215,dagsoorttabel1,2,FALSE)</f>
        <v>0.76038461538461544</v>
      </c>
      <c r="M215" s="101">
        <f>prodnorm67</f>
        <v>0</v>
      </c>
      <c r="N215" s="98" t="s">
        <v>101</v>
      </c>
      <c r="O215" s="36">
        <f>uurtarief67</f>
        <v>0</v>
      </c>
      <c r="P215" s="100" t="e">
        <f>IF(ISBLANK(M215),0,L215/ROUND(M215,4))</f>
        <v>#DIV/0!</v>
      </c>
      <c r="Q215" s="36" t="e">
        <f>ROUND(O215,2)*P215</f>
        <v>#DIV/0!</v>
      </c>
      <c r="R215" s="100" t="e">
        <f>P215*dagenperjaar1</f>
        <v>#DIV/0!</v>
      </c>
      <c r="S215" s="37" t="e">
        <f>R215*ROUND(O215,2)</f>
        <v>#DIV/0!</v>
      </c>
    </row>
    <row r="216" spans="1:19" x14ac:dyDescent="0.2">
      <c r="A216" s="73" t="s">
        <v>947</v>
      </c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6" t="e">
        <f>IF(_xlfn.SINGLE(object6_urenjaar2)&gt;0,_xlfn.SINGLE(object6_prijsjaar2)/_xlfn.SINGLE(object6_urenjaar2),0)</f>
        <v>#DIV/0!</v>
      </c>
      <c r="P216" s="75" t="e">
        <f>SUM(P209:P215)</f>
        <v>#DIV/0!</v>
      </c>
      <c r="Q216" s="76" t="e">
        <f>SUM(Q209:Q215)</f>
        <v>#DIV/0!</v>
      </c>
      <c r="R216" s="75" t="e">
        <f>SUM(R209:R215)</f>
        <v>#DIV/0!</v>
      </c>
      <c r="S216" s="76" t="e">
        <f>SUM(S209:S215)</f>
        <v>#DIV/0!</v>
      </c>
    </row>
  </sheetData>
  <sheetProtection algorithmName="SHA-512" hashValue="MD7U7oGGYvG5J75yUgkEciBTYa5jlJ0sdCKtaY4lGb1Uut/em/e/yJ/DwWqsqpMJRe7oXAT/GqE2KmwXqkc/yw==" saltValue="7LjvD6gj1y+P9DB+Fyf88A==" spinCount="100000" sheet="1" objects="1" scenarios="1" autoFilter="0"/>
  <autoFilter ref="A3:S216" xr:uid="{B6FB7F5E-5443-42AC-A111-65B13ED6D85B}"/>
  <pageMargins left="0.7" right="0.7" top="0.75" bottom="0.75" header="0.3" footer="0.3"/>
  <pageSetup paperSize="9" scale="61" orientation="landscape" horizontalDpi="4294967295" verticalDpi="4294967295" r:id="rId1"/>
  <headerFooter>
    <oddFooter>&amp;LCentraal Museum Utrecht EA2026                              &amp;ROpmaakdatum: 19-03-2026
Intexso - Plantageweg 23E - Leusden
+31 (33) 2778485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20358-035D-4CEA-ADBA-E7FE7D52FBF5}">
  <dimension ref="A1:S217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2.75" x14ac:dyDescent="0.2"/>
  <cols>
    <col min="1" max="1" width="8.625" customWidth="1"/>
    <col min="2" max="3" width="7.625" customWidth="1"/>
    <col min="4" max="4" width="10.625" customWidth="1"/>
    <col min="5" max="5" width="25.625" customWidth="1"/>
    <col min="6" max="6" width="11.625" customWidth="1"/>
    <col min="7" max="7" width="7.625" customWidth="1"/>
    <col min="8" max="8" width="6.625" customWidth="1"/>
    <col min="9" max="9" width="8.625" customWidth="1"/>
    <col min="10" max="10" width="40.625" customWidth="1"/>
    <col min="11" max="12" width="10.625" customWidth="1"/>
    <col min="13" max="13" width="11.625" customWidth="1"/>
    <col min="14" max="14" width="9.625" customWidth="1"/>
    <col min="15" max="17" width="11.625" customWidth="1"/>
    <col min="18" max="18" width="12.625" customWidth="1"/>
    <col min="19" max="19" width="14.625" customWidth="1"/>
  </cols>
  <sheetData>
    <row r="1" spans="1:19" x14ac:dyDescent="0.2">
      <c r="A1" s="1" t="str">
        <f>CONCATENATE("Bijlage H.5: ",tabeltype," ruimten weekenddag")</f>
        <v>Bijlage H.5: Invultabel ruimten weekenddag</v>
      </c>
    </row>
    <row r="3" spans="1:19" ht="38.25" x14ac:dyDescent="0.2">
      <c r="A3" s="80" t="s">
        <v>324</v>
      </c>
      <c r="B3" s="44" t="s">
        <v>325</v>
      </c>
      <c r="C3" s="44" t="s">
        <v>326</v>
      </c>
      <c r="D3" s="44" t="s">
        <v>327</v>
      </c>
      <c r="E3" s="44" t="s">
        <v>328</v>
      </c>
      <c r="F3" s="44" t="s">
        <v>329</v>
      </c>
      <c r="G3" s="44" t="s">
        <v>221</v>
      </c>
      <c r="H3" s="44" t="s">
        <v>7</v>
      </c>
      <c r="I3" s="44" t="s">
        <v>330</v>
      </c>
      <c r="J3" s="44" t="s">
        <v>331</v>
      </c>
      <c r="K3" s="44" t="s">
        <v>223</v>
      </c>
      <c r="L3" s="44" t="s">
        <v>224</v>
      </c>
      <c r="M3" s="44" t="s">
        <v>93</v>
      </c>
      <c r="N3" s="44" t="s">
        <v>95</v>
      </c>
      <c r="O3" s="44" t="s">
        <v>96</v>
      </c>
      <c r="P3" s="44" t="s">
        <v>225</v>
      </c>
      <c r="Q3" s="44" t="s">
        <v>226</v>
      </c>
      <c r="R3" s="44" t="s">
        <v>227</v>
      </c>
      <c r="S3" s="81" t="s">
        <v>228</v>
      </c>
    </row>
    <row r="4" spans="1:19" x14ac:dyDescent="0.2">
      <c r="A4" s="82" t="s">
        <v>332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72"/>
    </row>
    <row r="5" spans="1:19" x14ac:dyDescent="0.2">
      <c r="A5" s="83" t="s">
        <v>333</v>
      </c>
      <c r="B5" s="84" t="s">
        <v>334</v>
      </c>
      <c r="C5" s="84" t="s">
        <v>335</v>
      </c>
      <c r="D5" s="84" t="s">
        <v>340</v>
      </c>
      <c r="E5" s="85" t="s">
        <v>341</v>
      </c>
      <c r="F5" s="84" t="s">
        <v>342</v>
      </c>
      <c r="G5" s="84" t="s">
        <v>313</v>
      </c>
      <c r="H5" s="84" t="s">
        <v>13</v>
      </c>
      <c r="I5" s="84" t="s">
        <v>230</v>
      </c>
      <c r="J5" s="85" t="s">
        <v>257</v>
      </c>
      <c r="K5" s="86">
        <v>25.3</v>
      </c>
      <c r="L5" s="86">
        <f>K5*VLOOKUP(H5,dagsoorttabel1,2,FALSE)</f>
        <v>10.120000000000001</v>
      </c>
      <c r="M5" s="87">
        <f>prodnorm88</f>
        <v>0</v>
      </c>
      <c r="N5" s="84" t="s">
        <v>101</v>
      </c>
      <c r="O5" s="88">
        <f>uurtarief88</f>
        <v>0</v>
      </c>
      <c r="P5" s="86" t="e">
        <f>IF(ISBLANK(M5),0,L5/ROUND(M5,4))</f>
        <v>#DIV/0!</v>
      </c>
      <c r="Q5" s="88" t="e">
        <f>ROUND(O5,2)*P5</f>
        <v>#DIV/0!</v>
      </c>
      <c r="R5" s="86" t="e">
        <f>P5*dagenperjaar1</f>
        <v>#DIV/0!</v>
      </c>
      <c r="S5" s="90" t="e">
        <f>R5*ROUND(O5,2)</f>
        <v>#DIV/0!</v>
      </c>
    </row>
    <row r="6" spans="1:19" x14ac:dyDescent="0.2">
      <c r="A6" s="91" t="s">
        <v>333</v>
      </c>
      <c r="B6" s="92" t="s">
        <v>334</v>
      </c>
      <c r="C6" s="92" t="s">
        <v>335</v>
      </c>
      <c r="D6" s="92" t="s">
        <v>343</v>
      </c>
      <c r="E6" s="93" t="s">
        <v>344</v>
      </c>
      <c r="F6" s="92" t="s">
        <v>342</v>
      </c>
      <c r="G6" s="92" t="s">
        <v>310</v>
      </c>
      <c r="H6" s="92" t="s">
        <v>13</v>
      </c>
      <c r="I6" s="92" t="s">
        <v>230</v>
      </c>
      <c r="J6" s="93" t="s">
        <v>253</v>
      </c>
      <c r="K6" s="94">
        <v>1.1000000000000001</v>
      </c>
      <c r="L6" s="94">
        <f>K6*VLOOKUP(H6,dagsoorttabel1,2,FALSE)</f>
        <v>0.44000000000000006</v>
      </c>
      <c r="M6" s="95">
        <f>prodnorm86</f>
        <v>0</v>
      </c>
      <c r="N6" s="92" t="s">
        <v>101</v>
      </c>
      <c r="O6" s="26">
        <f>uurtarief86</f>
        <v>0</v>
      </c>
      <c r="P6" s="94" t="e">
        <f>IF(ISBLANK(M6),0,L6/ROUND(M6,4))</f>
        <v>#DIV/0!</v>
      </c>
      <c r="Q6" s="26" t="e">
        <f>ROUND(O6,2)*P6</f>
        <v>#DIV/0!</v>
      </c>
      <c r="R6" s="94" t="e">
        <f>P6*dagenperjaar1</f>
        <v>#DIV/0!</v>
      </c>
      <c r="S6" s="27" t="e">
        <f>R6*ROUND(O6,2)</f>
        <v>#DIV/0!</v>
      </c>
    </row>
    <row r="7" spans="1:19" x14ac:dyDescent="0.2">
      <c r="A7" s="91" t="s">
        <v>333</v>
      </c>
      <c r="B7" s="92" t="s">
        <v>334</v>
      </c>
      <c r="C7" s="92" t="s">
        <v>335</v>
      </c>
      <c r="D7" s="92" t="s">
        <v>343</v>
      </c>
      <c r="E7" s="93" t="s">
        <v>344</v>
      </c>
      <c r="F7" s="92" t="s">
        <v>342</v>
      </c>
      <c r="G7" s="92" t="s">
        <v>311</v>
      </c>
      <c r="H7" s="92" t="s">
        <v>13</v>
      </c>
      <c r="I7" s="92" t="s">
        <v>230</v>
      </c>
      <c r="J7" s="93" t="s">
        <v>312</v>
      </c>
      <c r="K7" s="94">
        <v>1.1000000000000001</v>
      </c>
      <c r="L7" s="94">
        <f>K7*VLOOKUP(H7,dagsoorttabel1,2,FALSE)</f>
        <v>0.44000000000000006</v>
      </c>
      <c r="M7" s="95">
        <f>prodnorm87</f>
        <v>0</v>
      </c>
      <c r="N7" s="92" t="s">
        <v>101</v>
      </c>
      <c r="O7" s="26">
        <f>uurtarief87</f>
        <v>0</v>
      </c>
      <c r="P7" s="94" t="e">
        <f>IF(ISBLANK(M7),0,L7/ROUND(M7,4))</f>
        <v>#DIV/0!</v>
      </c>
      <c r="Q7" s="26" t="e">
        <f>ROUND(O7,2)*P7</f>
        <v>#DIV/0!</v>
      </c>
      <c r="R7" s="94" t="e">
        <f>P7*dagenperjaar1</f>
        <v>#DIV/0!</v>
      </c>
      <c r="S7" s="27" t="e">
        <f>R7*ROUND(O7,2)</f>
        <v>#DIV/0!</v>
      </c>
    </row>
    <row r="8" spans="1:19" x14ac:dyDescent="0.2">
      <c r="A8" s="91" t="s">
        <v>333</v>
      </c>
      <c r="B8" s="92" t="s">
        <v>334</v>
      </c>
      <c r="C8" s="92" t="s">
        <v>335</v>
      </c>
      <c r="D8" s="92" t="s">
        <v>345</v>
      </c>
      <c r="E8" s="93" t="s">
        <v>344</v>
      </c>
      <c r="F8" s="92" t="s">
        <v>342</v>
      </c>
      <c r="G8" s="92" t="s">
        <v>310</v>
      </c>
      <c r="H8" s="92" t="s">
        <v>13</v>
      </c>
      <c r="I8" s="92" t="s">
        <v>230</v>
      </c>
      <c r="J8" s="93" t="s">
        <v>253</v>
      </c>
      <c r="K8" s="94">
        <v>1.1000000000000001</v>
      </c>
      <c r="L8" s="94">
        <f>K8*VLOOKUP(H8,dagsoorttabel1,2,FALSE)</f>
        <v>0.44000000000000006</v>
      </c>
      <c r="M8" s="95">
        <f>prodnorm86</f>
        <v>0</v>
      </c>
      <c r="N8" s="92" t="s">
        <v>101</v>
      </c>
      <c r="O8" s="26">
        <f>uurtarief86</f>
        <v>0</v>
      </c>
      <c r="P8" s="94" t="e">
        <f>IF(ISBLANK(M8),0,L8/ROUND(M8,4))</f>
        <v>#DIV/0!</v>
      </c>
      <c r="Q8" s="26" t="e">
        <f>ROUND(O8,2)*P8</f>
        <v>#DIV/0!</v>
      </c>
      <c r="R8" s="94" t="e">
        <f>P8*dagenperjaar1</f>
        <v>#DIV/0!</v>
      </c>
      <c r="S8" s="27" t="e">
        <f>R8*ROUND(O8,2)</f>
        <v>#DIV/0!</v>
      </c>
    </row>
    <row r="9" spans="1:19" x14ac:dyDescent="0.2">
      <c r="A9" s="91" t="s">
        <v>333</v>
      </c>
      <c r="B9" s="92" t="s">
        <v>334</v>
      </c>
      <c r="C9" s="92" t="s">
        <v>335</v>
      </c>
      <c r="D9" s="92" t="s">
        <v>345</v>
      </c>
      <c r="E9" s="93" t="s">
        <v>344</v>
      </c>
      <c r="F9" s="92" t="s">
        <v>342</v>
      </c>
      <c r="G9" s="92" t="s">
        <v>311</v>
      </c>
      <c r="H9" s="92" t="s">
        <v>13</v>
      </c>
      <c r="I9" s="92" t="s">
        <v>230</v>
      </c>
      <c r="J9" s="93" t="s">
        <v>312</v>
      </c>
      <c r="K9" s="94">
        <v>1.1000000000000001</v>
      </c>
      <c r="L9" s="94">
        <f>K9*VLOOKUP(H9,dagsoorttabel1,2,FALSE)</f>
        <v>0.44000000000000006</v>
      </c>
      <c r="M9" s="95">
        <f>prodnorm87</f>
        <v>0</v>
      </c>
      <c r="N9" s="92" t="s">
        <v>101</v>
      </c>
      <c r="O9" s="26">
        <f>uurtarief87</f>
        <v>0</v>
      </c>
      <c r="P9" s="94" t="e">
        <f>IF(ISBLANK(M9),0,L9/ROUND(M9,4))</f>
        <v>#DIV/0!</v>
      </c>
      <c r="Q9" s="26" t="e">
        <f>ROUND(O9,2)*P9</f>
        <v>#DIV/0!</v>
      </c>
      <c r="R9" s="94" t="e">
        <f>P9*dagenperjaar1</f>
        <v>#DIV/0!</v>
      </c>
      <c r="S9" s="27" t="e">
        <f>R9*ROUND(O9,2)</f>
        <v>#DIV/0!</v>
      </c>
    </row>
    <row r="10" spans="1:19" x14ac:dyDescent="0.2">
      <c r="A10" s="91" t="s">
        <v>333</v>
      </c>
      <c r="B10" s="92" t="s">
        <v>334</v>
      </c>
      <c r="C10" s="92" t="s">
        <v>335</v>
      </c>
      <c r="D10" s="92" t="s">
        <v>346</v>
      </c>
      <c r="E10" s="93" t="s">
        <v>344</v>
      </c>
      <c r="F10" s="92" t="s">
        <v>342</v>
      </c>
      <c r="G10" s="92" t="s">
        <v>310</v>
      </c>
      <c r="H10" s="92" t="s">
        <v>13</v>
      </c>
      <c r="I10" s="92" t="s">
        <v>230</v>
      </c>
      <c r="J10" s="93" t="s">
        <v>253</v>
      </c>
      <c r="K10" s="94">
        <v>1.1000000000000001</v>
      </c>
      <c r="L10" s="94">
        <f>K10*VLOOKUP(H10,dagsoorttabel1,2,FALSE)</f>
        <v>0.44000000000000006</v>
      </c>
      <c r="M10" s="95">
        <f>prodnorm86</f>
        <v>0</v>
      </c>
      <c r="N10" s="92" t="s">
        <v>101</v>
      </c>
      <c r="O10" s="26">
        <f>uurtarief86</f>
        <v>0</v>
      </c>
      <c r="P10" s="94" t="e">
        <f>IF(ISBLANK(M10),0,L10/ROUND(M10,4))</f>
        <v>#DIV/0!</v>
      </c>
      <c r="Q10" s="26" t="e">
        <f>ROUND(O10,2)*P10</f>
        <v>#DIV/0!</v>
      </c>
      <c r="R10" s="94" t="e">
        <f>P10*dagenperjaar1</f>
        <v>#DIV/0!</v>
      </c>
      <c r="S10" s="27" t="e">
        <f>R10*ROUND(O10,2)</f>
        <v>#DIV/0!</v>
      </c>
    </row>
    <row r="11" spans="1:19" x14ac:dyDescent="0.2">
      <c r="A11" s="91" t="s">
        <v>333</v>
      </c>
      <c r="B11" s="92" t="s">
        <v>334</v>
      </c>
      <c r="C11" s="92" t="s">
        <v>335</v>
      </c>
      <c r="D11" s="92" t="s">
        <v>346</v>
      </c>
      <c r="E11" s="93" t="s">
        <v>344</v>
      </c>
      <c r="F11" s="92" t="s">
        <v>342</v>
      </c>
      <c r="G11" s="92" t="s">
        <v>311</v>
      </c>
      <c r="H11" s="92" t="s">
        <v>13</v>
      </c>
      <c r="I11" s="92" t="s">
        <v>230</v>
      </c>
      <c r="J11" s="93" t="s">
        <v>312</v>
      </c>
      <c r="K11" s="94">
        <v>1.1000000000000001</v>
      </c>
      <c r="L11" s="94">
        <f>K11*VLOOKUP(H11,dagsoorttabel1,2,FALSE)</f>
        <v>0.44000000000000006</v>
      </c>
      <c r="M11" s="95">
        <f>prodnorm87</f>
        <v>0</v>
      </c>
      <c r="N11" s="92" t="s">
        <v>101</v>
      </c>
      <c r="O11" s="26">
        <f>uurtarief87</f>
        <v>0</v>
      </c>
      <c r="P11" s="94" t="e">
        <f>IF(ISBLANK(M11),0,L11/ROUND(M11,4))</f>
        <v>#DIV/0!</v>
      </c>
      <c r="Q11" s="26" t="e">
        <f>ROUND(O11,2)*P11</f>
        <v>#DIV/0!</v>
      </c>
      <c r="R11" s="94" t="e">
        <f>P11*dagenperjaar1</f>
        <v>#DIV/0!</v>
      </c>
      <c r="S11" s="27" t="e">
        <f>R11*ROUND(O11,2)</f>
        <v>#DIV/0!</v>
      </c>
    </row>
    <row r="12" spans="1:19" ht="25.5" x14ac:dyDescent="0.2">
      <c r="A12" s="91" t="s">
        <v>333</v>
      </c>
      <c r="B12" s="92" t="s">
        <v>334</v>
      </c>
      <c r="C12" s="92" t="s">
        <v>335</v>
      </c>
      <c r="D12" s="92" t="s">
        <v>347</v>
      </c>
      <c r="E12" s="93" t="s">
        <v>348</v>
      </c>
      <c r="F12" s="92" t="s">
        <v>349</v>
      </c>
      <c r="G12" s="92" t="s">
        <v>310</v>
      </c>
      <c r="H12" s="92" t="s">
        <v>13</v>
      </c>
      <c r="I12" s="92" t="s">
        <v>230</v>
      </c>
      <c r="J12" s="93" t="s">
        <v>253</v>
      </c>
      <c r="K12" s="94">
        <v>5.2</v>
      </c>
      <c r="L12" s="94">
        <f>K12*VLOOKUP(H12,dagsoorttabel1,2,FALSE)</f>
        <v>2.08</v>
      </c>
      <c r="M12" s="95">
        <f>prodnorm86</f>
        <v>0</v>
      </c>
      <c r="N12" s="92" t="s">
        <v>101</v>
      </c>
      <c r="O12" s="26">
        <f>uurtarief86</f>
        <v>0</v>
      </c>
      <c r="P12" s="94" t="e">
        <f>IF(ISBLANK(M12),0,L12/ROUND(M12,4))</f>
        <v>#DIV/0!</v>
      </c>
      <c r="Q12" s="26" t="e">
        <f>ROUND(O12,2)*P12</f>
        <v>#DIV/0!</v>
      </c>
      <c r="R12" s="94" t="e">
        <f>P12*dagenperjaar1</f>
        <v>#DIV/0!</v>
      </c>
      <c r="S12" s="27" t="e">
        <f>R12*ROUND(O12,2)</f>
        <v>#DIV/0!</v>
      </c>
    </row>
    <row r="13" spans="1:19" ht="25.5" x14ac:dyDescent="0.2">
      <c r="A13" s="91" t="s">
        <v>333</v>
      </c>
      <c r="B13" s="92" t="s">
        <v>334</v>
      </c>
      <c r="C13" s="92" t="s">
        <v>335</v>
      </c>
      <c r="D13" s="92" t="s">
        <v>347</v>
      </c>
      <c r="E13" s="93" t="s">
        <v>348</v>
      </c>
      <c r="F13" s="92" t="s">
        <v>349</v>
      </c>
      <c r="G13" s="92" t="s">
        <v>311</v>
      </c>
      <c r="H13" s="92" t="s">
        <v>13</v>
      </c>
      <c r="I13" s="92" t="s">
        <v>230</v>
      </c>
      <c r="J13" s="93" t="s">
        <v>312</v>
      </c>
      <c r="K13" s="94">
        <v>5.2</v>
      </c>
      <c r="L13" s="94">
        <f>K13*VLOOKUP(H13,dagsoorttabel1,2,FALSE)</f>
        <v>2.08</v>
      </c>
      <c r="M13" s="95">
        <f>prodnorm87</f>
        <v>0</v>
      </c>
      <c r="N13" s="92" t="s">
        <v>101</v>
      </c>
      <c r="O13" s="26">
        <f>uurtarief87</f>
        <v>0</v>
      </c>
      <c r="P13" s="94" t="e">
        <f>IF(ISBLANK(M13),0,L13/ROUND(M13,4))</f>
        <v>#DIV/0!</v>
      </c>
      <c r="Q13" s="26" t="e">
        <f>ROUND(O13,2)*P13</f>
        <v>#DIV/0!</v>
      </c>
      <c r="R13" s="94" t="e">
        <f>P13*dagenperjaar1</f>
        <v>#DIV/0!</v>
      </c>
      <c r="S13" s="27" t="e">
        <f>R13*ROUND(O13,2)</f>
        <v>#DIV/0!</v>
      </c>
    </row>
    <row r="14" spans="1:19" ht="25.5" x14ac:dyDescent="0.2">
      <c r="A14" s="91" t="s">
        <v>333</v>
      </c>
      <c r="B14" s="92" t="s">
        <v>334</v>
      </c>
      <c r="C14" s="92" t="s">
        <v>335</v>
      </c>
      <c r="D14" s="92" t="s">
        <v>350</v>
      </c>
      <c r="E14" s="93" t="s">
        <v>351</v>
      </c>
      <c r="F14" s="92" t="s">
        <v>349</v>
      </c>
      <c r="G14" s="92" t="s">
        <v>310</v>
      </c>
      <c r="H14" s="92" t="s">
        <v>13</v>
      </c>
      <c r="I14" s="92" t="s">
        <v>230</v>
      </c>
      <c r="J14" s="93" t="s">
        <v>253</v>
      </c>
      <c r="K14" s="94">
        <v>5.3</v>
      </c>
      <c r="L14" s="94">
        <f>K14*VLOOKUP(H14,dagsoorttabel1,2,FALSE)</f>
        <v>2.12</v>
      </c>
      <c r="M14" s="95">
        <f>prodnorm86</f>
        <v>0</v>
      </c>
      <c r="N14" s="92" t="s">
        <v>101</v>
      </c>
      <c r="O14" s="26">
        <f>uurtarief86</f>
        <v>0</v>
      </c>
      <c r="P14" s="94" t="e">
        <f>IF(ISBLANK(M14),0,L14/ROUND(M14,4))</f>
        <v>#DIV/0!</v>
      </c>
      <c r="Q14" s="26" t="e">
        <f>ROUND(O14,2)*P14</f>
        <v>#DIV/0!</v>
      </c>
      <c r="R14" s="94" t="e">
        <f>P14*dagenperjaar1</f>
        <v>#DIV/0!</v>
      </c>
      <c r="S14" s="27" t="e">
        <f>R14*ROUND(O14,2)</f>
        <v>#DIV/0!</v>
      </c>
    </row>
    <row r="15" spans="1:19" ht="25.5" x14ac:dyDescent="0.2">
      <c r="A15" s="91" t="s">
        <v>333</v>
      </c>
      <c r="B15" s="92" t="s">
        <v>334</v>
      </c>
      <c r="C15" s="92" t="s">
        <v>335</v>
      </c>
      <c r="D15" s="92" t="s">
        <v>350</v>
      </c>
      <c r="E15" s="93" t="s">
        <v>351</v>
      </c>
      <c r="F15" s="92" t="s">
        <v>349</v>
      </c>
      <c r="G15" s="92" t="s">
        <v>311</v>
      </c>
      <c r="H15" s="92" t="s">
        <v>13</v>
      </c>
      <c r="I15" s="92" t="s">
        <v>230</v>
      </c>
      <c r="J15" s="93" t="s">
        <v>312</v>
      </c>
      <c r="K15" s="94">
        <v>5.3</v>
      </c>
      <c r="L15" s="94">
        <f>K15*VLOOKUP(H15,dagsoorttabel1,2,FALSE)</f>
        <v>2.12</v>
      </c>
      <c r="M15" s="95">
        <f>prodnorm87</f>
        <v>0</v>
      </c>
      <c r="N15" s="92" t="s">
        <v>101</v>
      </c>
      <c r="O15" s="26">
        <f>uurtarief87</f>
        <v>0</v>
      </c>
      <c r="P15" s="94" t="e">
        <f>IF(ISBLANK(M15),0,L15/ROUND(M15,4))</f>
        <v>#DIV/0!</v>
      </c>
      <c r="Q15" s="26" t="e">
        <f>ROUND(O15,2)*P15</f>
        <v>#DIV/0!</v>
      </c>
      <c r="R15" s="94" t="e">
        <f>P15*dagenperjaar1</f>
        <v>#DIV/0!</v>
      </c>
      <c r="S15" s="27" t="e">
        <f>R15*ROUND(O15,2)</f>
        <v>#DIV/0!</v>
      </c>
    </row>
    <row r="16" spans="1:19" x14ac:dyDescent="0.2">
      <c r="A16" s="91" t="s">
        <v>333</v>
      </c>
      <c r="B16" s="92" t="s">
        <v>334</v>
      </c>
      <c r="C16" s="92" t="s">
        <v>335</v>
      </c>
      <c r="D16" s="92" t="s">
        <v>352</v>
      </c>
      <c r="E16" s="93" t="s">
        <v>353</v>
      </c>
      <c r="F16" s="92" t="s">
        <v>342</v>
      </c>
      <c r="G16" s="92" t="s">
        <v>310</v>
      </c>
      <c r="H16" s="92" t="s">
        <v>13</v>
      </c>
      <c r="I16" s="92" t="s">
        <v>230</v>
      </c>
      <c r="J16" s="93" t="s">
        <v>253</v>
      </c>
      <c r="K16" s="94">
        <v>1.1000000000000001</v>
      </c>
      <c r="L16" s="94">
        <f>K16*VLOOKUP(H16,dagsoorttabel1,2,FALSE)</f>
        <v>0.44000000000000006</v>
      </c>
      <c r="M16" s="95">
        <f>prodnorm86</f>
        <v>0</v>
      </c>
      <c r="N16" s="92" t="s">
        <v>101</v>
      </c>
      <c r="O16" s="26">
        <f>uurtarief86</f>
        <v>0</v>
      </c>
      <c r="P16" s="94" t="e">
        <f>IF(ISBLANK(M16),0,L16/ROUND(M16,4))</f>
        <v>#DIV/0!</v>
      </c>
      <c r="Q16" s="26" t="e">
        <f>ROUND(O16,2)*P16</f>
        <v>#DIV/0!</v>
      </c>
      <c r="R16" s="94" t="e">
        <f>P16*dagenperjaar1</f>
        <v>#DIV/0!</v>
      </c>
      <c r="S16" s="27" t="e">
        <f>R16*ROUND(O16,2)</f>
        <v>#DIV/0!</v>
      </c>
    </row>
    <row r="17" spans="1:19" x14ac:dyDescent="0.2">
      <c r="A17" s="91" t="s">
        <v>333</v>
      </c>
      <c r="B17" s="92" t="s">
        <v>334</v>
      </c>
      <c r="C17" s="92" t="s">
        <v>335</v>
      </c>
      <c r="D17" s="92" t="s">
        <v>352</v>
      </c>
      <c r="E17" s="93" t="s">
        <v>353</v>
      </c>
      <c r="F17" s="92" t="s">
        <v>342</v>
      </c>
      <c r="G17" s="92" t="s">
        <v>311</v>
      </c>
      <c r="H17" s="92" t="s">
        <v>13</v>
      </c>
      <c r="I17" s="92" t="s">
        <v>230</v>
      </c>
      <c r="J17" s="93" t="s">
        <v>312</v>
      </c>
      <c r="K17" s="94">
        <v>1.1000000000000001</v>
      </c>
      <c r="L17" s="94">
        <f>K17*VLOOKUP(H17,dagsoorttabel1,2,FALSE)</f>
        <v>0.44000000000000006</v>
      </c>
      <c r="M17" s="95">
        <f>prodnorm87</f>
        <v>0</v>
      </c>
      <c r="N17" s="92" t="s">
        <v>101</v>
      </c>
      <c r="O17" s="26">
        <f>uurtarief87</f>
        <v>0</v>
      </c>
      <c r="P17" s="94" t="e">
        <f>IF(ISBLANK(M17),0,L17/ROUND(M17,4))</f>
        <v>#DIV/0!</v>
      </c>
      <c r="Q17" s="26" t="e">
        <f>ROUND(O17,2)*P17</f>
        <v>#DIV/0!</v>
      </c>
      <c r="R17" s="94" t="e">
        <f>P17*dagenperjaar1</f>
        <v>#DIV/0!</v>
      </c>
      <c r="S17" s="27" t="e">
        <f>R17*ROUND(O17,2)</f>
        <v>#DIV/0!</v>
      </c>
    </row>
    <row r="18" spans="1:19" x14ac:dyDescent="0.2">
      <c r="A18" s="91" t="s">
        <v>333</v>
      </c>
      <c r="B18" s="92" t="s">
        <v>334</v>
      </c>
      <c r="C18" s="92" t="s">
        <v>335</v>
      </c>
      <c r="D18" s="92" t="s">
        <v>354</v>
      </c>
      <c r="E18" s="93" t="s">
        <v>353</v>
      </c>
      <c r="F18" s="92" t="s">
        <v>342</v>
      </c>
      <c r="G18" s="92" t="s">
        <v>310</v>
      </c>
      <c r="H18" s="92" t="s">
        <v>13</v>
      </c>
      <c r="I18" s="92" t="s">
        <v>230</v>
      </c>
      <c r="J18" s="93" t="s">
        <v>253</v>
      </c>
      <c r="K18" s="94">
        <v>1.1000000000000001</v>
      </c>
      <c r="L18" s="94">
        <f>K18*VLOOKUP(H18,dagsoorttabel1,2,FALSE)</f>
        <v>0.44000000000000006</v>
      </c>
      <c r="M18" s="95">
        <f>prodnorm86</f>
        <v>0</v>
      </c>
      <c r="N18" s="92" t="s">
        <v>101</v>
      </c>
      <c r="O18" s="26">
        <f>uurtarief86</f>
        <v>0</v>
      </c>
      <c r="P18" s="94" t="e">
        <f>IF(ISBLANK(M18),0,L18/ROUND(M18,4))</f>
        <v>#DIV/0!</v>
      </c>
      <c r="Q18" s="26" t="e">
        <f>ROUND(O18,2)*P18</f>
        <v>#DIV/0!</v>
      </c>
      <c r="R18" s="94" t="e">
        <f>P18*dagenperjaar1</f>
        <v>#DIV/0!</v>
      </c>
      <c r="S18" s="27" t="e">
        <f>R18*ROUND(O18,2)</f>
        <v>#DIV/0!</v>
      </c>
    </row>
    <row r="19" spans="1:19" x14ac:dyDescent="0.2">
      <c r="A19" s="91" t="s">
        <v>333</v>
      </c>
      <c r="B19" s="92" t="s">
        <v>334</v>
      </c>
      <c r="C19" s="92" t="s">
        <v>335</v>
      </c>
      <c r="D19" s="92" t="s">
        <v>354</v>
      </c>
      <c r="E19" s="93" t="s">
        <v>353</v>
      </c>
      <c r="F19" s="92" t="s">
        <v>342</v>
      </c>
      <c r="G19" s="92" t="s">
        <v>311</v>
      </c>
      <c r="H19" s="92" t="s">
        <v>13</v>
      </c>
      <c r="I19" s="92" t="s">
        <v>230</v>
      </c>
      <c r="J19" s="93" t="s">
        <v>312</v>
      </c>
      <c r="K19" s="94">
        <v>1.1000000000000001</v>
      </c>
      <c r="L19" s="94">
        <f>K19*VLOOKUP(H19,dagsoorttabel1,2,FALSE)</f>
        <v>0.44000000000000006</v>
      </c>
      <c r="M19" s="95">
        <f>prodnorm87</f>
        <v>0</v>
      </c>
      <c r="N19" s="92" t="s">
        <v>101</v>
      </c>
      <c r="O19" s="26">
        <f>uurtarief87</f>
        <v>0</v>
      </c>
      <c r="P19" s="94" t="e">
        <f>IF(ISBLANK(M19),0,L19/ROUND(M19,4))</f>
        <v>#DIV/0!</v>
      </c>
      <c r="Q19" s="26" t="e">
        <f>ROUND(O19,2)*P19</f>
        <v>#DIV/0!</v>
      </c>
      <c r="R19" s="94" t="e">
        <f>P19*dagenperjaar1</f>
        <v>#DIV/0!</v>
      </c>
      <c r="S19" s="27" t="e">
        <f>R19*ROUND(O19,2)</f>
        <v>#DIV/0!</v>
      </c>
    </row>
    <row r="20" spans="1:19" x14ac:dyDescent="0.2">
      <c r="A20" s="91" t="s">
        <v>333</v>
      </c>
      <c r="B20" s="92" t="s">
        <v>334</v>
      </c>
      <c r="C20" s="92" t="s">
        <v>335</v>
      </c>
      <c r="D20" s="92" t="s">
        <v>355</v>
      </c>
      <c r="E20" s="93" t="s">
        <v>353</v>
      </c>
      <c r="F20" s="92" t="s">
        <v>342</v>
      </c>
      <c r="G20" s="92" t="s">
        <v>310</v>
      </c>
      <c r="H20" s="92" t="s">
        <v>13</v>
      </c>
      <c r="I20" s="92" t="s">
        <v>230</v>
      </c>
      <c r="J20" s="93" t="s">
        <v>253</v>
      </c>
      <c r="K20" s="94">
        <v>1.1000000000000001</v>
      </c>
      <c r="L20" s="94">
        <f>K20*VLOOKUP(H20,dagsoorttabel1,2,FALSE)</f>
        <v>0.44000000000000006</v>
      </c>
      <c r="M20" s="95">
        <f>prodnorm86</f>
        <v>0</v>
      </c>
      <c r="N20" s="92" t="s">
        <v>101</v>
      </c>
      <c r="O20" s="26">
        <f>uurtarief86</f>
        <v>0</v>
      </c>
      <c r="P20" s="94" t="e">
        <f>IF(ISBLANK(M20),0,L20/ROUND(M20,4))</f>
        <v>#DIV/0!</v>
      </c>
      <c r="Q20" s="26" t="e">
        <f>ROUND(O20,2)*P20</f>
        <v>#DIV/0!</v>
      </c>
      <c r="R20" s="94" t="e">
        <f>P20*dagenperjaar1</f>
        <v>#DIV/0!</v>
      </c>
      <c r="S20" s="27" t="e">
        <f>R20*ROUND(O20,2)</f>
        <v>#DIV/0!</v>
      </c>
    </row>
    <row r="21" spans="1:19" x14ac:dyDescent="0.2">
      <c r="A21" s="91" t="s">
        <v>333</v>
      </c>
      <c r="B21" s="92" t="s">
        <v>334</v>
      </c>
      <c r="C21" s="92" t="s">
        <v>335</v>
      </c>
      <c r="D21" s="92" t="s">
        <v>355</v>
      </c>
      <c r="E21" s="93" t="s">
        <v>353</v>
      </c>
      <c r="F21" s="92" t="s">
        <v>342</v>
      </c>
      <c r="G21" s="92" t="s">
        <v>311</v>
      </c>
      <c r="H21" s="92" t="s">
        <v>13</v>
      </c>
      <c r="I21" s="92" t="s">
        <v>230</v>
      </c>
      <c r="J21" s="93" t="s">
        <v>312</v>
      </c>
      <c r="K21" s="94">
        <v>1.1000000000000001</v>
      </c>
      <c r="L21" s="94">
        <f>K21*VLOOKUP(H21,dagsoorttabel1,2,FALSE)</f>
        <v>0.44000000000000006</v>
      </c>
      <c r="M21" s="95">
        <f>prodnorm87</f>
        <v>0</v>
      </c>
      <c r="N21" s="92" t="s">
        <v>101</v>
      </c>
      <c r="O21" s="26">
        <f>uurtarief87</f>
        <v>0</v>
      </c>
      <c r="P21" s="94" t="e">
        <f>IF(ISBLANK(M21),0,L21/ROUND(M21,4))</f>
        <v>#DIV/0!</v>
      </c>
      <c r="Q21" s="26" t="e">
        <f>ROUND(O21,2)*P21</f>
        <v>#DIV/0!</v>
      </c>
      <c r="R21" s="94" t="e">
        <f>P21*dagenperjaar1</f>
        <v>#DIV/0!</v>
      </c>
      <c r="S21" s="27" t="e">
        <f>R21*ROUND(O21,2)</f>
        <v>#DIV/0!</v>
      </c>
    </row>
    <row r="22" spans="1:19" x14ac:dyDescent="0.2">
      <c r="A22" s="91" t="s">
        <v>333</v>
      </c>
      <c r="B22" s="92" t="s">
        <v>334</v>
      </c>
      <c r="C22" s="92" t="s">
        <v>335</v>
      </c>
      <c r="D22" s="92" t="s">
        <v>356</v>
      </c>
      <c r="E22" s="93" t="s">
        <v>357</v>
      </c>
      <c r="F22" s="92" t="s">
        <v>342</v>
      </c>
      <c r="G22" s="92" t="s">
        <v>310</v>
      </c>
      <c r="H22" s="92" t="s">
        <v>13</v>
      </c>
      <c r="I22" s="92" t="s">
        <v>230</v>
      </c>
      <c r="J22" s="93" t="s">
        <v>253</v>
      </c>
      <c r="K22" s="94">
        <v>5.2</v>
      </c>
      <c r="L22" s="94">
        <f>K22*VLOOKUP(H22,dagsoorttabel1,2,FALSE)</f>
        <v>2.08</v>
      </c>
      <c r="M22" s="95">
        <f>prodnorm86</f>
        <v>0</v>
      </c>
      <c r="N22" s="92" t="s">
        <v>101</v>
      </c>
      <c r="O22" s="26">
        <f>uurtarief86</f>
        <v>0</v>
      </c>
      <c r="P22" s="94" t="e">
        <f>IF(ISBLANK(M22),0,L22/ROUND(M22,4))</f>
        <v>#DIV/0!</v>
      </c>
      <c r="Q22" s="26" t="e">
        <f>ROUND(O22,2)*P22</f>
        <v>#DIV/0!</v>
      </c>
      <c r="R22" s="94" t="e">
        <f>P22*dagenperjaar1</f>
        <v>#DIV/0!</v>
      </c>
      <c r="S22" s="27" t="e">
        <f>R22*ROUND(O22,2)</f>
        <v>#DIV/0!</v>
      </c>
    </row>
    <row r="23" spans="1:19" x14ac:dyDescent="0.2">
      <c r="A23" s="91" t="s">
        <v>333</v>
      </c>
      <c r="B23" s="92" t="s">
        <v>334</v>
      </c>
      <c r="C23" s="92" t="s">
        <v>335</v>
      </c>
      <c r="D23" s="92" t="s">
        <v>356</v>
      </c>
      <c r="E23" s="93" t="s">
        <v>357</v>
      </c>
      <c r="F23" s="92" t="s">
        <v>342</v>
      </c>
      <c r="G23" s="92" t="s">
        <v>311</v>
      </c>
      <c r="H23" s="92" t="s">
        <v>13</v>
      </c>
      <c r="I23" s="92" t="s">
        <v>230</v>
      </c>
      <c r="J23" s="93" t="s">
        <v>312</v>
      </c>
      <c r="K23" s="94">
        <v>5.2</v>
      </c>
      <c r="L23" s="94">
        <f>K23*VLOOKUP(H23,dagsoorttabel1,2,FALSE)</f>
        <v>2.08</v>
      </c>
      <c r="M23" s="95">
        <f>prodnorm87</f>
        <v>0</v>
      </c>
      <c r="N23" s="92" t="s">
        <v>101</v>
      </c>
      <c r="O23" s="26">
        <f>uurtarief87</f>
        <v>0</v>
      </c>
      <c r="P23" s="94" t="e">
        <f>IF(ISBLANK(M23),0,L23/ROUND(M23,4))</f>
        <v>#DIV/0!</v>
      </c>
      <c r="Q23" s="26" t="e">
        <f>ROUND(O23,2)*P23</f>
        <v>#DIV/0!</v>
      </c>
      <c r="R23" s="94" t="e">
        <f>P23*dagenperjaar1</f>
        <v>#DIV/0!</v>
      </c>
      <c r="S23" s="27" t="e">
        <f>R23*ROUND(O23,2)</f>
        <v>#DIV/0!</v>
      </c>
    </row>
    <row r="24" spans="1:19" x14ac:dyDescent="0.2">
      <c r="A24" s="91" t="s">
        <v>333</v>
      </c>
      <c r="B24" s="92" t="s">
        <v>334</v>
      </c>
      <c r="C24" s="92" t="s">
        <v>335</v>
      </c>
      <c r="D24" s="92" t="s">
        <v>362</v>
      </c>
      <c r="E24" s="93" t="s">
        <v>363</v>
      </c>
      <c r="F24" s="92" t="s">
        <v>364</v>
      </c>
      <c r="G24" s="92" t="s">
        <v>313</v>
      </c>
      <c r="H24" s="92" t="s">
        <v>13</v>
      </c>
      <c r="I24" s="92" t="s">
        <v>230</v>
      </c>
      <c r="J24" s="93" t="s">
        <v>257</v>
      </c>
      <c r="K24" s="94">
        <v>30.7</v>
      </c>
      <c r="L24" s="94">
        <f>K24*VLOOKUP(H24,dagsoorttabel1,2,FALSE)</f>
        <v>12.280000000000001</v>
      </c>
      <c r="M24" s="95">
        <f>prodnorm88</f>
        <v>0</v>
      </c>
      <c r="N24" s="92" t="s">
        <v>101</v>
      </c>
      <c r="O24" s="26">
        <f>uurtarief88</f>
        <v>0</v>
      </c>
      <c r="P24" s="94" t="e">
        <f>IF(ISBLANK(M24),0,L24/ROUND(M24,4))</f>
        <v>#DIV/0!</v>
      </c>
      <c r="Q24" s="26" t="e">
        <f>ROUND(O24,2)*P24</f>
        <v>#DIV/0!</v>
      </c>
      <c r="R24" s="94" t="e">
        <f>P24*dagenperjaar1</f>
        <v>#DIV/0!</v>
      </c>
      <c r="S24" s="27" t="e">
        <f>R24*ROUND(O24,2)</f>
        <v>#DIV/0!</v>
      </c>
    </row>
    <row r="25" spans="1:19" x14ac:dyDescent="0.2">
      <c r="A25" s="91" t="s">
        <v>333</v>
      </c>
      <c r="B25" s="92" t="s">
        <v>334</v>
      </c>
      <c r="C25" s="92" t="s">
        <v>335</v>
      </c>
      <c r="D25" s="92" t="s">
        <v>375</v>
      </c>
      <c r="E25" s="93" t="s">
        <v>376</v>
      </c>
      <c r="F25" s="92" t="s">
        <v>342</v>
      </c>
      <c r="G25" s="92" t="s">
        <v>310</v>
      </c>
      <c r="H25" s="92" t="s">
        <v>13</v>
      </c>
      <c r="I25" s="92" t="s">
        <v>230</v>
      </c>
      <c r="J25" s="93" t="s">
        <v>253</v>
      </c>
      <c r="K25" s="94">
        <v>1.2</v>
      </c>
      <c r="L25" s="94">
        <f>K25*VLOOKUP(H25,dagsoorttabel1,2,FALSE)</f>
        <v>0.48</v>
      </c>
      <c r="M25" s="95">
        <f>prodnorm86</f>
        <v>0</v>
      </c>
      <c r="N25" s="92" t="s">
        <v>101</v>
      </c>
      <c r="O25" s="26">
        <f>uurtarief86</f>
        <v>0</v>
      </c>
      <c r="P25" s="94" t="e">
        <f>IF(ISBLANK(M25),0,L25/ROUND(M25,4))</f>
        <v>#DIV/0!</v>
      </c>
      <c r="Q25" s="26" t="e">
        <f>ROUND(O25,2)*P25</f>
        <v>#DIV/0!</v>
      </c>
      <c r="R25" s="94" t="e">
        <f>P25*dagenperjaar1</f>
        <v>#DIV/0!</v>
      </c>
      <c r="S25" s="27" t="e">
        <f>R25*ROUND(O25,2)</f>
        <v>#DIV/0!</v>
      </c>
    </row>
    <row r="26" spans="1:19" x14ac:dyDescent="0.2">
      <c r="A26" s="91" t="s">
        <v>333</v>
      </c>
      <c r="B26" s="92" t="s">
        <v>334</v>
      </c>
      <c r="C26" s="92" t="s">
        <v>335</v>
      </c>
      <c r="D26" s="92" t="s">
        <v>375</v>
      </c>
      <c r="E26" s="93" t="s">
        <v>376</v>
      </c>
      <c r="F26" s="92" t="s">
        <v>342</v>
      </c>
      <c r="G26" s="92" t="s">
        <v>311</v>
      </c>
      <c r="H26" s="92" t="s">
        <v>13</v>
      </c>
      <c r="I26" s="92" t="s">
        <v>230</v>
      </c>
      <c r="J26" s="93" t="s">
        <v>312</v>
      </c>
      <c r="K26" s="94">
        <v>1.2</v>
      </c>
      <c r="L26" s="94">
        <f>K26*VLOOKUP(H26,dagsoorttabel1,2,FALSE)</f>
        <v>0.48</v>
      </c>
      <c r="M26" s="95">
        <f>prodnorm87</f>
        <v>0</v>
      </c>
      <c r="N26" s="92" t="s">
        <v>101</v>
      </c>
      <c r="O26" s="26">
        <f>uurtarief87</f>
        <v>0</v>
      </c>
      <c r="P26" s="94" t="e">
        <f>IF(ISBLANK(M26),0,L26/ROUND(M26,4))</f>
        <v>#DIV/0!</v>
      </c>
      <c r="Q26" s="26" t="e">
        <f>ROUND(O26,2)*P26</f>
        <v>#DIV/0!</v>
      </c>
      <c r="R26" s="94" t="e">
        <f>P26*dagenperjaar1</f>
        <v>#DIV/0!</v>
      </c>
      <c r="S26" s="27" t="e">
        <f>R26*ROUND(O26,2)</f>
        <v>#DIV/0!</v>
      </c>
    </row>
    <row r="27" spans="1:19" x14ac:dyDescent="0.2">
      <c r="A27" s="91" t="s">
        <v>333</v>
      </c>
      <c r="B27" s="92" t="s">
        <v>334</v>
      </c>
      <c r="C27" s="92" t="s">
        <v>335</v>
      </c>
      <c r="D27" s="92" t="s">
        <v>377</v>
      </c>
      <c r="E27" s="93" t="s">
        <v>376</v>
      </c>
      <c r="F27" s="92" t="s">
        <v>342</v>
      </c>
      <c r="G27" s="92" t="s">
        <v>310</v>
      </c>
      <c r="H27" s="92" t="s">
        <v>13</v>
      </c>
      <c r="I27" s="92" t="s">
        <v>230</v>
      </c>
      <c r="J27" s="93" t="s">
        <v>253</v>
      </c>
      <c r="K27" s="94">
        <v>1.2</v>
      </c>
      <c r="L27" s="94">
        <f>K27*VLOOKUP(H27,dagsoorttabel1,2,FALSE)</f>
        <v>0.48</v>
      </c>
      <c r="M27" s="95">
        <f>prodnorm86</f>
        <v>0</v>
      </c>
      <c r="N27" s="92" t="s">
        <v>101</v>
      </c>
      <c r="O27" s="26">
        <f>uurtarief86</f>
        <v>0</v>
      </c>
      <c r="P27" s="94" t="e">
        <f>IF(ISBLANK(M27),0,L27/ROUND(M27,4))</f>
        <v>#DIV/0!</v>
      </c>
      <c r="Q27" s="26" t="e">
        <f>ROUND(O27,2)*P27</f>
        <v>#DIV/0!</v>
      </c>
      <c r="R27" s="94" t="e">
        <f>P27*dagenperjaar1</f>
        <v>#DIV/0!</v>
      </c>
      <c r="S27" s="27" t="e">
        <f>R27*ROUND(O27,2)</f>
        <v>#DIV/0!</v>
      </c>
    </row>
    <row r="28" spans="1:19" x14ac:dyDescent="0.2">
      <c r="A28" s="91" t="s">
        <v>333</v>
      </c>
      <c r="B28" s="92" t="s">
        <v>334</v>
      </c>
      <c r="C28" s="92" t="s">
        <v>335</v>
      </c>
      <c r="D28" s="92" t="s">
        <v>377</v>
      </c>
      <c r="E28" s="93" t="s">
        <v>376</v>
      </c>
      <c r="F28" s="92" t="s">
        <v>342</v>
      </c>
      <c r="G28" s="92" t="s">
        <v>311</v>
      </c>
      <c r="H28" s="92" t="s">
        <v>13</v>
      </c>
      <c r="I28" s="92" t="s">
        <v>230</v>
      </c>
      <c r="J28" s="93" t="s">
        <v>312</v>
      </c>
      <c r="K28" s="94">
        <v>1.2</v>
      </c>
      <c r="L28" s="94">
        <f>K28*VLOOKUP(H28,dagsoorttabel1,2,FALSE)</f>
        <v>0.48</v>
      </c>
      <c r="M28" s="95">
        <f>prodnorm87</f>
        <v>0</v>
      </c>
      <c r="N28" s="92" t="s">
        <v>101</v>
      </c>
      <c r="O28" s="26">
        <f>uurtarief87</f>
        <v>0</v>
      </c>
      <c r="P28" s="94" t="e">
        <f>IF(ISBLANK(M28),0,L28/ROUND(M28,4))</f>
        <v>#DIV/0!</v>
      </c>
      <c r="Q28" s="26" t="e">
        <f>ROUND(O28,2)*P28</f>
        <v>#DIV/0!</v>
      </c>
      <c r="R28" s="94" t="e">
        <f>P28*dagenperjaar1</f>
        <v>#DIV/0!</v>
      </c>
      <c r="S28" s="27" t="e">
        <f>R28*ROUND(O28,2)</f>
        <v>#DIV/0!</v>
      </c>
    </row>
    <row r="29" spans="1:19" x14ac:dyDescent="0.2">
      <c r="A29" s="91" t="s">
        <v>333</v>
      </c>
      <c r="B29" s="92" t="s">
        <v>334</v>
      </c>
      <c r="C29" s="92" t="s">
        <v>335</v>
      </c>
      <c r="D29" s="92" t="s">
        <v>383</v>
      </c>
      <c r="E29" s="93" t="s">
        <v>384</v>
      </c>
      <c r="F29" s="92" t="s">
        <v>349</v>
      </c>
      <c r="G29" s="92" t="s">
        <v>310</v>
      </c>
      <c r="H29" s="92" t="s">
        <v>13</v>
      </c>
      <c r="I29" s="92" t="s">
        <v>230</v>
      </c>
      <c r="J29" s="93" t="s">
        <v>253</v>
      </c>
      <c r="K29" s="94">
        <v>5.4</v>
      </c>
      <c r="L29" s="94">
        <f>K29*VLOOKUP(H29,dagsoorttabel1,2,FALSE)</f>
        <v>2.16</v>
      </c>
      <c r="M29" s="95">
        <f>prodnorm86</f>
        <v>0</v>
      </c>
      <c r="N29" s="92" t="s">
        <v>101</v>
      </c>
      <c r="O29" s="26">
        <f>uurtarief86</f>
        <v>0</v>
      </c>
      <c r="P29" s="94" t="e">
        <f>IF(ISBLANK(M29),0,L29/ROUND(M29,4))</f>
        <v>#DIV/0!</v>
      </c>
      <c r="Q29" s="26" t="e">
        <f>ROUND(O29,2)*P29</f>
        <v>#DIV/0!</v>
      </c>
      <c r="R29" s="94" t="e">
        <f>P29*dagenperjaar1</f>
        <v>#DIV/0!</v>
      </c>
      <c r="S29" s="27" t="e">
        <f>R29*ROUND(O29,2)</f>
        <v>#DIV/0!</v>
      </c>
    </row>
    <row r="30" spans="1:19" x14ac:dyDescent="0.2">
      <c r="A30" s="91" t="s">
        <v>333</v>
      </c>
      <c r="B30" s="92" t="s">
        <v>334</v>
      </c>
      <c r="C30" s="92" t="s">
        <v>335</v>
      </c>
      <c r="D30" s="92" t="s">
        <v>383</v>
      </c>
      <c r="E30" s="93" t="s">
        <v>384</v>
      </c>
      <c r="F30" s="92" t="s">
        <v>349</v>
      </c>
      <c r="G30" s="92" t="s">
        <v>311</v>
      </c>
      <c r="H30" s="92" t="s">
        <v>13</v>
      </c>
      <c r="I30" s="92" t="s">
        <v>230</v>
      </c>
      <c r="J30" s="93" t="s">
        <v>312</v>
      </c>
      <c r="K30" s="94">
        <v>5.4</v>
      </c>
      <c r="L30" s="94">
        <f>K30*VLOOKUP(H30,dagsoorttabel1,2,FALSE)</f>
        <v>2.16</v>
      </c>
      <c r="M30" s="95">
        <f>prodnorm87</f>
        <v>0</v>
      </c>
      <c r="N30" s="92" t="s">
        <v>101</v>
      </c>
      <c r="O30" s="26">
        <f>uurtarief87</f>
        <v>0</v>
      </c>
      <c r="P30" s="94" t="e">
        <f>IF(ISBLANK(M30),0,L30/ROUND(M30,4))</f>
        <v>#DIV/0!</v>
      </c>
      <c r="Q30" s="26" t="e">
        <f>ROUND(O30,2)*P30</f>
        <v>#DIV/0!</v>
      </c>
      <c r="R30" s="94" t="e">
        <f>P30*dagenperjaar1</f>
        <v>#DIV/0!</v>
      </c>
      <c r="S30" s="27" t="e">
        <f>R30*ROUND(O30,2)</f>
        <v>#DIV/0!</v>
      </c>
    </row>
    <row r="31" spans="1:19" x14ac:dyDescent="0.2">
      <c r="A31" s="91" t="s">
        <v>333</v>
      </c>
      <c r="B31" s="92" t="s">
        <v>334</v>
      </c>
      <c r="C31" s="92" t="s">
        <v>335</v>
      </c>
      <c r="D31" s="92" t="s">
        <v>385</v>
      </c>
      <c r="E31" s="93" t="s">
        <v>386</v>
      </c>
      <c r="F31" s="92" t="s">
        <v>364</v>
      </c>
      <c r="G31" s="92" t="s">
        <v>313</v>
      </c>
      <c r="H31" s="92" t="s">
        <v>13</v>
      </c>
      <c r="I31" s="92" t="s">
        <v>230</v>
      </c>
      <c r="J31" s="93" t="s">
        <v>257</v>
      </c>
      <c r="K31" s="94">
        <v>34.1</v>
      </c>
      <c r="L31" s="94">
        <f>K31*VLOOKUP(H31,dagsoorttabel1,2,FALSE)</f>
        <v>13.64</v>
      </c>
      <c r="M31" s="95">
        <f>prodnorm88</f>
        <v>0</v>
      </c>
      <c r="N31" s="92" t="s">
        <v>101</v>
      </c>
      <c r="O31" s="26">
        <f>uurtarief88</f>
        <v>0</v>
      </c>
      <c r="P31" s="94" t="e">
        <f>IF(ISBLANK(M31),0,L31/ROUND(M31,4))</f>
        <v>#DIV/0!</v>
      </c>
      <c r="Q31" s="26" t="e">
        <f>ROUND(O31,2)*P31</f>
        <v>#DIV/0!</v>
      </c>
      <c r="R31" s="94" t="e">
        <f>P31*dagenperjaar1</f>
        <v>#DIV/0!</v>
      </c>
      <c r="S31" s="27" t="e">
        <f>R31*ROUND(O31,2)</f>
        <v>#DIV/0!</v>
      </c>
    </row>
    <row r="32" spans="1:19" x14ac:dyDescent="0.2">
      <c r="A32" s="91" t="s">
        <v>333</v>
      </c>
      <c r="B32" s="92" t="s">
        <v>334</v>
      </c>
      <c r="C32" s="92" t="s">
        <v>335</v>
      </c>
      <c r="D32" s="92" t="s">
        <v>389</v>
      </c>
      <c r="E32" s="93" t="s">
        <v>390</v>
      </c>
      <c r="F32" s="92" t="s">
        <v>338</v>
      </c>
      <c r="G32" s="92" t="s">
        <v>317</v>
      </c>
      <c r="H32" s="92" t="s">
        <v>13</v>
      </c>
      <c r="I32" s="92" t="s">
        <v>230</v>
      </c>
      <c r="J32" s="93" t="s">
        <v>267</v>
      </c>
      <c r="K32" s="94">
        <v>7.3</v>
      </c>
      <c r="L32" s="94">
        <f>K32*VLOOKUP(H32,dagsoorttabel1,2,FALSE)</f>
        <v>2.92</v>
      </c>
      <c r="M32" s="95">
        <f>prodnorm92</f>
        <v>0</v>
      </c>
      <c r="N32" s="92" t="s">
        <v>101</v>
      </c>
      <c r="O32" s="26">
        <f>uurtarief92</f>
        <v>0</v>
      </c>
      <c r="P32" s="94" t="e">
        <f>IF(ISBLANK(M32),0,L32/ROUND(M32,4))</f>
        <v>#DIV/0!</v>
      </c>
      <c r="Q32" s="26" t="e">
        <f>ROUND(O32,2)*P32</f>
        <v>#DIV/0!</v>
      </c>
      <c r="R32" s="94" t="e">
        <f>P32*dagenperjaar1</f>
        <v>#DIV/0!</v>
      </c>
      <c r="S32" s="27" t="e">
        <f>R32*ROUND(O32,2)</f>
        <v>#DIV/0!</v>
      </c>
    </row>
    <row r="33" spans="1:19" x14ac:dyDescent="0.2">
      <c r="A33" s="91" t="s">
        <v>333</v>
      </c>
      <c r="B33" s="92" t="s">
        <v>334</v>
      </c>
      <c r="C33" s="92" t="s">
        <v>393</v>
      </c>
      <c r="D33" s="92" t="s">
        <v>396</v>
      </c>
      <c r="E33" s="93" t="s">
        <v>397</v>
      </c>
      <c r="F33" s="92" t="s">
        <v>342</v>
      </c>
      <c r="G33" s="92" t="s">
        <v>313</v>
      </c>
      <c r="H33" s="92" t="s">
        <v>13</v>
      </c>
      <c r="I33" s="92" t="s">
        <v>230</v>
      </c>
      <c r="J33" s="93" t="s">
        <v>257</v>
      </c>
      <c r="K33" s="94">
        <v>8</v>
      </c>
      <c r="L33" s="94">
        <f>K33*VLOOKUP(H33,dagsoorttabel1,2,FALSE)</f>
        <v>3.2</v>
      </c>
      <c r="M33" s="95">
        <f>prodnorm88</f>
        <v>0</v>
      </c>
      <c r="N33" s="92" t="s">
        <v>101</v>
      </c>
      <c r="O33" s="26">
        <f>uurtarief88</f>
        <v>0</v>
      </c>
      <c r="P33" s="94" t="e">
        <f>IF(ISBLANK(M33),0,L33/ROUND(M33,4))</f>
        <v>#DIV/0!</v>
      </c>
      <c r="Q33" s="26" t="e">
        <f>ROUND(O33,2)*P33</f>
        <v>#DIV/0!</v>
      </c>
      <c r="R33" s="94" t="e">
        <f>P33*dagenperjaar1</f>
        <v>#DIV/0!</v>
      </c>
      <c r="S33" s="27" t="e">
        <f>R33*ROUND(O33,2)</f>
        <v>#DIV/0!</v>
      </c>
    </row>
    <row r="34" spans="1:19" x14ac:dyDescent="0.2">
      <c r="A34" s="91" t="s">
        <v>333</v>
      </c>
      <c r="B34" s="92" t="s">
        <v>334</v>
      </c>
      <c r="C34" s="92" t="s">
        <v>393</v>
      </c>
      <c r="D34" s="92" t="s">
        <v>398</v>
      </c>
      <c r="E34" s="93" t="s">
        <v>399</v>
      </c>
      <c r="F34" s="92" t="s">
        <v>364</v>
      </c>
      <c r="G34" s="92" t="s">
        <v>306</v>
      </c>
      <c r="H34" s="92" t="s">
        <v>13</v>
      </c>
      <c r="I34" s="92" t="s">
        <v>230</v>
      </c>
      <c r="J34" s="93" t="s">
        <v>243</v>
      </c>
      <c r="K34" s="94">
        <v>67.8</v>
      </c>
      <c r="L34" s="94">
        <f>K34*VLOOKUP(H34,dagsoorttabel1,2,FALSE)</f>
        <v>27.12</v>
      </c>
      <c r="M34" s="95">
        <f>prodnorm82</f>
        <v>0</v>
      </c>
      <c r="N34" s="92" t="s">
        <v>101</v>
      </c>
      <c r="O34" s="26">
        <f>uurtarief82</f>
        <v>0</v>
      </c>
      <c r="P34" s="94" t="e">
        <f>IF(ISBLANK(M34),0,L34/ROUND(M34,4))</f>
        <v>#DIV/0!</v>
      </c>
      <c r="Q34" s="26" t="e">
        <f>ROUND(O34,2)*P34</f>
        <v>#DIV/0!</v>
      </c>
      <c r="R34" s="94" t="e">
        <f>P34*dagenperjaar1</f>
        <v>#DIV/0!</v>
      </c>
      <c r="S34" s="27" t="e">
        <f>R34*ROUND(O34,2)</f>
        <v>#DIV/0!</v>
      </c>
    </row>
    <row r="35" spans="1:19" x14ac:dyDescent="0.2">
      <c r="A35" s="91" t="s">
        <v>333</v>
      </c>
      <c r="B35" s="92" t="s">
        <v>334</v>
      </c>
      <c r="C35" s="92" t="s">
        <v>393</v>
      </c>
      <c r="D35" s="92" t="s">
        <v>400</v>
      </c>
      <c r="E35" s="93" t="s">
        <v>401</v>
      </c>
      <c r="F35" s="92" t="s">
        <v>364</v>
      </c>
      <c r="G35" s="92" t="s">
        <v>306</v>
      </c>
      <c r="H35" s="92" t="s">
        <v>13</v>
      </c>
      <c r="I35" s="92" t="s">
        <v>230</v>
      </c>
      <c r="J35" s="93" t="s">
        <v>243</v>
      </c>
      <c r="K35" s="94">
        <v>40.700000000000003</v>
      </c>
      <c r="L35" s="94">
        <f>K35*VLOOKUP(H35,dagsoorttabel1,2,FALSE)</f>
        <v>16.28</v>
      </c>
      <c r="M35" s="95">
        <f>prodnorm82</f>
        <v>0</v>
      </c>
      <c r="N35" s="92" t="s">
        <v>101</v>
      </c>
      <c r="O35" s="26">
        <f>uurtarief82</f>
        <v>0</v>
      </c>
      <c r="P35" s="94" t="e">
        <f>IF(ISBLANK(M35),0,L35/ROUND(M35,4))</f>
        <v>#DIV/0!</v>
      </c>
      <c r="Q35" s="26" t="e">
        <f>ROUND(O35,2)*P35</f>
        <v>#DIV/0!</v>
      </c>
      <c r="R35" s="94" t="e">
        <f>P35*dagenperjaar1</f>
        <v>#DIV/0!</v>
      </c>
      <c r="S35" s="27" t="e">
        <f>R35*ROUND(O35,2)</f>
        <v>#DIV/0!</v>
      </c>
    </row>
    <row r="36" spans="1:19" x14ac:dyDescent="0.2">
      <c r="A36" s="91" t="s">
        <v>333</v>
      </c>
      <c r="B36" s="92" t="s">
        <v>334</v>
      </c>
      <c r="C36" s="92" t="s">
        <v>393</v>
      </c>
      <c r="D36" s="92" t="s">
        <v>402</v>
      </c>
      <c r="E36" s="93" t="s">
        <v>403</v>
      </c>
      <c r="F36" s="92" t="s">
        <v>364</v>
      </c>
      <c r="G36" s="92" t="s">
        <v>306</v>
      </c>
      <c r="H36" s="92" t="s">
        <v>13</v>
      </c>
      <c r="I36" s="92" t="s">
        <v>230</v>
      </c>
      <c r="J36" s="93" t="s">
        <v>243</v>
      </c>
      <c r="K36" s="94">
        <v>68</v>
      </c>
      <c r="L36" s="94">
        <f>K36*VLOOKUP(H36,dagsoorttabel1,2,FALSE)</f>
        <v>27.200000000000003</v>
      </c>
      <c r="M36" s="95">
        <f>prodnorm82</f>
        <v>0</v>
      </c>
      <c r="N36" s="92" t="s">
        <v>101</v>
      </c>
      <c r="O36" s="26">
        <f>uurtarief82</f>
        <v>0</v>
      </c>
      <c r="P36" s="94" t="e">
        <f>IF(ISBLANK(M36),0,L36/ROUND(M36,4))</f>
        <v>#DIV/0!</v>
      </c>
      <c r="Q36" s="26" t="e">
        <f>ROUND(O36,2)*P36</f>
        <v>#DIV/0!</v>
      </c>
      <c r="R36" s="94" t="e">
        <f>P36*dagenperjaar1</f>
        <v>#DIV/0!</v>
      </c>
      <c r="S36" s="27" t="e">
        <f>R36*ROUND(O36,2)</f>
        <v>#DIV/0!</v>
      </c>
    </row>
    <row r="37" spans="1:19" x14ac:dyDescent="0.2">
      <c r="A37" s="91" t="s">
        <v>333</v>
      </c>
      <c r="B37" s="92" t="s">
        <v>334</v>
      </c>
      <c r="C37" s="92" t="s">
        <v>393</v>
      </c>
      <c r="D37" s="92" t="s">
        <v>404</v>
      </c>
      <c r="E37" s="93" t="s">
        <v>405</v>
      </c>
      <c r="F37" s="92" t="s">
        <v>364</v>
      </c>
      <c r="G37" s="92" t="s">
        <v>306</v>
      </c>
      <c r="H37" s="92" t="s">
        <v>13</v>
      </c>
      <c r="I37" s="92" t="s">
        <v>230</v>
      </c>
      <c r="J37" s="93" t="s">
        <v>243</v>
      </c>
      <c r="K37" s="94">
        <v>41.1</v>
      </c>
      <c r="L37" s="94">
        <f>K37*VLOOKUP(H37,dagsoorttabel1,2,FALSE)</f>
        <v>16.440000000000001</v>
      </c>
      <c r="M37" s="95">
        <f>prodnorm82</f>
        <v>0</v>
      </c>
      <c r="N37" s="92" t="s">
        <v>101</v>
      </c>
      <c r="O37" s="26">
        <f>uurtarief82</f>
        <v>0</v>
      </c>
      <c r="P37" s="94" t="e">
        <f>IF(ISBLANK(M37),0,L37/ROUND(M37,4))</f>
        <v>#DIV/0!</v>
      </c>
      <c r="Q37" s="26" t="e">
        <f>ROUND(O37,2)*P37</f>
        <v>#DIV/0!</v>
      </c>
      <c r="R37" s="94" t="e">
        <f>P37*dagenperjaar1</f>
        <v>#DIV/0!</v>
      </c>
      <c r="S37" s="27" t="e">
        <f>R37*ROUND(O37,2)</f>
        <v>#DIV/0!</v>
      </c>
    </row>
    <row r="38" spans="1:19" x14ac:dyDescent="0.2">
      <c r="A38" s="91" t="s">
        <v>333</v>
      </c>
      <c r="B38" s="92" t="s">
        <v>334</v>
      </c>
      <c r="C38" s="92" t="s">
        <v>393</v>
      </c>
      <c r="D38" s="92" t="s">
        <v>406</v>
      </c>
      <c r="E38" s="93" t="s">
        <v>407</v>
      </c>
      <c r="F38" s="92" t="s">
        <v>364</v>
      </c>
      <c r="G38" s="92" t="s">
        <v>306</v>
      </c>
      <c r="H38" s="92" t="s">
        <v>13</v>
      </c>
      <c r="I38" s="92" t="s">
        <v>230</v>
      </c>
      <c r="J38" s="93" t="s">
        <v>243</v>
      </c>
      <c r="K38" s="94">
        <v>43.1</v>
      </c>
      <c r="L38" s="94">
        <f>K38*VLOOKUP(H38,dagsoorttabel1,2,FALSE)</f>
        <v>17.240000000000002</v>
      </c>
      <c r="M38" s="95">
        <f>prodnorm82</f>
        <v>0</v>
      </c>
      <c r="N38" s="92" t="s">
        <v>101</v>
      </c>
      <c r="O38" s="26">
        <f>uurtarief82</f>
        <v>0</v>
      </c>
      <c r="P38" s="94" t="e">
        <f>IF(ISBLANK(M38),0,L38/ROUND(M38,4))</f>
        <v>#DIV/0!</v>
      </c>
      <c r="Q38" s="26" t="e">
        <f>ROUND(O38,2)*P38</f>
        <v>#DIV/0!</v>
      </c>
      <c r="R38" s="94" t="e">
        <f>P38*dagenperjaar1</f>
        <v>#DIV/0!</v>
      </c>
      <c r="S38" s="27" t="e">
        <f>R38*ROUND(O38,2)</f>
        <v>#DIV/0!</v>
      </c>
    </row>
    <row r="39" spans="1:19" x14ac:dyDescent="0.2">
      <c r="A39" s="91" t="s">
        <v>333</v>
      </c>
      <c r="B39" s="92" t="s">
        <v>334</v>
      </c>
      <c r="C39" s="92" t="s">
        <v>393</v>
      </c>
      <c r="D39" s="92" t="s">
        <v>408</v>
      </c>
      <c r="E39" s="93" t="s">
        <v>409</v>
      </c>
      <c r="F39" s="92" t="s">
        <v>364</v>
      </c>
      <c r="G39" s="92" t="s">
        <v>306</v>
      </c>
      <c r="H39" s="92" t="s">
        <v>13</v>
      </c>
      <c r="I39" s="92" t="s">
        <v>230</v>
      </c>
      <c r="J39" s="93" t="s">
        <v>243</v>
      </c>
      <c r="K39" s="94">
        <v>50.6</v>
      </c>
      <c r="L39" s="94">
        <f>K39*VLOOKUP(H39,dagsoorttabel1,2,FALSE)</f>
        <v>20.240000000000002</v>
      </c>
      <c r="M39" s="95">
        <f>prodnorm82</f>
        <v>0</v>
      </c>
      <c r="N39" s="92" t="s">
        <v>101</v>
      </c>
      <c r="O39" s="26">
        <f>uurtarief82</f>
        <v>0</v>
      </c>
      <c r="P39" s="94" t="e">
        <f>IF(ISBLANK(M39),0,L39/ROUND(M39,4))</f>
        <v>#DIV/0!</v>
      </c>
      <c r="Q39" s="26" t="e">
        <f>ROUND(O39,2)*P39</f>
        <v>#DIV/0!</v>
      </c>
      <c r="R39" s="94" t="e">
        <f>P39*dagenperjaar1</f>
        <v>#DIV/0!</v>
      </c>
      <c r="S39" s="27" t="e">
        <f>R39*ROUND(O39,2)</f>
        <v>#DIV/0!</v>
      </c>
    </row>
    <row r="40" spans="1:19" x14ac:dyDescent="0.2">
      <c r="A40" s="91" t="s">
        <v>333</v>
      </c>
      <c r="B40" s="92" t="s">
        <v>334</v>
      </c>
      <c r="C40" s="92" t="s">
        <v>393</v>
      </c>
      <c r="D40" s="92" t="s">
        <v>410</v>
      </c>
      <c r="E40" s="93" t="s">
        <v>411</v>
      </c>
      <c r="F40" s="92" t="s">
        <v>364</v>
      </c>
      <c r="G40" s="92" t="s">
        <v>306</v>
      </c>
      <c r="H40" s="92" t="s">
        <v>13</v>
      </c>
      <c r="I40" s="92" t="s">
        <v>230</v>
      </c>
      <c r="J40" s="93" t="s">
        <v>243</v>
      </c>
      <c r="K40" s="94">
        <v>48.8</v>
      </c>
      <c r="L40" s="94">
        <f>K40*VLOOKUP(H40,dagsoorttabel1,2,FALSE)</f>
        <v>19.52</v>
      </c>
      <c r="M40" s="95">
        <f>prodnorm82</f>
        <v>0</v>
      </c>
      <c r="N40" s="92" t="s">
        <v>101</v>
      </c>
      <c r="O40" s="26">
        <f>uurtarief82</f>
        <v>0</v>
      </c>
      <c r="P40" s="94" t="e">
        <f>IF(ISBLANK(M40),0,L40/ROUND(M40,4))</f>
        <v>#DIV/0!</v>
      </c>
      <c r="Q40" s="26" t="e">
        <f>ROUND(O40,2)*P40</f>
        <v>#DIV/0!</v>
      </c>
      <c r="R40" s="94" t="e">
        <f>P40*dagenperjaar1</f>
        <v>#DIV/0!</v>
      </c>
      <c r="S40" s="27" t="e">
        <f>R40*ROUND(O40,2)</f>
        <v>#DIV/0!</v>
      </c>
    </row>
    <row r="41" spans="1:19" x14ac:dyDescent="0.2">
      <c r="A41" s="91" t="s">
        <v>333</v>
      </c>
      <c r="B41" s="92" t="s">
        <v>334</v>
      </c>
      <c r="C41" s="92" t="s">
        <v>393</v>
      </c>
      <c r="D41" s="92" t="s">
        <v>412</v>
      </c>
      <c r="E41" s="93" t="s">
        <v>413</v>
      </c>
      <c r="F41" s="92" t="s">
        <v>364</v>
      </c>
      <c r="G41" s="92" t="s">
        <v>306</v>
      </c>
      <c r="H41" s="92" t="s">
        <v>13</v>
      </c>
      <c r="I41" s="92" t="s">
        <v>230</v>
      </c>
      <c r="J41" s="93" t="s">
        <v>243</v>
      </c>
      <c r="K41" s="94">
        <v>50.5</v>
      </c>
      <c r="L41" s="94">
        <f>K41*VLOOKUP(H41,dagsoorttabel1,2,FALSE)</f>
        <v>20.200000000000003</v>
      </c>
      <c r="M41" s="95">
        <f>prodnorm82</f>
        <v>0</v>
      </c>
      <c r="N41" s="92" t="s">
        <v>101</v>
      </c>
      <c r="O41" s="26">
        <f>uurtarief82</f>
        <v>0</v>
      </c>
      <c r="P41" s="94" t="e">
        <f>IF(ISBLANK(M41),0,L41/ROUND(M41,4))</f>
        <v>#DIV/0!</v>
      </c>
      <c r="Q41" s="26" t="e">
        <f>ROUND(O41,2)*P41</f>
        <v>#DIV/0!</v>
      </c>
      <c r="R41" s="94" t="e">
        <f>P41*dagenperjaar1</f>
        <v>#DIV/0!</v>
      </c>
      <c r="S41" s="27" t="e">
        <f>R41*ROUND(O41,2)</f>
        <v>#DIV/0!</v>
      </c>
    </row>
    <row r="42" spans="1:19" x14ac:dyDescent="0.2">
      <c r="A42" s="91" t="s">
        <v>333</v>
      </c>
      <c r="B42" s="92" t="s">
        <v>334</v>
      </c>
      <c r="C42" s="92" t="s">
        <v>393</v>
      </c>
      <c r="D42" s="92" t="s">
        <v>414</v>
      </c>
      <c r="E42" s="93" t="s">
        <v>415</v>
      </c>
      <c r="F42" s="92" t="s">
        <v>416</v>
      </c>
      <c r="G42" s="92" t="s">
        <v>313</v>
      </c>
      <c r="H42" s="92" t="s">
        <v>13</v>
      </c>
      <c r="I42" s="92" t="s">
        <v>230</v>
      </c>
      <c r="J42" s="93" t="s">
        <v>257</v>
      </c>
      <c r="K42" s="94">
        <v>12.8</v>
      </c>
      <c r="L42" s="94">
        <f>K42*VLOOKUP(H42,dagsoorttabel1,2,FALSE)</f>
        <v>5.120000000000001</v>
      </c>
      <c r="M42" s="95">
        <f>prodnorm88</f>
        <v>0</v>
      </c>
      <c r="N42" s="92" t="s">
        <v>101</v>
      </c>
      <c r="O42" s="26">
        <f>uurtarief88</f>
        <v>0</v>
      </c>
      <c r="P42" s="94" t="e">
        <f>IF(ISBLANK(M42),0,L42/ROUND(M42,4))</f>
        <v>#DIV/0!</v>
      </c>
      <c r="Q42" s="26" t="e">
        <f>ROUND(O42,2)*P42</f>
        <v>#DIV/0!</v>
      </c>
      <c r="R42" s="94" t="e">
        <f>P42*dagenperjaar1</f>
        <v>#DIV/0!</v>
      </c>
      <c r="S42" s="27" t="e">
        <f>R42*ROUND(O42,2)</f>
        <v>#DIV/0!</v>
      </c>
    </row>
    <row r="43" spans="1:19" x14ac:dyDescent="0.2">
      <c r="A43" s="91" t="s">
        <v>333</v>
      </c>
      <c r="B43" s="92" t="s">
        <v>334</v>
      </c>
      <c r="C43" s="92" t="s">
        <v>393</v>
      </c>
      <c r="D43" s="92" t="s">
        <v>417</v>
      </c>
      <c r="E43" s="93" t="s">
        <v>418</v>
      </c>
      <c r="F43" s="92" t="s">
        <v>342</v>
      </c>
      <c r="G43" s="92" t="s">
        <v>317</v>
      </c>
      <c r="H43" s="92" t="s">
        <v>13</v>
      </c>
      <c r="I43" s="92" t="s">
        <v>230</v>
      </c>
      <c r="J43" s="93" t="s">
        <v>267</v>
      </c>
      <c r="K43" s="94">
        <v>9.1</v>
      </c>
      <c r="L43" s="94">
        <f>K43*VLOOKUP(H43,dagsoorttabel1,2,FALSE)</f>
        <v>3.64</v>
      </c>
      <c r="M43" s="95">
        <f>prodnorm92</f>
        <v>0</v>
      </c>
      <c r="N43" s="92" t="s">
        <v>101</v>
      </c>
      <c r="O43" s="26">
        <f>uurtarief92</f>
        <v>0</v>
      </c>
      <c r="P43" s="94" t="e">
        <f>IF(ISBLANK(M43),0,L43/ROUND(M43,4))</f>
        <v>#DIV/0!</v>
      </c>
      <c r="Q43" s="26" t="e">
        <f>ROUND(O43,2)*P43</f>
        <v>#DIV/0!</v>
      </c>
      <c r="R43" s="94" t="e">
        <f>P43*dagenperjaar1</f>
        <v>#DIV/0!</v>
      </c>
      <c r="S43" s="27" t="e">
        <f>R43*ROUND(O43,2)</f>
        <v>#DIV/0!</v>
      </c>
    </row>
    <row r="44" spans="1:19" x14ac:dyDescent="0.2">
      <c r="A44" s="91" t="s">
        <v>333</v>
      </c>
      <c r="B44" s="92" t="s">
        <v>334</v>
      </c>
      <c r="C44" s="92" t="s">
        <v>419</v>
      </c>
      <c r="D44" s="92" t="s">
        <v>420</v>
      </c>
      <c r="E44" s="93" t="s">
        <v>421</v>
      </c>
      <c r="F44" s="92" t="s">
        <v>364</v>
      </c>
      <c r="G44" s="92" t="s">
        <v>306</v>
      </c>
      <c r="H44" s="92" t="s">
        <v>13</v>
      </c>
      <c r="I44" s="92" t="s">
        <v>230</v>
      </c>
      <c r="J44" s="93" t="s">
        <v>243</v>
      </c>
      <c r="K44" s="94">
        <v>20</v>
      </c>
      <c r="L44" s="94">
        <f>K44*VLOOKUP(H44,dagsoorttabel1,2,FALSE)</f>
        <v>8</v>
      </c>
      <c r="M44" s="95">
        <f>prodnorm82</f>
        <v>0</v>
      </c>
      <c r="N44" s="92" t="s">
        <v>101</v>
      </c>
      <c r="O44" s="26">
        <f>uurtarief82</f>
        <v>0</v>
      </c>
      <c r="P44" s="94" t="e">
        <f>IF(ISBLANK(M44),0,L44/ROUND(M44,4))</f>
        <v>#DIV/0!</v>
      </c>
      <c r="Q44" s="26" t="e">
        <f>ROUND(O44,2)*P44</f>
        <v>#DIV/0!</v>
      </c>
      <c r="R44" s="94" t="e">
        <f>P44*dagenperjaar1</f>
        <v>#DIV/0!</v>
      </c>
      <c r="S44" s="27" t="e">
        <f>R44*ROUND(O44,2)</f>
        <v>#DIV/0!</v>
      </c>
    </row>
    <row r="45" spans="1:19" x14ac:dyDescent="0.2">
      <c r="A45" s="91" t="s">
        <v>333</v>
      </c>
      <c r="B45" s="92" t="s">
        <v>334</v>
      </c>
      <c r="C45" s="92" t="s">
        <v>419</v>
      </c>
      <c r="D45" s="92" t="s">
        <v>422</v>
      </c>
      <c r="E45" s="93" t="s">
        <v>423</v>
      </c>
      <c r="F45" s="92" t="s">
        <v>364</v>
      </c>
      <c r="G45" s="92" t="s">
        <v>306</v>
      </c>
      <c r="H45" s="92" t="s">
        <v>13</v>
      </c>
      <c r="I45" s="92" t="s">
        <v>230</v>
      </c>
      <c r="J45" s="93" t="s">
        <v>243</v>
      </c>
      <c r="K45" s="94">
        <v>9.6999999999999993</v>
      </c>
      <c r="L45" s="94">
        <f>K45*VLOOKUP(H45,dagsoorttabel1,2,FALSE)</f>
        <v>3.88</v>
      </c>
      <c r="M45" s="95">
        <f>prodnorm82</f>
        <v>0</v>
      </c>
      <c r="N45" s="92" t="s">
        <v>101</v>
      </c>
      <c r="O45" s="26">
        <f>uurtarief82</f>
        <v>0</v>
      </c>
      <c r="P45" s="94" t="e">
        <f>IF(ISBLANK(M45),0,L45/ROUND(M45,4))</f>
        <v>#DIV/0!</v>
      </c>
      <c r="Q45" s="26" t="e">
        <f>ROUND(O45,2)*P45</f>
        <v>#DIV/0!</v>
      </c>
      <c r="R45" s="94" t="e">
        <f>P45*dagenperjaar1</f>
        <v>#DIV/0!</v>
      </c>
      <c r="S45" s="27" t="e">
        <f>R45*ROUND(O45,2)</f>
        <v>#DIV/0!</v>
      </c>
    </row>
    <row r="46" spans="1:19" x14ac:dyDescent="0.2">
      <c r="A46" s="91" t="s">
        <v>333</v>
      </c>
      <c r="B46" s="92" t="s">
        <v>334</v>
      </c>
      <c r="C46" s="92" t="s">
        <v>419</v>
      </c>
      <c r="D46" s="92" t="s">
        <v>424</v>
      </c>
      <c r="E46" s="93" t="s">
        <v>425</v>
      </c>
      <c r="F46" s="92" t="s">
        <v>364</v>
      </c>
      <c r="G46" s="92" t="s">
        <v>306</v>
      </c>
      <c r="H46" s="92" t="s">
        <v>13</v>
      </c>
      <c r="I46" s="92" t="s">
        <v>230</v>
      </c>
      <c r="J46" s="93" t="s">
        <v>243</v>
      </c>
      <c r="K46" s="94">
        <v>62.2</v>
      </c>
      <c r="L46" s="94">
        <f>K46*VLOOKUP(H46,dagsoorttabel1,2,FALSE)</f>
        <v>24.880000000000003</v>
      </c>
      <c r="M46" s="95">
        <f>prodnorm82</f>
        <v>0</v>
      </c>
      <c r="N46" s="92" t="s">
        <v>101</v>
      </c>
      <c r="O46" s="26">
        <f>uurtarief82</f>
        <v>0</v>
      </c>
      <c r="P46" s="94" t="e">
        <f>IF(ISBLANK(M46),0,L46/ROUND(M46,4))</f>
        <v>#DIV/0!</v>
      </c>
      <c r="Q46" s="26" t="e">
        <f>ROUND(O46,2)*P46</f>
        <v>#DIV/0!</v>
      </c>
      <c r="R46" s="94" t="e">
        <f>P46*dagenperjaar1</f>
        <v>#DIV/0!</v>
      </c>
      <c r="S46" s="27" t="e">
        <f>R46*ROUND(O46,2)</f>
        <v>#DIV/0!</v>
      </c>
    </row>
    <row r="47" spans="1:19" x14ac:dyDescent="0.2">
      <c r="A47" s="91" t="s">
        <v>333</v>
      </c>
      <c r="B47" s="92" t="s">
        <v>334</v>
      </c>
      <c r="C47" s="92" t="s">
        <v>419</v>
      </c>
      <c r="D47" s="92" t="s">
        <v>426</v>
      </c>
      <c r="E47" s="93" t="s">
        <v>427</v>
      </c>
      <c r="F47" s="92" t="s">
        <v>364</v>
      </c>
      <c r="G47" s="92" t="s">
        <v>306</v>
      </c>
      <c r="H47" s="92" t="s">
        <v>13</v>
      </c>
      <c r="I47" s="92" t="s">
        <v>230</v>
      </c>
      <c r="J47" s="93" t="s">
        <v>243</v>
      </c>
      <c r="K47" s="94">
        <v>64.2</v>
      </c>
      <c r="L47" s="94">
        <f>K47*VLOOKUP(H47,dagsoorttabel1,2,FALSE)</f>
        <v>25.680000000000003</v>
      </c>
      <c r="M47" s="95">
        <f>prodnorm82</f>
        <v>0</v>
      </c>
      <c r="N47" s="92" t="s">
        <v>101</v>
      </c>
      <c r="O47" s="26">
        <f>uurtarief82</f>
        <v>0</v>
      </c>
      <c r="P47" s="94" t="e">
        <f>IF(ISBLANK(M47),0,L47/ROUND(M47,4))</f>
        <v>#DIV/0!</v>
      </c>
      <c r="Q47" s="26" t="e">
        <f>ROUND(O47,2)*P47</f>
        <v>#DIV/0!</v>
      </c>
      <c r="R47" s="94" t="e">
        <f>P47*dagenperjaar1</f>
        <v>#DIV/0!</v>
      </c>
      <c r="S47" s="27" t="e">
        <f>R47*ROUND(O47,2)</f>
        <v>#DIV/0!</v>
      </c>
    </row>
    <row r="48" spans="1:19" x14ac:dyDescent="0.2">
      <c r="A48" s="91" t="s">
        <v>333</v>
      </c>
      <c r="B48" s="92" t="s">
        <v>334</v>
      </c>
      <c r="C48" s="92" t="s">
        <v>419</v>
      </c>
      <c r="D48" s="92" t="s">
        <v>428</v>
      </c>
      <c r="E48" s="93" t="s">
        <v>429</v>
      </c>
      <c r="F48" s="92" t="s">
        <v>364</v>
      </c>
      <c r="G48" s="92" t="s">
        <v>306</v>
      </c>
      <c r="H48" s="92" t="s">
        <v>13</v>
      </c>
      <c r="I48" s="92" t="s">
        <v>230</v>
      </c>
      <c r="J48" s="93" t="s">
        <v>243</v>
      </c>
      <c r="K48" s="94">
        <v>57.3</v>
      </c>
      <c r="L48" s="94">
        <f>K48*VLOOKUP(H48,dagsoorttabel1,2,FALSE)</f>
        <v>22.92</v>
      </c>
      <c r="M48" s="95">
        <f>prodnorm82</f>
        <v>0</v>
      </c>
      <c r="N48" s="92" t="s">
        <v>101</v>
      </c>
      <c r="O48" s="26">
        <f>uurtarief82</f>
        <v>0</v>
      </c>
      <c r="P48" s="94" t="e">
        <f>IF(ISBLANK(M48),0,L48/ROUND(M48,4))</f>
        <v>#DIV/0!</v>
      </c>
      <c r="Q48" s="26" t="e">
        <f>ROUND(O48,2)*P48</f>
        <v>#DIV/0!</v>
      </c>
      <c r="R48" s="94" t="e">
        <f>P48*dagenperjaar1</f>
        <v>#DIV/0!</v>
      </c>
      <c r="S48" s="27" t="e">
        <f>R48*ROUND(O48,2)</f>
        <v>#DIV/0!</v>
      </c>
    </row>
    <row r="49" spans="1:19" x14ac:dyDescent="0.2">
      <c r="A49" s="91" t="s">
        <v>333</v>
      </c>
      <c r="B49" s="92" t="s">
        <v>334</v>
      </c>
      <c r="C49" s="92" t="s">
        <v>419</v>
      </c>
      <c r="D49" s="92" t="s">
        <v>430</v>
      </c>
      <c r="E49" s="93" t="s">
        <v>431</v>
      </c>
      <c r="F49" s="92" t="s">
        <v>364</v>
      </c>
      <c r="G49" s="92" t="s">
        <v>306</v>
      </c>
      <c r="H49" s="92" t="s">
        <v>13</v>
      </c>
      <c r="I49" s="92" t="s">
        <v>230</v>
      </c>
      <c r="J49" s="93" t="s">
        <v>243</v>
      </c>
      <c r="K49" s="94">
        <v>40.6</v>
      </c>
      <c r="L49" s="94">
        <f>K49*VLOOKUP(H49,dagsoorttabel1,2,FALSE)</f>
        <v>16.240000000000002</v>
      </c>
      <c r="M49" s="95">
        <f>prodnorm82</f>
        <v>0</v>
      </c>
      <c r="N49" s="92" t="s">
        <v>101</v>
      </c>
      <c r="O49" s="26">
        <f>uurtarief82</f>
        <v>0</v>
      </c>
      <c r="P49" s="94" t="e">
        <f>IF(ISBLANK(M49),0,L49/ROUND(M49,4))</f>
        <v>#DIV/0!</v>
      </c>
      <c r="Q49" s="26" t="e">
        <f>ROUND(O49,2)*P49</f>
        <v>#DIV/0!</v>
      </c>
      <c r="R49" s="94" t="e">
        <f>P49*dagenperjaar1</f>
        <v>#DIV/0!</v>
      </c>
      <c r="S49" s="27" t="e">
        <f>R49*ROUND(O49,2)</f>
        <v>#DIV/0!</v>
      </c>
    </row>
    <row r="50" spans="1:19" x14ac:dyDescent="0.2">
      <c r="A50" s="91" t="s">
        <v>333</v>
      </c>
      <c r="B50" s="92" t="s">
        <v>334</v>
      </c>
      <c r="C50" s="92" t="s">
        <v>419</v>
      </c>
      <c r="D50" s="92" t="s">
        <v>432</v>
      </c>
      <c r="E50" s="93" t="s">
        <v>433</v>
      </c>
      <c r="F50" s="92" t="s">
        <v>364</v>
      </c>
      <c r="G50" s="92" t="s">
        <v>306</v>
      </c>
      <c r="H50" s="92" t="s">
        <v>13</v>
      </c>
      <c r="I50" s="92" t="s">
        <v>230</v>
      </c>
      <c r="J50" s="93" t="s">
        <v>243</v>
      </c>
      <c r="K50" s="94">
        <v>51.3</v>
      </c>
      <c r="L50" s="94">
        <f>K50*VLOOKUP(H50,dagsoorttabel1,2,FALSE)</f>
        <v>20.52</v>
      </c>
      <c r="M50" s="95">
        <f>prodnorm82</f>
        <v>0</v>
      </c>
      <c r="N50" s="92" t="s">
        <v>101</v>
      </c>
      <c r="O50" s="26">
        <f>uurtarief82</f>
        <v>0</v>
      </c>
      <c r="P50" s="94" t="e">
        <f>IF(ISBLANK(M50),0,L50/ROUND(M50,4))</f>
        <v>#DIV/0!</v>
      </c>
      <c r="Q50" s="26" t="e">
        <f>ROUND(O50,2)*P50</f>
        <v>#DIV/0!</v>
      </c>
      <c r="R50" s="94" t="e">
        <f>P50*dagenperjaar1</f>
        <v>#DIV/0!</v>
      </c>
      <c r="S50" s="27" t="e">
        <f>R50*ROUND(O50,2)</f>
        <v>#DIV/0!</v>
      </c>
    </row>
    <row r="51" spans="1:19" x14ac:dyDescent="0.2">
      <c r="A51" s="91" t="s">
        <v>333</v>
      </c>
      <c r="B51" s="92" t="s">
        <v>334</v>
      </c>
      <c r="C51" s="92" t="s">
        <v>419</v>
      </c>
      <c r="D51" s="92" t="s">
        <v>434</v>
      </c>
      <c r="E51" s="93" t="s">
        <v>435</v>
      </c>
      <c r="F51" s="92" t="s">
        <v>364</v>
      </c>
      <c r="G51" s="92" t="s">
        <v>306</v>
      </c>
      <c r="H51" s="92" t="s">
        <v>13</v>
      </c>
      <c r="I51" s="92" t="s">
        <v>230</v>
      </c>
      <c r="J51" s="93" t="s">
        <v>243</v>
      </c>
      <c r="K51" s="94">
        <v>69.5</v>
      </c>
      <c r="L51" s="94">
        <f>K51*VLOOKUP(H51,dagsoorttabel1,2,FALSE)</f>
        <v>27.8</v>
      </c>
      <c r="M51" s="95">
        <f>prodnorm82</f>
        <v>0</v>
      </c>
      <c r="N51" s="92" t="s">
        <v>101</v>
      </c>
      <c r="O51" s="26">
        <f>uurtarief82</f>
        <v>0</v>
      </c>
      <c r="P51" s="94" t="e">
        <f>IF(ISBLANK(M51),0,L51/ROUND(M51,4))</f>
        <v>#DIV/0!</v>
      </c>
      <c r="Q51" s="26" t="e">
        <f>ROUND(O51,2)*P51</f>
        <v>#DIV/0!</v>
      </c>
      <c r="R51" s="94" t="e">
        <f>P51*dagenperjaar1</f>
        <v>#DIV/0!</v>
      </c>
      <c r="S51" s="27" t="e">
        <f>R51*ROUND(O51,2)</f>
        <v>#DIV/0!</v>
      </c>
    </row>
    <row r="52" spans="1:19" x14ac:dyDescent="0.2">
      <c r="A52" s="91" t="s">
        <v>333</v>
      </c>
      <c r="B52" s="92" t="s">
        <v>334</v>
      </c>
      <c r="C52" s="92" t="s">
        <v>419</v>
      </c>
      <c r="D52" s="92" t="s">
        <v>436</v>
      </c>
      <c r="E52" s="93" t="s">
        <v>437</v>
      </c>
      <c r="F52" s="92" t="s">
        <v>364</v>
      </c>
      <c r="G52" s="92" t="s">
        <v>306</v>
      </c>
      <c r="H52" s="92" t="s">
        <v>13</v>
      </c>
      <c r="I52" s="92" t="s">
        <v>230</v>
      </c>
      <c r="J52" s="93" t="s">
        <v>243</v>
      </c>
      <c r="K52" s="94">
        <v>24.2</v>
      </c>
      <c r="L52" s="94">
        <f>K52*VLOOKUP(H52,dagsoorttabel1,2,FALSE)</f>
        <v>9.68</v>
      </c>
      <c r="M52" s="95">
        <f>prodnorm82</f>
        <v>0</v>
      </c>
      <c r="N52" s="92" t="s">
        <v>101</v>
      </c>
      <c r="O52" s="26">
        <f>uurtarief82</f>
        <v>0</v>
      </c>
      <c r="P52" s="94" t="e">
        <f>IF(ISBLANK(M52),0,L52/ROUND(M52,4))</f>
        <v>#DIV/0!</v>
      </c>
      <c r="Q52" s="26" t="e">
        <f>ROUND(O52,2)*P52</f>
        <v>#DIV/0!</v>
      </c>
      <c r="R52" s="94" t="e">
        <f>P52*dagenperjaar1</f>
        <v>#DIV/0!</v>
      </c>
      <c r="S52" s="27" t="e">
        <f>R52*ROUND(O52,2)</f>
        <v>#DIV/0!</v>
      </c>
    </row>
    <row r="53" spans="1:19" x14ac:dyDescent="0.2">
      <c r="A53" s="91" t="s">
        <v>333</v>
      </c>
      <c r="B53" s="92" t="s">
        <v>334</v>
      </c>
      <c r="C53" s="92" t="s">
        <v>419</v>
      </c>
      <c r="D53" s="92" t="s">
        <v>438</v>
      </c>
      <c r="E53" s="93" t="s">
        <v>439</v>
      </c>
      <c r="F53" s="92" t="s">
        <v>364</v>
      </c>
      <c r="G53" s="92" t="s">
        <v>306</v>
      </c>
      <c r="H53" s="92" t="s">
        <v>13</v>
      </c>
      <c r="I53" s="92" t="s">
        <v>230</v>
      </c>
      <c r="J53" s="93" t="s">
        <v>243</v>
      </c>
      <c r="K53" s="94">
        <v>68.8</v>
      </c>
      <c r="L53" s="94">
        <f>K53*VLOOKUP(H53,dagsoorttabel1,2,FALSE)</f>
        <v>27.52</v>
      </c>
      <c r="M53" s="95">
        <f>prodnorm82</f>
        <v>0</v>
      </c>
      <c r="N53" s="92" t="s">
        <v>101</v>
      </c>
      <c r="O53" s="26">
        <f>uurtarief82</f>
        <v>0</v>
      </c>
      <c r="P53" s="94" t="e">
        <f>IF(ISBLANK(M53),0,L53/ROUND(M53,4))</f>
        <v>#DIV/0!</v>
      </c>
      <c r="Q53" s="26" t="e">
        <f>ROUND(O53,2)*P53</f>
        <v>#DIV/0!</v>
      </c>
      <c r="R53" s="94" t="e">
        <f>P53*dagenperjaar1</f>
        <v>#DIV/0!</v>
      </c>
      <c r="S53" s="27" t="e">
        <f>R53*ROUND(O53,2)</f>
        <v>#DIV/0!</v>
      </c>
    </row>
    <row r="54" spans="1:19" x14ac:dyDescent="0.2">
      <c r="A54" s="91" t="s">
        <v>333</v>
      </c>
      <c r="B54" s="92" t="s">
        <v>334</v>
      </c>
      <c r="C54" s="92" t="s">
        <v>419</v>
      </c>
      <c r="D54" s="92" t="s">
        <v>440</v>
      </c>
      <c r="E54" s="93" t="s">
        <v>415</v>
      </c>
      <c r="F54" s="92" t="s">
        <v>364</v>
      </c>
      <c r="G54" s="92" t="s">
        <v>313</v>
      </c>
      <c r="H54" s="92" t="s">
        <v>13</v>
      </c>
      <c r="I54" s="92" t="s">
        <v>230</v>
      </c>
      <c r="J54" s="93" t="s">
        <v>257</v>
      </c>
      <c r="K54" s="94">
        <v>14.6</v>
      </c>
      <c r="L54" s="94">
        <f>K54*VLOOKUP(H54,dagsoorttabel1,2,FALSE)</f>
        <v>5.84</v>
      </c>
      <c r="M54" s="95">
        <f>prodnorm88</f>
        <v>0</v>
      </c>
      <c r="N54" s="92" t="s">
        <v>101</v>
      </c>
      <c r="O54" s="26">
        <f>uurtarief88</f>
        <v>0</v>
      </c>
      <c r="P54" s="94" t="e">
        <f>IF(ISBLANK(M54),0,L54/ROUND(M54,4))</f>
        <v>#DIV/0!</v>
      </c>
      <c r="Q54" s="26" t="e">
        <f>ROUND(O54,2)*P54</f>
        <v>#DIV/0!</v>
      </c>
      <c r="R54" s="94" t="e">
        <f>P54*dagenperjaar1</f>
        <v>#DIV/0!</v>
      </c>
      <c r="S54" s="27" t="e">
        <f>R54*ROUND(O54,2)</f>
        <v>#DIV/0!</v>
      </c>
    </row>
    <row r="55" spans="1:19" x14ac:dyDescent="0.2">
      <c r="A55" s="91" t="s">
        <v>333</v>
      </c>
      <c r="B55" s="92" t="s">
        <v>334</v>
      </c>
      <c r="C55" s="92" t="s">
        <v>419</v>
      </c>
      <c r="D55" s="92" t="s">
        <v>441</v>
      </c>
      <c r="E55" s="93" t="s">
        <v>390</v>
      </c>
      <c r="F55" s="92" t="s">
        <v>338</v>
      </c>
      <c r="G55" s="92" t="s">
        <v>317</v>
      </c>
      <c r="H55" s="92" t="s">
        <v>13</v>
      </c>
      <c r="I55" s="92" t="s">
        <v>230</v>
      </c>
      <c r="J55" s="93" t="s">
        <v>267</v>
      </c>
      <c r="K55" s="94">
        <v>10.199999999999999</v>
      </c>
      <c r="L55" s="94">
        <f>K55*VLOOKUP(H55,dagsoorttabel1,2,FALSE)</f>
        <v>4.08</v>
      </c>
      <c r="M55" s="95">
        <f>prodnorm92</f>
        <v>0</v>
      </c>
      <c r="N55" s="92" t="s">
        <v>101</v>
      </c>
      <c r="O55" s="26">
        <f>uurtarief92</f>
        <v>0</v>
      </c>
      <c r="P55" s="94" t="e">
        <f>IF(ISBLANK(M55),0,L55/ROUND(M55,4))</f>
        <v>#DIV/0!</v>
      </c>
      <c r="Q55" s="26" t="e">
        <f>ROUND(O55,2)*P55</f>
        <v>#DIV/0!</v>
      </c>
      <c r="R55" s="94" t="e">
        <f>P55*dagenperjaar1</f>
        <v>#DIV/0!</v>
      </c>
      <c r="S55" s="27" t="e">
        <f>R55*ROUND(O55,2)</f>
        <v>#DIV/0!</v>
      </c>
    </row>
    <row r="56" spans="1:19" x14ac:dyDescent="0.2">
      <c r="A56" s="91" t="s">
        <v>333</v>
      </c>
      <c r="B56" s="92" t="s">
        <v>334</v>
      </c>
      <c r="C56" s="92" t="s">
        <v>419</v>
      </c>
      <c r="D56" s="92" t="s">
        <v>442</v>
      </c>
      <c r="E56" s="93" t="s">
        <v>390</v>
      </c>
      <c r="F56" s="92" t="s">
        <v>338</v>
      </c>
      <c r="G56" s="92" t="s">
        <v>317</v>
      </c>
      <c r="H56" s="92" t="s">
        <v>13</v>
      </c>
      <c r="I56" s="92" t="s">
        <v>230</v>
      </c>
      <c r="J56" s="93" t="s">
        <v>267</v>
      </c>
      <c r="K56" s="94">
        <v>6.7</v>
      </c>
      <c r="L56" s="94">
        <f>K56*VLOOKUP(H56,dagsoorttabel1,2,FALSE)</f>
        <v>2.68</v>
      </c>
      <c r="M56" s="95">
        <f>prodnorm92</f>
        <v>0</v>
      </c>
      <c r="N56" s="92" t="s">
        <v>101</v>
      </c>
      <c r="O56" s="26">
        <f>uurtarief92</f>
        <v>0</v>
      </c>
      <c r="P56" s="94" t="e">
        <f>IF(ISBLANK(M56),0,L56/ROUND(M56,4))</f>
        <v>#DIV/0!</v>
      </c>
      <c r="Q56" s="26" t="e">
        <f>ROUND(O56,2)*P56</f>
        <v>#DIV/0!</v>
      </c>
      <c r="R56" s="94" t="e">
        <f>P56*dagenperjaar1</f>
        <v>#DIV/0!</v>
      </c>
      <c r="S56" s="27" t="e">
        <f>R56*ROUND(O56,2)</f>
        <v>#DIV/0!</v>
      </c>
    </row>
    <row r="57" spans="1:19" x14ac:dyDescent="0.2">
      <c r="A57" s="91" t="s">
        <v>333</v>
      </c>
      <c r="B57" s="92" t="s">
        <v>334</v>
      </c>
      <c r="C57" s="92" t="s">
        <v>443</v>
      </c>
      <c r="D57" s="92" t="s">
        <v>444</v>
      </c>
      <c r="E57" s="93" t="s">
        <v>445</v>
      </c>
      <c r="F57" s="92" t="s">
        <v>342</v>
      </c>
      <c r="G57" s="92" t="s">
        <v>313</v>
      </c>
      <c r="H57" s="92" t="s">
        <v>13</v>
      </c>
      <c r="I57" s="92" t="s">
        <v>230</v>
      </c>
      <c r="J57" s="93" t="s">
        <v>257</v>
      </c>
      <c r="K57" s="94">
        <v>5.9</v>
      </c>
      <c r="L57" s="94">
        <f>K57*VLOOKUP(H57,dagsoorttabel1,2,FALSE)</f>
        <v>2.3600000000000003</v>
      </c>
      <c r="M57" s="95">
        <f>prodnorm88</f>
        <v>0</v>
      </c>
      <c r="N57" s="92" t="s">
        <v>101</v>
      </c>
      <c r="O57" s="26">
        <f>uurtarief88</f>
        <v>0</v>
      </c>
      <c r="P57" s="94" t="e">
        <f>IF(ISBLANK(M57),0,L57/ROUND(M57,4))</f>
        <v>#DIV/0!</v>
      </c>
      <c r="Q57" s="26" t="e">
        <f>ROUND(O57,2)*P57</f>
        <v>#DIV/0!</v>
      </c>
      <c r="R57" s="94" t="e">
        <f>P57*dagenperjaar1</f>
        <v>#DIV/0!</v>
      </c>
      <c r="S57" s="27" t="e">
        <f>R57*ROUND(O57,2)</f>
        <v>#DIV/0!</v>
      </c>
    </row>
    <row r="58" spans="1:19" x14ac:dyDescent="0.2">
      <c r="A58" s="91" t="s">
        <v>333</v>
      </c>
      <c r="B58" s="92" t="s">
        <v>334</v>
      </c>
      <c r="C58" s="92" t="s">
        <v>443</v>
      </c>
      <c r="D58" s="92" t="s">
        <v>446</v>
      </c>
      <c r="E58" s="93" t="s">
        <v>447</v>
      </c>
      <c r="F58" s="92" t="s">
        <v>342</v>
      </c>
      <c r="G58" s="92" t="s">
        <v>306</v>
      </c>
      <c r="H58" s="92" t="s">
        <v>13</v>
      </c>
      <c r="I58" s="92" t="s">
        <v>230</v>
      </c>
      <c r="J58" s="93" t="s">
        <v>243</v>
      </c>
      <c r="K58" s="94">
        <v>45.2</v>
      </c>
      <c r="L58" s="94">
        <f>K58*VLOOKUP(H58,dagsoorttabel1,2,FALSE)</f>
        <v>18.080000000000002</v>
      </c>
      <c r="M58" s="95">
        <f>prodnorm82</f>
        <v>0</v>
      </c>
      <c r="N58" s="92" t="s">
        <v>101</v>
      </c>
      <c r="O58" s="26">
        <f>uurtarief82</f>
        <v>0</v>
      </c>
      <c r="P58" s="94" t="e">
        <f>IF(ISBLANK(M58),0,L58/ROUND(M58,4))</f>
        <v>#DIV/0!</v>
      </c>
      <c r="Q58" s="26" t="e">
        <f>ROUND(O58,2)*P58</f>
        <v>#DIV/0!</v>
      </c>
      <c r="R58" s="94" t="e">
        <f>P58*dagenperjaar1</f>
        <v>#DIV/0!</v>
      </c>
      <c r="S58" s="27" t="e">
        <f>R58*ROUND(O58,2)</f>
        <v>#DIV/0!</v>
      </c>
    </row>
    <row r="59" spans="1:19" x14ac:dyDescent="0.2">
      <c r="A59" s="91" t="s">
        <v>333</v>
      </c>
      <c r="B59" s="92" t="s">
        <v>334</v>
      </c>
      <c r="C59" s="92" t="s">
        <v>443</v>
      </c>
      <c r="D59" s="92" t="s">
        <v>448</v>
      </c>
      <c r="E59" s="93" t="s">
        <v>447</v>
      </c>
      <c r="F59" s="92" t="s">
        <v>342</v>
      </c>
      <c r="G59" s="92" t="s">
        <v>306</v>
      </c>
      <c r="H59" s="92" t="s">
        <v>13</v>
      </c>
      <c r="I59" s="92" t="s">
        <v>230</v>
      </c>
      <c r="J59" s="93" t="s">
        <v>243</v>
      </c>
      <c r="K59" s="94">
        <v>51.7</v>
      </c>
      <c r="L59" s="94">
        <f>K59*VLOOKUP(H59,dagsoorttabel1,2,FALSE)</f>
        <v>20.680000000000003</v>
      </c>
      <c r="M59" s="95">
        <f>prodnorm82</f>
        <v>0</v>
      </c>
      <c r="N59" s="92" t="s">
        <v>101</v>
      </c>
      <c r="O59" s="26">
        <f>uurtarief82</f>
        <v>0</v>
      </c>
      <c r="P59" s="94" t="e">
        <f>IF(ISBLANK(M59),0,L59/ROUND(M59,4))</f>
        <v>#DIV/0!</v>
      </c>
      <c r="Q59" s="26" t="e">
        <f>ROUND(O59,2)*P59</f>
        <v>#DIV/0!</v>
      </c>
      <c r="R59" s="94" t="e">
        <f>P59*dagenperjaar1</f>
        <v>#DIV/0!</v>
      </c>
      <c r="S59" s="27" t="e">
        <f>R59*ROUND(O59,2)</f>
        <v>#DIV/0!</v>
      </c>
    </row>
    <row r="60" spans="1:19" x14ac:dyDescent="0.2">
      <c r="A60" s="91" t="s">
        <v>333</v>
      </c>
      <c r="B60" s="92" t="s">
        <v>334</v>
      </c>
      <c r="C60" s="92" t="s">
        <v>443</v>
      </c>
      <c r="D60" s="92" t="s">
        <v>451</v>
      </c>
      <c r="E60" s="93" t="s">
        <v>452</v>
      </c>
      <c r="F60" s="92" t="s">
        <v>342</v>
      </c>
      <c r="G60" s="92" t="s">
        <v>306</v>
      </c>
      <c r="H60" s="92" t="s">
        <v>13</v>
      </c>
      <c r="I60" s="92" t="s">
        <v>230</v>
      </c>
      <c r="J60" s="93" t="s">
        <v>243</v>
      </c>
      <c r="K60" s="94">
        <v>77.3</v>
      </c>
      <c r="L60" s="94">
        <f>K60*VLOOKUP(H60,dagsoorttabel1,2,FALSE)</f>
        <v>30.92</v>
      </c>
      <c r="M60" s="95">
        <f>prodnorm82</f>
        <v>0</v>
      </c>
      <c r="N60" s="92" t="s">
        <v>101</v>
      </c>
      <c r="O60" s="26">
        <f>uurtarief82</f>
        <v>0</v>
      </c>
      <c r="P60" s="94" t="e">
        <f>IF(ISBLANK(M60),0,L60/ROUND(M60,4))</f>
        <v>#DIV/0!</v>
      </c>
      <c r="Q60" s="26" t="e">
        <f>ROUND(O60,2)*P60</f>
        <v>#DIV/0!</v>
      </c>
      <c r="R60" s="94" t="e">
        <f>P60*dagenperjaar1</f>
        <v>#DIV/0!</v>
      </c>
      <c r="S60" s="27" t="e">
        <f>R60*ROUND(O60,2)</f>
        <v>#DIV/0!</v>
      </c>
    </row>
    <row r="61" spans="1:19" x14ac:dyDescent="0.2">
      <c r="A61" s="91" t="s">
        <v>333</v>
      </c>
      <c r="B61" s="92" t="s">
        <v>334</v>
      </c>
      <c r="C61" s="92" t="s">
        <v>443</v>
      </c>
      <c r="D61" s="92" t="s">
        <v>453</v>
      </c>
      <c r="E61" s="93" t="s">
        <v>452</v>
      </c>
      <c r="F61" s="92" t="s">
        <v>342</v>
      </c>
      <c r="G61" s="92" t="s">
        <v>306</v>
      </c>
      <c r="H61" s="92" t="s">
        <v>13</v>
      </c>
      <c r="I61" s="92" t="s">
        <v>230</v>
      </c>
      <c r="J61" s="93" t="s">
        <v>243</v>
      </c>
      <c r="K61" s="94">
        <v>56.6</v>
      </c>
      <c r="L61" s="94">
        <f>K61*VLOOKUP(H61,dagsoorttabel1,2,FALSE)</f>
        <v>22.64</v>
      </c>
      <c r="M61" s="95">
        <f>prodnorm82</f>
        <v>0</v>
      </c>
      <c r="N61" s="92" t="s">
        <v>101</v>
      </c>
      <c r="O61" s="26">
        <f>uurtarief82</f>
        <v>0</v>
      </c>
      <c r="P61" s="94" t="e">
        <f>IF(ISBLANK(M61),0,L61/ROUND(M61,4))</f>
        <v>#DIV/0!</v>
      </c>
      <c r="Q61" s="26" t="e">
        <f>ROUND(O61,2)*P61</f>
        <v>#DIV/0!</v>
      </c>
      <c r="R61" s="94" t="e">
        <f>P61*dagenperjaar1</f>
        <v>#DIV/0!</v>
      </c>
      <c r="S61" s="27" t="e">
        <f>R61*ROUND(O61,2)</f>
        <v>#DIV/0!</v>
      </c>
    </row>
    <row r="62" spans="1:19" x14ac:dyDescent="0.2">
      <c r="A62" s="91" t="s">
        <v>333</v>
      </c>
      <c r="B62" s="92" t="s">
        <v>334</v>
      </c>
      <c r="C62" s="92" t="s">
        <v>443</v>
      </c>
      <c r="D62" s="92" t="s">
        <v>454</v>
      </c>
      <c r="E62" s="93" t="s">
        <v>452</v>
      </c>
      <c r="F62" s="92" t="s">
        <v>342</v>
      </c>
      <c r="G62" s="92" t="s">
        <v>306</v>
      </c>
      <c r="H62" s="92" t="s">
        <v>13</v>
      </c>
      <c r="I62" s="92" t="s">
        <v>230</v>
      </c>
      <c r="J62" s="93" t="s">
        <v>243</v>
      </c>
      <c r="K62" s="94">
        <v>72</v>
      </c>
      <c r="L62" s="94">
        <f>K62*VLOOKUP(H62,dagsoorttabel1,2,FALSE)</f>
        <v>28.8</v>
      </c>
      <c r="M62" s="95">
        <f>prodnorm82</f>
        <v>0</v>
      </c>
      <c r="N62" s="92" t="s">
        <v>101</v>
      </c>
      <c r="O62" s="26">
        <f>uurtarief82</f>
        <v>0</v>
      </c>
      <c r="P62" s="94" t="e">
        <f>IF(ISBLANK(M62),0,L62/ROUND(M62,4))</f>
        <v>#DIV/0!</v>
      </c>
      <c r="Q62" s="26" t="e">
        <f>ROUND(O62,2)*P62</f>
        <v>#DIV/0!</v>
      </c>
      <c r="R62" s="94" t="e">
        <f>P62*dagenperjaar1</f>
        <v>#DIV/0!</v>
      </c>
      <c r="S62" s="27" t="e">
        <f>R62*ROUND(O62,2)</f>
        <v>#DIV/0!</v>
      </c>
    </row>
    <row r="63" spans="1:19" x14ac:dyDescent="0.2">
      <c r="A63" s="91" t="s">
        <v>333</v>
      </c>
      <c r="B63" s="92" t="s">
        <v>334</v>
      </c>
      <c r="C63" s="92" t="s">
        <v>443</v>
      </c>
      <c r="D63" s="92" t="s">
        <v>455</v>
      </c>
      <c r="E63" s="93" t="s">
        <v>415</v>
      </c>
      <c r="F63" s="92" t="s">
        <v>364</v>
      </c>
      <c r="G63" s="92" t="s">
        <v>313</v>
      </c>
      <c r="H63" s="92" t="s">
        <v>13</v>
      </c>
      <c r="I63" s="92" t="s">
        <v>230</v>
      </c>
      <c r="J63" s="93" t="s">
        <v>257</v>
      </c>
      <c r="K63" s="94">
        <v>13</v>
      </c>
      <c r="L63" s="94">
        <f>K63*VLOOKUP(H63,dagsoorttabel1,2,FALSE)</f>
        <v>5.2</v>
      </c>
      <c r="M63" s="95">
        <f>prodnorm88</f>
        <v>0</v>
      </c>
      <c r="N63" s="92" t="s">
        <v>101</v>
      </c>
      <c r="O63" s="26">
        <f>uurtarief88</f>
        <v>0</v>
      </c>
      <c r="P63" s="94" t="e">
        <f>IF(ISBLANK(M63),0,L63/ROUND(M63,4))</f>
        <v>#DIV/0!</v>
      </c>
      <c r="Q63" s="26" t="e">
        <f>ROUND(O63,2)*P63</f>
        <v>#DIV/0!</v>
      </c>
      <c r="R63" s="94" t="e">
        <f>P63*dagenperjaar1</f>
        <v>#DIV/0!</v>
      </c>
      <c r="S63" s="27" t="e">
        <f>R63*ROUND(O63,2)</f>
        <v>#DIV/0!</v>
      </c>
    </row>
    <row r="64" spans="1:19" x14ac:dyDescent="0.2">
      <c r="A64" s="91" t="s">
        <v>333</v>
      </c>
      <c r="B64" s="92" t="s">
        <v>334</v>
      </c>
      <c r="C64" s="92" t="s">
        <v>443</v>
      </c>
      <c r="D64" s="92" t="s">
        <v>456</v>
      </c>
      <c r="E64" s="93" t="s">
        <v>457</v>
      </c>
      <c r="F64" s="92" t="s">
        <v>458</v>
      </c>
      <c r="G64" s="92" t="s">
        <v>310</v>
      </c>
      <c r="H64" s="92" t="s">
        <v>13</v>
      </c>
      <c r="I64" s="92" t="s">
        <v>230</v>
      </c>
      <c r="J64" s="93" t="s">
        <v>253</v>
      </c>
      <c r="K64" s="94">
        <v>2.1</v>
      </c>
      <c r="L64" s="94">
        <f>K64*VLOOKUP(H64,dagsoorttabel1,2,FALSE)</f>
        <v>0.84000000000000008</v>
      </c>
      <c r="M64" s="95">
        <f>prodnorm86</f>
        <v>0</v>
      </c>
      <c r="N64" s="92" t="s">
        <v>101</v>
      </c>
      <c r="O64" s="26">
        <f>uurtarief86</f>
        <v>0</v>
      </c>
      <c r="P64" s="94" t="e">
        <f>IF(ISBLANK(M64),0,L64/ROUND(M64,4))</f>
        <v>#DIV/0!</v>
      </c>
      <c r="Q64" s="26" t="e">
        <f>ROUND(O64,2)*P64</f>
        <v>#DIV/0!</v>
      </c>
      <c r="R64" s="94" t="e">
        <f>P64*dagenperjaar1</f>
        <v>#DIV/0!</v>
      </c>
      <c r="S64" s="27" t="e">
        <f>R64*ROUND(O64,2)</f>
        <v>#DIV/0!</v>
      </c>
    </row>
    <row r="65" spans="1:19" x14ac:dyDescent="0.2">
      <c r="A65" s="91" t="s">
        <v>333</v>
      </c>
      <c r="B65" s="92" t="s">
        <v>334</v>
      </c>
      <c r="C65" s="92" t="s">
        <v>443</v>
      </c>
      <c r="D65" s="92" t="s">
        <v>456</v>
      </c>
      <c r="E65" s="93" t="s">
        <v>457</v>
      </c>
      <c r="F65" s="92" t="s">
        <v>458</v>
      </c>
      <c r="G65" s="92" t="s">
        <v>311</v>
      </c>
      <c r="H65" s="92" t="s">
        <v>13</v>
      </c>
      <c r="I65" s="92" t="s">
        <v>230</v>
      </c>
      <c r="J65" s="93" t="s">
        <v>312</v>
      </c>
      <c r="K65" s="94">
        <v>2.1</v>
      </c>
      <c r="L65" s="94">
        <f>K65*VLOOKUP(H65,dagsoorttabel1,2,FALSE)</f>
        <v>0.84000000000000008</v>
      </c>
      <c r="M65" s="95">
        <f>prodnorm87</f>
        <v>0</v>
      </c>
      <c r="N65" s="92" t="s">
        <v>101</v>
      </c>
      <c r="O65" s="26">
        <f>uurtarief87</f>
        <v>0</v>
      </c>
      <c r="P65" s="94" t="e">
        <f>IF(ISBLANK(M65),0,L65/ROUND(M65,4))</f>
        <v>#DIV/0!</v>
      </c>
      <c r="Q65" s="26" t="e">
        <f>ROUND(O65,2)*P65</f>
        <v>#DIV/0!</v>
      </c>
      <c r="R65" s="94" t="e">
        <f>P65*dagenperjaar1</f>
        <v>#DIV/0!</v>
      </c>
      <c r="S65" s="27" t="e">
        <f>R65*ROUND(O65,2)</f>
        <v>#DIV/0!</v>
      </c>
    </row>
    <row r="66" spans="1:19" x14ac:dyDescent="0.2">
      <c r="A66" s="91" t="s">
        <v>333</v>
      </c>
      <c r="B66" s="92" t="s">
        <v>476</v>
      </c>
      <c r="C66" s="92" t="s">
        <v>393</v>
      </c>
      <c r="D66" s="92" t="s">
        <v>36</v>
      </c>
      <c r="E66" s="93" t="s">
        <v>477</v>
      </c>
      <c r="F66" s="92" t="s">
        <v>478</v>
      </c>
      <c r="G66" s="92" t="s">
        <v>317</v>
      </c>
      <c r="H66" s="92" t="s">
        <v>13</v>
      </c>
      <c r="I66" s="92" t="s">
        <v>230</v>
      </c>
      <c r="J66" s="93" t="s">
        <v>267</v>
      </c>
      <c r="K66" s="94">
        <v>0</v>
      </c>
      <c r="L66" s="94">
        <f>K66*VLOOKUP(H66,dagsoorttabel1,2,FALSE)</f>
        <v>0</v>
      </c>
      <c r="M66" s="95"/>
      <c r="N66" s="92" t="s">
        <v>101</v>
      </c>
      <c r="O66" s="26"/>
      <c r="P66" s="94">
        <f>IF(ISBLANK(M66),0,L66/ROUND(M66,4))</f>
        <v>0</v>
      </c>
      <c r="Q66" s="26">
        <f>ROUND(O66,2)*P66</f>
        <v>0</v>
      </c>
      <c r="R66" s="94">
        <f>P66*dagenperjaar1</f>
        <v>0</v>
      </c>
      <c r="S66" s="27">
        <f>R66*ROUND(O66,2)</f>
        <v>0</v>
      </c>
    </row>
    <row r="67" spans="1:19" x14ac:dyDescent="0.2">
      <c r="A67" s="91" t="s">
        <v>333</v>
      </c>
      <c r="B67" s="92" t="s">
        <v>476</v>
      </c>
      <c r="C67" s="92" t="s">
        <v>393</v>
      </c>
      <c r="D67" s="92" t="s">
        <v>479</v>
      </c>
      <c r="E67" s="93" t="s">
        <v>480</v>
      </c>
      <c r="F67" s="92" t="s">
        <v>349</v>
      </c>
      <c r="G67" s="92" t="s">
        <v>318</v>
      </c>
      <c r="H67" s="92" t="s">
        <v>13</v>
      </c>
      <c r="I67" s="92" t="s">
        <v>230</v>
      </c>
      <c r="J67" s="93" t="s">
        <v>296</v>
      </c>
      <c r="K67" s="94">
        <v>164.3</v>
      </c>
      <c r="L67" s="94">
        <f>K67*VLOOKUP(H67,dagsoorttabel1,2,FALSE)</f>
        <v>65.720000000000013</v>
      </c>
      <c r="M67" s="95">
        <f>prodnorm93</f>
        <v>0</v>
      </c>
      <c r="N67" s="92" t="s">
        <v>101</v>
      </c>
      <c r="O67" s="26">
        <f>uurtarief93</f>
        <v>0</v>
      </c>
      <c r="P67" s="94" t="e">
        <f>IF(ISBLANK(M67),0,L67/ROUND(M67,4))</f>
        <v>#DIV/0!</v>
      </c>
      <c r="Q67" s="26" t="e">
        <f>ROUND(O67,2)*P67</f>
        <v>#DIV/0!</v>
      </c>
      <c r="R67" s="94" t="e">
        <f>P67*dagenperjaar1</f>
        <v>#DIV/0!</v>
      </c>
      <c r="S67" s="27" t="e">
        <f>R67*ROUND(O67,2)</f>
        <v>#DIV/0!</v>
      </c>
    </row>
    <row r="68" spans="1:19" x14ac:dyDescent="0.2">
      <c r="A68" s="91" t="s">
        <v>333</v>
      </c>
      <c r="B68" s="92" t="s">
        <v>485</v>
      </c>
      <c r="C68" s="92" t="s">
        <v>335</v>
      </c>
      <c r="D68" s="92" t="s">
        <v>487</v>
      </c>
      <c r="E68" s="93" t="s">
        <v>488</v>
      </c>
      <c r="F68" s="92" t="s">
        <v>349</v>
      </c>
      <c r="G68" s="92" t="s">
        <v>313</v>
      </c>
      <c r="H68" s="92" t="s">
        <v>13</v>
      </c>
      <c r="I68" s="92" t="s">
        <v>230</v>
      </c>
      <c r="J68" s="93" t="s">
        <v>257</v>
      </c>
      <c r="K68" s="94">
        <v>52.3</v>
      </c>
      <c r="L68" s="94">
        <f>K68*VLOOKUP(H68,dagsoorttabel1,2,FALSE)</f>
        <v>20.92</v>
      </c>
      <c r="M68" s="95">
        <f>prodnorm88</f>
        <v>0</v>
      </c>
      <c r="N68" s="92" t="s">
        <v>101</v>
      </c>
      <c r="O68" s="26">
        <f>uurtarief88</f>
        <v>0</v>
      </c>
      <c r="P68" s="94" t="e">
        <f>IF(ISBLANK(M68),0,L68/ROUND(M68,4))</f>
        <v>#DIV/0!</v>
      </c>
      <c r="Q68" s="26" t="e">
        <f>ROUND(O68,2)*P68</f>
        <v>#DIV/0!</v>
      </c>
      <c r="R68" s="94" t="e">
        <f>P68*dagenperjaar1</f>
        <v>#DIV/0!</v>
      </c>
      <c r="S68" s="27" t="e">
        <f>R68*ROUND(O68,2)</f>
        <v>#DIV/0!</v>
      </c>
    </row>
    <row r="69" spans="1:19" x14ac:dyDescent="0.2">
      <c r="A69" s="91" t="s">
        <v>333</v>
      </c>
      <c r="B69" s="92" t="s">
        <v>485</v>
      </c>
      <c r="C69" s="92" t="s">
        <v>335</v>
      </c>
      <c r="D69" s="92" t="s">
        <v>493</v>
      </c>
      <c r="E69" s="93" t="s">
        <v>494</v>
      </c>
      <c r="F69" s="92" t="s">
        <v>458</v>
      </c>
      <c r="G69" s="92" t="s">
        <v>316</v>
      </c>
      <c r="H69" s="92" t="s">
        <v>13</v>
      </c>
      <c r="I69" s="92" t="s">
        <v>230</v>
      </c>
      <c r="J69" s="93" t="s">
        <v>265</v>
      </c>
      <c r="K69" s="94">
        <v>4.5</v>
      </c>
      <c r="L69" s="94">
        <f>K69*VLOOKUP(H69,dagsoorttabel1,2,FALSE)</f>
        <v>1.8</v>
      </c>
      <c r="M69" s="95">
        <f>prodnorm91</f>
        <v>0</v>
      </c>
      <c r="N69" s="92" t="s">
        <v>101</v>
      </c>
      <c r="O69" s="26">
        <f>uurtarief91</f>
        <v>0</v>
      </c>
      <c r="P69" s="94" t="e">
        <f>IF(ISBLANK(M69),0,L69/ROUND(M69,4))</f>
        <v>#DIV/0!</v>
      </c>
      <c r="Q69" s="26" t="e">
        <f>ROUND(O69,2)*P69</f>
        <v>#DIV/0!</v>
      </c>
      <c r="R69" s="94" t="e">
        <f>P69*dagenperjaar1</f>
        <v>#DIV/0!</v>
      </c>
      <c r="S69" s="27" t="e">
        <f>R69*ROUND(O69,2)</f>
        <v>#DIV/0!</v>
      </c>
    </row>
    <row r="70" spans="1:19" x14ac:dyDescent="0.2">
      <c r="A70" s="91" t="s">
        <v>333</v>
      </c>
      <c r="B70" s="92" t="s">
        <v>485</v>
      </c>
      <c r="C70" s="92" t="s">
        <v>335</v>
      </c>
      <c r="D70" s="92" t="s">
        <v>495</v>
      </c>
      <c r="E70" s="93" t="s">
        <v>496</v>
      </c>
      <c r="F70" s="92" t="s">
        <v>338</v>
      </c>
      <c r="G70" s="92" t="s">
        <v>317</v>
      </c>
      <c r="H70" s="92" t="s">
        <v>13</v>
      </c>
      <c r="I70" s="92" t="s">
        <v>230</v>
      </c>
      <c r="J70" s="93" t="s">
        <v>267</v>
      </c>
      <c r="K70" s="94">
        <v>13.8</v>
      </c>
      <c r="L70" s="94">
        <f>K70*VLOOKUP(H70,dagsoorttabel1,2,FALSE)</f>
        <v>5.5200000000000005</v>
      </c>
      <c r="M70" s="95">
        <f>prodnorm92</f>
        <v>0</v>
      </c>
      <c r="N70" s="92" t="s">
        <v>101</v>
      </c>
      <c r="O70" s="26">
        <f>uurtarief92</f>
        <v>0</v>
      </c>
      <c r="P70" s="94" t="e">
        <f>IF(ISBLANK(M70),0,L70/ROUND(M70,4))</f>
        <v>#DIV/0!</v>
      </c>
      <c r="Q70" s="26" t="e">
        <f>ROUND(O70,2)*P70</f>
        <v>#DIV/0!</v>
      </c>
      <c r="R70" s="94" t="e">
        <f>P70*dagenperjaar1</f>
        <v>#DIV/0!</v>
      </c>
      <c r="S70" s="27" t="e">
        <f>R70*ROUND(O70,2)</f>
        <v>#DIV/0!</v>
      </c>
    </row>
    <row r="71" spans="1:19" x14ac:dyDescent="0.2">
      <c r="A71" s="91" t="s">
        <v>333</v>
      </c>
      <c r="B71" s="92" t="s">
        <v>485</v>
      </c>
      <c r="C71" s="92" t="s">
        <v>335</v>
      </c>
      <c r="D71" s="92" t="s">
        <v>497</v>
      </c>
      <c r="E71" s="93" t="s">
        <v>498</v>
      </c>
      <c r="F71" s="92" t="s">
        <v>499</v>
      </c>
      <c r="G71" s="92" t="s">
        <v>306</v>
      </c>
      <c r="H71" s="92" t="s">
        <v>13</v>
      </c>
      <c r="I71" s="92" t="s">
        <v>230</v>
      </c>
      <c r="J71" s="93" t="s">
        <v>243</v>
      </c>
      <c r="K71" s="94">
        <v>70.3</v>
      </c>
      <c r="L71" s="94">
        <f>K71*VLOOKUP(H71,dagsoorttabel1,2,FALSE)</f>
        <v>28.12</v>
      </c>
      <c r="M71" s="95">
        <f>prodnorm82</f>
        <v>0</v>
      </c>
      <c r="N71" s="92" t="s">
        <v>101</v>
      </c>
      <c r="O71" s="26">
        <f>uurtarief82</f>
        <v>0</v>
      </c>
      <c r="P71" s="94" t="e">
        <f>IF(ISBLANK(M71),0,L71/ROUND(M71,4))</f>
        <v>#DIV/0!</v>
      </c>
      <c r="Q71" s="26" t="e">
        <f>ROUND(O71,2)*P71</f>
        <v>#DIV/0!</v>
      </c>
      <c r="R71" s="94" t="e">
        <f>P71*dagenperjaar1</f>
        <v>#DIV/0!</v>
      </c>
      <c r="S71" s="27" t="e">
        <f>R71*ROUND(O71,2)</f>
        <v>#DIV/0!</v>
      </c>
    </row>
    <row r="72" spans="1:19" x14ac:dyDescent="0.2">
      <c r="A72" s="91" t="s">
        <v>333</v>
      </c>
      <c r="B72" s="92" t="s">
        <v>485</v>
      </c>
      <c r="C72" s="92" t="s">
        <v>335</v>
      </c>
      <c r="D72" s="92" t="s">
        <v>500</v>
      </c>
      <c r="E72" s="93" t="s">
        <v>501</v>
      </c>
      <c r="F72" s="92" t="s">
        <v>502</v>
      </c>
      <c r="G72" s="92" t="s">
        <v>317</v>
      </c>
      <c r="H72" s="92" t="s">
        <v>13</v>
      </c>
      <c r="I72" s="92" t="s">
        <v>230</v>
      </c>
      <c r="J72" s="93" t="s">
        <v>267</v>
      </c>
      <c r="K72" s="94">
        <v>22.2</v>
      </c>
      <c r="L72" s="94">
        <f>K72*VLOOKUP(H72,dagsoorttabel1,2,FALSE)</f>
        <v>8.8800000000000008</v>
      </c>
      <c r="M72" s="95">
        <f>prodnorm92</f>
        <v>0</v>
      </c>
      <c r="N72" s="92" t="s">
        <v>101</v>
      </c>
      <c r="O72" s="26">
        <f>uurtarief92</f>
        <v>0</v>
      </c>
      <c r="P72" s="94" t="e">
        <f>IF(ISBLANK(M72),0,L72/ROUND(M72,4))</f>
        <v>#DIV/0!</v>
      </c>
      <c r="Q72" s="26" t="e">
        <f>ROUND(O72,2)*P72</f>
        <v>#DIV/0!</v>
      </c>
      <c r="R72" s="94" t="e">
        <f>P72*dagenperjaar1</f>
        <v>#DIV/0!</v>
      </c>
      <c r="S72" s="27" t="e">
        <f>R72*ROUND(O72,2)</f>
        <v>#DIV/0!</v>
      </c>
    </row>
    <row r="73" spans="1:19" x14ac:dyDescent="0.2">
      <c r="A73" s="91" t="s">
        <v>333</v>
      </c>
      <c r="B73" s="92" t="s">
        <v>485</v>
      </c>
      <c r="C73" s="92" t="s">
        <v>393</v>
      </c>
      <c r="D73" s="92" t="s">
        <v>503</v>
      </c>
      <c r="E73" s="93" t="s">
        <v>504</v>
      </c>
      <c r="F73" s="92" t="s">
        <v>505</v>
      </c>
      <c r="G73" s="92" t="s">
        <v>314</v>
      </c>
      <c r="H73" s="92" t="s">
        <v>13</v>
      </c>
      <c r="I73" s="92" t="s">
        <v>230</v>
      </c>
      <c r="J73" s="93" t="s">
        <v>261</v>
      </c>
      <c r="K73" s="94">
        <v>57.6</v>
      </c>
      <c r="L73" s="94">
        <f>K73*VLOOKUP(H73,dagsoorttabel1,2,FALSE)</f>
        <v>23.040000000000003</v>
      </c>
      <c r="M73" s="95">
        <f>prodnorm89</f>
        <v>0</v>
      </c>
      <c r="N73" s="92" t="s">
        <v>101</v>
      </c>
      <c r="O73" s="26">
        <f>uurtarief89</f>
        <v>0</v>
      </c>
      <c r="P73" s="94" t="e">
        <f>IF(ISBLANK(M73),0,L73/ROUND(M73,4))</f>
        <v>#DIV/0!</v>
      </c>
      <c r="Q73" s="26" t="e">
        <f>ROUND(O73,2)*P73</f>
        <v>#DIV/0!</v>
      </c>
      <c r="R73" s="94" t="e">
        <f>P73*dagenperjaar1</f>
        <v>#DIV/0!</v>
      </c>
      <c r="S73" s="27" t="e">
        <f>R73*ROUND(O73,2)</f>
        <v>#DIV/0!</v>
      </c>
    </row>
    <row r="74" spans="1:19" x14ac:dyDescent="0.2">
      <c r="A74" s="91" t="s">
        <v>333</v>
      </c>
      <c r="B74" s="92" t="s">
        <v>485</v>
      </c>
      <c r="C74" s="92" t="s">
        <v>393</v>
      </c>
      <c r="D74" s="92" t="s">
        <v>506</v>
      </c>
      <c r="E74" s="93" t="s">
        <v>477</v>
      </c>
      <c r="F74" s="92" t="s">
        <v>338</v>
      </c>
      <c r="G74" s="92" t="s">
        <v>317</v>
      </c>
      <c r="H74" s="92" t="s">
        <v>13</v>
      </c>
      <c r="I74" s="92" t="s">
        <v>230</v>
      </c>
      <c r="J74" s="93" t="s">
        <v>267</v>
      </c>
      <c r="K74" s="94">
        <v>26.2</v>
      </c>
      <c r="L74" s="94">
        <f>K74*VLOOKUP(H74,dagsoorttabel1,2,FALSE)</f>
        <v>10.48</v>
      </c>
      <c r="M74" s="95">
        <f>prodnorm92</f>
        <v>0</v>
      </c>
      <c r="N74" s="92" t="s">
        <v>101</v>
      </c>
      <c r="O74" s="26">
        <f>uurtarief92</f>
        <v>0</v>
      </c>
      <c r="P74" s="94" t="e">
        <f>IF(ISBLANK(M74),0,L74/ROUND(M74,4))</f>
        <v>#DIV/0!</v>
      </c>
      <c r="Q74" s="26" t="e">
        <f>ROUND(O74,2)*P74</f>
        <v>#DIV/0!</v>
      </c>
      <c r="R74" s="94" t="e">
        <f>P74*dagenperjaar1</f>
        <v>#DIV/0!</v>
      </c>
      <c r="S74" s="27" t="e">
        <f>R74*ROUND(O74,2)</f>
        <v>#DIV/0!</v>
      </c>
    </row>
    <row r="75" spans="1:19" x14ac:dyDescent="0.2">
      <c r="A75" s="91" t="s">
        <v>333</v>
      </c>
      <c r="B75" s="92" t="s">
        <v>485</v>
      </c>
      <c r="C75" s="92" t="s">
        <v>393</v>
      </c>
      <c r="D75" s="92" t="s">
        <v>507</v>
      </c>
      <c r="E75" s="93" t="s">
        <v>508</v>
      </c>
      <c r="F75" s="92" t="s">
        <v>478</v>
      </c>
      <c r="G75" s="92" t="s">
        <v>306</v>
      </c>
      <c r="H75" s="92" t="s">
        <v>13</v>
      </c>
      <c r="I75" s="92" t="s">
        <v>230</v>
      </c>
      <c r="J75" s="93" t="s">
        <v>243</v>
      </c>
      <c r="K75" s="94">
        <v>183.6</v>
      </c>
      <c r="L75" s="94">
        <f>K75*VLOOKUP(H75,dagsoorttabel1,2,FALSE)</f>
        <v>73.44</v>
      </c>
      <c r="M75" s="95">
        <f>prodnorm82</f>
        <v>0</v>
      </c>
      <c r="N75" s="92" t="s">
        <v>101</v>
      </c>
      <c r="O75" s="26">
        <f>uurtarief82</f>
        <v>0</v>
      </c>
      <c r="P75" s="94" t="e">
        <f>IF(ISBLANK(M75),0,L75/ROUND(M75,4))</f>
        <v>#DIV/0!</v>
      </c>
      <c r="Q75" s="26" t="e">
        <f>ROUND(O75,2)*P75</f>
        <v>#DIV/0!</v>
      </c>
      <c r="R75" s="94" t="e">
        <f>P75*dagenperjaar1</f>
        <v>#DIV/0!</v>
      </c>
      <c r="S75" s="27" t="e">
        <f>R75*ROUND(O75,2)</f>
        <v>#DIV/0!</v>
      </c>
    </row>
    <row r="76" spans="1:19" x14ac:dyDescent="0.2">
      <c r="A76" s="91" t="s">
        <v>333</v>
      </c>
      <c r="B76" s="92" t="s">
        <v>485</v>
      </c>
      <c r="C76" s="92" t="s">
        <v>393</v>
      </c>
      <c r="D76" s="92" t="s">
        <v>509</v>
      </c>
      <c r="E76" s="93" t="s">
        <v>510</v>
      </c>
      <c r="F76" s="92" t="s">
        <v>511</v>
      </c>
      <c r="G76" s="92" t="s">
        <v>313</v>
      </c>
      <c r="H76" s="92" t="s">
        <v>13</v>
      </c>
      <c r="I76" s="92" t="s">
        <v>230</v>
      </c>
      <c r="J76" s="93" t="s">
        <v>257</v>
      </c>
      <c r="K76" s="94">
        <v>9</v>
      </c>
      <c r="L76" s="94">
        <f>K76*VLOOKUP(H76,dagsoorttabel1,2,FALSE)</f>
        <v>3.6</v>
      </c>
      <c r="M76" s="95">
        <f>prodnorm88</f>
        <v>0</v>
      </c>
      <c r="N76" s="92" t="s">
        <v>101</v>
      </c>
      <c r="O76" s="26">
        <f>uurtarief88</f>
        <v>0</v>
      </c>
      <c r="P76" s="94" t="e">
        <f>IF(ISBLANK(M76),0,L76/ROUND(M76,4))</f>
        <v>#DIV/0!</v>
      </c>
      <c r="Q76" s="26" t="e">
        <f>ROUND(O76,2)*P76</f>
        <v>#DIV/0!</v>
      </c>
      <c r="R76" s="94" t="e">
        <f>P76*dagenperjaar1</f>
        <v>#DIV/0!</v>
      </c>
      <c r="S76" s="27" t="e">
        <f>R76*ROUND(O76,2)</f>
        <v>#DIV/0!</v>
      </c>
    </row>
    <row r="77" spans="1:19" x14ac:dyDescent="0.2">
      <c r="A77" s="91" t="s">
        <v>333</v>
      </c>
      <c r="B77" s="92" t="s">
        <v>485</v>
      </c>
      <c r="C77" s="92" t="s">
        <v>419</v>
      </c>
      <c r="D77" s="92" t="s">
        <v>512</v>
      </c>
      <c r="E77" s="93" t="s">
        <v>513</v>
      </c>
      <c r="F77" s="92" t="s">
        <v>342</v>
      </c>
      <c r="G77" s="92" t="s">
        <v>313</v>
      </c>
      <c r="H77" s="92" t="s">
        <v>13</v>
      </c>
      <c r="I77" s="92" t="s">
        <v>230</v>
      </c>
      <c r="J77" s="93" t="s">
        <v>257</v>
      </c>
      <c r="K77" s="94">
        <v>21.9</v>
      </c>
      <c r="L77" s="94">
        <f>K77*VLOOKUP(H77,dagsoorttabel1,2,FALSE)</f>
        <v>8.76</v>
      </c>
      <c r="M77" s="95">
        <f>prodnorm88</f>
        <v>0</v>
      </c>
      <c r="N77" s="92" t="s">
        <v>101</v>
      </c>
      <c r="O77" s="26">
        <f>uurtarief88</f>
        <v>0</v>
      </c>
      <c r="P77" s="94" t="e">
        <f>IF(ISBLANK(M77),0,L77/ROUND(M77,4))</f>
        <v>#DIV/0!</v>
      </c>
      <c r="Q77" s="26" t="e">
        <f>ROUND(O77,2)*P77</f>
        <v>#DIV/0!</v>
      </c>
      <c r="R77" s="94" t="e">
        <f>P77*dagenperjaar1</f>
        <v>#DIV/0!</v>
      </c>
      <c r="S77" s="27" t="e">
        <f>R77*ROUND(O77,2)</f>
        <v>#DIV/0!</v>
      </c>
    </row>
    <row r="78" spans="1:19" x14ac:dyDescent="0.2">
      <c r="A78" s="91" t="s">
        <v>333</v>
      </c>
      <c r="B78" s="92" t="s">
        <v>485</v>
      </c>
      <c r="C78" s="92" t="s">
        <v>419</v>
      </c>
      <c r="D78" s="92" t="s">
        <v>514</v>
      </c>
      <c r="E78" s="93" t="s">
        <v>477</v>
      </c>
      <c r="F78" s="92" t="s">
        <v>338</v>
      </c>
      <c r="G78" s="92" t="s">
        <v>317</v>
      </c>
      <c r="H78" s="92" t="s">
        <v>13</v>
      </c>
      <c r="I78" s="92" t="s">
        <v>230</v>
      </c>
      <c r="J78" s="93" t="s">
        <v>267</v>
      </c>
      <c r="K78" s="94">
        <v>22.1</v>
      </c>
      <c r="L78" s="94">
        <f>K78*VLOOKUP(H78,dagsoorttabel1,2,FALSE)</f>
        <v>8.8400000000000016</v>
      </c>
      <c r="M78" s="95">
        <f>prodnorm92</f>
        <v>0</v>
      </c>
      <c r="N78" s="92" t="s">
        <v>101</v>
      </c>
      <c r="O78" s="26">
        <f>uurtarief92</f>
        <v>0</v>
      </c>
      <c r="P78" s="94" t="e">
        <f>IF(ISBLANK(M78),0,L78/ROUND(M78,4))</f>
        <v>#DIV/0!</v>
      </c>
      <c r="Q78" s="26" t="e">
        <f>ROUND(O78,2)*P78</f>
        <v>#DIV/0!</v>
      </c>
      <c r="R78" s="94" t="e">
        <f>P78*dagenperjaar1</f>
        <v>#DIV/0!</v>
      </c>
      <c r="S78" s="27" t="e">
        <f>R78*ROUND(O78,2)</f>
        <v>#DIV/0!</v>
      </c>
    </row>
    <row r="79" spans="1:19" x14ac:dyDescent="0.2">
      <c r="A79" s="91" t="s">
        <v>333</v>
      </c>
      <c r="B79" s="92" t="s">
        <v>485</v>
      </c>
      <c r="C79" s="92" t="s">
        <v>419</v>
      </c>
      <c r="D79" s="92" t="s">
        <v>515</v>
      </c>
      <c r="E79" s="93" t="s">
        <v>516</v>
      </c>
      <c r="F79" s="92" t="s">
        <v>364</v>
      </c>
      <c r="G79" s="92" t="s">
        <v>306</v>
      </c>
      <c r="H79" s="92" t="s">
        <v>13</v>
      </c>
      <c r="I79" s="92" t="s">
        <v>230</v>
      </c>
      <c r="J79" s="93" t="s">
        <v>243</v>
      </c>
      <c r="K79" s="94">
        <v>163.69999999999999</v>
      </c>
      <c r="L79" s="94">
        <f>K79*VLOOKUP(H79,dagsoorttabel1,2,FALSE)</f>
        <v>65.48</v>
      </c>
      <c r="M79" s="95">
        <f>prodnorm82</f>
        <v>0</v>
      </c>
      <c r="N79" s="92" t="s">
        <v>101</v>
      </c>
      <c r="O79" s="26">
        <f>uurtarief82</f>
        <v>0</v>
      </c>
      <c r="P79" s="94" t="e">
        <f>IF(ISBLANK(M79),0,L79/ROUND(M79,4))</f>
        <v>#DIV/0!</v>
      </c>
      <c r="Q79" s="26" t="e">
        <f>ROUND(O79,2)*P79</f>
        <v>#DIV/0!</v>
      </c>
      <c r="R79" s="94" t="e">
        <f>P79*dagenperjaar1</f>
        <v>#DIV/0!</v>
      </c>
      <c r="S79" s="27" t="e">
        <f>R79*ROUND(O79,2)</f>
        <v>#DIV/0!</v>
      </c>
    </row>
    <row r="80" spans="1:19" x14ac:dyDescent="0.2">
      <c r="A80" s="91" t="s">
        <v>333</v>
      </c>
      <c r="B80" s="92" t="s">
        <v>485</v>
      </c>
      <c r="C80" s="92" t="s">
        <v>419</v>
      </c>
      <c r="D80" s="92" t="s">
        <v>517</v>
      </c>
      <c r="E80" s="93" t="s">
        <v>501</v>
      </c>
      <c r="F80" s="92" t="s">
        <v>502</v>
      </c>
      <c r="G80" s="92" t="s">
        <v>317</v>
      </c>
      <c r="H80" s="92" t="s">
        <v>13</v>
      </c>
      <c r="I80" s="92" t="s">
        <v>230</v>
      </c>
      <c r="J80" s="93" t="s">
        <v>267</v>
      </c>
      <c r="K80" s="94">
        <v>19.100000000000001</v>
      </c>
      <c r="L80" s="94">
        <f>K80*VLOOKUP(H80,dagsoorttabel1,2,FALSE)</f>
        <v>7.6400000000000006</v>
      </c>
      <c r="M80" s="95">
        <f>prodnorm92</f>
        <v>0</v>
      </c>
      <c r="N80" s="92" t="s">
        <v>101</v>
      </c>
      <c r="O80" s="26">
        <f>uurtarief92</f>
        <v>0</v>
      </c>
      <c r="P80" s="94" t="e">
        <f>IF(ISBLANK(M80),0,L80/ROUND(M80,4))</f>
        <v>#DIV/0!</v>
      </c>
      <c r="Q80" s="26" t="e">
        <f>ROUND(O80,2)*P80</f>
        <v>#DIV/0!</v>
      </c>
      <c r="R80" s="94" t="e">
        <f>P80*dagenperjaar1</f>
        <v>#DIV/0!</v>
      </c>
      <c r="S80" s="27" t="e">
        <f>R80*ROUND(O80,2)</f>
        <v>#DIV/0!</v>
      </c>
    </row>
    <row r="81" spans="1:19" x14ac:dyDescent="0.2">
      <c r="A81" s="91" t="s">
        <v>333</v>
      </c>
      <c r="B81" s="92" t="s">
        <v>485</v>
      </c>
      <c r="C81" s="92" t="s">
        <v>443</v>
      </c>
      <c r="D81" s="92" t="s">
        <v>518</v>
      </c>
      <c r="E81" s="93" t="s">
        <v>519</v>
      </c>
      <c r="F81" s="92" t="s">
        <v>342</v>
      </c>
      <c r="G81" s="92" t="s">
        <v>313</v>
      </c>
      <c r="H81" s="92" t="s">
        <v>13</v>
      </c>
      <c r="I81" s="92" t="s">
        <v>230</v>
      </c>
      <c r="J81" s="93" t="s">
        <v>257</v>
      </c>
      <c r="K81" s="94">
        <v>18.7</v>
      </c>
      <c r="L81" s="94">
        <f>K81*VLOOKUP(H81,dagsoorttabel1,2,FALSE)</f>
        <v>7.48</v>
      </c>
      <c r="M81" s="95">
        <f>prodnorm88</f>
        <v>0</v>
      </c>
      <c r="N81" s="92" t="s">
        <v>101</v>
      </c>
      <c r="O81" s="26">
        <f>uurtarief88</f>
        <v>0</v>
      </c>
      <c r="P81" s="94" t="e">
        <f>IF(ISBLANK(M81),0,L81/ROUND(M81,4))</f>
        <v>#DIV/0!</v>
      </c>
      <c r="Q81" s="26" t="e">
        <f>ROUND(O81,2)*P81</f>
        <v>#DIV/0!</v>
      </c>
      <c r="R81" s="94" t="e">
        <f>P81*dagenperjaar1</f>
        <v>#DIV/0!</v>
      </c>
      <c r="S81" s="27" t="e">
        <f>R81*ROUND(O81,2)</f>
        <v>#DIV/0!</v>
      </c>
    </row>
    <row r="82" spans="1:19" x14ac:dyDescent="0.2">
      <c r="A82" s="91" t="s">
        <v>333</v>
      </c>
      <c r="B82" s="92" t="s">
        <v>485</v>
      </c>
      <c r="C82" s="92" t="s">
        <v>443</v>
      </c>
      <c r="D82" s="92" t="s">
        <v>520</v>
      </c>
      <c r="E82" s="93" t="s">
        <v>513</v>
      </c>
      <c r="F82" s="92" t="s">
        <v>349</v>
      </c>
      <c r="G82" s="92" t="s">
        <v>313</v>
      </c>
      <c r="H82" s="92" t="s">
        <v>13</v>
      </c>
      <c r="I82" s="92" t="s">
        <v>230</v>
      </c>
      <c r="J82" s="93" t="s">
        <v>257</v>
      </c>
      <c r="K82" s="94">
        <v>6.3</v>
      </c>
      <c r="L82" s="94">
        <f>K82*VLOOKUP(H82,dagsoorttabel1,2,FALSE)</f>
        <v>2.52</v>
      </c>
      <c r="M82" s="95">
        <f>prodnorm88</f>
        <v>0</v>
      </c>
      <c r="N82" s="92" t="s">
        <v>101</v>
      </c>
      <c r="O82" s="26">
        <f>uurtarief88</f>
        <v>0</v>
      </c>
      <c r="P82" s="94" t="e">
        <f>IF(ISBLANK(M82),0,L82/ROUND(M82,4))</f>
        <v>#DIV/0!</v>
      </c>
      <c r="Q82" s="26" t="e">
        <f>ROUND(O82,2)*P82</f>
        <v>#DIV/0!</v>
      </c>
      <c r="R82" s="94" t="e">
        <f>P82*dagenperjaar1</f>
        <v>#DIV/0!</v>
      </c>
      <c r="S82" s="27" t="e">
        <f>R82*ROUND(O82,2)</f>
        <v>#DIV/0!</v>
      </c>
    </row>
    <row r="83" spans="1:19" x14ac:dyDescent="0.2">
      <c r="A83" s="91" t="s">
        <v>333</v>
      </c>
      <c r="B83" s="92" t="s">
        <v>485</v>
      </c>
      <c r="C83" s="92" t="s">
        <v>443</v>
      </c>
      <c r="D83" s="92" t="s">
        <v>521</v>
      </c>
      <c r="E83" s="93" t="s">
        <v>477</v>
      </c>
      <c r="F83" s="92" t="s">
        <v>338</v>
      </c>
      <c r="G83" s="92" t="s">
        <v>317</v>
      </c>
      <c r="H83" s="92" t="s">
        <v>13</v>
      </c>
      <c r="I83" s="92" t="s">
        <v>230</v>
      </c>
      <c r="J83" s="93" t="s">
        <v>267</v>
      </c>
      <c r="K83" s="94">
        <v>11.9</v>
      </c>
      <c r="L83" s="94">
        <f>K83*VLOOKUP(H83,dagsoorttabel1,2,FALSE)</f>
        <v>4.7600000000000007</v>
      </c>
      <c r="M83" s="95">
        <f>prodnorm92</f>
        <v>0</v>
      </c>
      <c r="N83" s="92" t="s">
        <v>101</v>
      </c>
      <c r="O83" s="26">
        <f>uurtarief92</f>
        <v>0</v>
      </c>
      <c r="P83" s="94" t="e">
        <f>IF(ISBLANK(M83),0,L83/ROUND(M83,4))</f>
        <v>#DIV/0!</v>
      </c>
      <c r="Q83" s="26" t="e">
        <f>ROUND(O83,2)*P83</f>
        <v>#DIV/0!</v>
      </c>
      <c r="R83" s="94" t="e">
        <f>P83*dagenperjaar1</f>
        <v>#DIV/0!</v>
      </c>
      <c r="S83" s="27" t="e">
        <f>R83*ROUND(O83,2)</f>
        <v>#DIV/0!</v>
      </c>
    </row>
    <row r="84" spans="1:19" x14ac:dyDescent="0.2">
      <c r="A84" s="91" t="s">
        <v>333</v>
      </c>
      <c r="B84" s="92" t="s">
        <v>485</v>
      </c>
      <c r="C84" s="92" t="s">
        <v>443</v>
      </c>
      <c r="D84" s="92" t="s">
        <v>524</v>
      </c>
      <c r="E84" s="93" t="s">
        <v>525</v>
      </c>
      <c r="F84" s="92" t="s">
        <v>458</v>
      </c>
      <c r="G84" s="92" t="s">
        <v>306</v>
      </c>
      <c r="H84" s="92" t="s">
        <v>13</v>
      </c>
      <c r="I84" s="92" t="s">
        <v>230</v>
      </c>
      <c r="J84" s="93" t="s">
        <v>243</v>
      </c>
      <c r="K84" s="94">
        <v>146.30000000000001</v>
      </c>
      <c r="L84" s="94">
        <f>K84*VLOOKUP(H84,dagsoorttabel1,2,FALSE)</f>
        <v>58.52000000000001</v>
      </c>
      <c r="M84" s="95">
        <f>prodnorm82</f>
        <v>0</v>
      </c>
      <c r="N84" s="92" t="s">
        <v>101</v>
      </c>
      <c r="O84" s="26">
        <f>uurtarief82</f>
        <v>0</v>
      </c>
      <c r="P84" s="94" t="e">
        <f>IF(ISBLANK(M84),0,L84/ROUND(M84,4))</f>
        <v>#DIV/0!</v>
      </c>
      <c r="Q84" s="26" t="e">
        <f>ROUND(O84,2)*P84</f>
        <v>#DIV/0!</v>
      </c>
      <c r="R84" s="94" t="e">
        <f>P84*dagenperjaar1</f>
        <v>#DIV/0!</v>
      </c>
      <c r="S84" s="27" t="e">
        <f>R84*ROUND(O84,2)</f>
        <v>#DIV/0!</v>
      </c>
    </row>
    <row r="85" spans="1:19" x14ac:dyDescent="0.2">
      <c r="A85" s="91" t="s">
        <v>333</v>
      </c>
      <c r="B85" s="92" t="s">
        <v>536</v>
      </c>
      <c r="C85" s="92" t="s">
        <v>393</v>
      </c>
      <c r="D85" s="92" t="s">
        <v>541</v>
      </c>
      <c r="E85" s="93" t="s">
        <v>542</v>
      </c>
      <c r="F85" s="92" t="s">
        <v>543</v>
      </c>
      <c r="G85" s="92" t="s">
        <v>307</v>
      </c>
      <c r="H85" s="92" t="s">
        <v>13</v>
      </c>
      <c r="I85" s="92" t="s">
        <v>230</v>
      </c>
      <c r="J85" s="93" t="s">
        <v>245</v>
      </c>
      <c r="K85" s="94">
        <v>198.3</v>
      </c>
      <c r="L85" s="94">
        <f>K85*VLOOKUP(H85,dagsoorttabel1,2,FALSE)</f>
        <v>79.320000000000007</v>
      </c>
      <c r="M85" s="95">
        <f>prodnorm83</f>
        <v>0</v>
      </c>
      <c r="N85" s="92" t="s">
        <v>101</v>
      </c>
      <c r="O85" s="26">
        <f>uurtarief83</f>
        <v>0</v>
      </c>
      <c r="P85" s="94" t="e">
        <f>IF(ISBLANK(M85),0,L85/ROUND(M85,4))</f>
        <v>#DIV/0!</v>
      </c>
      <c r="Q85" s="26" t="e">
        <f>ROUND(O85,2)*P85</f>
        <v>#DIV/0!</v>
      </c>
      <c r="R85" s="94" t="e">
        <f>P85*dagenperjaar1</f>
        <v>#DIV/0!</v>
      </c>
      <c r="S85" s="27" t="e">
        <f>R85*ROUND(O85,2)</f>
        <v>#DIV/0!</v>
      </c>
    </row>
    <row r="86" spans="1:19" x14ac:dyDescent="0.2">
      <c r="A86" s="91" t="s">
        <v>333</v>
      </c>
      <c r="B86" s="92" t="s">
        <v>536</v>
      </c>
      <c r="C86" s="92" t="s">
        <v>393</v>
      </c>
      <c r="D86" s="92" t="s">
        <v>544</v>
      </c>
      <c r="E86" s="93" t="s">
        <v>545</v>
      </c>
      <c r="F86" s="92" t="s">
        <v>342</v>
      </c>
      <c r="G86" s="92" t="s">
        <v>317</v>
      </c>
      <c r="H86" s="92" t="s">
        <v>13</v>
      </c>
      <c r="I86" s="92" t="s">
        <v>230</v>
      </c>
      <c r="J86" s="93" t="s">
        <v>267</v>
      </c>
      <c r="K86" s="94">
        <v>7.8</v>
      </c>
      <c r="L86" s="94">
        <f>K86*VLOOKUP(H86,dagsoorttabel1,2,FALSE)</f>
        <v>3.12</v>
      </c>
      <c r="M86" s="95">
        <f>prodnorm92</f>
        <v>0</v>
      </c>
      <c r="N86" s="92" t="s">
        <v>101</v>
      </c>
      <c r="O86" s="26">
        <f>uurtarief92</f>
        <v>0</v>
      </c>
      <c r="P86" s="94" t="e">
        <f>IF(ISBLANK(M86),0,L86/ROUND(M86,4))</f>
        <v>#DIV/0!</v>
      </c>
      <c r="Q86" s="26" t="e">
        <f>ROUND(O86,2)*P86</f>
        <v>#DIV/0!</v>
      </c>
      <c r="R86" s="94" t="e">
        <f>P86*dagenperjaar1</f>
        <v>#DIV/0!</v>
      </c>
      <c r="S86" s="27" t="e">
        <f>R86*ROUND(O86,2)</f>
        <v>#DIV/0!</v>
      </c>
    </row>
    <row r="87" spans="1:19" x14ac:dyDescent="0.2">
      <c r="A87" s="91" t="s">
        <v>333</v>
      </c>
      <c r="B87" s="92" t="s">
        <v>536</v>
      </c>
      <c r="C87" s="92" t="s">
        <v>393</v>
      </c>
      <c r="D87" s="92" t="s">
        <v>546</v>
      </c>
      <c r="E87" s="93" t="s">
        <v>547</v>
      </c>
      <c r="F87" s="92" t="s">
        <v>342</v>
      </c>
      <c r="G87" s="92" t="s">
        <v>317</v>
      </c>
      <c r="H87" s="92" t="s">
        <v>13</v>
      </c>
      <c r="I87" s="92" t="s">
        <v>230</v>
      </c>
      <c r="J87" s="93" t="s">
        <v>267</v>
      </c>
      <c r="K87" s="94">
        <v>8.1</v>
      </c>
      <c r="L87" s="94">
        <f>K87*VLOOKUP(H87,dagsoorttabel1,2,FALSE)</f>
        <v>3.24</v>
      </c>
      <c r="M87" s="95">
        <f>prodnorm92</f>
        <v>0</v>
      </c>
      <c r="N87" s="92" t="s">
        <v>101</v>
      </c>
      <c r="O87" s="26">
        <f>uurtarief92</f>
        <v>0</v>
      </c>
      <c r="P87" s="94" t="e">
        <f>IF(ISBLANK(M87),0,L87/ROUND(M87,4))</f>
        <v>#DIV/0!</v>
      </c>
      <c r="Q87" s="26" t="e">
        <f>ROUND(O87,2)*P87</f>
        <v>#DIV/0!</v>
      </c>
      <c r="R87" s="94" t="e">
        <f>P87*dagenperjaar1</f>
        <v>#DIV/0!</v>
      </c>
      <c r="S87" s="27" t="e">
        <f>R87*ROUND(O87,2)</f>
        <v>#DIV/0!</v>
      </c>
    </row>
    <row r="88" spans="1:19" x14ac:dyDescent="0.2">
      <c r="A88" s="91" t="s">
        <v>333</v>
      </c>
      <c r="B88" s="92" t="s">
        <v>536</v>
      </c>
      <c r="C88" s="92" t="s">
        <v>393</v>
      </c>
      <c r="D88" s="92" t="s">
        <v>548</v>
      </c>
      <c r="E88" s="93" t="s">
        <v>549</v>
      </c>
      <c r="F88" s="92" t="s">
        <v>543</v>
      </c>
      <c r="G88" s="92" t="s">
        <v>307</v>
      </c>
      <c r="H88" s="92" t="s">
        <v>13</v>
      </c>
      <c r="I88" s="92" t="s">
        <v>230</v>
      </c>
      <c r="J88" s="93" t="s">
        <v>245</v>
      </c>
      <c r="K88" s="94">
        <v>112.9</v>
      </c>
      <c r="L88" s="94">
        <f>K88*VLOOKUP(H88,dagsoorttabel1,2,FALSE)</f>
        <v>45.160000000000004</v>
      </c>
      <c r="M88" s="95">
        <f>prodnorm83</f>
        <v>0</v>
      </c>
      <c r="N88" s="92" t="s">
        <v>101</v>
      </c>
      <c r="O88" s="26">
        <f>uurtarief83</f>
        <v>0</v>
      </c>
      <c r="P88" s="94" t="e">
        <f>IF(ISBLANK(M88),0,L88/ROUND(M88,4))</f>
        <v>#DIV/0!</v>
      </c>
      <c r="Q88" s="26" t="e">
        <f>ROUND(O88,2)*P88</f>
        <v>#DIV/0!</v>
      </c>
      <c r="R88" s="94" t="e">
        <f>P88*dagenperjaar1</f>
        <v>#DIV/0!</v>
      </c>
      <c r="S88" s="27" t="e">
        <f>R88*ROUND(O88,2)</f>
        <v>#DIV/0!</v>
      </c>
    </row>
    <row r="89" spans="1:19" x14ac:dyDescent="0.2">
      <c r="A89" s="91" t="s">
        <v>333</v>
      </c>
      <c r="B89" s="92" t="s">
        <v>536</v>
      </c>
      <c r="C89" s="92" t="s">
        <v>393</v>
      </c>
      <c r="D89" s="92" t="s">
        <v>550</v>
      </c>
      <c r="E89" s="93" t="s">
        <v>549</v>
      </c>
      <c r="F89" s="92" t="s">
        <v>543</v>
      </c>
      <c r="G89" s="92" t="s">
        <v>307</v>
      </c>
      <c r="H89" s="92" t="s">
        <v>13</v>
      </c>
      <c r="I89" s="92" t="s">
        <v>230</v>
      </c>
      <c r="J89" s="93" t="s">
        <v>245</v>
      </c>
      <c r="K89" s="94">
        <v>33</v>
      </c>
      <c r="L89" s="94">
        <f>K89*VLOOKUP(H89,dagsoorttabel1,2,FALSE)</f>
        <v>13.200000000000001</v>
      </c>
      <c r="M89" s="95">
        <f>prodnorm83</f>
        <v>0</v>
      </c>
      <c r="N89" s="92" t="s">
        <v>101</v>
      </c>
      <c r="O89" s="26">
        <f>uurtarief83</f>
        <v>0</v>
      </c>
      <c r="P89" s="94" t="e">
        <f>IF(ISBLANK(M89),0,L89/ROUND(M89,4))</f>
        <v>#DIV/0!</v>
      </c>
      <c r="Q89" s="26" t="e">
        <f>ROUND(O89,2)*P89</f>
        <v>#DIV/0!</v>
      </c>
      <c r="R89" s="94" t="e">
        <f>P89*dagenperjaar1</f>
        <v>#DIV/0!</v>
      </c>
      <c r="S89" s="27" t="e">
        <f>R89*ROUND(O89,2)</f>
        <v>#DIV/0!</v>
      </c>
    </row>
    <row r="90" spans="1:19" x14ac:dyDescent="0.2">
      <c r="A90" s="91" t="s">
        <v>333</v>
      </c>
      <c r="B90" s="92" t="s">
        <v>536</v>
      </c>
      <c r="C90" s="92" t="s">
        <v>393</v>
      </c>
      <c r="D90" s="92" t="s">
        <v>551</v>
      </c>
      <c r="E90" s="93" t="s">
        <v>549</v>
      </c>
      <c r="F90" s="92" t="s">
        <v>543</v>
      </c>
      <c r="G90" s="92" t="s">
        <v>307</v>
      </c>
      <c r="H90" s="92" t="s">
        <v>13</v>
      </c>
      <c r="I90" s="92" t="s">
        <v>230</v>
      </c>
      <c r="J90" s="93" t="s">
        <v>245</v>
      </c>
      <c r="K90" s="94">
        <v>79</v>
      </c>
      <c r="L90" s="94">
        <f>K90*VLOOKUP(H90,dagsoorttabel1,2,FALSE)</f>
        <v>31.6</v>
      </c>
      <c r="M90" s="95">
        <f>prodnorm83</f>
        <v>0</v>
      </c>
      <c r="N90" s="92" t="s">
        <v>101</v>
      </c>
      <c r="O90" s="26">
        <f>uurtarief83</f>
        <v>0</v>
      </c>
      <c r="P90" s="94" t="e">
        <f>IF(ISBLANK(M90),0,L90/ROUND(M90,4))</f>
        <v>#DIV/0!</v>
      </c>
      <c r="Q90" s="26" t="e">
        <f>ROUND(O90,2)*P90</f>
        <v>#DIV/0!</v>
      </c>
      <c r="R90" s="94" t="e">
        <f>P90*dagenperjaar1</f>
        <v>#DIV/0!</v>
      </c>
      <c r="S90" s="27" t="e">
        <f>R90*ROUND(O90,2)</f>
        <v>#DIV/0!</v>
      </c>
    </row>
    <row r="91" spans="1:19" x14ac:dyDescent="0.2">
      <c r="A91" s="91" t="s">
        <v>333</v>
      </c>
      <c r="B91" s="92" t="s">
        <v>536</v>
      </c>
      <c r="C91" s="92" t="s">
        <v>393</v>
      </c>
      <c r="D91" s="92" t="s">
        <v>557</v>
      </c>
      <c r="E91" s="93" t="s">
        <v>558</v>
      </c>
      <c r="F91" s="92" t="s">
        <v>458</v>
      </c>
      <c r="G91" s="92" t="s">
        <v>313</v>
      </c>
      <c r="H91" s="92" t="s">
        <v>13</v>
      </c>
      <c r="I91" s="92" t="s">
        <v>230</v>
      </c>
      <c r="J91" s="93" t="s">
        <v>257</v>
      </c>
      <c r="K91" s="94">
        <v>11.4</v>
      </c>
      <c r="L91" s="94">
        <f>K91*VLOOKUP(H91,dagsoorttabel1,2,FALSE)</f>
        <v>4.5600000000000005</v>
      </c>
      <c r="M91" s="95">
        <f>prodnorm88</f>
        <v>0</v>
      </c>
      <c r="N91" s="92" t="s">
        <v>101</v>
      </c>
      <c r="O91" s="26">
        <f>uurtarief88</f>
        <v>0</v>
      </c>
      <c r="P91" s="94" t="e">
        <f>IF(ISBLANK(M91),0,L91/ROUND(M91,4))</f>
        <v>#DIV/0!</v>
      </c>
      <c r="Q91" s="26" t="e">
        <f>ROUND(O91,2)*P91</f>
        <v>#DIV/0!</v>
      </c>
      <c r="R91" s="94" t="e">
        <f>P91*dagenperjaar1</f>
        <v>#DIV/0!</v>
      </c>
      <c r="S91" s="27" t="e">
        <f>R91*ROUND(O91,2)</f>
        <v>#DIV/0!</v>
      </c>
    </row>
    <row r="92" spans="1:19" x14ac:dyDescent="0.2">
      <c r="A92" s="91" t="s">
        <v>333</v>
      </c>
      <c r="B92" s="92" t="s">
        <v>536</v>
      </c>
      <c r="C92" s="92" t="s">
        <v>393</v>
      </c>
      <c r="D92" s="92" t="s">
        <v>559</v>
      </c>
      <c r="E92" s="93" t="s">
        <v>560</v>
      </c>
      <c r="F92" s="92" t="s">
        <v>349</v>
      </c>
      <c r="G92" s="92" t="s">
        <v>310</v>
      </c>
      <c r="H92" s="92" t="s">
        <v>13</v>
      </c>
      <c r="I92" s="92" t="s">
        <v>230</v>
      </c>
      <c r="J92" s="93" t="s">
        <v>253</v>
      </c>
      <c r="K92" s="94">
        <v>4.8</v>
      </c>
      <c r="L92" s="94">
        <f>K92*VLOOKUP(H92,dagsoorttabel1,2,FALSE)</f>
        <v>1.92</v>
      </c>
      <c r="M92" s="95">
        <f>prodnorm86</f>
        <v>0</v>
      </c>
      <c r="N92" s="92" t="s">
        <v>101</v>
      </c>
      <c r="O92" s="26">
        <f>uurtarief86</f>
        <v>0</v>
      </c>
      <c r="P92" s="94" t="e">
        <f>IF(ISBLANK(M92),0,L92/ROUND(M92,4))</f>
        <v>#DIV/0!</v>
      </c>
      <c r="Q92" s="26" t="e">
        <f>ROUND(O92,2)*P92</f>
        <v>#DIV/0!</v>
      </c>
      <c r="R92" s="94" t="e">
        <f>P92*dagenperjaar1</f>
        <v>#DIV/0!</v>
      </c>
      <c r="S92" s="27" t="e">
        <f>R92*ROUND(O92,2)</f>
        <v>#DIV/0!</v>
      </c>
    </row>
    <row r="93" spans="1:19" x14ac:dyDescent="0.2">
      <c r="A93" s="91" t="s">
        <v>333</v>
      </c>
      <c r="B93" s="92" t="s">
        <v>536</v>
      </c>
      <c r="C93" s="92" t="s">
        <v>393</v>
      </c>
      <c r="D93" s="92" t="s">
        <v>563</v>
      </c>
      <c r="E93" s="93" t="s">
        <v>564</v>
      </c>
      <c r="F93" s="92" t="s">
        <v>543</v>
      </c>
      <c r="G93" s="92" t="s">
        <v>307</v>
      </c>
      <c r="H93" s="92" t="s">
        <v>13</v>
      </c>
      <c r="I93" s="92" t="s">
        <v>230</v>
      </c>
      <c r="J93" s="93" t="s">
        <v>245</v>
      </c>
      <c r="K93" s="94">
        <v>243.5</v>
      </c>
      <c r="L93" s="94">
        <f>K93*VLOOKUP(H93,dagsoorttabel1,2,FALSE)</f>
        <v>97.4</v>
      </c>
      <c r="M93" s="95">
        <f>prodnorm83</f>
        <v>0</v>
      </c>
      <c r="N93" s="92" t="s">
        <v>101</v>
      </c>
      <c r="O93" s="26">
        <f>uurtarief83</f>
        <v>0</v>
      </c>
      <c r="P93" s="94" t="e">
        <f>IF(ISBLANK(M93),0,L93/ROUND(M93,4))</f>
        <v>#DIV/0!</v>
      </c>
      <c r="Q93" s="26" t="e">
        <f>ROUND(O93,2)*P93</f>
        <v>#DIV/0!</v>
      </c>
      <c r="R93" s="94" t="e">
        <f>P93*dagenperjaar1</f>
        <v>#DIV/0!</v>
      </c>
      <c r="S93" s="27" t="e">
        <f>R93*ROUND(O93,2)</f>
        <v>#DIV/0!</v>
      </c>
    </row>
    <row r="94" spans="1:19" x14ac:dyDescent="0.2">
      <c r="A94" s="91" t="s">
        <v>333</v>
      </c>
      <c r="B94" s="92" t="s">
        <v>536</v>
      </c>
      <c r="C94" s="92" t="s">
        <v>393</v>
      </c>
      <c r="D94" s="92" t="s">
        <v>565</v>
      </c>
      <c r="E94" s="93" t="s">
        <v>566</v>
      </c>
      <c r="F94" s="92" t="s">
        <v>543</v>
      </c>
      <c r="G94" s="92" t="s">
        <v>307</v>
      </c>
      <c r="H94" s="92" t="s">
        <v>13</v>
      </c>
      <c r="I94" s="92" t="s">
        <v>230</v>
      </c>
      <c r="J94" s="93" t="s">
        <v>245</v>
      </c>
      <c r="K94" s="94">
        <v>202.5</v>
      </c>
      <c r="L94" s="94">
        <f>K94*VLOOKUP(H94,dagsoorttabel1,2,FALSE)</f>
        <v>81</v>
      </c>
      <c r="M94" s="95">
        <f>prodnorm83</f>
        <v>0</v>
      </c>
      <c r="N94" s="92" t="s">
        <v>101</v>
      </c>
      <c r="O94" s="26">
        <f>uurtarief83</f>
        <v>0</v>
      </c>
      <c r="P94" s="94" t="e">
        <f>IF(ISBLANK(M94),0,L94/ROUND(M94,4))</f>
        <v>#DIV/0!</v>
      </c>
      <c r="Q94" s="26" t="e">
        <f>ROUND(O94,2)*P94</f>
        <v>#DIV/0!</v>
      </c>
      <c r="R94" s="94" t="e">
        <f>P94*dagenperjaar1</f>
        <v>#DIV/0!</v>
      </c>
      <c r="S94" s="27" t="e">
        <f>R94*ROUND(O94,2)</f>
        <v>#DIV/0!</v>
      </c>
    </row>
    <row r="95" spans="1:19" x14ac:dyDescent="0.2">
      <c r="A95" s="91" t="s">
        <v>333</v>
      </c>
      <c r="B95" s="92" t="s">
        <v>536</v>
      </c>
      <c r="C95" s="92" t="s">
        <v>393</v>
      </c>
      <c r="D95" s="92" t="s">
        <v>565</v>
      </c>
      <c r="E95" s="93" t="s">
        <v>567</v>
      </c>
      <c r="F95" s="92" t="s">
        <v>342</v>
      </c>
      <c r="G95" s="92" t="s">
        <v>317</v>
      </c>
      <c r="H95" s="92" t="s">
        <v>13</v>
      </c>
      <c r="I95" s="92" t="s">
        <v>230</v>
      </c>
      <c r="J95" s="93" t="s">
        <v>267</v>
      </c>
      <c r="K95" s="94">
        <v>7.1</v>
      </c>
      <c r="L95" s="94">
        <f>K95*VLOOKUP(H95,dagsoorttabel1,2,FALSE)</f>
        <v>2.84</v>
      </c>
      <c r="M95" s="95">
        <f>prodnorm92</f>
        <v>0</v>
      </c>
      <c r="N95" s="92" t="s">
        <v>101</v>
      </c>
      <c r="O95" s="26">
        <f>uurtarief92</f>
        <v>0</v>
      </c>
      <c r="P95" s="94" t="e">
        <f>IF(ISBLANK(M95),0,L95/ROUND(M95,4))</f>
        <v>#DIV/0!</v>
      </c>
      <c r="Q95" s="26" t="e">
        <f>ROUND(O95,2)*P95</f>
        <v>#DIV/0!</v>
      </c>
      <c r="R95" s="94" t="e">
        <f>P95*dagenperjaar1</f>
        <v>#DIV/0!</v>
      </c>
      <c r="S95" s="27" t="e">
        <f>R95*ROUND(O95,2)</f>
        <v>#DIV/0!</v>
      </c>
    </row>
    <row r="96" spans="1:19" x14ac:dyDescent="0.2">
      <c r="A96" s="91" t="s">
        <v>333</v>
      </c>
      <c r="B96" s="92" t="s">
        <v>536</v>
      </c>
      <c r="C96" s="92" t="s">
        <v>393</v>
      </c>
      <c r="D96" s="92" t="s">
        <v>568</v>
      </c>
      <c r="E96" s="93" t="s">
        <v>569</v>
      </c>
      <c r="F96" s="92" t="s">
        <v>342</v>
      </c>
      <c r="G96" s="92" t="s">
        <v>317</v>
      </c>
      <c r="H96" s="92" t="s">
        <v>13</v>
      </c>
      <c r="I96" s="92" t="s">
        <v>230</v>
      </c>
      <c r="J96" s="93" t="s">
        <v>267</v>
      </c>
      <c r="K96" s="94">
        <v>7.8</v>
      </c>
      <c r="L96" s="94">
        <f>K96*VLOOKUP(H96,dagsoorttabel1,2,FALSE)</f>
        <v>3.12</v>
      </c>
      <c r="M96" s="95">
        <f>prodnorm92</f>
        <v>0</v>
      </c>
      <c r="N96" s="92" t="s">
        <v>101</v>
      </c>
      <c r="O96" s="26">
        <f>uurtarief92</f>
        <v>0</v>
      </c>
      <c r="P96" s="94" t="e">
        <f>IF(ISBLANK(M96),0,L96/ROUND(M96,4))</f>
        <v>#DIV/0!</v>
      </c>
      <c r="Q96" s="26" t="e">
        <f>ROUND(O96,2)*P96</f>
        <v>#DIV/0!</v>
      </c>
      <c r="R96" s="94" t="e">
        <f>P96*dagenperjaar1</f>
        <v>#DIV/0!</v>
      </c>
      <c r="S96" s="27" t="e">
        <f>R96*ROUND(O96,2)</f>
        <v>#DIV/0!</v>
      </c>
    </row>
    <row r="97" spans="1:19" x14ac:dyDescent="0.2">
      <c r="A97" s="91" t="s">
        <v>333</v>
      </c>
      <c r="B97" s="92" t="s">
        <v>536</v>
      </c>
      <c r="C97" s="92" t="s">
        <v>393</v>
      </c>
      <c r="D97" s="92" t="s">
        <v>571</v>
      </c>
      <c r="E97" s="93" t="s">
        <v>572</v>
      </c>
      <c r="F97" s="92" t="s">
        <v>338</v>
      </c>
      <c r="G97" s="92" t="s">
        <v>313</v>
      </c>
      <c r="H97" s="92" t="s">
        <v>13</v>
      </c>
      <c r="I97" s="92" t="s">
        <v>230</v>
      </c>
      <c r="J97" s="93" t="s">
        <v>257</v>
      </c>
      <c r="K97" s="94">
        <v>55.3</v>
      </c>
      <c r="L97" s="94">
        <f>K97*VLOOKUP(H97,dagsoorttabel1,2,FALSE)</f>
        <v>22.12</v>
      </c>
      <c r="M97" s="95">
        <f>prodnorm88</f>
        <v>0</v>
      </c>
      <c r="N97" s="92" t="s">
        <v>101</v>
      </c>
      <c r="O97" s="26">
        <f>uurtarief88</f>
        <v>0</v>
      </c>
      <c r="P97" s="94" t="e">
        <f>IF(ISBLANK(M97),0,L97/ROUND(M97,4))</f>
        <v>#DIV/0!</v>
      </c>
      <c r="Q97" s="26" t="e">
        <f>ROUND(O97,2)*P97</f>
        <v>#DIV/0!</v>
      </c>
      <c r="R97" s="94" t="e">
        <f>P97*dagenperjaar1</f>
        <v>#DIV/0!</v>
      </c>
      <c r="S97" s="27" t="e">
        <f>R97*ROUND(O97,2)</f>
        <v>#DIV/0!</v>
      </c>
    </row>
    <row r="98" spans="1:19" x14ac:dyDescent="0.2">
      <c r="A98" s="91" t="s">
        <v>333</v>
      </c>
      <c r="B98" s="92" t="s">
        <v>536</v>
      </c>
      <c r="C98" s="92" t="s">
        <v>419</v>
      </c>
      <c r="D98" s="92" t="s">
        <v>575</v>
      </c>
      <c r="E98" s="93" t="s">
        <v>576</v>
      </c>
      <c r="F98" s="92" t="s">
        <v>543</v>
      </c>
      <c r="G98" s="92" t="s">
        <v>307</v>
      </c>
      <c r="H98" s="92" t="s">
        <v>13</v>
      </c>
      <c r="I98" s="92" t="s">
        <v>230</v>
      </c>
      <c r="J98" s="93" t="s">
        <v>245</v>
      </c>
      <c r="K98" s="94">
        <v>69.5</v>
      </c>
      <c r="L98" s="94">
        <f>K98*VLOOKUP(H98,dagsoorttabel1,2,FALSE)</f>
        <v>27.8</v>
      </c>
      <c r="M98" s="95">
        <f>prodnorm83</f>
        <v>0</v>
      </c>
      <c r="N98" s="92" t="s">
        <v>101</v>
      </c>
      <c r="O98" s="26">
        <f>uurtarief83</f>
        <v>0</v>
      </c>
      <c r="P98" s="94" t="e">
        <f>IF(ISBLANK(M98),0,L98/ROUND(M98,4))</f>
        <v>#DIV/0!</v>
      </c>
      <c r="Q98" s="26" t="e">
        <f>ROUND(O98,2)*P98</f>
        <v>#DIV/0!</v>
      </c>
      <c r="R98" s="94" t="e">
        <f>P98*dagenperjaar1</f>
        <v>#DIV/0!</v>
      </c>
      <c r="S98" s="27" t="e">
        <f>R98*ROUND(O98,2)</f>
        <v>#DIV/0!</v>
      </c>
    </row>
    <row r="99" spans="1:19" x14ac:dyDescent="0.2">
      <c r="A99" s="97" t="s">
        <v>333</v>
      </c>
      <c r="B99" s="98" t="s">
        <v>536</v>
      </c>
      <c r="C99" s="98" t="s">
        <v>419</v>
      </c>
      <c r="D99" s="98" t="s">
        <v>585</v>
      </c>
      <c r="E99" s="99" t="s">
        <v>586</v>
      </c>
      <c r="F99" s="98" t="s">
        <v>543</v>
      </c>
      <c r="G99" s="98" t="s">
        <v>307</v>
      </c>
      <c r="H99" s="98" t="s">
        <v>13</v>
      </c>
      <c r="I99" s="98" t="s">
        <v>230</v>
      </c>
      <c r="J99" s="99" t="s">
        <v>245</v>
      </c>
      <c r="K99" s="100">
        <v>75.7</v>
      </c>
      <c r="L99" s="100">
        <f>K99*VLOOKUP(H99,dagsoorttabel1,2,FALSE)</f>
        <v>30.28</v>
      </c>
      <c r="M99" s="101">
        <f>prodnorm83</f>
        <v>0</v>
      </c>
      <c r="N99" s="98" t="s">
        <v>101</v>
      </c>
      <c r="O99" s="36">
        <f>uurtarief83</f>
        <v>0</v>
      </c>
      <c r="P99" s="100" t="e">
        <f>IF(ISBLANK(M99),0,L99/ROUND(M99,4))</f>
        <v>#DIV/0!</v>
      </c>
      <c r="Q99" s="36" t="e">
        <f>ROUND(O99,2)*P99</f>
        <v>#DIV/0!</v>
      </c>
      <c r="R99" s="100" t="e">
        <f>P99*dagenperjaar1</f>
        <v>#DIV/0!</v>
      </c>
      <c r="S99" s="37" t="e">
        <f>R99*ROUND(O99,2)</f>
        <v>#DIV/0!</v>
      </c>
    </row>
    <row r="100" spans="1:19" x14ac:dyDescent="0.2">
      <c r="A100" s="103" t="s">
        <v>948</v>
      </c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6" t="e">
        <f>IF(_xlfn.SINGLE(object1_urenjaar3)&gt;0,_xlfn.SINGLE(object1_prijsjaar3)/_xlfn.SINGLE(object1_urenjaar3),0)</f>
        <v>#DIV/0!</v>
      </c>
      <c r="P100" s="75" t="e">
        <f>SUM(P5:P99)</f>
        <v>#DIV/0!</v>
      </c>
      <c r="Q100" s="76" t="e">
        <f>SUM(Q5:Q99)</f>
        <v>#DIV/0!</v>
      </c>
      <c r="R100" s="75" t="e">
        <f>SUM(R5:R99)</f>
        <v>#DIV/0!</v>
      </c>
      <c r="S100" s="77" t="e">
        <f>SUM(S5:S99)</f>
        <v>#DIV/0!</v>
      </c>
    </row>
    <row r="101" spans="1:19" x14ac:dyDescent="0.2">
      <c r="A101" s="82" t="s">
        <v>605</v>
      </c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72"/>
    </row>
    <row r="102" spans="1:19" x14ac:dyDescent="0.2">
      <c r="A102" s="83" t="s">
        <v>606</v>
      </c>
      <c r="B102" s="84" t="s">
        <v>607</v>
      </c>
      <c r="C102" s="84" t="s">
        <v>335</v>
      </c>
      <c r="D102" s="84" t="s">
        <v>613</v>
      </c>
      <c r="E102" s="85" t="s">
        <v>614</v>
      </c>
      <c r="F102" s="84" t="s">
        <v>349</v>
      </c>
      <c r="G102" s="84" t="s">
        <v>319</v>
      </c>
      <c r="H102" s="84" t="s">
        <v>13</v>
      </c>
      <c r="I102" s="84" t="s">
        <v>273</v>
      </c>
      <c r="J102" s="85" t="s">
        <v>320</v>
      </c>
      <c r="K102" s="86">
        <v>1</v>
      </c>
      <c r="L102" s="86">
        <f>K102*VLOOKUP(H102,dagsoorttabel1,2,FALSE)</f>
        <v>0.4</v>
      </c>
      <c r="M102" s="87">
        <f>prodnorm76</f>
        <v>0</v>
      </c>
      <c r="N102" s="84" t="s">
        <v>275</v>
      </c>
      <c r="O102" s="88">
        <f>uurtarief76</f>
        <v>0</v>
      </c>
      <c r="P102" s="86">
        <f>L102*ROUND(M102,4)/60</f>
        <v>0</v>
      </c>
      <c r="Q102" s="88">
        <f>ROUND(O102,2)*P102</f>
        <v>0</v>
      </c>
      <c r="R102" s="86">
        <f>P102*dagenperjaar1</f>
        <v>0</v>
      </c>
      <c r="S102" s="90">
        <f>R102*ROUND(O102,2)</f>
        <v>0</v>
      </c>
    </row>
    <row r="103" spans="1:19" x14ac:dyDescent="0.2">
      <c r="A103" s="91" t="s">
        <v>606</v>
      </c>
      <c r="B103" s="92" t="s">
        <v>607</v>
      </c>
      <c r="C103" s="92" t="s">
        <v>335</v>
      </c>
      <c r="D103" s="92" t="s">
        <v>613</v>
      </c>
      <c r="E103" s="93" t="s">
        <v>614</v>
      </c>
      <c r="F103" s="92" t="s">
        <v>349</v>
      </c>
      <c r="G103" s="92" t="s">
        <v>304</v>
      </c>
      <c r="H103" s="92" t="s">
        <v>13</v>
      </c>
      <c r="I103" s="92" t="s">
        <v>230</v>
      </c>
      <c r="J103" s="93" t="s">
        <v>239</v>
      </c>
      <c r="K103" s="94">
        <v>75.7</v>
      </c>
      <c r="L103" s="94">
        <f>K103*VLOOKUP(H103,dagsoorttabel1,2,FALSE)</f>
        <v>30.28</v>
      </c>
      <c r="M103" s="95">
        <f>prodnorm80</f>
        <v>0</v>
      </c>
      <c r="N103" s="92" t="s">
        <v>101</v>
      </c>
      <c r="O103" s="26">
        <f>uurtarief80</f>
        <v>0</v>
      </c>
      <c r="P103" s="94" t="e">
        <f>IF(ISBLANK(M103),0,L103/ROUND(M103,4))</f>
        <v>#DIV/0!</v>
      </c>
      <c r="Q103" s="26" t="e">
        <f>ROUND(O103,2)*P103</f>
        <v>#DIV/0!</v>
      </c>
      <c r="R103" s="94" t="e">
        <f>P103*dagenperjaar1</f>
        <v>#DIV/0!</v>
      </c>
      <c r="S103" s="27" t="e">
        <f>R103*ROUND(O103,2)</f>
        <v>#DIV/0!</v>
      </c>
    </row>
    <row r="104" spans="1:19" x14ac:dyDescent="0.2">
      <c r="A104" s="91" t="s">
        <v>606</v>
      </c>
      <c r="B104" s="92" t="s">
        <v>607</v>
      </c>
      <c r="C104" s="92" t="s">
        <v>335</v>
      </c>
      <c r="D104" s="92" t="s">
        <v>631</v>
      </c>
      <c r="E104" s="93" t="s">
        <v>632</v>
      </c>
      <c r="F104" s="92" t="s">
        <v>458</v>
      </c>
      <c r="G104" s="92" t="s">
        <v>309</v>
      </c>
      <c r="H104" s="92" t="s">
        <v>13</v>
      </c>
      <c r="I104" s="92" t="s">
        <v>230</v>
      </c>
      <c r="J104" s="93" t="s">
        <v>251</v>
      </c>
      <c r="K104" s="94">
        <v>12.8</v>
      </c>
      <c r="L104" s="94">
        <f>K104*VLOOKUP(H104,dagsoorttabel1,2,FALSE)</f>
        <v>5.120000000000001</v>
      </c>
      <c r="M104" s="95">
        <f>prodnorm85</f>
        <v>0</v>
      </c>
      <c r="N104" s="92" t="s">
        <v>101</v>
      </c>
      <c r="O104" s="26">
        <f>uurtarief85</f>
        <v>0</v>
      </c>
      <c r="P104" s="94" t="e">
        <f>IF(ISBLANK(M104),0,L104/ROUND(M104,4))</f>
        <v>#DIV/0!</v>
      </c>
      <c r="Q104" s="26" t="e">
        <f>ROUND(O104,2)*P104</f>
        <v>#DIV/0!</v>
      </c>
      <c r="R104" s="94" t="e">
        <f>P104*dagenperjaar1</f>
        <v>#DIV/0!</v>
      </c>
      <c r="S104" s="27" t="e">
        <f>R104*ROUND(O104,2)</f>
        <v>#DIV/0!</v>
      </c>
    </row>
    <row r="105" spans="1:19" x14ac:dyDescent="0.2">
      <c r="A105" s="91" t="s">
        <v>606</v>
      </c>
      <c r="B105" s="92" t="s">
        <v>607</v>
      </c>
      <c r="C105" s="92" t="s">
        <v>335</v>
      </c>
      <c r="D105" s="92" t="s">
        <v>633</v>
      </c>
      <c r="E105" s="93" t="s">
        <v>560</v>
      </c>
      <c r="F105" s="92" t="s">
        <v>349</v>
      </c>
      <c r="G105" s="92" t="s">
        <v>310</v>
      </c>
      <c r="H105" s="92" t="s">
        <v>13</v>
      </c>
      <c r="I105" s="92" t="s">
        <v>230</v>
      </c>
      <c r="J105" s="93" t="s">
        <v>253</v>
      </c>
      <c r="K105" s="94">
        <v>3.4</v>
      </c>
      <c r="L105" s="94">
        <f>K105*VLOOKUP(H105,dagsoorttabel1,2,FALSE)</f>
        <v>1.36</v>
      </c>
      <c r="M105" s="95">
        <f>prodnorm86</f>
        <v>0</v>
      </c>
      <c r="N105" s="92" t="s">
        <v>101</v>
      </c>
      <c r="O105" s="26">
        <f>uurtarief86</f>
        <v>0</v>
      </c>
      <c r="P105" s="94" t="e">
        <f>IF(ISBLANK(M105),0,L105/ROUND(M105,4))</f>
        <v>#DIV/0!</v>
      </c>
      <c r="Q105" s="26" t="e">
        <f>ROUND(O105,2)*P105</f>
        <v>#DIV/0!</v>
      </c>
      <c r="R105" s="94" t="e">
        <f>P105*dagenperjaar1</f>
        <v>#DIV/0!</v>
      </c>
      <c r="S105" s="27" t="e">
        <f>R105*ROUND(O105,2)</f>
        <v>#DIV/0!</v>
      </c>
    </row>
    <row r="106" spans="1:19" x14ac:dyDescent="0.2">
      <c r="A106" s="91" t="s">
        <v>606</v>
      </c>
      <c r="B106" s="92" t="s">
        <v>607</v>
      </c>
      <c r="C106" s="92" t="s">
        <v>335</v>
      </c>
      <c r="D106" s="92" t="s">
        <v>634</v>
      </c>
      <c r="E106" s="93" t="s">
        <v>635</v>
      </c>
      <c r="F106" s="92" t="s">
        <v>349</v>
      </c>
      <c r="G106" s="92" t="s">
        <v>310</v>
      </c>
      <c r="H106" s="92" t="s">
        <v>13</v>
      </c>
      <c r="I106" s="92" t="s">
        <v>230</v>
      </c>
      <c r="J106" s="93" t="s">
        <v>253</v>
      </c>
      <c r="K106" s="94">
        <v>2.2999999999999998</v>
      </c>
      <c r="L106" s="94">
        <f>K106*VLOOKUP(H106,dagsoorttabel1,2,FALSE)</f>
        <v>0.91999999999999993</v>
      </c>
      <c r="M106" s="95">
        <f>prodnorm86</f>
        <v>0</v>
      </c>
      <c r="N106" s="92" t="s">
        <v>101</v>
      </c>
      <c r="O106" s="26">
        <f>uurtarief86</f>
        <v>0</v>
      </c>
      <c r="P106" s="94" t="e">
        <f>IF(ISBLANK(M106),0,L106/ROUND(M106,4))</f>
        <v>#DIV/0!</v>
      </c>
      <c r="Q106" s="26" t="e">
        <f>ROUND(O106,2)*P106</f>
        <v>#DIV/0!</v>
      </c>
      <c r="R106" s="94" t="e">
        <f>P106*dagenperjaar1</f>
        <v>#DIV/0!</v>
      </c>
      <c r="S106" s="27" t="e">
        <f>R106*ROUND(O106,2)</f>
        <v>#DIV/0!</v>
      </c>
    </row>
    <row r="107" spans="1:19" x14ac:dyDescent="0.2">
      <c r="A107" s="91" t="s">
        <v>606</v>
      </c>
      <c r="B107" s="92" t="s">
        <v>607</v>
      </c>
      <c r="C107" s="92" t="s">
        <v>335</v>
      </c>
      <c r="D107" s="92" t="s">
        <v>637</v>
      </c>
      <c r="E107" s="93" t="s">
        <v>638</v>
      </c>
      <c r="F107" s="92" t="s">
        <v>349</v>
      </c>
      <c r="G107" s="92" t="s">
        <v>310</v>
      </c>
      <c r="H107" s="92" t="s">
        <v>13</v>
      </c>
      <c r="I107" s="92" t="s">
        <v>230</v>
      </c>
      <c r="J107" s="93" t="s">
        <v>253</v>
      </c>
      <c r="K107" s="94">
        <v>1.2</v>
      </c>
      <c r="L107" s="94">
        <f>K107*VLOOKUP(H107,dagsoorttabel1,2,FALSE)</f>
        <v>0.48</v>
      </c>
      <c r="M107" s="95">
        <f>prodnorm86</f>
        <v>0</v>
      </c>
      <c r="N107" s="92" t="s">
        <v>101</v>
      </c>
      <c r="O107" s="26">
        <f>uurtarief86</f>
        <v>0</v>
      </c>
      <c r="P107" s="94" t="e">
        <f>IF(ISBLANK(M107),0,L107/ROUND(M107,4))</f>
        <v>#DIV/0!</v>
      </c>
      <c r="Q107" s="26" t="e">
        <f>ROUND(O107,2)*P107</f>
        <v>#DIV/0!</v>
      </c>
      <c r="R107" s="94" t="e">
        <f>P107*dagenperjaar1</f>
        <v>#DIV/0!</v>
      </c>
      <c r="S107" s="27" t="e">
        <f>R107*ROUND(O107,2)</f>
        <v>#DIV/0!</v>
      </c>
    </row>
    <row r="108" spans="1:19" x14ac:dyDescent="0.2">
      <c r="A108" s="91" t="s">
        <v>606</v>
      </c>
      <c r="B108" s="92" t="s">
        <v>607</v>
      </c>
      <c r="C108" s="92" t="s">
        <v>335</v>
      </c>
      <c r="D108" s="92" t="s">
        <v>639</v>
      </c>
      <c r="E108" s="93" t="s">
        <v>640</v>
      </c>
      <c r="F108" s="92" t="s">
        <v>349</v>
      </c>
      <c r="G108" s="92" t="s">
        <v>310</v>
      </c>
      <c r="H108" s="92" t="s">
        <v>13</v>
      </c>
      <c r="I108" s="92" t="s">
        <v>230</v>
      </c>
      <c r="J108" s="93" t="s">
        <v>253</v>
      </c>
      <c r="K108" s="94">
        <v>1.6</v>
      </c>
      <c r="L108" s="94">
        <f>K108*VLOOKUP(H108,dagsoorttabel1,2,FALSE)</f>
        <v>0.64000000000000012</v>
      </c>
      <c r="M108" s="95">
        <f>prodnorm86</f>
        <v>0</v>
      </c>
      <c r="N108" s="92" t="s">
        <v>101</v>
      </c>
      <c r="O108" s="26">
        <f>uurtarief86</f>
        <v>0</v>
      </c>
      <c r="P108" s="94" t="e">
        <f>IF(ISBLANK(M108),0,L108/ROUND(M108,4))</f>
        <v>#DIV/0!</v>
      </c>
      <c r="Q108" s="26" t="e">
        <f>ROUND(O108,2)*P108</f>
        <v>#DIV/0!</v>
      </c>
      <c r="R108" s="94" t="e">
        <f>P108*dagenperjaar1</f>
        <v>#DIV/0!</v>
      </c>
      <c r="S108" s="27" t="e">
        <f>R108*ROUND(O108,2)</f>
        <v>#DIV/0!</v>
      </c>
    </row>
    <row r="109" spans="1:19" x14ac:dyDescent="0.2">
      <c r="A109" s="91" t="s">
        <v>606</v>
      </c>
      <c r="B109" s="92" t="s">
        <v>607</v>
      </c>
      <c r="C109" s="92" t="s">
        <v>335</v>
      </c>
      <c r="D109" s="92" t="s">
        <v>639</v>
      </c>
      <c r="E109" s="93" t="s">
        <v>640</v>
      </c>
      <c r="F109" s="92" t="s">
        <v>349</v>
      </c>
      <c r="G109" s="92" t="s">
        <v>311</v>
      </c>
      <c r="H109" s="92" t="s">
        <v>13</v>
      </c>
      <c r="I109" s="92" t="s">
        <v>230</v>
      </c>
      <c r="J109" s="93" t="s">
        <v>312</v>
      </c>
      <c r="K109" s="94">
        <v>1.6</v>
      </c>
      <c r="L109" s="94">
        <f>K109*VLOOKUP(H109,dagsoorttabel1,2,FALSE)</f>
        <v>0.64000000000000012</v>
      </c>
      <c r="M109" s="95">
        <f>prodnorm87</f>
        <v>0</v>
      </c>
      <c r="N109" s="92" t="s">
        <v>101</v>
      </c>
      <c r="O109" s="26">
        <f>uurtarief87</f>
        <v>0</v>
      </c>
      <c r="P109" s="94" t="e">
        <f>IF(ISBLANK(M109),0,L109/ROUND(M109,4))</f>
        <v>#DIV/0!</v>
      </c>
      <c r="Q109" s="26" t="e">
        <f>ROUND(O109,2)*P109</f>
        <v>#DIV/0!</v>
      </c>
      <c r="R109" s="94" t="e">
        <f>P109*dagenperjaar1</f>
        <v>#DIV/0!</v>
      </c>
      <c r="S109" s="27" t="e">
        <f>R109*ROUND(O109,2)</f>
        <v>#DIV/0!</v>
      </c>
    </row>
    <row r="110" spans="1:19" ht="25.5" x14ac:dyDescent="0.2">
      <c r="A110" s="91" t="s">
        <v>606</v>
      </c>
      <c r="B110" s="92" t="s">
        <v>607</v>
      </c>
      <c r="C110" s="92" t="s">
        <v>335</v>
      </c>
      <c r="D110" s="92" t="s">
        <v>641</v>
      </c>
      <c r="E110" s="93" t="s">
        <v>642</v>
      </c>
      <c r="F110" s="92" t="s">
        <v>349</v>
      </c>
      <c r="G110" s="92" t="s">
        <v>310</v>
      </c>
      <c r="H110" s="92" t="s">
        <v>13</v>
      </c>
      <c r="I110" s="92" t="s">
        <v>230</v>
      </c>
      <c r="J110" s="93" t="s">
        <v>253</v>
      </c>
      <c r="K110" s="94">
        <v>1.6</v>
      </c>
      <c r="L110" s="94">
        <f>K110*VLOOKUP(H110,dagsoorttabel1,2,FALSE)</f>
        <v>0.64000000000000012</v>
      </c>
      <c r="M110" s="95">
        <f>prodnorm86</f>
        <v>0</v>
      </c>
      <c r="N110" s="92" t="s">
        <v>101</v>
      </c>
      <c r="O110" s="26">
        <f>uurtarief86</f>
        <v>0</v>
      </c>
      <c r="P110" s="94" t="e">
        <f>IF(ISBLANK(M110),0,L110/ROUND(M110,4))</f>
        <v>#DIV/0!</v>
      </c>
      <c r="Q110" s="26" t="e">
        <f>ROUND(O110,2)*P110</f>
        <v>#DIV/0!</v>
      </c>
      <c r="R110" s="94" t="e">
        <f>P110*dagenperjaar1</f>
        <v>#DIV/0!</v>
      </c>
      <c r="S110" s="27" t="e">
        <f>R110*ROUND(O110,2)</f>
        <v>#DIV/0!</v>
      </c>
    </row>
    <row r="111" spans="1:19" x14ac:dyDescent="0.2">
      <c r="A111" s="91" t="s">
        <v>606</v>
      </c>
      <c r="B111" s="92" t="s">
        <v>607</v>
      </c>
      <c r="C111" s="92" t="s">
        <v>335</v>
      </c>
      <c r="D111" s="92" t="s">
        <v>643</v>
      </c>
      <c r="E111" s="93" t="s">
        <v>644</v>
      </c>
      <c r="F111" s="92" t="s">
        <v>349</v>
      </c>
      <c r="G111" s="92" t="s">
        <v>309</v>
      </c>
      <c r="H111" s="92" t="s">
        <v>13</v>
      </c>
      <c r="I111" s="92" t="s">
        <v>230</v>
      </c>
      <c r="J111" s="93" t="s">
        <v>251</v>
      </c>
      <c r="K111" s="94">
        <v>13.1</v>
      </c>
      <c r="L111" s="94">
        <f>K111*VLOOKUP(H111,dagsoorttabel1,2,FALSE)</f>
        <v>5.24</v>
      </c>
      <c r="M111" s="95">
        <f>prodnorm85</f>
        <v>0</v>
      </c>
      <c r="N111" s="92" t="s">
        <v>101</v>
      </c>
      <c r="O111" s="26">
        <f>uurtarief85</f>
        <v>0</v>
      </c>
      <c r="P111" s="94" t="e">
        <f>IF(ISBLANK(M111),0,L111/ROUND(M111,4))</f>
        <v>#DIV/0!</v>
      </c>
      <c r="Q111" s="26" t="e">
        <f>ROUND(O111,2)*P111</f>
        <v>#DIV/0!</v>
      </c>
      <c r="R111" s="94" t="e">
        <f>P111*dagenperjaar1</f>
        <v>#DIV/0!</v>
      </c>
      <c r="S111" s="27" t="e">
        <f>R111*ROUND(O111,2)</f>
        <v>#DIV/0!</v>
      </c>
    </row>
    <row r="112" spans="1:19" x14ac:dyDescent="0.2">
      <c r="A112" s="91" t="s">
        <v>606</v>
      </c>
      <c r="B112" s="92" t="s">
        <v>607</v>
      </c>
      <c r="C112" s="92" t="s">
        <v>393</v>
      </c>
      <c r="D112" s="92" t="s">
        <v>674</v>
      </c>
      <c r="E112" s="93" t="s">
        <v>675</v>
      </c>
      <c r="F112" s="92" t="s">
        <v>349</v>
      </c>
      <c r="G112" s="92" t="s">
        <v>310</v>
      </c>
      <c r="H112" s="92" t="s">
        <v>13</v>
      </c>
      <c r="I112" s="92" t="s">
        <v>230</v>
      </c>
      <c r="J112" s="93" t="s">
        <v>253</v>
      </c>
      <c r="K112" s="94">
        <v>8.6</v>
      </c>
      <c r="L112" s="94">
        <f>K112*VLOOKUP(H112,dagsoorttabel1,2,FALSE)</f>
        <v>3.44</v>
      </c>
      <c r="M112" s="95">
        <f>prodnorm86</f>
        <v>0</v>
      </c>
      <c r="N112" s="92" t="s">
        <v>101</v>
      </c>
      <c r="O112" s="26">
        <f>uurtarief86</f>
        <v>0</v>
      </c>
      <c r="P112" s="94" t="e">
        <f>IF(ISBLANK(M112),0,L112/ROUND(M112,4))</f>
        <v>#DIV/0!</v>
      </c>
      <c r="Q112" s="26" t="e">
        <f>ROUND(O112,2)*P112</f>
        <v>#DIV/0!</v>
      </c>
      <c r="R112" s="94" t="e">
        <f>P112*dagenperjaar1</f>
        <v>#DIV/0!</v>
      </c>
      <c r="S112" s="27" t="e">
        <f>R112*ROUND(O112,2)</f>
        <v>#DIV/0!</v>
      </c>
    </row>
    <row r="113" spans="1:19" x14ac:dyDescent="0.2">
      <c r="A113" s="91" t="s">
        <v>606</v>
      </c>
      <c r="B113" s="92" t="s">
        <v>607</v>
      </c>
      <c r="C113" s="92" t="s">
        <v>393</v>
      </c>
      <c r="D113" s="92" t="s">
        <v>674</v>
      </c>
      <c r="E113" s="93" t="s">
        <v>675</v>
      </c>
      <c r="F113" s="92" t="s">
        <v>349</v>
      </c>
      <c r="G113" s="92" t="s">
        <v>311</v>
      </c>
      <c r="H113" s="92" t="s">
        <v>13</v>
      </c>
      <c r="I113" s="92" t="s">
        <v>230</v>
      </c>
      <c r="J113" s="93" t="s">
        <v>312</v>
      </c>
      <c r="K113" s="94">
        <v>8.6</v>
      </c>
      <c r="L113" s="94">
        <f>K113*VLOOKUP(H113,dagsoorttabel1,2,FALSE)</f>
        <v>3.44</v>
      </c>
      <c r="M113" s="95">
        <f>prodnorm87</f>
        <v>0</v>
      </c>
      <c r="N113" s="92" t="s">
        <v>101</v>
      </c>
      <c r="O113" s="26">
        <f>uurtarief87</f>
        <v>0</v>
      </c>
      <c r="P113" s="94" t="e">
        <f>IF(ISBLANK(M113),0,L113/ROUND(M113,4))</f>
        <v>#DIV/0!</v>
      </c>
      <c r="Q113" s="26" t="e">
        <f>ROUND(O113,2)*P113</f>
        <v>#DIV/0!</v>
      </c>
      <c r="R113" s="94" t="e">
        <f>P113*dagenperjaar1</f>
        <v>#DIV/0!</v>
      </c>
      <c r="S113" s="27" t="e">
        <f>R113*ROUND(O113,2)</f>
        <v>#DIV/0!</v>
      </c>
    </row>
    <row r="114" spans="1:19" x14ac:dyDescent="0.2">
      <c r="A114" s="91" t="s">
        <v>606</v>
      </c>
      <c r="B114" s="92" t="s">
        <v>607</v>
      </c>
      <c r="C114" s="92" t="s">
        <v>393</v>
      </c>
      <c r="D114" s="92" t="s">
        <v>676</v>
      </c>
      <c r="E114" s="93" t="s">
        <v>677</v>
      </c>
      <c r="F114" s="92" t="s">
        <v>349</v>
      </c>
      <c r="G114" s="92" t="s">
        <v>310</v>
      </c>
      <c r="H114" s="92" t="s">
        <v>13</v>
      </c>
      <c r="I114" s="92" t="s">
        <v>230</v>
      </c>
      <c r="J114" s="93" t="s">
        <v>253</v>
      </c>
      <c r="K114" s="94">
        <v>1.1000000000000001</v>
      </c>
      <c r="L114" s="94">
        <f>K114*VLOOKUP(H114,dagsoorttabel1,2,FALSE)</f>
        <v>0.44000000000000006</v>
      </c>
      <c r="M114" s="95">
        <f>prodnorm86</f>
        <v>0</v>
      </c>
      <c r="N114" s="92" t="s">
        <v>101</v>
      </c>
      <c r="O114" s="26">
        <f>uurtarief86</f>
        <v>0</v>
      </c>
      <c r="P114" s="94" t="e">
        <f>IF(ISBLANK(M114),0,L114/ROUND(M114,4))</f>
        <v>#DIV/0!</v>
      </c>
      <c r="Q114" s="26" t="e">
        <f>ROUND(O114,2)*P114</f>
        <v>#DIV/0!</v>
      </c>
      <c r="R114" s="94" t="e">
        <f>P114*dagenperjaar1</f>
        <v>#DIV/0!</v>
      </c>
      <c r="S114" s="27" t="e">
        <f>R114*ROUND(O114,2)</f>
        <v>#DIV/0!</v>
      </c>
    </row>
    <row r="115" spans="1:19" x14ac:dyDescent="0.2">
      <c r="A115" s="91" t="s">
        <v>606</v>
      </c>
      <c r="B115" s="92" t="s">
        <v>607</v>
      </c>
      <c r="C115" s="92" t="s">
        <v>393</v>
      </c>
      <c r="D115" s="92" t="s">
        <v>676</v>
      </c>
      <c r="E115" s="93" t="s">
        <v>677</v>
      </c>
      <c r="F115" s="92" t="s">
        <v>349</v>
      </c>
      <c r="G115" s="92" t="s">
        <v>311</v>
      </c>
      <c r="H115" s="92" t="s">
        <v>13</v>
      </c>
      <c r="I115" s="92" t="s">
        <v>230</v>
      </c>
      <c r="J115" s="93" t="s">
        <v>312</v>
      </c>
      <c r="K115" s="94">
        <v>1.1000000000000001</v>
      </c>
      <c r="L115" s="94">
        <f>K115*VLOOKUP(H115,dagsoorttabel1,2,FALSE)</f>
        <v>0.44000000000000006</v>
      </c>
      <c r="M115" s="95">
        <f>prodnorm87</f>
        <v>0</v>
      </c>
      <c r="N115" s="92" t="s">
        <v>101</v>
      </c>
      <c r="O115" s="26">
        <f>uurtarief87</f>
        <v>0</v>
      </c>
      <c r="P115" s="94" t="e">
        <f>IF(ISBLANK(M115),0,L115/ROUND(M115,4))</f>
        <v>#DIV/0!</v>
      </c>
      <c r="Q115" s="26" t="e">
        <f>ROUND(O115,2)*P115</f>
        <v>#DIV/0!</v>
      </c>
      <c r="R115" s="94" t="e">
        <f>P115*dagenperjaar1</f>
        <v>#DIV/0!</v>
      </c>
      <c r="S115" s="27" t="e">
        <f>R115*ROUND(O115,2)</f>
        <v>#DIV/0!</v>
      </c>
    </row>
    <row r="116" spans="1:19" x14ac:dyDescent="0.2">
      <c r="A116" s="91" t="s">
        <v>606</v>
      </c>
      <c r="B116" s="92" t="s">
        <v>607</v>
      </c>
      <c r="C116" s="92" t="s">
        <v>393</v>
      </c>
      <c r="D116" s="92" t="s">
        <v>678</v>
      </c>
      <c r="E116" s="93" t="s">
        <v>677</v>
      </c>
      <c r="F116" s="92" t="s">
        <v>349</v>
      </c>
      <c r="G116" s="92" t="s">
        <v>310</v>
      </c>
      <c r="H116" s="92" t="s">
        <v>13</v>
      </c>
      <c r="I116" s="92" t="s">
        <v>230</v>
      </c>
      <c r="J116" s="93" t="s">
        <v>253</v>
      </c>
      <c r="K116" s="94">
        <v>1.1000000000000001</v>
      </c>
      <c r="L116" s="94">
        <f>K116*VLOOKUP(H116,dagsoorttabel1,2,FALSE)</f>
        <v>0.44000000000000006</v>
      </c>
      <c r="M116" s="95">
        <f>prodnorm86</f>
        <v>0</v>
      </c>
      <c r="N116" s="92" t="s">
        <v>101</v>
      </c>
      <c r="O116" s="26">
        <f>uurtarief86</f>
        <v>0</v>
      </c>
      <c r="P116" s="94" t="e">
        <f>IF(ISBLANK(M116),0,L116/ROUND(M116,4))</f>
        <v>#DIV/0!</v>
      </c>
      <c r="Q116" s="26" t="e">
        <f>ROUND(O116,2)*P116</f>
        <v>#DIV/0!</v>
      </c>
      <c r="R116" s="94" t="e">
        <f>P116*dagenperjaar1</f>
        <v>#DIV/0!</v>
      </c>
      <c r="S116" s="27" t="e">
        <f>R116*ROUND(O116,2)</f>
        <v>#DIV/0!</v>
      </c>
    </row>
    <row r="117" spans="1:19" x14ac:dyDescent="0.2">
      <c r="A117" s="91" t="s">
        <v>606</v>
      </c>
      <c r="B117" s="92" t="s">
        <v>607</v>
      </c>
      <c r="C117" s="92" t="s">
        <v>393</v>
      </c>
      <c r="D117" s="92" t="s">
        <v>678</v>
      </c>
      <c r="E117" s="93" t="s">
        <v>677</v>
      </c>
      <c r="F117" s="92" t="s">
        <v>349</v>
      </c>
      <c r="G117" s="92" t="s">
        <v>311</v>
      </c>
      <c r="H117" s="92" t="s">
        <v>13</v>
      </c>
      <c r="I117" s="92" t="s">
        <v>230</v>
      </c>
      <c r="J117" s="93" t="s">
        <v>312</v>
      </c>
      <c r="K117" s="94">
        <v>1.1000000000000001</v>
      </c>
      <c r="L117" s="94">
        <f>K117*VLOOKUP(H117,dagsoorttabel1,2,FALSE)</f>
        <v>0.44000000000000006</v>
      </c>
      <c r="M117" s="95">
        <f>prodnorm87</f>
        <v>0</v>
      </c>
      <c r="N117" s="92" t="s">
        <v>101</v>
      </c>
      <c r="O117" s="26">
        <f>uurtarief87</f>
        <v>0</v>
      </c>
      <c r="P117" s="94" t="e">
        <f>IF(ISBLANK(M117),0,L117/ROUND(M117,4))</f>
        <v>#DIV/0!</v>
      </c>
      <c r="Q117" s="26" t="e">
        <f>ROUND(O117,2)*P117</f>
        <v>#DIV/0!</v>
      </c>
      <c r="R117" s="94" t="e">
        <f>P117*dagenperjaar1</f>
        <v>#DIV/0!</v>
      </c>
      <c r="S117" s="27" t="e">
        <f>R117*ROUND(O117,2)</f>
        <v>#DIV/0!</v>
      </c>
    </row>
    <row r="118" spans="1:19" x14ac:dyDescent="0.2">
      <c r="A118" s="91" t="s">
        <v>606</v>
      </c>
      <c r="B118" s="92" t="s">
        <v>607</v>
      </c>
      <c r="C118" s="92" t="s">
        <v>393</v>
      </c>
      <c r="D118" s="92" t="s">
        <v>679</v>
      </c>
      <c r="E118" s="93" t="s">
        <v>680</v>
      </c>
      <c r="F118" s="92" t="s">
        <v>349</v>
      </c>
      <c r="G118" s="92" t="s">
        <v>310</v>
      </c>
      <c r="H118" s="92" t="s">
        <v>13</v>
      </c>
      <c r="I118" s="92" t="s">
        <v>230</v>
      </c>
      <c r="J118" s="93" t="s">
        <v>253</v>
      </c>
      <c r="K118" s="94">
        <v>1.2</v>
      </c>
      <c r="L118" s="94">
        <f>K118*VLOOKUP(H118,dagsoorttabel1,2,FALSE)</f>
        <v>0.48</v>
      </c>
      <c r="M118" s="95">
        <f>prodnorm86</f>
        <v>0</v>
      </c>
      <c r="N118" s="92" t="s">
        <v>101</v>
      </c>
      <c r="O118" s="26">
        <f>uurtarief86</f>
        <v>0</v>
      </c>
      <c r="P118" s="94" t="e">
        <f>IF(ISBLANK(M118),0,L118/ROUND(M118,4))</f>
        <v>#DIV/0!</v>
      </c>
      <c r="Q118" s="26" t="e">
        <f>ROUND(O118,2)*P118</f>
        <v>#DIV/0!</v>
      </c>
      <c r="R118" s="94" t="e">
        <f>P118*dagenperjaar1</f>
        <v>#DIV/0!</v>
      </c>
      <c r="S118" s="27" t="e">
        <f>R118*ROUND(O118,2)</f>
        <v>#DIV/0!</v>
      </c>
    </row>
    <row r="119" spans="1:19" x14ac:dyDescent="0.2">
      <c r="A119" s="91" t="s">
        <v>606</v>
      </c>
      <c r="B119" s="92" t="s">
        <v>607</v>
      </c>
      <c r="C119" s="92" t="s">
        <v>393</v>
      </c>
      <c r="D119" s="92" t="s">
        <v>679</v>
      </c>
      <c r="E119" s="93" t="s">
        <v>680</v>
      </c>
      <c r="F119" s="92" t="s">
        <v>349</v>
      </c>
      <c r="G119" s="92" t="s">
        <v>311</v>
      </c>
      <c r="H119" s="92" t="s">
        <v>13</v>
      </c>
      <c r="I119" s="92" t="s">
        <v>230</v>
      </c>
      <c r="J119" s="93" t="s">
        <v>312</v>
      </c>
      <c r="K119" s="94">
        <v>1.2</v>
      </c>
      <c r="L119" s="94">
        <f>K119*VLOOKUP(H119,dagsoorttabel1,2,FALSE)</f>
        <v>0.48</v>
      </c>
      <c r="M119" s="95">
        <f>prodnorm87</f>
        <v>0</v>
      </c>
      <c r="N119" s="92" t="s">
        <v>101</v>
      </c>
      <c r="O119" s="26">
        <f>uurtarief87</f>
        <v>0</v>
      </c>
      <c r="P119" s="94" t="e">
        <f>IF(ISBLANK(M119),0,L119/ROUND(M119,4))</f>
        <v>#DIV/0!</v>
      </c>
      <c r="Q119" s="26" t="e">
        <f>ROUND(O119,2)*P119</f>
        <v>#DIV/0!</v>
      </c>
      <c r="R119" s="94" t="e">
        <f>P119*dagenperjaar1</f>
        <v>#DIV/0!</v>
      </c>
      <c r="S119" s="27" t="e">
        <f>R119*ROUND(O119,2)</f>
        <v>#DIV/0!</v>
      </c>
    </row>
    <row r="120" spans="1:19" x14ac:dyDescent="0.2">
      <c r="A120" s="91" t="s">
        <v>606</v>
      </c>
      <c r="B120" s="92" t="s">
        <v>607</v>
      </c>
      <c r="C120" s="92" t="s">
        <v>393</v>
      </c>
      <c r="D120" s="92" t="s">
        <v>681</v>
      </c>
      <c r="E120" s="93" t="s">
        <v>680</v>
      </c>
      <c r="F120" s="92" t="s">
        <v>349</v>
      </c>
      <c r="G120" s="92" t="s">
        <v>310</v>
      </c>
      <c r="H120" s="92" t="s">
        <v>13</v>
      </c>
      <c r="I120" s="92" t="s">
        <v>230</v>
      </c>
      <c r="J120" s="93" t="s">
        <v>253</v>
      </c>
      <c r="K120" s="94">
        <v>1.2</v>
      </c>
      <c r="L120" s="94">
        <f>K120*VLOOKUP(H120,dagsoorttabel1,2,FALSE)</f>
        <v>0.48</v>
      </c>
      <c r="M120" s="95">
        <f>prodnorm86</f>
        <v>0</v>
      </c>
      <c r="N120" s="92" t="s">
        <v>101</v>
      </c>
      <c r="O120" s="26">
        <f>uurtarief86</f>
        <v>0</v>
      </c>
      <c r="P120" s="94" t="e">
        <f>IF(ISBLANK(M120),0,L120/ROUND(M120,4))</f>
        <v>#DIV/0!</v>
      </c>
      <c r="Q120" s="26" t="e">
        <f>ROUND(O120,2)*P120</f>
        <v>#DIV/0!</v>
      </c>
      <c r="R120" s="94" t="e">
        <f>P120*dagenperjaar1</f>
        <v>#DIV/0!</v>
      </c>
      <c r="S120" s="27" t="e">
        <f>R120*ROUND(O120,2)</f>
        <v>#DIV/0!</v>
      </c>
    </row>
    <row r="121" spans="1:19" x14ac:dyDescent="0.2">
      <c r="A121" s="91" t="s">
        <v>606</v>
      </c>
      <c r="B121" s="92" t="s">
        <v>607</v>
      </c>
      <c r="C121" s="92" t="s">
        <v>393</v>
      </c>
      <c r="D121" s="92" t="s">
        <v>681</v>
      </c>
      <c r="E121" s="93" t="s">
        <v>680</v>
      </c>
      <c r="F121" s="92" t="s">
        <v>349</v>
      </c>
      <c r="G121" s="92" t="s">
        <v>311</v>
      </c>
      <c r="H121" s="92" t="s">
        <v>13</v>
      </c>
      <c r="I121" s="92" t="s">
        <v>230</v>
      </c>
      <c r="J121" s="93" t="s">
        <v>312</v>
      </c>
      <c r="K121" s="94">
        <v>1.2</v>
      </c>
      <c r="L121" s="94">
        <f>K121*VLOOKUP(H121,dagsoorttabel1,2,FALSE)</f>
        <v>0.48</v>
      </c>
      <c r="M121" s="95">
        <f>prodnorm87</f>
        <v>0</v>
      </c>
      <c r="N121" s="92" t="s">
        <v>101</v>
      </c>
      <c r="O121" s="26">
        <f>uurtarief87</f>
        <v>0</v>
      </c>
      <c r="P121" s="94" t="e">
        <f>IF(ISBLANK(M121),0,L121/ROUND(M121,4))</f>
        <v>#DIV/0!</v>
      </c>
      <c r="Q121" s="26" t="e">
        <f>ROUND(O121,2)*P121</f>
        <v>#DIV/0!</v>
      </c>
      <c r="R121" s="94" t="e">
        <f>P121*dagenperjaar1</f>
        <v>#DIV/0!</v>
      </c>
      <c r="S121" s="27" t="e">
        <f>R121*ROUND(O121,2)</f>
        <v>#DIV/0!</v>
      </c>
    </row>
    <row r="122" spans="1:19" x14ac:dyDescent="0.2">
      <c r="A122" s="91" t="s">
        <v>606</v>
      </c>
      <c r="B122" s="92" t="s">
        <v>607</v>
      </c>
      <c r="C122" s="92" t="s">
        <v>393</v>
      </c>
      <c r="D122" s="92" t="s">
        <v>682</v>
      </c>
      <c r="E122" s="93" t="s">
        <v>683</v>
      </c>
      <c r="F122" s="92" t="s">
        <v>349</v>
      </c>
      <c r="G122" s="92" t="s">
        <v>310</v>
      </c>
      <c r="H122" s="92" t="s">
        <v>13</v>
      </c>
      <c r="I122" s="92" t="s">
        <v>230</v>
      </c>
      <c r="J122" s="93" t="s">
        <v>253</v>
      </c>
      <c r="K122" s="94">
        <v>4.7</v>
      </c>
      <c r="L122" s="94">
        <f>K122*VLOOKUP(H122,dagsoorttabel1,2,FALSE)</f>
        <v>1.8800000000000001</v>
      </c>
      <c r="M122" s="95">
        <f>prodnorm86</f>
        <v>0</v>
      </c>
      <c r="N122" s="92" t="s">
        <v>101</v>
      </c>
      <c r="O122" s="26">
        <f>uurtarief86</f>
        <v>0</v>
      </c>
      <c r="P122" s="94" t="e">
        <f>IF(ISBLANK(M122),0,L122/ROUND(M122,4))</f>
        <v>#DIV/0!</v>
      </c>
      <c r="Q122" s="26" t="e">
        <f>ROUND(O122,2)*P122</f>
        <v>#DIV/0!</v>
      </c>
      <c r="R122" s="94" t="e">
        <f>P122*dagenperjaar1</f>
        <v>#DIV/0!</v>
      </c>
      <c r="S122" s="27" t="e">
        <f>R122*ROUND(O122,2)</f>
        <v>#DIV/0!</v>
      </c>
    </row>
    <row r="123" spans="1:19" x14ac:dyDescent="0.2">
      <c r="A123" s="91" t="s">
        <v>606</v>
      </c>
      <c r="B123" s="92" t="s">
        <v>607</v>
      </c>
      <c r="C123" s="92" t="s">
        <v>393</v>
      </c>
      <c r="D123" s="92" t="s">
        <v>682</v>
      </c>
      <c r="E123" s="93" t="s">
        <v>683</v>
      </c>
      <c r="F123" s="92" t="s">
        <v>349</v>
      </c>
      <c r="G123" s="92" t="s">
        <v>311</v>
      </c>
      <c r="H123" s="92" t="s">
        <v>13</v>
      </c>
      <c r="I123" s="92" t="s">
        <v>230</v>
      </c>
      <c r="J123" s="93" t="s">
        <v>312</v>
      </c>
      <c r="K123" s="94">
        <v>4.7</v>
      </c>
      <c r="L123" s="94">
        <f>K123*VLOOKUP(H123,dagsoorttabel1,2,FALSE)</f>
        <v>1.8800000000000001</v>
      </c>
      <c r="M123" s="95">
        <f>prodnorm87</f>
        <v>0</v>
      </c>
      <c r="N123" s="92" t="s">
        <v>101</v>
      </c>
      <c r="O123" s="26">
        <f>uurtarief87</f>
        <v>0</v>
      </c>
      <c r="P123" s="94" t="e">
        <f>IF(ISBLANK(M123),0,L123/ROUND(M123,4))</f>
        <v>#DIV/0!</v>
      </c>
      <c r="Q123" s="26" t="e">
        <f>ROUND(O123,2)*P123</f>
        <v>#DIV/0!</v>
      </c>
      <c r="R123" s="94" t="e">
        <f>P123*dagenperjaar1</f>
        <v>#DIV/0!</v>
      </c>
      <c r="S123" s="27" t="e">
        <f>R123*ROUND(O123,2)</f>
        <v>#DIV/0!</v>
      </c>
    </row>
    <row r="124" spans="1:19" x14ac:dyDescent="0.2">
      <c r="A124" s="91" t="s">
        <v>606</v>
      </c>
      <c r="B124" s="92" t="s">
        <v>607</v>
      </c>
      <c r="C124" s="92" t="s">
        <v>393</v>
      </c>
      <c r="D124" s="92" t="s">
        <v>684</v>
      </c>
      <c r="E124" s="93" t="s">
        <v>685</v>
      </c>
      <c r="F124" s="92" t="s">
        <v>349</v>
      </c>
      <c r="G124" s="92" t="s">
        <v>310</v>
      </c>
      <c r="H124" s="92" t="s">
        <v>13</v>
      </c>
      <c r="I124" s="92" t="s">
        <v>230</v>
      </c>
      <c r="J124" s="93" t="s">
        <v>253</v>
      </c>
      <c r="K124" s="94">
        <v>5.4</v>
      </c>
      <c r="L124" s="94">
        <f>K124*VLOOKUP(H124,dagsoorttabel1,2,FALSE)</f>
        <v>2.16</v>
      </c>
      <c r="M124" s="95">
        <f>prodnorm86</f>
        <v>0</v>
      </c>
      <c r="N124" s="92" t="s">
        <v>101</v>
      </c>
      <c r="O124" s="26">
        <f>uurtarief86</f>
        <v>0</v>
      </c>
      <c r="P124" s="94" t="e">
        <f>IF(ISBLANK(M124),0,L124/ROUND(M124,4))</f>
        <v>#DIV/0!</v>
      </c>
      <c r="Q124" s="26" t="e">
        <f>ROUND(O124,2)*P124</f>
        <v>#DIV/0!</v>
      </c>
      <c r="R124" s="94" t="e">
        <f>P124*dagenperjaar1</f>
        <v>#DIV/0!</v>
      </c>
      <c r="S124" s="27" t="e">
        <f>R124*ROUND(O124,2)</f>
        <v>#DIV/0!</v>
      </c>
    </row>
    <row r="125" spans="1:19" x14ac:dyDescent="0.2">
      <c r="A125" s="91" t="s">
        <v>606</v>
      </c>
      <c r="B125" s="92" t="s">
        <v>607</v>
      </c>
      <c r="C125" s="92" t="s">
        <v>393</v>
      </c>
      <c r="D125" s="92" t="s">
        <v>684</v>
      </c>
      <c r="E125" s="93" t="s">
        <v>685</v>
      </c>
      <c r="F125" s="92" t="s">
        <v>349</v>
      </c>
      <c r="G125" s="92" t="s">
        <v>311</v>
      </c>
      <c r="H125" s="92" t="s">
        <v>13</v>
      </c>
      <c r="I125" s="92" t="s">
        <v>230</v>
      </c>
      <c r="J125" s="93" t="s">
        <v>312</v>
      </c>
      <c r="K125" s="94">
        <v>5.4</v>
      </c>
      <c r="L125" s="94">
        <f>K125*VLOOKUP(H125,dagsoorttabel1,2,FALSE)</f>
        <v>2.16</v>
      </c>
      <c r="M125" s="95">
        <f>prodnorm87</f>
        <v>0</v>
      </c>
      <c r="N125" s="92" t="s">
        <v>101</v>
      </c>
      <c r="O125" s="26">
        <f>uurtarief87</f>
        <v>0</v>
      </c>
      <c r="P125" s="94" t="e">
        <f>IF(ISBLANK(M125),0,L125/ROUND(M125,4))</f>
        <v>#DIV/0!</v>
      </c>
      <c r="Q125" s="26" t="e">
        <f>ROUND(O125,2)*P125</f>
        <v>#DIV/0!</v>
      </c>
      <c r="R125" s="94" t="e">
        <f>P125*dagenperjaar1</f>
        <v>#DIV/0!</v>
      </c>
      <c r="S125" s="27" t="e">
        <f>R125*ROUND(O125,2)</f>
        <v>#DIV/0!</v>
      </c>
    </row>
    <row r="126" spans="1:19" x14ac:dyDescent="0.2">
      <c r="A126" s="91" t="s">
        <v>606</v>
      </c>
      <c r="B126" s="92" t="s">
        <v>607</v>
      </c>
      <c r="C126" s="92" t="s">
        <v>462</v>
      </c>
      <c r="D126" s="92" t="s">
        <v>761</v>
      </c>
      <c r="E126" s="93" t="s">
        <v>513</v>
      </c>
      <c r="F126" s="92" t="s">
        <v>458</v>
      </c>
      <c r="G126" s="92" t="s">
        <v>313</v>
      </c>
      <c r="H126" s="92" t="s">
        <v>13</v>
      </c>
      <c r="I126" s="92" t="s">
        <v>230</v>
      </c>
      <c r="J126" s="93" t="s">
        <v>257</v>
      </c>
      <c r="K126" s="94">
        <v>7.6</v>
      </c>
      <c r="L126" s="94">
        <f>K126*VLOOKUP(H126,dagsoorttabel1,2,FALSE)</f>
        <v>3.04</v>
      </c>
      <c r="M126" s="95">
        <f>prodnorm88</f>
        <v>0</v>
      </c>
      <c r="N126" s="92" t="s">
        <v>101</v>
      </c>
      <c r="O126" s="26">
        <f>uurtarief88</f>
        <v>0</v>
      </c>
      <c r="P126" s="94" t="e">
        <f>IF(ISBLANK(M126),0,L126/ROUND(M126,4))</f>
        <v>#DIV/0!</v>
      </c>
      <c r="Q126" s="26" t="e">
        <f>ROUND(O126,2)*P126</f>
        <v>#DIV/0!</v>
      </c>
      <c r="R126" s="94" t="e">
        <f>P126*dagenperjaar1</f>
        <v>#DIV/0!</v>
      </c>
      <c r="S126" s="27" t="e">
        <f>R126*ROUND(O126,2)</f>
        <v>#DIV/0!</v>
      </c>
    </row>
    <row r="127" spans="1:19" x14ac:dyDescent="0.2">
      <c r="A127" s="91" t="s">
        <v>606</v>
      </c>
      <c r="B127" s="92" t="s">
        <v>607</v>
      </c>
      <c r="C127" s="92" t="s">
        <v>462</v>
      </c>
      <c r="D127" s="92" t="s">
        <v>762</v>
      </c>
      <c r="E127" s="93" t="s">
        <v>611</v>
      </c>
      <c r="F127" s="92" t="s">
        <v>458</v>
      </c>
      <c r="G127" s="92" t="s">
        <v>317</v>
      </c>
      <c r="H127" s="92" t="s">
        <v>13</v>
      </c>
      <c r="I127" s="92" t="s">
        <v>230</v>
      </c>
      <c r="J127" s="93" t="s">
        <v>267</v>
      </c>
      <c r="K127" s="94">
        <v>12.8</v>
      </c>
      <c r="L127" s="94">
        <f>K127*VLOOKUP(H127,dagsoorttabel1,2,FALSE)</f>
        <v>5.120000000000001</v>
      </c>
      <c r="M127" s="95">
        <f>prodnorm92</f>
        <v>0</v>
      </c>
      <c r="N127" s="92" t="s">
        <v>101</v>
      </c>
      <c r="O127" s="26">
        <f>uurtarief92</f>
        <v>0</v>
      </c>
      <c r="P127" s="94" t="e">
        <f>IF(ISBLANK(M127),0,L127/ROUND(M127,4))</f>
        <v>#DIV/0!</v>
      </c>
      <c r="Q127" s="26" t="e">
        <f>ROUND(O127,2)*P127</f>
        <v>#DIV/0!</v>
      </c>
      <c r="R127" s="94" t="e">
        <f>P127*dagenperjaar1</f>
        <v>#DIV/0!</v>
      </c>
      <c r="S127" s="27" t="e">
        <f>R127*ROUND(O127,2)</f>
        <v>#DIV/0!</v>
      </c>
    </row>
    <row r="128" spans="1:19" x14ac:dyDescent="0.2">
      <c r="A128" s="97" t="s">
        <v>606</v>
      </c>
      <c r="B128" s="98" t="s">
        <v>607</v>
      </c>
      <c r="C128" s="98" t="s">
        <v>771</v>
      </c>
      <c r="D128" s="98" t="s">
        <v>777</v>
      </c>
      <c r="E128" s="99" t="s">
        <v>532</v>
      </c>
      <c r="F128" s="98" t="s">
        <v>349</v>
      </c>
      <c r="G128" s="98" t="s">
        <v>309</v>
      </c>
      <c r="H128" s="98" t="s">
        <v>13</v>
      </c>
      <c r="I128" s="98" t="s">
        <v>230</v>
      </c>
      <c r="J128" s="99" t="s">
        <v>251</v>
      </c>
      <c r="K128" s="100">
        <v>1</v>
      </c>
      <c r="L128" s="100">
        <f>K128*VLOOKUP(H128,dagsoorttabel1,2,FALSE)</f>
        <v>0.4</v>
      </c>
      <c r="M128" s="101">
        <f>prodnorm85</f>
        <v>0</v>
      </c>
      <c r="N128" s="98" t="s">
        <v>101</v>
      </c>
      <c r="O128" s="36">
        <f>uurtarief85</f>
        <v>0</v>
      </c>
      <c r="P128" s="100" t="e">
        <f>IF(ISBLANK(M128),0,L128/ROUND(M128,4))</f>
        <v>#DIV/0!</v>
      </c>
      <c r="Q128" s="36" t="e">
        <f>ROUND(O128,2)*P128</f>
        <v>#DIV/0!</v>
      </c>
      <c r="R128" s="100" t="e">
        <f>P128*dagenperjaar1</f>
        <v>#DIV/0!</v>
      </c>
      <c r="S128" s="37" t="e">
        <f>R128*ROUND(O128,2)</f>
        <v>#DIV/0!</v>
      </c>
    </row>
    <row r="129" spans="1:19" x14ac:dyDescent="0.2">
      <c r="A129" s="103" t="s">
        <v>948</v>
      </c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6" t="e">
        <f>IF(_xlfn.SINGLE(object2_urenjaar3)&gt;0,_xlfn.SINGLE(object2_prijsjaar3)/_xlfn.SINGLE(object2_urenjaar3),0)</f>
        <v>#DIV/0!</v>
      </c>
      <c r="P129" s="75" t="e">
        <f>SUM(P102:P128)</f>
        <v>#DIV/0!</v>
      </c>
      <c r="Q129" s="76" t="e">
        <f>SUM(Q102:Q128)</f>
        <v>#DIV/0!</v>
      </c>
      <c r="R129" s="75" t="e">
        <f>SUM(R102:R128)</f>
        <v>#DIV/0!</v>
      </c>
      <c r="S129" s="77" t="e">
        <f>SUM(S102:S128)</f>
        <v>#DIV/0!</v>
      </c>
    </row>
    <row r="130" spans="1:19" x14ac:dyDescent="0.2">
      <c r="A130" s="82" t="s">
        <v>780</v>
      </c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72"/>
    </row>
    <row r="131" spans="1:19" x14ac:dyDescent="0.2">
      <c r="A131" s="83" t="s">
        <v>781</v>
      </c>
      <c r="B131" s="84" t="s">
        <v>36</v>
      </c>
      <c r="C131" s="84" t="s">
        <v>393</v>
      </c>
      <c r="D131" s="84" t="s">
        <v>787</v>
      </c>
      <c r="E131" s="85" t="s">
        <v>788</v>
      </c>
      <c r="F131" s="84" t="s">
        <v>789</v>
      </c>
      <c r="G131" s="84" t="s">
        <v>313</v>
      </c>
      <c r="H131" s="84" t="s">
        <v>13</v>
      </c>
      <c r="I131" s="84" t="s">
        <v>230</v>
      </c>
      <c r="J131" s="85" t="s">
        <v>257</v>
      </c>
      <c r="K131" s="86">
        <v>38</v>
      </c>
      <c r="L131" s="86">
        <f>K131*VLOOKUP(H131,dagsoorttabel1,2,FALSE)</f>
        <v>15.200000000000001</v>
      </c>
      <c r="M131" s="87">
        <f>prodnorm88</f>
        <v>0</v>
      </c>
      <c r="N131" s="84" t="s">
        <v>101</v>
      </c>
      <c r="O131" s="88">
        <f>uurtarief88</f>
        <v>0</v>
      </c>
      <c r="P131" s="86" t="e">
        <f>IF(ISBLANK(M131),0,L131/ROUND(M131,4))</f>
        <v>#DIV/0!</v>
      </c>
      <c r="Q131" s="88" t="e">
        <f>ROUND(O131,2)*P131</f>
        <v>#DIV/0!</v>
      </c>
      <c r="R131" s="86" t="e">
        <f>P131*dagenperjaar1</f>
        <v>#DIV/0!</v>
      </c>
      <c r="S131" s="90" t="e">
        <f>R131*ROUND(O131,2)</f>
        <v>#DIV/0!</v>
      </c>
    </row>
    <row r="132" spans="1:19" x14ac:dyDescent="0.2">
      <c r="A132" s="91" t="s">
        <v>781</v>
      </c>
      <c r="B132" s="92" t="s">
        <v>36</v>
      </c>
      <c r="C132" s="92" t="s">
        <v>393</v>
      </c>
      <c r="D132" s="92" t="s">
        <v>790</v>
      </c>
      <c r="E132" s="93" t="s">
        <v>791</v>
      </c>
      <c r="F132" s="92" t="s">
        <v>342</v>
      </c>
      <c r="G132" s="92" t="s">
        <v>310</v>
      </c>
      <c r="H132" s="92" t="s">
        <v>13</v>
      </c>
      <c r="I132" s="92" t="s">
        <v>230</v>
      </c>
      <c r="J132" s="93" t="s">
        <v>253</v>
      </c>
      <c r="K132" s="94">
        <v>25</v>
      </c>
      <c r="L132" s="94">
        <f>K132*VLOOKUP(H132,dagsoorttabel1,2,FALSE)</f>
        <v>10</v>
      </c>
      <c r="M132" s="95">
        <f>prodnorm86</f>
        <v>0</v>
      </c>
      <c r="N132" s="92" t="s">
        <v>101</v>
      </c>
      <c r="O132" s="26">
        <f>uurtarief86</f>
        <v>0</v>
      </c>
      <c r="P132" s="94" t="e">
        <f>IF(ISBLANK(M132),0,L132/ROUND(M132,4))</f>
        <v>#DIV/0!</v>
      </c>
      <c r="Q132" s="26" t="e">
        <f>ROUND(O132,2)*P132</f>
        <v>#DIV/0!</v>
      </c>
      <c r="R132" s="94" t="e">
        <f>P132*dagenperjaar1</f>
        <v>#DIV/0!</v>
      </c>
      <c r="S132" s="27" t="e">
        <f>R132*ROUND(O132,2)</f>
        <v>#DIV/0!</v>
      </c>
    </row>
    <row r="133" spans="1:19" x14ac:dyDescent="0.2">
      <c r="A133" s="91" t="s">
        <v>781</v>
      </c>
      <c r="B133" s="92" t="s">
        <v>36</v>
      </c>
      <c r="C133" s="92" t="s">
        <v>393</v>
      </c>
      <c r="D133" s="92" t="s">
        <v>790</v>
      </c>
      <c r="E133" s="93" t="s">
        <v>791</v>
      </c>
      <c r="F133" s="92" t="s">
        <v>342</v>
      </c>
      <c r="G133" s="92" t="s">
        <v>311</v>
      </c>
      <c r="H133" s="92" t="s">
        <v>13</v>
      </c>
      <c r="I133" s="92" t="s">
        <v>230</v>
      </c>
      <c r="J133" s="93" t="s">
        <v>312</v>
      </c>
      <c r="K133" s="94">
        <v>25</v>
      </c>
      <c r="L133" s="94">
        <f>K133*VLOOKUP(H133,dagsoorttabel1,2,FALSE)</f>
        <v>10</v>
      </c>
      <c r="M133" s="95">
        <f>prodnorm87</f>
        <v>0</v>
      </c>
      <c r="N133" s="92" t="s">
        <v>101</v>
      </c>
      <c r="O133" s="26">
        <f>uurtarief87</f>
        <v>0</v>
      </c>
      <c r="P133" s="94" t="e">
        <f>IF(ISBLANK(M133),0,L133/ROUND(M133,4))</f>
        <v>#DIV/0!</v>
      </c>
      <c r="Q133" s="26" t="e">
        <f>ROUND(O133,2)*P133</f>
        <v>#DIV/0!</v>
      </c>
      <c r="R133" s="94" t="e">
        <f>P133*dagenperjaar1</f>
        <v>#DIV/0!</v>
      </c>
      <c r="S133" s="27" t="e">
        <f>R133*ROUND(O133,2)</f>
        <v>#DIV/0!</v>
      </c>
    </row>
    <row r="134" spans="1:19" x14ac:dyDescent="0.2">
      <c r="A134" s="91" t="s">
        <v>781</v>
      </c>
      <c r="B134" s="92" t="s">
        <v>36</v>
      </c>
      <c r="C134" s="92" t="s">
        <v>393</v>
      </c>
      <c r="D134" s="92" t="s">
        <v>792</v>
      </c>
      <c r="E134" s="93" t="s">
        <v>793</v>
      </c>
      <c r="F134" s="92" t="s">
        <v>342</v>
      </c>
      <c r="G134" s="92" t="s">
        <v>310</v>
      </c>
      <c r="H134" s="92" t="s">
        <v>13</v>
      </c>
      <c r="I134" s="92" t="s">
        <v>230</v>
      </c>
      <c r="J134" s="93" t="s">
        <v>253</v>
      </c>
      <c r="K134" s="94">
        <v>1.3</v>
      </c>
      <c r="L134" s="94">
        <f>K134*VLOOKUP(H134,dagsoorttabel1,2,FALSE)</f>
        <v>0.52</v>
      </c>
      <c r="M134" s="95">
        <f>prodnorm86</f>
        <v>0</v>
      </c>
      <c r="N134" s="92" t="s">
        <v>101</v>
      </c>
      <c r="O134" s="26">
        <f>uurtarief86</f>
        <v>0</v>
      </c>
      <c r="P134" s="94" t="e">
        <f>IF(ISBLANK(M134),0,L134/ROUND(M134,4))</f>
        <v>#DIV/0!</v>
      </c>
      <c r="Q134" s="26" t="e">
        <f>ROUND(O134,2)*P134</f>
        <v>#DIV/0!</v>
      </c>
      <c r="R134" s="94" t="e">
        <f>P134*dagenperjaar1</f>
        <v>#DIV/0!</v>
      </c>
      <c r="S134" s="27" t="e">
        <f>R134*ROUND(O134,2)</f>
        <v>#DIV/0!</v>
      </c>
    </row>
    <row r="135" spans="1:19" x14ac:dyDescent="0.2">
      <c r="A135" s="91" t="s">
        <v>781</v>
      </c>
      <c r="B135" s="92" t="s">
        <v>36</v>
      </c>
      <c r="C135" s="92" t="s">
        <v>393</v>
      </c>
      <c r="D135" s="92" t="s">
        <v>792</v>
      </c>
      <c r="E135" s="93" t="s">
        <v>793</v>
      </c>
      <c r="F135" s="92" t="s">
        <v>342</v>
      </c>
      <c r="G135" s="92" t="s">
        <v>311</v>
      </c>
      <c r="H135" s="92" t="s">
        <v>13</v>
      </c>
      <c r="I135" s="92" t="s">
        <v>230</v>
      </c>
      <c r="J135" s="93" t="s">
        <v>312</v>
      </c>
      <c r="K135" s="94">
        <v>1.3</v>
      </c>
      <c r="L135" s="94">
        <f>K135*VLOOKUP(H135,dagsoorttabel1,2,FALSE)</f>
        <v>0.52</v>
      </c>
      <c r="M135" s="95">
        <f>prodnorm87</f>
        <v>0</v>
      </c>
      <c r="N135" s="92" t="s">
        <v>101</v>
      </c>
      <c r="O135" s="26">
        <f>uurtarief87</f>
        <v>0</v>
      </c>
      <c r="P135" s="94" t="e">
        <f>IF(ISBLANK(M135),0,L135/ROUND(M135,4))</f>
        <v>#DIV/0!</v>
      </c>
      <c r="Q135" s="26" t="e">
        <f>ROUND(O135,2)*P135</f>
        <v>#DIV/0!</v>
      </c>
      <c r="R135" s="94" t="e">
        <f>P135*dagenperjaar1</f>
        <v>#DIV/0!</v>
      </c>
      <c r="S135" s="27" t="e">
        <f>R135*ROUND(O135,2)</f>
        <v>#DIV/0!</v>
      </c>
    </row>
    <row r="136" spans="1:19" x14ac:dyDescent="0.2">
      <c r="A136" s="91" t="s">
        <v>781</v>
      </c>
      <c r="B136" s="92" t="s">
        <v>36</v>
      </c>
      <c r="C136" s="92" t="s">
        <v>393</v>
      </c>
      <c r="D136" s="92" t="s">
        <v>794</v>
      </c>
      <c r="E136" s="93" t="s">
        <v>795</v>
      </c>
      <c r="F136" s="92" t="s">
        <v>342</v>
      </c>
      <c r="G136" s="92" t="s">
        <v>310</v>
      </c>
      <c r="H136" s="92" t="s">
        <v>13</v>
      </c>
      <c r="I136" s="92" t="s">
        <v>230</v>
      </c>
      <c r="J136" s="93" t="s">
        <v>253</v>
      </c>
      <c r="K136" s="94">
        <v>1.3</v>
      </c>
      <c r="L136" s="94">
        <f>K136*VLOOKUP(H136,dagsoorttabel1,2,FALSE)</f>
        <v>0.52</v>
      </c>
      <c r="M136" s="95">
        <f>prodnorm86</f>
        <v>0</v>
      </c>
      <c r="N136" s="92" t="s">
        <v>101</v>
      </c>
      <c r="O136" s="26">
        <f>uurtarief86</f>
        <v>0</v>
      </c>
      <c r="P136" s="94" t="e">
        <f>IF(ISBLANK(M136),0,L136/ROUND(M136,4))</f>
        <v>#DIV/0!</v>
      </c>
      <c r="Q136" s="26" t="e">
        <f>ROUND(O136,2)*P136</f>
        <v>#DIV/0!</v>
      </c>
      <c r="R136" s="94" t="e">
        <f>P136*dagenperjaar1</f>
        <v>#DIV/0!</v>
      </c>
      <c r="S136" s="27" t="e">
        <f>R136*ROUND(O136,2)</f>
        <v>#DIV/0!</v>
      </c>
    </row>
    <row r="137" spans="1:19" x14ac:dyDescent="0.2">
      <c r="A137" s="91" t="s">
        <v>781</v>
      </c>
      <c r="B137" s="92" t="s">
        <v>36</v>
      </c>
      <c r="C137" s="92" t="s">
        <v>393</v>
      </c>
      <c r="D137" s="92" t="s">
        <v>794</v>
      </c>
      <c r="E137" s="93" t="s">
        <v>795</v>
      </c>
      <c r="F137" s="92" t="s">
        <v>342</v>
      </c>
      <c r="G137" s="92" t="s">
        <v>311</v>
      </c>
      <c r="H137" s="92" t="s">
        <v>13</v>
      </c>
      <c r="I137" s="92" t="s">
        <v>230</v>
      </c>
      <c r="J137" s="93" t="s">
        <v>312</v>
      </c>
      <c r="K137" s="94">
        <v>1.3</v>
      </c>
      <c r="L137" s="94">
        <f>K137*VLOOKUP(H137,dagsoorttabel1,2,FALSE)</f>
        <v>0.52</v>
      </c>
      <c r="M137" s="95">
        <f>prodnorm87</f>
        <v>0</v>
      </c>
      <c r="N137" s="92" t="s">
        <v>101</v>
      </c>
      <c r="O137" s="26">
        <f>uurtarief87</f>
        <v>0</v>
      </c>
      <c r="P137" s="94" t="e">
        <f>IF(ISBLANK(M137),0,L137/ROUND(M137,4))</f>
        <v>#DIV/0!</v>
      </c>
      <c r="Q137" s="26" t="e">
        <f>ROUND(O137,2)*P137</f>
        <v>#DIV/0!</v>
      </c>
      <c r="R137" s="94" t="e">
        <f>P137*dagenperjaar1</f>
        <v>#DIV/0!</v>
      </c>
      <c r="S137" s="27" t="e">
        <f>R137*ROUND(O137,2)</f>
        <v>#DIV/0!</v>
      </c>
    </row>
    <row r="138" spans="1:19" x14ac:dyDescent="0.2">
      <c r="A138" s="91" t="s">
        <v>781</v>
      </c>
      <c r="B138" s="92" t="s">
        <v>36</v>
      </c>
      <c r="C138" s="92" t="s">
        <v>393</v>
      </c>
      <c r="D138" s="92" t="s">
        <v>796</v>
      </c>
      <c r="E138" s="93" t="s">
        <v>797</v>
      </c>
      <c r="F138" s="92" t="s">
        <v>342</v>
      </c>
      <c r="G138" s="92" t="s">
        <v>310</v>
      </c>
      <c r="H138" s="92" t="s">
        <v>13</v>
      </c>
      <c r="I138" s="92" t="s">
        <v>230</v>
      </c>
      <c r="J138" s="93" t="s">
        <v>253</v>
      </c>
      <c r="K138" s="94">
        <v>1.3</v>
      </c>
      <c r="L138" s="94">
        <f>K138*VLOOKUP(H138,dagsoorttabel1,2,FALSE)</f>
        <v>0.52</v>
      </c>
      <c r="M138" s="95">
        <f>prodnorm86</f>
        <v>0</v>
      </c>
      <c r="N138" s="92" t="s">
        <v>101</v>
      </c>
      <c r="O138" s="26">
        <f>uurtarief86</f>
        <v>0</v>
      </c>
      <c r="P138" s="94" t="e">
        <f>IF(ISBLANK(M138),0,L138/ROUND(M138,4))</f>
        <v>#DIV/0!</v>
      </c>
      <c r="Q138" s="26" t="e">
        <f>ROUND(O138,2)*P138</f>
        <v>#DIV/0!</v>
      </c>
      <c r="R138" s="94" t="e">
        <f>P138*dagenperjaar1</f>
        <v>#DIV/0!</v>
      </c>
      <c r="S138" s="27" t="e">
        <f>R138*ROUND(O138,2)</f>
        <v>#DIV/0!</v>
      </c>
    </row>
    <row r="139" spans="1:19" x14ac:dyDescent="0.2">
      <c r="A139" s="91" t="s">
        <v>781</v>
      </c>
      <c r="B139" s="92" t="s">
        <v>36</v>
      </c>
      <c r="C139" s="92" t="s">
        <v>393</v>
      </c>
      <c r="D139" s="92" t="s">
        <v>796</v>
      </c>
      <c r="E139" s="93" t="s">
        <v>797</v>
      </c>
      <c r="F139" s="92" t="s">
        <v>342</v>
      </c>
      <c r="G139" s="92" t="s">
        <v>311</v>
      </c>
      <c r="H139" s="92" t="s">
        <v>13</v>
      </c>
      <c r="I139" s="92" t="s">
        <v>230</v>
      </c>
      <c r="J139" s="93" t="s">
        <v>312</v>
      </c>
      <c r="K139" s="94">
        <v>1.3</v>
      </c>
      <c r="L139" s="94">
        <f>K139*VLOOKUP(H139,dagsoorttabel1,2,FALSE)</f>
        <v>0.52</v>
      </c>
      <c r="M139" s="95">
        <f>prodnorm87</f>
        <v>0</v>
      </c>
      <c r="N139" s="92" t="s">
        <v>101</v>
      </c>
      <c r="O139" s="26">
        <f>uurtarief87</f>
        <v>0</v>
      </c>
      <c r="P139" s="94" t="e">
        <f>IF(ISBLANK(M139),0,L139/ROUND(M139,4))</f>
        <v>#DIV/0!</v>
      </c>
      <c r="Q139" s="26" t="e">
        <f>ROUND(O139,2)*P139</f>
        <v>#DIV/0!</v>
      </c>
      <c r="R139" s="94" t="e">
        <f>P139*dagenperjaar1</f>
        <v>#DIV/0!</v>
      </c>
      <c r="S139" s="27" t="e">
        <f>R139*ROUND(O139,2)</f>
        <v>#DIV/0!</v>
      </c>
    </row>
    <row r="140" spans="1:19" x14ac:dyDescent="0.2">
      <c r="A140" s="91" t="s">
        <v>781</v>
      </c>
      <c r="B140" s="92" t="s">
        <v>36</v>
      </c>
      <c r="C140" s="92" t="s">
        <v>393</v>
      </c>
      <c r="D140" s="92" t="s">
        <v>798</v>
      </c>
      <c r="E140" s="93" t="s">
        <v>799</v>
      </c>
      <c r="F140" s="92" t="s">
        <v>342</v>
      </c>
      <c r="G140" s="92" t="s">
        <v>310</v>
      </c>
      <c r="H140" s="92" t="s">
        <v>13</v>
      </c>
      <c r="I140" s="92" t="s">
        <v>230</v>
      </c>
      <c r="J140" s="93" t="s">
        <v>253</v>
      </c>
      <c r="K140" s="94">
        <v>1.6</v>
      </c>
      <c r="L140" s="94">
        <f>K140*VLOOKUP(H140,dagsoorttabel1,2,FALSE)</f>
        <v>0.64000000000000012</v>
      </c>
      <c r="M140" s="95">
        <f>prodnorm86</f>
        <v>0</v>
      </c>
      <c r="N140" s="92" t="s">
        <v>101</v>
      </c>
      <c r="O140" s="26">
        <f>uurtarief86</f>
        <v>0</v>
      </c>
      <c r="P140" s="94" t="e">
        <f>IF(ISBLANK(M140),0,L140/ROUND(M140,4))</f>
        <v>#DIV/0!</v>
      </c>
      <c r="Q140" s="26" t="e">
        <f>ROUND(O140,2)*P140</f>
        <v>#DIV/0!</v>
      </c>
      <c r="R140" s="94" t="e">
        <f>P140*dagenperjaar1</f>
        <v>#DIV/0!</v>
      </c>
      <c r="S140" s="27" t="e">
        <f>R140*ROUND(O140,2)</f>
        <v>#DIV/0!</v>
      </c>
    </row>
    <row r="141" spans="1:19" x14ac:dyDescent="0.2">
      <c r="A141" s="91" t="s">
        <v>781</v>
      </c>
      <c r="B141" s="92" t="s">
        <v>36</v>
      </c>
      <c r="C141" s="92" t="s">
        <v>393</v>
      </c>
      <c r="D141" s="92" t="s">
        <v>798</v>
      </c>
      <c r="E141" s="93" t="s">
        <v>799</v>
      </c>
      <c r="F141" s="92" t="s">
        <v>342</v>
      </c>
      <c r="G141" s="92" t="s">
        <v>311</v>
      </c>
      <c r="H141" s="92" t="s">
        <v>13</v>
      </c>
      <c r="I141" s="92" t="s">
        <v>230</v>
      </c>
      <c r="J141" s="93" t="s">
        <v>312</v>
      </c>
      <c r="K141" s="94">
        <v>1.6</v>
      </c>
      <c r="L141" s="94">
        <f>K141*VLOOKUP(H141,dagsoorttabel1,2,FALSE)</f>
        <v>0.64000000000000012</v>
      </c>
      <c r="M141" s="95">
        <f>prodnorm87</f>
        <v>0</v>
      </c>
      <c r="N141" s="92" t="s">
        <v>101</v>
      </c>
      <c r="O141" s="26">
        <f>uurtarief87</f>
        <v>0</v>
      </c>
      <c r="P141" s="94" t="e">
        <f>IF(ISBLANK(M141),0,L141/ROUND(M141,4))</f>
        <v>#DIV/0!</v>
      </c>
      <c r="Q141" s="26" t="e">
        <f>ROUND(O141,2)*P141</f>
        <v>#DIV/0!</v>
      </c>
      <c r="R141" s="94" t="e">
        <f>P141*dagenperjaar1</f>
        <v>#DIV/0!</v>
      </c>
      <c r="S141" s="27" t="e">
        <f>R141*ROUND(O141,2)</f>
        <v>#DIV/0!</v>
      </c>
    </row>
    <row r="142" spans="1:19" x14ac:dyDescent="0.2">
      <c r="A142" s="91" t="s">
        <v>781</v>
      </c>
      <c r="B142" s="92" t="s">
        <v>36</v>
      </c>
      <c r="C142" s="92" t="s">
        <v>393</v>
      </c>
      <c r="D142" s="92" t="s">
        <v>800</v>
      </c>
      <c r="E142" s="93" t="s">
        <v>801</v>
      </c>
      <c r="F142" s="92" t="s">
        <v>342</v>
      </c>
      <c r="G142" s="92" t="s">
        <v>310</v>
      </c>
      <c r="H142" s="92" t="s">
        <v>13</v>
      </c>
      <c r="I142" s="92" t="s">
        <v>230</v>
      </c>
      <c r="J142" s="93" t="s">
        <v>253</v>
      </c>
      <c r="K142" s="94">
        <v>2.5</v>
      </c>
      <c r="L142" s="94">
        <f>K142*VLOOKUP(H142,dagsoorttabel1,2,FALSE)</f>
        <v>1</v>
      </c>
      <c r="M142" s="95">
        <f>prodnorm86</f>
        <v>0</v>
      </c>
      <c r="N142" s="92" t="s">
        <v>101</v>
      </c>
      <c r="O142" s="26">
        <f>uurtarief86</f>
        <v>0</v>
      </c>
      <c r="P142" s="94" t="e">
        <f>IF(ISBLANK(M142),0,L142/ROUND(M142,4))</f>
        <v>#DIV/0!</v>
      </c>
      <c r="Q142" s="26" t="e">
        <f>ROUND(O142,2)*P142</f>
        <v>#DIV/0!</v>
      </c>
      <c r="R142" s="94" t="e">
        <f>P142*dagenperjaar1</f>
        <v>#DIV/0!</v>
      </c>
      <c r="S142" s="27" t="e">
        <f>R142*ROUND(O142,2)</f>
        <v>#DIV/0!</v>
      </c>
    </row>
    <row r="143" spans="1:19" x14ac:dyDescent="0.2">
      <c r="A143" s="91" t="s">
        <v>781</v>
      </c>
      <c r="B143" s="92" t="s">
        <v>36</v>
      </c>
      <c r="C143" s="92" t="s">
        <v>393</v>
      </c>
      <c r="D143" s="92" t="s">
        <v>800</v>
      </c>
      <c r="E143" s="93" t="s">
        <v>801</v>
      </c>
      <c r="F143" s="92" t="s">
        <v>342</v>
      </c>
      <c r="G143" s="92" t="s">
        <v>311</v>
      </c>
      <c r="H143" s="92" t="s">
        <v>13</v>
      </c>
      <c r="I143" s="92" t="s">
        <v>230</v>
      </c>
      <c r="J143" s="93" t="s">
        <v>312</v>
      </c>
      <c r="K143" s="94">
        <v>2.5</v>
      </c>
      <c r="L143" s="94">
        <f>K143*VLOOKUP(H143,dagsoorttabel1,2,FALSE)</f>
        <v>1</v>
      </c>
      <c r="M143" s="95">
        <f>prodnorm87</f>
        <v>0</v>
      </c>
      <c r="N143" s="92" t="s">
        <v>101</v>
      </c>
      <c r="O143" s="26">
        <f>uurtarief87</f>
        <v>0</v>
      </c>
      <c r="P143" s="94" t="e">
        <f>IF(ISBLANK(M143),0,L143/ROUND(M143,4))</f>
        <v>#DIV/0!</v>
      </c>
      <c r="Q143" s="26" t="e">
        <f>ROUND(O143,2)*P143</f>
        <v>#DIV/0!</v>
      </c>
      <c r="R143" s="94" t="e">
        <f>P143*dagenperjaar1</f>
        <v>#DIV/0!</v>
      </c>
      <c r="S143" s="27" t="e">
        <f>R143*ROUND(O143,2)</f>
        <v>#DIV/0!</v>
      </c>
    </row>
    <row r="144" spans="1:19" x14ac:dyDescent="0.2">
      <c r="A144" s="91" t="s">
        <v>781</v>
      </c>
      <c r="B144" s="92" t="s">
        <v>36</v>
      </c>
      <c r="C144" s="92" t="s">
        <v>393</v>
      </c>
      <c r="D144" s="92" t="s">
        <v>802</v>
      </c>
      <c r="E144" s="93" t="s">
        <v>803</v>
      </c>
      <c r="F144" s="92" t="s">
        <v>789</v>
      </c>
      <c r="G144" s="92" t="s">
        <v>308</v>
      </c>
      <c r="H144" s="92" t="s">
        <v>13</v>
      </c>
      <c r="I144" s="92" t="s">
        <v>230</v>
      </c>
      <c r="J144" s="93" t="s">
        <v>286</v>
      </c>
      <c r="K144" s="94">
        <v>18</v>
      </c>
      <c r="L144" s="94">
        <f>K144*VLOOKUP(H144,dagsoorttabel1,2,FALSE)</f>
        <v>7.2</v>
      </c>
      <c r="M144" s="95">
        <f>prodnorm84</f>
        <v>0</v>
      </c>
      <c r="N144" s="92" t="s">
        <v>101</v>
      </c>
      <c r="O144" s="26">
        <f>uurtarief84</f>
        <v>0</v>
      </c>
      <c r="P144" s="94" t="e">
        <f>IF(ISBLANK(M144),0,L144/ROUND(M144,4))</f>
        <v>#DIV/0!</v>
      </c>
      <c r="Q144" s="26" t="e">
        <f>ROUND(O144,2)*P144</f>
        <v>#DIV/0!</v>
      </c>
      <c r="R144" s="94" t="e">
        <f>P144*dagenperjaar1</f>
        <v>#DIV/0!</v>
      </c>
      <c r="S144" s="27" t="e">
        <f>R144*ROUND(O144,2)</f>
        <v>#DIV/0!</v>
      </c>
    </row>
    <row r="145" spans="1:19" x14ac:dyDescent="0.2">
      <c r="A145" s="91" t="s">
        <v>781</v>
      </c>
      <c r="B145" s="92" t="s">
        <v>36</v>
      </c>
      <c r="C145" s="92" t="s">
        <v>393</v>
      </c>
      <c r="D145" s="92" t="s">
        <v>804</v>
      </c>
      <c r="E145" s="93" t="s">
        <v>805</v>
      </c>
      <c r="F145" s="92" t="s">
        <v>789</v>
      </c>
      <c r="G145" s="92" t="s">
        <v>308</v>
      </c>
      <c r="H145" s="92" t="s">
        <v>13</v>
      </c>
      <c r="I145" s="92" t="s">
        <v>230</v>
      </c>
      <c r="J145" s="93" t="s">
        <v>286</v>
      </c>
      <c r="K145" s="94">
        <v>116</v>
      </c>
      <c r="L145" s="94">
        <f>K145*VLOOKUP(H145,dagsoorttabel1,2,FALSE)</f>
        <v>46.400000000000006</v>
      </c>
      <c r="M145" s="95">
        <f>prodnorm84</f>
        <v>0</v>
      </c>
      <c r="N145" s="92" t="s">
        <v>101</v>
      </c>
      <c r="O145" s="26">
        <f>uurtarief84</f>
        <v>0</v>
      </c>
      <c r="P145" s="94" t="e">
        <f>IF(ISBLANK(M145),0,L145/ROUND(M145,4))</f>
        <v>#DIV/0!</v>
      </c>
      <c r="Q145" s="26" t="e">
        <f>ROUND(O145,2)*P145</f>
        <v>#DIV/0!</v>
      </c>
      <c r="R145" s="94" t="e">
        <f>P145*dagenperjaar1</f>
        <v>#DIV/0!</v>
      </c>
      <c r="S145" s="27" t="e">
        <f>R145*ROUND(O145,2)</f>
        <v>#DIV/0!</v>
      </c>
    </row>
    <row r="146" spans="1:19" x14ac:dyDescent="0.2">
      <c r="A146" s="91" t="s">
        <v>781</v>
      </c>
      <c r="B146" s="92" t="s">
        <v>36</v>
      </c>
      <c r="C146" s="92" t="s">
        <v>393</v>
      </c>
      <c r="D146" s="92" t="s">
        <v>806</v>
      </c>
      <c r="E146" s="93" t="s">
        <v>807</v>
      </c>
      <c r="F146" s="92" t="s">
        <v>543</v>
      </c>
      <c r="G146" s="92" t="s">
        <v>315</v>
      </c>
      <c r="H146" s="92" t="s">
        <v>13</v>
      </c>
      <c r="I146" s="92" t="s">
        <v>230</v>
      </c>
      <c r="J146" s="93" t="s">
        <v>263</v>
      </c>
      <c r="K146" s="94">
        <v>15</v>
      </c>
      <c r="L146" s="94">
        <f>K146*VLOOKUP(H146,dagsoorttabel1,2,FALSE)</f>
        <v>6</v>
      </c>
      <c r="M146" s="95">
        <f>prodnorm90</f>
        <v>0</v>
      </c>
      <c r="N146" s="92" t="s">
        <v>101</v>
      </c>
      <c r="O146" s="26">
        <f>uurtarief90</f>
        <v>0</v>
      </c>
      <c r="P146" s="94" t="e">
        <f>IF(ISBLANK(M146),0,L146/ROUND(M146,4))</f>
        <v>#DIV/0!</v>
      </c>
      <c r="Q146" s="26" t="e">
        <f>ROUND(O146,2)*P146</f>
        <v>#DIV/0!</v>
      </c>
      <c r="R146" s="94" t="e">
        <f>P146*dagenperjaar1</f>
        <v>#DIV/0!</v>
      </c>
      <c r="S146" s="27" t="e">
        <f>R146*ROUND(O146,2)</f>
        <v>#DIV/0!</v>
      </c>
    </row>
    <row r="147" spans="1:19" x14ac:dyDescent="0.2">
      <c r="A147" s="91" t="s">
        <v>781</v>
      </c>
      <c r="B147" s="92" t="s">
        <v>36</v>
      </c>
      <c r="C147" s="92" t="s">
        <v>393</v>
      </c>
      <c r="D147" s="92" t="s">
        <v>808</v>
      </c>
      <c r="E147" s="93" t="s">
        <v>809</v>
      </c>
      <c r="F147" s="92" t="s">
        <v>342</v>
      </c>
      <c r="G147" s="92" t="s">
        <v>313</v>
      </c>
      <c r="H147" s="92" t="s">
        <v>13</v>
      </c>
      <c r="I147" s="92" t="s">
        <v>230</v>
      </c>
      <c r="J147" s="93" t="s">
        <v>257</v>
      </c>
      <c r="K147" s="94">
        <v>27.4</v>
      </c>
      <c r="L147" s="94">
        <f>K147*VLOOKUP(H147,dagsoorttabel1,2,FALSE)</f>
        <v>10.96</v>
      </c>
      <c r="M147" s="95">
        <f>prodnorm88</f>
        <v>0</v>
      </c>
      <c r="N147" s="92" t="s">
        <v>101</v>
      </c>
      <c r="O147" s="26">
        <f>uurtarief88</f>
        <v>0</v>
      </c>
      <c r="P147" s="94" t="e">
        <f>IF(ISBLANK(M147),0,L147/ROUND(M147,4))</f>
        <v>#DIV/0!</v>
      </c>
      <c r="Q147" s="26" t="e">
        <f>ROUND(O147,2)*P147</f>
        <v>#DIV/0!</v>
      </c>
      <c r="R147" s="94" t="e">
        <f>P147*dagenperjaar1</f>
        <v>#DIV/0!</v>
      </c>
      <c r="S147" s="27" t="e">
        <f>R147*ROUND(O147,2)</f>
        <v>#DIV/0!</v>
      </c>
    </row>
    <row r="148" spans="1:19" x14ac:dyDescent="0.2">
      <c r="A148" s="91" t="s">
        <v>781</v>
      </c>
      <c r="B148" s="92" t="s">
        <v>36</v>
      </c>
      <c r="C148" s="92" t="s">
        <v>393</v>
      </c>
      <c r="D148" s="92" t="s">
        <v>810</v>
      </c>
      <c r="E148" s="93" t="s">
        <v>560</v>
      </c>
      <c r="F148" s="92" t="s">
        <v>342</v>
      </c>
      <c r="G148" s="92" t="s">
        <v>310</v>
      </c>
      <c r="H148" s="92" t="s">
        <v>13</v>
      </c>
      <c r="I148" s="92" t="s">
        <v>230</v>
      </c>
      <c r="J148" s="93" t="s">
        <v>253</v>
      </c>
      <c r="K148" s="94">
        <v>7</v>
      </c>
      <c r="L148" s="94">
        <f>K148*VLOOKUP(H148,dagsoorttabel1,2,FALSE)</f>
        <v>2.8000000000000003</v>
      </c>
      <c r="M148" s="95">
        <f>prodnorm86</f>
        <v>0</v>
      </c>
      <c r="N148" s="92" t="s">
        <v>101</v>
      </c>
      <c r="O148" s="26">
        <f>uurtarief86</f>
        <v>0</v>
      </c>
      <c r="P148" s="94" t="e">
        <f>IF(ISBLANK(M148),0,L148/ROUND(M148,4))</f>
        <v>#DIV/0!</v>
      </c>
      <c r="Q148" s="26" t="e">
        <f>ROUND(O148,2)*P148</f>
        <v>#DIV/0!</v>
      </c>
      <c r="R148" s="94" t="e">
        <f>P148*dagenperjaar1</f>
        <v>#DIV/0!</v>
      </c>
      <c r="S148" s="27" t="e">
        <f>R148*ROUND(O148,2)</f>
        <v>#DIV/0!</v>
      </c>
    </row>
    <row r="149" spans="1:19" x14ac:dyDescent="0.2">
      <c r="A149" s="91" t="s">
        <v>781</v>
      </c>
      <c r="B149" s="92" t="s">
        <v>36</v>
      </c>
      <c r="C149" s="92" t="s">
        <v>393</v>
      </c>
      <c r="D149" s="92" t="s">
        <v>810</v>
      </c>
      <c r="E149" s="93" t="s">
        <v>560</v>
      </c>
      <c r="F149" s="92" t="s">
        <v>342</v>
      </c>
      <c r="G149" s="92" t="s">
        <v>311</v>
      </c>
      <c r="H149" s="92" t="s">
        <v>13</v>
      </c>
      <c r="I149" s="92" t="s">
        <v>230</v>
      </c>
      <c r="J149" s="93" t="s">
        <v>312</v>
      </c>
      <c r="K149" s="94">
        <v>7</v>
      </c>
      <c r="L149" s="94">
        <f>K149*VLOOKUP(H149,dagsoorttabel1,2,FALSE)</f>
        <v>2.8000000000000003</v>
      </c>
      <c r="M149" s="95">
        <f>prodnorm87</f>
        <v>0</v>
      </c>
      <c r="N149" s="92" t="s">
        <v>101</v>
      </c>
      <c r="O149" s="26">
        <f>uurtarief87</f>
        <v>0</v>
      </c>
      <c r="P149" s="94" t="e">
        <f>IF(ISBLANK(M149),0,L149/ROUND(M149,4))</f>
        <v>#DIV/0!</v>
      </c>
      <c r="Q149" s="26" t="e">
        <f>ROUND(O149,2)*P149</f>
        <v>#DIV/0!</v>
      </c>
      <c r="R149" s="94" t="e">
        <f>P149*dagenperjaar1</f>
        <v>#DIV/0!</v>
      </c>
      <c r="S149" s="27" t="e">
        <f>R149*ROUND(O149,2)</f>
        <v>#DIV/0!</v>
      </c>
    </row>
    <row r="150" spans="1:19" x14ac:dyDescent="0.2">
      <c r="A150" s="91" t="s">
        <v>781</v>
      </c>
      <c r="B150" s="92" t="s">
        <v>36</v>
      </c>
      <c r="C150" s="92" t="s">
        <v>393</v>
      </c>
      <c r="D150" s="92" t="s">
        <v>811</v>
      </c>
      <c r="E150" s="93" t="s">
        <v>812</v>
      </c>
      <c r="F150" s="92" t="s">
        <v>342</v>
      </c>
      <c r="G150" s="92" t="s">
        <v>313</v>
      </c>
      <c r="H150" s="92" t="s">
        <v>13</v>
      </c>
      <c r="I150" s="92" t="s">
        <v>230</v>
      </c>
      <c r="J150" s="93" t="s">
        <v>257</v>
      </c>
      <c r="K150" s="94">
        <v>18</v>
      </c>
      <c r="L150" s="94">
        <f>K150*VLOOKUP(H150,dagsoorttabel1,2,FALSE)</f>
        <v>7.2</v>
      </c>
      <c r="M150" s="95">
        <f>prodnorm88</f>
        <v>0</v>
      </c>
      <c r="N150" s="92" t="s">
        <v>101</v>
      </c>
      <c r="O150" s="26">
        <f>uurtarief88</f>
        <v>0</v>
      </c>
      <c r="P150" s="94" t="e">
        <f>IF(ISBLANK(M150),0,L150/ROUND(M150,4))</f>
        <v>#DIV/0!</v>
      </c>
      <c r="Q150" s="26" t="e">
        <f>ROUND(O150,2)*P150</f>
        <v>#DIV/0!</v>
      </c>
      <c r="R150" s="94" t="e">
        <f>P150*dagenperjaar1</f>
        <v>#DIV/0!</v>
      </c>
      <c r="S150" s="27" t="e">
        <f>R150*ROUND(O150,2)</f>
        <v>#DIV/0!</v>
      </c>
    </row>
    <row r="151" spans="1:19" x14ac:dyDescent="0.2">
      <c r="A151" s="91" t="s">
        <v>781</v>
      </c>
      <c r="B151" s="92" t="s">
        <v>36</v>
      </c>
      <c r="C151" s="92" t="s">
        <v>393</v>
      </c>
      <c r="D151" s="92" t="s">
        <v>813</v>
      </c>
      <c r="E151" s="93" t="s">
        <v>477</v>
      </c>
      <c r="F151" s="92" t="s">
        <v>461</v>
      </c>
      <c r="G151" s="92" t="s">
        <v>317</v>
      </c>
      <c r="H151" s="92" t="s">
        <v>13</v>
      </c>
      <c r="I151" s="92" t="s">
        <v>230</v>
      </c>
      <c r="J151" s="93" t="s">
        <v>267</v>
      </c>
      <c r="K151" s="94">
        <v>11</v>
      </c>
      <c r="L151" s="94">
        <f>K151*VLOOKUP(H151,dagsoorttabel1,2,FALSE)</f>
        <v>4.4000000000000004</v>
      </c>
      <c r="M151" s="95">
        <f>prodnorm92</f>
        <v>0</v>
      </c>
      <c r="N151" s="92" t="s">
        <v>101</v>
      </c>
      <c r="O151" s="26">
        <f>uurtarief92</f>
        <v>0</v>
      </c>
      <c r="P151" s="94" t="e">
        <f>IF(ISBLANK(M151),0,L151/ROUND(M151,4))</f>
        <v>#DIV/0!</v>
      </c>
      <c r="Q151" s="26" t="e">
        <f>ROUND(O151,2)*P151</f>
        <v>#DIV/0!</v>
      </c>
      <c r="R151" s="94" t="e">
        <f>P151*dagenperjaar1</f>
        <v>#DIV/0!</v>
      </c>
      <c r="S151" s="27" t="e">
        <f>R151*ROUND(O151,2)</f>
        <v>#DIV/0!</v>
      </c>
    </row>
    <row r="152" spans="1:19" x14ac:dyDescent="0.2">
      <c r="A152" s="91" t="s">
        <v>781</v>
      </c>
      <c r="B152" s="92" t="s">
        <v>36</v>
      </c>
      <c r="C152" s="92" t="s">
        <v>393</v>
      </c>
      <c r="D152" s="92" t="s">
        <v>814</v>
      </c>
      <c r="E152" s="93" t="s">
        <v>815</v>
      </c>
      <c r="F152" s="92" t="s">
        <v>349</v>
      </c>
      <c r="G152" s="92" t="s">
        <v>308</v>
      </c>
      <c r="H152" s="92" t="s">
        <v>13</v>
      </c>
      <c r="I152" s="92" t="s">
        <v>230</v>
      </c>
      <c r="J152" s="93" t="s">
        <v>286</v>
      </c>
      <c r="K152" s="94">
        <v>18</v>
      </c>
      <c r="L152" s="94">
        <f>K152*VLOOKUP(H152,dagsoorttabel1,2,FALSE)</f>
        <v>7.2</v>
      </c>
      <c r="M152" s="95">
        <f>prodnorm84</f>
        <v>0</v>
      </c>
      <c r="N152" s="92" t="s">
        <v>101</v>
      </c>
      <c r="O152" s="26">
        <f>uurtarief84</f>
        <v>0</v>
      </c>
      <c r="P152" s="94" t="e">
        <f>IF(ISBLANK(M152),0,L152/ROUND(M152,4))</f>
        <v>#DIV/0!</v>
      </c>
      <c r="Q152" s="26" t="e">
        <f>ROUND(O152,2)*P152</f>
        <v>#DIV/0!</v>
      </c>
      <c r="R152" s="94" t="e">
        <f>P152*dagenperjaar1</f>
        <v>#DIV/0!</v>
      </c>
      <c r="S152" s="27" t="e">
        <f>R152*ROUND(O152,2)</f>
        <v>#DIV/0!</v>
      </c>
    </row>
    <row r="153" spans="1:19" x14ac:dyDescent="0.2">
      <c r="A153" s="91" t="s">
        <v>781</v>
      </c>
      <c r="B153" s="92" t="s">
        <v>36</v>
      </c>
      <c r="C153" s="92" t="s">
        <v>393</v>
      </c>
      <c r="D153" s="92" t="s">
        <v>816</v>
      </c>
      <c r="E153" s="93" t="s">
        <v>817</v>
      </c>
      <c r="F153" s="92" t="s">
        <v>461</v>
      </c>
      <c r="G153" s="92" t="s">
        <v>308</v>
      </c>
      <c r="H153" s="92" t="s">
        <v>13</v>
      </c>
      <c r="I153" s="92" t="s">
        <v>230</v>
      </c>
      <c r="J153" s="93" t="s">
        <v>286</v>
      </c>
      <c r="K153" s="94">
        <v>45.5</v>
      </c>
      <c r="L153" s="94">
        <f>K153*VLOOKUP(H153,dagsoorttabel1,2,FALSE)</f>
        <v>18.2</v>
      </c>
      <c r="M153" s="95">
        <f>prodnorm84</f>
        <v>0</v>
      </c>
      <c r="N153" s="92" t="s">
        <v>101</v>
      </c>
      <c r="O153" s="26">
        <f>uurtarief84</f>
        <v>0</v>
      </c>
      <c r="P153" s="94" t="e">
        <f>IF(ISBLANK(M153),0,L153/ROUND(M153,4))</f>
        <v>#DIV/0!</v>
      </c>
      <c r="Q153" s="26" t="e">
        <f>ROUND(O153,2)*P153</f>
        <v>#DIV/0!</v>
      </c>
      <c r="R153" s="94" t="e">
        <f>P153*dagenperjaar1</f>
        <v>#DIV/0!</v>
      </c>
      <c r="S153" s="27" t="e">
        <f>R153*ROUND(O153,2)</f>
        <v>#DIV/0!</v>
      </c>
    </row>
    <row r="154" spans="1:19" x14ac:dyDescent="0.2">
      <c r="A154" s="91" t="s">
        <v>781</v>
      </c>
      <c r="B154" s="92" t="s">
        <v>36</v>
      </c>
      <c r="C154" s="92" t="s">
        <v>393</v>
      </c>
      <c r="D154" s="92" t="s">
        <v>820</v>
      </c>
      <c r="E154" s="93" t="s">
        <v>821</v>
      </c>
      <c r="F154" s="92" t="s">
        <v>349</v>
      </c>
      <c r="G154" s="92" t="s">
        <v>308</v>
      </c>
      <c r="H154" s="92" t="s">
        <v>13</v>
      </c>
      <c r="I154" s="92" t="s">
        <v>230</v>
      </c>
      <c r="J154" s="93" t="s">
        <v>286</v>
      </c>
      <c r="K154" s="94">
        <v>84.5</v>
      </c>
      <c r="L154" s="94">
        <f>K154*VLOOKUP(H154,dagsoorttabel1,2,FALSE)</f>
        <v>33.800000000000004</v>
      </c>
      <c r="M154" s="95">
        <f>prodnorm84</f>
        <v>0</v>
      </c>
      <c r="N154" s="92" t="s">
        <v>101</v>
      </c>
      <c r="O154" s="26">
        <f>uurtarief84</f>
        <v>0</v>
      </c>
      <c r="P154" s="94" t="e">
        <f>IF(ISBLANK(M154),0,L154/ROUND(M154,4))</f>
        <v>#DIV/0!</v>
      </c>
      <c r="Q154" s="26" t="e">
        <f>ROUND(O154,2)*P154</f>
        <v>#DIV/0!</v>
      </c>
      <c r="R154" s="94" t="e">
        <f>P154*dagenperjaar1</f>
        <v>#DIV/0!</v>
      </c>
      <c r="S154" s="27" t="e">
        <f>R154*ROUND(O154,2)</f>
        <v>#DIV/0!</v>
      </c>
    </row>
    <row r="155" spans="1:19" x14ac:dyDescent="0.2">
      <c r="A155" s="91" t="s">
        <v>781</v>
      </c>
      <c r="B155" s="92" t="s">
        <v>36</v>
      </c>
      <c r="C155" s="92" t="s">
        <v>393</v>
      </c>
      <c r="D155" s="92" t="s">
        <v>822</v>
      </c>
      <c r="E155" s="93" t="s">
        <v>477</v>
      </c>
      <c r="F155" s="92" t="s">
        <v>478</v>
      </c>
      <c r="G155" s="92" t="s">
        <v>317</v>
      </c>
      <c r="H155" s="92" t="s">
        <v>13</v>
      </c>
      <c r="I155" s="92" t="s">
        <v>230</v>
      </c>
      <c r="J155" s="93" t="s">
        <v>267</v>
      </c>
      <c r="K155" s="94">
        <v>11</v>
      </c>
      <c r="L155" s="94">
        <f>K155*VLOOKUP(H155,dagsoorttabel1,2,FALSE)</f>
        <v>4.4000000000000004</v>
      </c>
      <c r="M155" s="95">
        <f>prodnorm92</f>
        <v>0</v>
      </c>
      <c r="N155" s="92" t="s">
        <v>101</v>
      </c>
      <c r="O155" s="26">
        <f>uurtarief92</f>
        <v>0</v>
      </c>
      <c r="P155" s="94" t="e">
        <f>IF(ISBLANK(M155),0,L155/ROUND(M155,4))</f>
        <v>#DIV/0!</v>
      </c>
      <c r="Q155" s="26" t="e">
        <f>ROUND(O155,2)*P155</f>
        <v>#DIV/0!</v>
      </c>
      <c r="R155" s="94" t="e">
        <f>P155*dagenperjaar1</f>
        <v>#DIV/0!</v>
      </c>
      <c r="S155" s="27" t="e">
        <f>R155*ROUND(O155,2)</f>
        <v>#DIV/0!</v>
      </c>
    </row>
    <row r="156" spans="1:19" x14ac:dyDescent="0.2">
      <c r="A156" s="91" t="s">
        <v>781</v>
      </c>
      <c r="B156" s="92" t="s">
        <v>36</v>
      </c>
      <c r="C156" s="92" t="s">
        <v>419</v>
      </c>
      <c r="D156" s="92" t="s">
        <v>825</v>
      </c>
      <c r="E156" s="93" t="s">
        <v>826</v>
      </c>
      <c r="F156" s="92" t="s">
        <v>827</v>
      </c>
      <c r="G156" s="92" t="s">
        <v>308</v>
      </c>
      <c r="H156" s="92" t="s">
        <v>13</v>
      </c>
      <c r="I156" s="92" t="s">
        <v>230</v>
      </c>
      <c r="J156" s="93" t="s">
        <v>286</v>
      </c>
      <c r="K156" s="94">
        <v>144</v>
      </c>
      <c r="L156" s="94">
        <f>K156*VLOOKUP(H156,dagsoorttabel1,2,FALSE)</f>
        <v>57.6</v>
      </c>
      <c r="M156" s="95">
        <f>prodnorm84</f>
        <v>0</v>
      </c>
      <c r="N156" s="92" t="s">
        <v>101</v>
      </c>
      <c r="O156" s="26">
        <f>uurtarief84</f>
        <v>0</v>
      </c>
      <c r="P156" s="94" t="e">
        <f>IF(ISBLANK(M156),0,L156/ROUND(M156,4))</f>
        <v>#DIV/0!</v>
      </c>
      <c r="Q156" s="26" t="e">
        <f>ROUND(O156,2)*P156</f>
        <v>#DIV/0!</v>
      </c>
      <c r="R156" s="94" t="e">
        <f>P156*dagenperjaar1</f>
        <v>#DIV/0!</v>
      </c>
      <c r="S156" s="27" t="e">
        <f>R156*ROUND(O156,2)</f>
        <v>#DIV/0!</v>
      </c>
    </row>
    <row r="157" spans="1:19" x14ac:dyDescent="0.2">
      <c r="A157" s="91" t="s">
        <v>781</v>
      </c>
      <c r="B157" s="92" t="s">
        <v>36</v>
      </c>
      <c r="C157" s="92" t="s">
        <v>419</v>
      </c>
      <c r="D157" s="92" t="s">
        <v>828</v>
      </c>
      <c r="E157" s="93" t="s">
        <v>829</v>
      </c>
      <c r="F157" s="92" t="s">
        <v>349</v>
      </c>
      <c r="G157" s="92" t="s">
        <v>310</v>
      </c>
      <c r="H157" s="92" t="s">
        <v>13</v>
      </c>
      <c r="I157" s="92" t="s">
        <v>230</v>
      </c>
      <c r="J157" s="93" t="s">
        <v>253</v>
      </c>
      <c r="K157" s="94">
        <v>15</v>
      </c>
      <c r="L157" s="94">
        <f>K157*VLOOKUP(H157,dagsoorttabel1,2,FALSE)</f>
        <v>6</v>
      </c>
      <c r="M157" s="95">
        <f>prodnorm86</f>
        <v>0</v>
      </c>
      <c r="N157" s="92" t="s">
        <v>101</v>
      </c>
      <c r="O157" s="26">
        <f>uurtarief86</f>
        <v>0</v>
      </c>
      <c r="P157" s="94" t="e">
        <f>IF(ISBLANK(M157),0,L157/ROUND(M157,4))</f>
        <v>#DIV/0!</v>
      </c>
      <c r="Q157" s="26" t="e">
        <f>ROUND(O157,2)*P157</f>
        <v>#DIV/0!</v>
      </c>
      <c r="R157" s="94" t="e">
        <f>P157*dagenperjaar1</f>
        <v>#DIV/0!</v>
      </c>
      <c r="S157" s="27" t="e">
        <f>R157*ROUND(O157,2)</f>
        <v>#DIV/0!</v>
      </c>
    </row>
    <row r="158" spans="1:19" x14ac:dyDescent="0.2">
      <c r="A158" s="91" t="s">
        <v>781</v>
      </c>
      <c r="B158" s="92" t="s">
        <v>36</v>
      </c>
      <c r="C158" s="92" t="s">
        <v>419</v>
      </c>
      <c r="D158" s="92" t="s">
        <v>828</v>
      </c>
      <c r="E158" s="93" t="s">
        <v>829</v>
      </c>
      <c r="F158" s="92" t="s">
        <v>349</v>
      </c>
      <c r="G158" s="92" t="s">
        <v>311</v>
      </c>
      <c r="H158" s="92" t="s">
        <v>13</v>
      </c>
      <c r="I158" s="92" t="s">
        <v>230</v>
      </c>
      <c r="J158" s="93" t="s">
        <v>312</v>
      </c>
      <c r="K158" s="94">
        <v>15</v>
      </c>
      <c r="L158" s="94">
        <f>K158*VLOOKUP(H158,dagsoorttabel1,2,FALSE)</f>
        <v>6</v>
      </c>
      <c r="M158" s="95">
        <f>prodnorm87</f>
        <v>0</v>
      </c>
      <c r="N158" s="92" t="s">
        <v>101</v>
      </c>
      <c r="O158" s="26">
        <f>uurtarief87</f>
        <v>0</v>
      </c>
      <c r="P158" s="94" t="e">
        <f>IF(ISBLANK(M158),0,L158/ROUND(M158,4))</f>
        <v>#DIV/0!</v>
      </c>
      <c r="Q158" s="26" t="e">
        <f>ROUND(O158,2)*P158</f>
        <v>#DIV/0!</v>
      </c>
      <c r="R158" s="94" t="e">
        <f>P158*dagenperjaar1</f>
        <v>#DIV/0!</v>
      </c>
      <c r="S158" s="27" t="e">
        <f>R158*ROUND(O158,2)</f>
        <v>#DIV/0!</v>
      </c>
    </row>
    <row r="159" spans="1:19" x14ac:dyDescent="0.2">
      <c r="A159" s="91" t="s">
        <v>781</v>
      </c>
      <c r="B159" s="92" t="s">
        <v>36</v>
      </c>
      <c r="C159" s="92" t="s">
        <v>419</v>
      </c>
      <c r="D159" s="92" t="s">
        <v>830</v>
      </c>
      <c r="E159" s="93" t="s">
        <v>739</v>
      </c>
      <c r="F159" s="92" t="s">
        <v>478</v>
      </c>
      <c r="G159" s="92" t="s">
        <v>310</v>
      </c>
      <c r="H159" s="92" t="s">
        <v>13</v>
      </c>
      <c r="I159" s="92" t="s">
        <v>230</v>
      </c>
      <c r="J159" s="93" t="s">
        <v>253</v>
      </c>
      <c r="K159" s="94">
        <v>15</v>
      </c>
      <c r="L159" s="94">
        <f>K159*VLOOKUP(H159,dagsoorttabel1,2,FALSE)</f>
        <v>6</v>
      </c>
      <c r="M159" s="95">
        <f>prodnorm86</f>
        <v>0</v>
      </c>
      <c r="N159" s="92" t="s">
        <v>101</v>
      </c>
      <c r="O159" s="26">
        <f>uurtarief86</f>
        <v>0</v>
      </c>
      <c r="P159" s="94" t="e">
        <f>IF(ISBLANK(M159),0,L159/ROUND(M159,4))</f>
        <v>#DIV/0!</v>
      </c>
      <c r="Q159" s="26" t="e">
        <f>ROUND(O159,2)*P159</f>
        <v>#DIV/0!</v>
      </c>
      <c r="R159" s="94" t="e">
        <f>P159*dagenperjaar1</f>
        <v>#DIV/0!</v>
      </c>
      <c r="S159" s="27" t="e">
        <f>R159*ROUND(O159,2)</f>
        <v>#DIV/0!</v>
      </c>
    </row>
    <row r="160" spans="1:19" x14ac:dyDescent="0.2">
      <c r="A160" s="91" t="s">
        <v>781</v>
      </c>
      <c r="B160" s="92" t="s">
        <v>36</v>
      </c>
      <c r="C160" s="92" t="s">
        <v>419</v>
      </c>
      <c r="D160" s="92" t="s">
        <v>830</v>
      </c>
      <c r="E160" s="93" t="s">
        <v>739</v>
      </c>
      <c r="F160" s="92" t="s">
        <v>478</v>
      </c>
      <c r="G160" s="92" t="s">
        <v>311</v>
      </c>
      <c r="H160" s="92" t="s">
        <v>13</v>
      </c>
      <c r="I160" s="92" t="s">
        <v>230</v>
      </c>
      <c r="J160" s="93" t="s">
        <v>312</v>
      </c>
      <c r="K160" s="94">
        <v>15</v>
      </c>
      <c r="L160" s="94">
        <f>K160*VLOOKUP(H160,dagsoorttabel1,2,FALSE)</f>
        <v>6</v>
      </c>
      <c r="M160" s="95">
        <f>prodnorm87</f>
        <v>0</v>
      </c>
      <c r="N160" s="92" t="s">
        <v>101</v>
      </c>
      <c r="O160" s="26">
        <f>uurtarief87</f>
        <v>0</v>
      </c>
      <c r="P160" s="94" t="e">
        <f>IF(ISBLANK(M160),0,L160/ROUND(M160,4))</f>
        <v>#DIV/0!</v>
      </c>
      <c r="Q160" s="26" t="e">
        <f>ROUND(O160,2)*P160</f>
        <v>#DIV/0!</v>
      </c>
      <c r="R160" s="94" t="e">
        <f>P160*dagenperjaar1</f>
        <v>#DIV/0!</v>
      </c>
      <c r="S160" s="27" t="e">
        <f>R160*ROUND(O160,2)</f>
        <v>#DIV/0!</v>
      </c>
    </row>
    <row r="161" spans="1:19" x14ac:dyDescent="0.2">
      <c r="A161" s="91" t="s">
        <v>781</v>
      </c>
      <c r="B161" s="92" t="s">
        <v>36</v>
      </c>
      <c r="C161" s="92" t="s">
        <v>419</v>
      </c>
      <c r="D161" s="92" t="s">
        <v>831</v>
      </c>
      <c r="E161" s="93" t="s">
        <v>832</v>
      </c>
      <c r="F161" s="92" t="s">
        <v>458</v>
      </c>
      <c r="G161" s="92" t="s">
        <v>308</v>
      </c>
      <c r="H161" s="92" t="s">
        <v>13</v>
      </c>
      <c r="I161" s="92" t="s">
        <v>230</v>
      </c>
      <c r="J161" s="93" t="s">
        <v>286</v>
      </c>
      <c r="K161" s="94">
        <v>80</v>
      </c>
      <c r="L161" s="94">
        <f>K161*VLOOKUP(H161,dagsoorttabel1,2,FALSE)</f>
        <v>32</v>
      </c>
      <c r="M161" s="95">
        <f>prodnorm84</f>
        <v>0</v>
      </c>
      <c r="N161" s="92" t="s">
        <v>101</v>
      </c>
      <c r="O161" s="26">
        <f>uurtarief84</f>
        <v>0</v>
      </c>
      <c r="P161" s="94" t="e">
        <f>IF(ISBLANK(M161),0,L161/ROUND(M161,4))</f>
        <v>#DIV/0!</v>
      </c>
      <c r="Q161" s="26" t="e">
        <f>ROUND(O161,2)*P161</f>
        <v>#DIV/0!</v>
      </c>
      <c r="R161" s="94" t="e">
        <f>P161*dagenperjaar1</f>
        <v>#DIV/0!</v>
      </c>
      <c r="S161" s="27" t="e">
        <f>R161*ROUND(O161,2)</f>
        <v>#DIV/0!</v>
      </c>
    </row>
    <row r="162" spans="1:19" x14ac:dyDescent="0.2">
      <c r="A162" s="91" t="s">
        <v>781</v>
      </c>
      <c r="B162" s="92" t="s">
        <v>36</v>
      </c>
      <c r="C162" s="92" t="s">
        <v>419</v>
      </c>
      <c r="D162" s="92" t="s">
        <v>833</v>
      </c>
      <c r="E162" s="93" t="s">
        <v>805</v>
      </c>
      <c r="F162" s="92" t="s">
        <v>458</v>
      </c>
      <c r="G162" s="92" t="s">
        <v>308</v>
      </c>
      <c r="H162" s="92" t="s">
        <v>13</v>
      </c>
      <c r="I162" s="92" t="s">
        <v>230</v>
      </c>
      <c r="J162" s="93" t="s">
        <v>286</v>
      </c>
      <c r="K162" s="94">
        <v>55</v>
      </c>
      <c r="L162" s="94">
        <f>K162*VLOOKUP(H162,dagsoorttabel1,2,FALSE)</f>
        <v>22</v>
      </c>
      <c r="M162" s="95">
        <f>prodnorm84</f>
        <v>0</v>
      </c>
      <c r="N162" s="92" t="s">
        <v>101</v>
      </c>
      <c r="O162" s="26">
        <f>uurtarief84</f>
        <v>0</v>
      </c>
      <c r="P162" s="94" t="e">
        <f>IF(ISBLANK(M162),0,L162/ROUND(M162,4))</f>
        <v>#DIV/0!</v>
      </c>
      <c r="Q162" s="26" t="e">
        <f>ROUND(O162,2)*P162</f>
        <v>#DIV/0!</v>
      </c>
      <c r="R162" s="94" t="e">
        <f>P162*dagenperjaar1</f>
        <v>#DIV/0!</v>
      </c>
      <c r="S162" s="27" t="e">
        <f>R162*ROUND(O162,2)</f>
        <v>#DIV/0!</v>
      </c>
    </row>
    <row r="163" spans="1:19" x14ac:dyDescent="0.2">
      <c r="A163" s="91" t="s">
        <v>781</v>
      </c>
      <c r="B163" s="92" t="s">
        <v>36</v>
      </c>
      <c r="C163" s="92" t="s">
        <v>419</v>
      </c>
      <c r="D163" s="92" t="s">
        <v>834</v>
      </c>
      <c r="E163" s="93" t="s">
        <v>809</v>
      </c>
      <c r="F163" s="92" t="s">
        <v>458</v>
      </c>
      <c r="G163" s="92" t="s">
        <v>313</v>
      </c>
      <c r="H163" s="92" t="s">
        <v>13</v>
      </c>
      <c r="I163" s="92" t="s">
        <v>230</v>
      </c>
      <c r="J163" s="93" t="s">
        <v>257</v>
      </c>
      <c r="K163" s="94">
        <v>54</v>
      </c>
      <c r="L163" s="94">
        <f>K163*VLOOKUP(H163,dagsoorttabel1,2,FALSE)</f>
        <v>21.6</v>
      </c>
      <c r="M163" s="95">
        <f>prodnorm88</f>
        <v>0</v>
      </c>
      <c r="N163" s="92" t="s">
        <v>101</v>
      </c>
      <c r="O163" s="26">
        <f>uurtarief88</f>
        <v>0</v>
      </c>
      <c r="P163" s="94" t="e">
        <f>IF(ISBLANK(M163),0,L163/ROUND(M163,4))</f>
        <v>#DIV/0!</v>
      </c>
      <c r="Q163" s="26" t="e">
        <f>ROUND(O163,2)*P163</f>
        <v>#DIV/0!</v>
      </c>
      <c r="R163" s="94" t="e">
        <f>P163*dagenperjaar1</f>
        <v>#DIV/0!</v>
      </c>
      <c r="S163" s="27" t="e">
        <f>R163*ROUND(O163,2)</f>
        <v>#DIV/0!</v>
      </c>
    </row>
    <row r="164" spans="1:19" x14ac:dyDescent="0.2">
      <c r="A164" s="91" t="s">
        <v>781</v>
      </c>
      <c r="B164" s="92" t="s">
        <v>36</v>
      </c>
      <c r="C164" s="92" t="s">
        <v>419</v>
      </c>
      <c r="D164" s="92" t="s">
        <v>835</v>
      </c>
      <c r="E164" s="93" t="s">
        <v>836</v>
      </c>
      <c r="F164" s="92" t="s">
        <v>458</v>
      </c>
      <c r="G164" s="92" t="s">
        <v>303</v>
      </c>
      <c r="H164" s="92" t="s">
        <v>13</v>
      </c>
      <c r="I164" s="92" t="s">
        <v>230</v>
      </c>
      <c r="J164" s="93" t="s">
        <v>237</v>
      </c>
      <c r="K164" s="94">
        <v>3.5</v>
      </c>
      <c r="L164" s="94">
        <f>K164*VLOOKUP(H164,dagsoorttabel1,2,FALSE)</f>
        <v>1.4000000000000001</v>
      </c>
      <c r="M164" s="95">
        <f>prodnorm79</f>
        <v>0</v>
      </c>
      <c r="N164" s="92" t="s">
        <v>101</v>
      </c>
      <c r="O164" s="26">
        <f>uurtarief79</f>
        <v>0</v>
      </c>
      <c r="P164" s="94" t="e">
        <f>IF(ISBLANK(M164),0,L164/ROUND(M164,4))</f>
        <v>#DIV/0!</v>
      </c>
      <c r="Q164" s="26" t="e">
        <f>ROUND(O164,2)*P164</f>
        <v>#DIV/0!</v>
      </c>
      <c r="R164" s="94" t="e">
        <f>P164*dagenperjaar1</f>
        <v>#DIV/0!</v>
      </c>
      <c r="S164" s="27" t="e">
        <f>R164*ROUND(O164,2)</f>
        <v>#DIV/0!</v>
      </c>
    </row>
    <row r="165" spans="1:19" x14ac:dyDescent="0.2">
      <c r="A165" s="91" t="s">
        <v>781</v>
      </c>
      <c r="B165" s="92" t="s">
        <v>36</v>
      </c>
      <c r="C165" s="92" t="s">
        <v>419</v>
      </c>
      <c r="D165" s="92" t="s">
        <v>837</v>
      </c>
      <c r="E165" s="93" t="s">
        <v>629</v>
      </c>
      <c r="F165" s="92" t="s">
        <v>458</v>
      </c>
      <c r="G165" s="92" t="s">
        <v>313</v>
      </c>
      <c r="H165" s="92" t="s">
        <v>13</v>
      </c>
      <c r="I165" s="92" t="s">
        <v>230</v>
      </c>
      <c r="J165" s="93" t="s">
        <v>257</v>
      </c>
      <c r="K165" s="94">
        <v>20</v>
      </c>
      <c r="L165" s="94">
        <f>K165*VLOOKUP(H165,dagsoorttabel1,2,FALSE)</f>
        <v>8</v>
      </c>
      <c r="M165" s="95">
        <f>prodnorm88</f>
        <v>0</v>
      </c>
      <c r="N165" s="92" t="s">
        <v>101</v>
      </c>
      <c r="O165" s="26">
        <f>uurtarief88</f>
        <v>0</v>
      </c>
      <c r="P165" s="94" t="e">
        <f>IF(ISBLANK(M165),0,L165/ROUND(M165,4))</f>
        <v>#DIV/0!</v>
      </c>
      <c r="Q165" s="26" t="e">
        <f>ROUND(O165,2)*P165</f>
        <v>#DIV/0!</v>
      </c>
      <c r="R165" s="94" t="e">
        <f>P165*dagenperjaar1</f>
        <v>#DIV/0!</v>
      </c>
      <c r="S165" s="27" t="e">
        <f>R165*ROUND(O165,2)</f>
        <v>#DIV/0!</v>
      </c>
    </row>
    <row r="166" spans="1:19" x14ac:dyDescent="0.2">
      <c r="A166" s="91" t="s">
        <v>781</v>
      </c>
      <c r="B166" s="92" t="s">
        <v>36</v>
      </c>
      <c r="C166" s="92" t="s">
        <v>419</v>
      </c>
      <c r="D166" s="92" t="s">
        <v>838</v>
      </c>
      <c r="E166" s="93" t="s">
        <v>477</v>
      </c>
      <c r="F166" s="92" t="s">
        <v>461</v>
      </c>
      <c r="G166" s="92" t="s">
        <v>317</v>
      </c>
      <c r="H166" s="92" t="s">
        <v>13</v>
      </c>
      <c r="I166" s="92" t="s">
        <v>230</v>
      </c>
      <c r="J166" s="93" t="s">
        <v>267</v>
      </c>
      <c r="K166" s="94">
        <v>11</v>
      </c>
      <c r="L166" s="94">
        <f>K166*VLOOKUP(H166,dagsoorttabel1,2,FALSE)</f>
        <v>4.4000000000000004</v>
      </c>
      <c r="M166" s="95">
        <f>prodnorm92</f>
        <v>0</v>
      </c>
      <c r="N166" s="92" t="s">
        <v>101</v>
      </c>
      <c r="O166" s="26">
        <f>uurtarief92</f>
        <v>0</v>
      </c>
      <c r="P166" s="94" t="e">
        <f>IF(ISBLANK(M166),0,L166/ROUND(M166,4))</f>
        <v>#DIV/0!</v>
      </c>
      <c r="Q166" s="26" t="e">
        <f>ROUND(O166,2)*P166</f>
        <v>#DIV/0!</v>
      </c>
      <c r="R166" s="94" t="e">
        <f>P166*dagenperjaar1</f>
        <v>#DIV/0!</v>
      </c>
      <c r="S166" s="27" t="e">
        <f>R166*ROUND(O166,2)</f>
        <v>#DIV/0!</v>
      </c>
    </row>
    <row r="167" spans="1:19" x14ac:dyDescent="0.2">
      <c r="A167" s="91" t="s">
        <v>781</v>
      </c>
      <c r="B167" s="92" t="s">
        <v>36</v>
      </c>
      <c r="C167" s="92" t="s">
        <v>419</v>
      </c>
      <c r="D167" s="92" t="s">
        <v>839</v>
      </c>
      <c r="E167" s="93" t="s">
        <v>840</v>
      </c>
      <c r="F167" s="92" t="s">
        <v>841</v>
      </c>
      <c r="G167" s="92" t="s">
        <v>308</v>
      </c>
      <c r="H167" s="92" t="s">
        <v>13</v>
      </c>
      <c r="I167" s="92" t="s">
        <v>230</v>
      </c>
      <c r="J167" s="93" t="s">
        <v>286</v>
      </c>
      <c r="K167" s="94">
        <v>41</v>
      </c>
      <c r="L167" s="94">
        <f>K167*VLOOKUP(H167,dagsoorttabel1,2,FALSE)</f>
        <v>16.400000000000002</v>
      </c>
      <c r="M167" s="95">
        <f>prodnorm84</f>
        <v>0</v>
      </c>
      <c r="N167" s="92" t="s">
        <v>101</v>
      </c>
      <c r="O167" s="26">
        <f>uurtarief84</f>
        <v>0</v>
      </c>
      <c r="P167" s="94" t="e">
        <f>IF(ISBLANK(M167),0,L167/ROUND(M167,4))</f>
        <v>#DIV/0!</v>
      </c>
      <c r="Q167" s="26" t="e">
        <f>ROUND(O167,2)*P167</f>
        <v>#DIV/0!</v>
      </c>
      <c r="R167" s="94" t="e">
        <f>P167*dagenperjaar1</f>
        <v>#DIV/0!</v>
      </c>
      <c r="S167" s="27" t="e">
        <f>R167*ROUND(O167,2)</f>
        <v>#DIV/0!</v>
      </c>
    </row>
    <row r="168" spans="1:19" x14ac:dyDescent="0.2">
      <c r="A168" s="91" t="s">
        <v>781</v>
      </c>
      <c r="B168" s="92" t="s">
        <v>842</v>
      </c>
      <c r="C168" s="92" t="s">
        <v>393</v>
      </c>
      <c r="D168" s="92" t="s">
        <v>845</v>
      </c>
      <c r="E168" s="93" t="s">
        <v>629</v>
      </c>
      <c r="F168" s="92" t="s">
        <v>342</v>
      </c>
      <c r="G168" s="92" t="s">
        <v>313</v>
      </c>
      <c r="H168" s="92" t="s">
        <v>13</v>
      </c>
      <c r="I168" s="92" t="s">
        <v>230</v>
      </c>
      <c r="J168" s="93" t="s">
        <v>257</v>
      </c>
      <c r="K168" s="94">
        <v>4.5</v>
      </c>
      <c r="L168" s="94">
        <f>K168*VLOOKUP(H168,dagsoorttabel1,2,FALSE)</f>
        <v>1.8</v>
      </c>
      <c r="M168" s="95">
        <f>prodnorm88</f>
        <v>0</v>
      </c>
      <c r="N168" s="92" t="s">
        <v>101</v>
      </c>
      <c r="O168" s="26">
        <f>uurtarief88</f>
        <v>0</v>
      </c>
      <c r="P168" s="94" t="e">
        <f>IF(ISBLANK(M168),0,L168/ROUND(M168,4))</f>
        <v>#DIV/0!</v>
      </c>
      <c r="Q168" s="26" t="e">
        <f>ROUND(O168,2)*P168</f>
        <v>#DIV/0!</v>
      </c>
      <c r="R168" s="94" t="e">
        <f>P168*dagenperjaar1</f>
        <v>#DIV/0!</v>
      </c>
      <c r="S168" s="27" t="e">
        <f>R168*ROUND(O168,2)</f>
        <v>#DIV/0!</v>
      </c>
    </row>
    <row r="169" spans="1:19" x14ac:dyDescent="0.2">
      <c r="A169" s="91" t="s">
        <v>781</v>
      </c>
      <c r="B169" s="92" t="s">
        <v>842</v>
      </c>
      <c r="C169" s="92" t="s">
        <v>393</v>
      </c>
      <c r="D169" s="92" t="s">
        <v>846</v>
      </c>
      <c r="E169" s="93" t="s">
        <v>616</v>
      </c>
      <c r="F169" s="92" t="s">
        <v>342</v>
      </c>
      <c r="G169" s="92" t="s">
        <v>303</v>
      </c>
      <c r="H169" s="92" t="s">
        <v>13</v>
      </c>
      <c r="I169" s="92" t="s">
        <v>230</v>
      </c>
      <c r="J169" s="93" t="s">
        <v>237</v>
      </c>
      <c r="K169" s="94">
        <v>13</v>
      </c>
      <c r="L169" s="94">
        <f>K169*VLOOKUP(H169,dagsoorttabel1,2,FALSE)</f>
        <v>5.2</v>
      </c>
      <c r="M169" s="95">
        <f>prodnorm79</f>
        <v>0</v>
      </c>
      <c r="N169" s="92" t="s">
        <v>101</v>
      </c>
      <c r="O169" s="26">
        <f>uurtarief79</f>
        <v>0</v>
      </c>
      <c r="P169" s="94" t="e">
        <f>IF(ISBLANK(M169),0,L169/ROUND(M169,4))</f>
        <v>#DIV/0!</v>
      </c>
      <c r="Q169" s="26" t="e">
        <f>ROUND(O169,2)*P169</f>
        <v>#DIV/0!</v>
      </c>
      <c r="R169" s="94" t="e">
        <f>P169*dagenperjaar1</f>
        <v>#DIV/0!</v>
      </c>
      <c r="S169" s="27" t="e">
        <f>R169*ROUND(O169,2)</f>
        <v>#DIV/0!</v>
      </c>
    </row>
    <row r="170" spans="1:19" x14ac:dyDescent="0.2">
      <c r="A170" s="91" t="s">
        <v>781</v>
      </c>
      <c r="B170" s="92" t="s">
        <v>842</v>
      </c>
      <c r="C170" s="92" t="s">
        <v>393</v>
      </c>
      <c r="D170" s="92" t="s">
        <v>847</v>
      </c>
      <c r="E170" s="93" t="s">
        <v>848</v>
      </c>
      <c r="F170" s="92" t="s">
        <v>342</v>
      </c>
      <c r="G170" s="92" t="s">
        <v>304</v>
      </c>
      <c r="H170" s="92" t="s">
        <v>13</v>
      </c>
      <c r="I170" s="92" t="s">
        <v>230</v>
      </c>
      <c r="J170" s="93" t="s">
        <v>239</v>
      </c>
      <c r="K170" s="94">
        <v>181</v>
      </c>
      <c r="L170" s="94">
        <f>K170*VLOOKUP(H170,dagsoorttabel1,2,FALSE)</f>
        <v>72.400000000000006</v>
      </c>
      <c r="M170" s="95">
        <f>prodnorm80</f>
        <v>0</v>
      </c>
      <c r="N170" s="92" t="s">
        <v>101</v>
      </c>
      <c r="O170" s="26">
        <f>uurtarief80</f>
        <v>0</v>
      </c>
      <c r="P170" s="94" t="e">
        <f>IF(ISBLANK(M170),0,L170/ROUND(M170,4))</f>
        <v>#DIV/0!</v>
      </c>
      <c r="Q170" s="26" t="e">
        <f>ROUND(O170,2)*P170</f>
        <v>#DIV/0!</v>
      </c>
      <c r="R170" s="94" t="e">
        <f>P170*dagenperjaar1</f>
        <v>#DIV/0!</v>
      </c>
      <c r="S170" s="27" t="e">
        <f>R170*ROUND(O170,2)</f>
        <v>#DIV/0!</v>
      </c>
    </row>
    <row r="171" spans="1:19" x14ac:dyDescent="0.2">
      <c r="A171" s="91" t="s">
        <v>781</v>
      </c>
      <c r="B171" s="92" t="s">
        <v>842</v>
      </c>
      <c r="C171" s="92" t="s">
        <v>393</v>
      </c>
      <c r="D171" s="92" t="s">
        <v>849</v>
      </c>
      <c r="E171" s="93" t="s">
        <v>850</v>
      </c>
      <c r="F171" s="92" t="s">
        <v>342</v>
      </c>
      <c r="G171" s="92" t="s">
        <v>313</v>
      </c>
      <c r="H171" s="92" t="s">
        <v>13</v>
      </c>
      <c r="I171" s="92" t="s">
        <v>230</v>
      </c>
      <c r="J171" s="93" t="s">
        <v>257</v>
      </c>
      <c r="K171" s="94">
        <v>41</v>
      </c>
      <c r="L171" s="94">
        <f>K171*VLOOKUP(H171,dagsoorttabel1,2,FALSE)</f>
        <v>16.400000000000002</v>
      </c>
      <c r="M171" s="95">
        <f>prodnorm88</f>
        <v>0</v>
      </c>
      <c r="N171" s="92" t="s">
        <v>101</v>
      </c>
      <c r="O171" s="26">
        <f>uurtarief88</f>
        <v>0</v>
      </c>
      <c r="P171" s="94" t="e">
        <f>IF(ISBLANK(M171),0,L171/ROUND(M171,4))</f>
        <v>#DIV/0!</v>
      </c>
      <c r="Q171" s="26" t="e">
        <f>ROUND(O171,2)*P171</f>
        <v>#DIV/0!</v>
      </c>
      <c r="R171" s="94" t="e">
        <f>P171*dagenperjaar1</f>
        <v>#DIV/0!</v>
      </c>
      <c r="S171" s="27" t="e">
        <f>R171*ROUND(O171,2)</f>
        <v>#DIV/0!</v>
      </c>
    </row>
    <row r="172" spans="1:19" x14ac:dyDescent="0.2">
      <c r="A172" s="91" t="s">
        <v>781</v>
      </c>
      <c r="B172" s="92" t="s">
        <v>842</v>
      </c>
      <c r="C172" s="92" t="s">
        <v>419</v>
      </c>
      <c r="D172" s="92" t="s">
        <v>851</v>
      </c>
      <c r="E172" s="93" t="s">
        <v>629</v>
      </c>
      <c r="F172" s="92" t="s">
        <v>342</v>
      </c>
      <c r="G172" s="92" t="s">
        <v>313</v>
      </c>
      <c r="H172" s="92" t="s">
        <v>13</v>
      </c>
      <c r="I172" s="92" t="s">
        <v>230</v>
      </c>
      <c r="J172" s="93" t="s">
        <v>257</v>
      </c>
      <c r="K172" s="94">
        <v>5</v>
      </c>
      <c r="L172" s="94">
        <f>K172*VLOOKUP(H172,dagsoorttabel1,2,FALSE)</f>
        <v>2</v>
      </c>
      <c r="M172" s="95">
        <f>prodnorm88</f>
        <v>0</v>
      </c>
      <c r="N172" s="92" t="s">
        <v>101</v>
      </c>
      <c r="O172" s="26">
        <f>uurtarief88</f>
        <v>0</v>
      </c>
      <c r="P172" s="94" t="e">
        <f>IF(ISBLANK(M172),0,L172/ROUND(M172,4))</f>
        <v>#DIV/0!</v>
      </c>
      <c r="Q172" s="26" t="e">
        <f>ROUND(O172,2)*P172</f>
        <v>#DIV/0!</v>
      </c>
      <c r="R172" s="94" t="e">
        <f>P172*dagenperjaar1</f>
        <v>#DIV/0!</v>
      </c>
      <c r="S172" s="27" t="e">
        <f>R172*ROUND(O172,2)</f>
        <v>#DIV/0!</v>
      </c>
    </row>
    <row r="173" spans="1:19" x14ac:dyDescent="0.2">
      <c r="A173" s="91" t="s">
        <v>781</v>
      </c>
      <c r="B173" s="92" t="s">
        <v>842</v>
      </c>
      <c r="C173" s="92" t="s">
        <v>419</v>
      </c>
      <c r="D173" s="92" t="s">
        <v>853</v>
      </c>
      <c r="E173" s="93" t="s">
        <v>854</v>
      </c>
      <c r="F173" s="92" t="s">
        <v>342</v>
      </c>
      <c r="G173" s="92" t="s">
        <v>308</v>
      </c>
      <c r="H173" s="92" t="s">
        <v>13</v>
      </c>
      <c r="I173" s="92" t="s">
        <v>230</v>
      </c>
      <c r="J173" s="93" t="s">
        <v>286</v>
      </c>
      <c r="K173" s="94">
        <v>190</v>
      </c>
      <c r="L173" s="94">
        <f>K173*VLOOKUP(H173,dagsoorttabel1,2,FALSE)</f>
        <v>76</v>
      </c>
      <c r="M173" s="95">
        <f>prodnorm84</f>
        <v>0</v>
      </c>
      <c r="N173" s="92" t="s">
        <v>101</v>
      </c>
      <c r="O173" s="26">
        <f>uurtarief84</f>
        <v>0</v>
      </c>
      <c r="P173" s="94" t="e">
        <f>IF(ISBLANK(M173),0,L173/ROUND(M173,4))</f>
        <v>#DIV/0!</v>
      </c>
      <c r="Q173" s="26" t="e">
        <f>ROUND(O173,2)*P173</f>
        <v>#DIV/0!</v>
      </c>
      <c r="R173" s="94" t="e">
        <f>P173*dagenperjaar1</f>
        <v>#DIV/0!</v>
      </c>
      <c r="S173" s="27" t="e">
        <f>R173*ROUND(O173,2)</f>
        <v>#DIV/0!</v>
      </c>
    </row>
    <row r="174" spans="1:19" x14ac:dyDescent="0.2">
      <c r="A174" s="91" t="s">
        <v>781</v>
      </c>
      <c r="B174" s="92" t="s">
        <v>842</v>
      </c>
      <c r="C174" s="92" t="s">
        <v>419</v>
      </c>
      <c r="D174" s="92" t="s">
        <v>855</v>
      </c>
      <c r="E174" s="93" t="s">
        <v>856</v>
      </c>
      <c r="F174" s="92" t="s">
        <v>342</v>
      </c>
      <c r="G174" s="92" t="s">
        <v>313</v>
      </c>
      <c r="H174" s="92" t="s">
        <v>13</v>
      </c>
      <c r="I174" s="92" t="s">
        <v>230</v>
      </c>
      <c r="J174" s="93" t="s">
        <v>257</v>
      </c>
      <c r="K174" s="94">
        <v>11</v>
      </c>
      <c r="L174" s="94">
        <f>K174*VLOOKUP(H174,dagsoorttabel1,2,FALSE)</f>
        <v>4.4000000000000004</v>
      </c>
      <c r="M174" s="95">
        <f>prodnorm88</f>
        <v>0</v>
      </c>
      <c r="N174" s="92" t="s">
        <v>101</v>
      </c>
      <c r="O174" s="26">
        <f>uurtarief88</f>
        <v>0</v>
      </c>
      <c r="P174" s="94" t="e">
        <f>IF(ISBLANK(M174),0,L174/ROUND(M174,4))</f>
        <v>#DIV/0!</v>
      </c>
      <c r="Q174" s="26" t="e">
        <f>ROUND(O174,2)*P174</f>
        <v>#DIV/0!</v>
      </c>
      <c r="R174" s="94" t="e">
        <f>P174*dagenperjaar1</f>
        <v>#DIV/0!</v>
      </c>
      <c r="S174" s="27" t="e">
        <f>R174*ROUND(O174,2)</f>
        <v>#DIV/0!</v>
      </c>
    </row>
    <row r="175" spans="1:19" x14ac:dyDescent="0.2">
      <c r="A175" s="91" t="s">
        <v>781</v>
      </c>
      <c r="B175" s="92" t="s">
        <v>842</v>
      </c>
      <c r="C175" s="92" t="s">
        <v>443</v>
      </c>
      <c r="D175" s="92" t="s">
        <v>857</v>
      </c>
      <c r="E175" s="93" t="s">
        <v>858</v>
      </c>
      <c r="F175" s="92" t="s">
        <v>342</v>
      </c>
      <c r="G175" s="92" t="s">
        <v>305</v>
      </c>
      <c r="H175" s="92" t="s">
        <v>13</v>
      </c>
      <c r="I175" s="92" t="s">
        <v>230</v>
      </c>
      <c r="J175" s="93" t="s">
        <v>241</v>
      </c>
      <c r="K175" s="94">
        <v>119</v>
      </c>
      <c r="L175" s="94">
        <f>K175*VLOOKUP(H175,dagsoorttabel1,2,FALSE)</f>
        <v>47.6</v>
      </c>
      <c r="M175" s="95">
        <f>prodnorm81</f>
        <v>0</v>
      </c>
      <c r="N175" s="92" t="s">
        <v>101</v>
      </c>
      <c r="O175" s="26">
        <f>uurtarief81</f>
        <v>0</v>
      </c>
      <c r="P175" s="94" t="e">
        <f>IF(ISBLANK(M175),0,L175/ROUND(M175,4))</f>
        <v>#DIV/0!</v>
      </c>
      <c r="Q175" s="26" t="e">
        <f>ROUND(O175,2)*P175</f>
        <v>#DIV/0!</v>
      </c>
      <c r="R175" s="94" t="e">
        <f>P175*dagenperjaar1</f>
        <v>#DIV/0!</v>
      </c>
      <c r="S175" s="27" t="e">
        <f>R175*ROUND(O175,2)</f>
        <v>#DIV/0!</v>
      </c>
    </row>
    <row r="176" spans="1:19" x14ac:dyDescent="0.2">
      <c r="A176" s="91" t="s">
        <v>781</v>
      </c>
      <c r="B176" s="92" t="s">
        <v>842</v>
      </c>
      <c r="C176" s="92" t="s">
        <v>443</v>
      </c>
      <c r="D176" s="92" t="s">
        <v>862</v>
      </c>
      <c r="E176" s="93" t="s">
        <v>863</v>
      </c>
      <c r="F176" s="92" t="s">
        <v>864</v>
      </c>
      <c r="G176" s="92" t="s">
        <v>313</v>
      </c>
      <c r="H176" s="92" t="s">
        <v>13</v>
      </c>
      <c r="I176" s="92" t="s">
        <v>230</v>
      </c>
      <c r="J176" s="93" t="s">
        <v>257</v>
      </c>
      <c r="K176" s="94">
        <v>3</v>
      </c>
      <c r="L176" s="94">
        <f>K176*VLOOKUP(H176,dagsoorttabel1,2,FALSE)</f>
        <v>1.2000000000000002</v>
      </c>
      <c r="M176" s="95">
        <f>prodnorm88</f>
        <v>0</v>
      </c>
      <c r="N176" s="92" t="s">
        <v>101</v>
      </c>
      <c r="O176" s="26">
        <f>uurtarief88</f>
        <v>0</v>
      </c>
      <c r="P176" s="94" t="e">
        <f>IF(ISBLANK(M176),0,L176/ROUND(M176,4))</f>
        <v>#DIV/0!</v>
      </c>
      <c r="Q176" s="26" t="e">
        <f>ROUND(O176,2)*P176</f>
        <v>#DIV/0!</v>
      </c>
      <c r="R176" s="94" t="e">
        <f>P176*dagenperjaar1</f>
        <v>#DIV/0!</v>
      </c>
      <c r="S176" s="27" t="e">
        <f>R176*ROUND(O176,2)</f>
        <v>#DIV/0!</v>
      </c>
    </row>
    <row r="177" spans="1:19" x14ac:dyDescent="0.2">
      <c r="A177" s="91" t="s">
        <v>781</v>
      </c>
      <c r="B177" s="92" t="s">
        <v>842</v>
      </c>
      <c r="C177" s="92" t="s">
        <v>443</v>
      </c>
      <c r="D177" s="92" t="s">
        <v>865</v>
      </c>
      <c r="E177" s="93" t="s">
        <v>866</v>
      </c>
      <c r="F177" s="92" t="s">
        <v>342</v>
      </c>
      <c r="G177" s="92" t="s">
        <v>313</v>
      </c>
      <c r="H177" s="92" t="s">
        <v>13</v>
      </c>
      <c r="I177" s="92" t="s">
        <v>230</v>
      </c>
      <c r="J177" s="93" t="s">
        <v>257</v>
      </c>
      <c r="K177" s="94">
        <v>16</v>
      </c>
      <c r="L177" s="94">
        <f>K177*VLOOKUP(H177,dagsoorttabel1,2,FALSE)</f>
        <v>6.4</v>
      </c>
      <c r="M177" s="95">
        <f>prodnorm88</f>
        <v>0</v>
      </c>
      <c r="N177" s="92" t="s">
        <v>101</v>
      </c>
      <c r="O177" s="26">
        <f>uurtarief88</f>
        <v>0</v>
      </c>
      <c r="P177" s="94" t="e">
        <f>IF(ISBLANK(M177),0,L177/ROUND(M177,4))</f>
        <v>#DIV/0!</v>
      </c>
      <c r="Q177" s="26" t="e">
        <f>ROUND(O177,2)*P177</f>
        <v>#DIV/0!</v>
      </c>
      <c r="R177" s="94" t="e">
        <f>P177*dagenperjaar1</f>
        <v>#DIV/0!</v>
      </c>
      <c r="S177" s="27" t="e">
        <f>R177*ROUND(O177,2)</f>
        <v>#DIV/0!</v>
      </c>
    </row>
    <row r="178" spans="1:19" x14ac:dyDescent="0.2">
      <c r="A178" s="91" t="s">
        <v>781</v>
      </c>
      <c r="B178" s="92" t="s">
        <v>842</v>
      </c>
      <c r="C178" s="92" t="s">
        <v>443</v>
      </c>
      <c r="D178" s="92" t="s">
        <v>867</v>
      </c>
      <c r="E178" s="93" t="s">
        <v>868</v>
      </c>
      <c r="F178" s="92" t="s">
        <v>342</v>
      </c>
      <c r="G178" s="92" t="s">
        <v>310</v>
      </c>
      <c r="H178" s="92" t="s">
        <v>13</v>
      </c>
      <c r="I178" s="92" t="s">
        <v>230</v>
      </c>
      <c r="J178" s="93" t="s">
        <v>253</v>
      </c>
      <c r="K178" s="94">
        <v>14</v>
      </c>
      <c r="L178" s="94">
        <f>K178*VLOOKUP(H178,dagsoorttabel1,2,FALSE)</f>
        <v>5.6000000000000005</v>
      </c>
      <c r="M178" s="95">
        <f>prodnorm86</f>
        <v>0</v>
      </c>
      <c r="N178" s="92" t="s">
        <v>101</v>
      </c>
      <c r="O178" s="26">
        <f>uurtarief86</f>
        <v>0</v>
      </c>
      <c r="P178" s="94" t="e">
        <f>IF(ISBLANK(M178),0,L178/ROUND(M178,4))</f>
        <v>#DIV/0!</v>
      </c>
      <c r="Q178" s="26" t="e">
        <f>ROUND(O178,2)*P178</f>
        <v>#DIV/0!</v>
      </c>
      <c r="R178" s="94" t="e">
        <f>P178*dagenperjaar1</f>
        <v>#DIV/0!</v>
      </c>
      <c r="S178" s="27" t="e">
        <f>R178*ROUND(O178,2)</f>
        <v>#DIV/0!</v>
      </c>
    </row>
    <row r="179" spans="1:19" x14ac:dyDescent="0.2">
      <c r="A179" s="97" t="s">
        <v>781</v>
      </c>
      <c r="B179" s="98" t="s">
        <v>842</v>
      </c>
      <c r="C179" s="98" t="s">
        <v>443</v>
      </c>
      <c r="D179" s="98" t="s">
        <v>867</v>
      </c>
      <c r="E179" s="99" t="s">
        <v>868</v>
      </c>
      <c r="F179" s="98" t="s">
        <v>342</v>
      </c>
      <c r="G179" s="98" t="s">
        <v>311</v>
      </c>
      <c r="H179" s="98" t="s">
        <v>13</v>
      </c>
      <c r="I179" s="98" t="s">
        <v>230</v>
      </c>
      <c r="J179" s="99" t="s">
        <v>312</v>
      </c>
      <c r="K179" s="100">
        <v>14</v>
      </c>
      <c r="L179" s="100">
        <f>K179*VLOOKUP(H179,dagsoorttabel1,2,FALSE)</f>
        <v>5.6000000000000005</v>
      </c>
      <c r="M179" s="101">
        <f>prodnorm87</f>
        <v>0</v>
      </c>
      <c r="N179" s="98" t="s">
        <v>101</v>
      </c>
      <c r="O179" s="36">
        <f>uurtarief87</f>
        <v>0</v>
      </c>
      <c r="P179" s="100" t="e">
        <f>IF(ISBLANK(M179),0,L179/ROUND(M179,4))</f>
        <v>#DIV/0!</v>
      </c>
      <c r="Q179" s="36" t="e">
        <f>ROUND(O179,2)*P179</f>
        <v>#DIV/0!</v>
      </c>
      <c r="R179" s="100" t="e">
        <f>P179*dagenperjaar1</f>
        <v>#DIV/0!</v>
      </c>
      <c r="S179" s="37" t="e">
        <f>R179*ROUND(O179,2)</f>
        <v>#DIV/0!</v>
      </c>
    </row>
    <row r="180" spans="1:19" x14ac:dyDescent="0.2">
      <c r="A180" s="103" t="s">
        <v>948</v>
      </c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6" t="e">
        <f>IF(_xlfn.SINGLE(object3_urenjaar3)&gt;0,_xlfn.SINGLE(object3_prijsjaar3)/_xlfn.SINGLE(object3_urenjaar3),0)</f>
        <v>#DIV/0!</v>
      </c>
      <c r="P180" s="75" t="e">
        <f>SUM(P131:P179)</f>
        <v>#DIV/0!</v>
      </c>
      <c r="Q180" s="76" t="e">
        <f>SUM(Q131:Q179)</f>
        <v>#DIV/0!</v>
      </c>
      <c r="R180" s="75" t="e">
        <f>SUM(R131:R179)</f>
        <v>#DIV/0!</v>
      </c>
      <c r="S180" s="77" t="e">
        <f>SUM(S131:S179)</f>
        <v>#DIV/0!</v>
      </c>
    </row>
    <row r="181" spans="1:19" x14ac:dyDescent="0.2">
      <c r="A181" s="82" t="s">
        <v>871</v>
      </c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72"/>
    </row>
    <row r="182" spans="1:19" x14ac:dyDescent="0.2">
      <c r="A182" s="83" t="s">
        <v>872</v>
      </c>
      <c r="B182" s="84" t="s">
        <v>873</v>
      </c>
      <c r="C182" s="84" t="s">
        <v>335</v>
      </c>
      <c r="D182" s="84" t="s">
        <v>885</v>
      </c>
      <c r="E182" s="85" t="s">
        <v>635</v>
      </c>
      <c r="F182" s="84" t="s">
        <v>349</v>
      </c>
      <c r="G182" s="84" t="s">
        <v>310</v>
      </c>
      <c r="H182" s="84" t="s">
        <v>13</v>
      </c>
      <c r="I182" s="84" t="s">
        <v>230</v>
      </c>
      <c r="J182" s="85" t="s">
        <v>253</v>
      </c>
      <c r="K182" s="86">
        <v>1.2</v>
      </c>
      <c r="L182" s="86">
        <f>K182*VLOOKUP(H182,dagsoorttabel1,2,FALSE)</f>
        <v>0.48</v>
      </c>
      <c r="M182" s="87">
        <f>prodnorm86</f>
        <v>0</v>
      </c>
      <c r="N182" s="84" t="s">
        <v>101</v>
      </c>
      <c r="O182" s="88">
        <f>uurtarief86</f>
        <v>0</v>
      </c>
      <c r="P182" s="86" t="e">
        <f>IF(ISBLANK(M182),0,L182/ROUND(M182,4))</f>
        <v>#DIV/0!</v>
      </c>
      <c r="Q182" s="88" t="e">
        <f>ROUND(O182,2)*P182</f>
        <v>#DIV/0!</v>
      </c>
      <c r="R182" s="86" t="e">
        <f>P182*dagenperjaar1</f>
        <v>#DIV/0!</v>
      </c>
      <c r="S182" s="90" t="e">
        <f>R182*ROUND(O182,2)</f>
        <v>#DIV/0!</v>
      </c>
    </row>
    <row r="183" spans="1:19" x14ac:dyDescent="0.2">
      <c r="A183" s="91" t="s">
        <v>872</v>
      </c>
      <c r="B183" s="92" t="s">
        <v>873</v>
      </c>
      <c r="C183" s="92" t="s">
        <v>335</v>
      </c>
      <c r="D183" s="92" t="s">
        <v>885</v>
      </c>
      <c r="E183" s="93" t="s">
        <v>635</v>
      </c>
      <c r="F183" s="92" t="s">
        <v>349</v>
      </c>
      <c r="G183" s="92" t="s">
        <v>311</v>
      </c>
      <c r="H183" s="92" t="s">
        <v>13</v>
      </c>
      <c r="I183" s="92" t="s">
        <v>230</v>
      </c>
      <c r="J183" s="93" t="s">
        <v>312</v>
      </c>
      <c r="K183" s="94">
        <v>1.2</v>
      </c>
      <c r="L183" s="94">
        <f>K183*VLOOKUP(H183,dagsoorttabel1,2,FALSE)</f>
        <v>0.48</v>
      </c>
      <c r="M183" s="95">
        <f>prodnorm87</f>
        <v>0</v>
      </c>
      <c r="N183" s="92" t="s">
        <v>101</v>
      </c>
      <c r="O183" s="26">
        <f>uurtarief87</f>
        <v>0</v>
      </c>
      <c r="P183" s="94" t="e">
        <f>IF(ISBLANK(M183),0,L183/ROUND(M183,4))</f>
        <v>#DIV/0!</v>
      </c>
      <c r="Q183" s="26" t="e">
        <f>ROUND(O183,2)*P183</f>
        <v>#DIV/0!</v>
      </c>
      <c r="R183" s="94" t="e">
        <f>P183*dagenperjaar1</f>
        <v>#DIV/0!</v>
      </c>
      <c r="S183" s="27" t="e">
        <f>R183*ROUND(O183,2)</f>
        <v>#DIV/0!</v>
      </c>
    </row>
    <row r="184" spans="1:19" x14ac:dyDescent="0.2">
      <c r="A184" s="91" t="s">
        <v>872</v>
      </c>
      <c r="B184" s="92" t="s">
        <v>873</v>
      </c>
      <c r="C184" s="92" t="s">
        <v>335</v>
      </c>
      <c r="D184" s="92" t="s">
        <v>886</v>
      </c>
      <c r="E184" s="93" t="s">
        <v>635</v>
      </c>
      <c r="F184" s="92" t="s">
        <v>349</v>
      </c>
      <c r="G184" s="92" t="s">
        <v>310</v>
      </c>
      <c r="H184" s="92" t="s">
        <v>13</v>
      </c>
      <c r="I184" s="92" t="s">
        <v>230</v>
      </c>
      <c r="J184" s="93" t="s">
        <v>253</v>
      </c>
      <c r="K184" s="94">
        <v>1.1000000000000001</v>
      </c>
      <c r="L184" s="94">
        <f>K184*VLOOKUP(H184,dagsoorttabel1,2,FALSE)</f>
        <v>0.44000000000000006</v>
      </c>
      <c r="M184" s="95">
        <f>prodnorm86</f>
        <v>0</v>
      </c>
      <c r="N184" s="92" t="s">
        <v>101</v>
      </c>
      <c r="O184" s="26">
        <f>uurtarief86</f>
        <v>0</v>
      </c>
      <c r="P184" s="94" t="e">
        <f>IF(ISBLANK(M184),0,L184/ROUND(M184,4))</f>
        <v>#DIV/0!</v>
      </c>
      <c r="Q184" s="26" t="e">
        <f>ROUND(O184,2)*P184</f>
        <v>#DIV/0!</v>
      </c>
      <c r="R184" s="94" t="e">
        <f>P184*dagenperjaar1</f>
        <v>#DIV/0!</v>
      </c>
      <c r="S184" s="27" t="e">
        <f>R184*ROUND(O184,2)</f>
        <v>#DIV/0!</v>
      </c>
    </row>
    <row r="185" spans="1:19" x14ac:dyDescent="0.2">
      <c r="A185" s="91" t="s">
        <v>872</v>
      </c>
      <c r="B185" s="92" t="s">
        <v>873</v>
      </c>
      <c r="C185" s="92" t="s">
        <v>335</v>
      </c>
      <c r="D185" s="92" t="s">
        <v>886</v>
      </c>
      <c r="E185" s="93" t="s">
        <v>635</v>
      </c>
      <c r="F185" s="92" t="s">
        <v>349</v>
      </c>
      <c r="G185" s="92" t="s">
        <v>311</v>
      </c>
      <c r="H185" s="92" t="s">
        <v>13</v>
      </c>
      <c r="I185" s="92" t="s">
        <v>230</v>
      </c>
      <c r="J185" s="93" t="s">
        <v>312</v>
      </c>
      <c r="K185" s="94">
        <v>1.1000000000000001</v>
      </c>
      <c r="L185" s="94">
        <f>K185*VLOOKUP(H185,dagsoorttabel1,2,FALSE)</f>
        <v>0.44000000000000006</v>
      </c>
      <c r="M185" s="95">
        <f>prodnorm87</f>
        <v>0</v>
      </c>
      <c r="N185" s="92" t="s">
        <v>101</v>
      </c>
      <c r="O185" s="26">
        <f>uurtarief87</f>
        <v>0</v>
      </c>
      <c r="P185" s="94" t="e">
        <f>IF(ISBLANK(M185),0,L185/ROUND(M185,4))</f>
        <v>#DIV/0!</v>
      </c>
      <c r="Q185" s="26" t="e">
        <f>ROUND(O185,2)*P185</f>
        <v>#DIV/0!</v>
      </c>
      <c r="R185" s="94" t="e">
        <f>P185*dagenperjaar1</f>
        <v>#DIV/0!</v>
      </c>
      <c r="S185" s="27" t="e">
        <f>R185*ROUND(O185,2)</f>
        <v>#DIV/0!</v>
      </c>
    </row>
    <row r="186" spans="1:19" x14ac:dyDescent="0.2">
      <c r="A186" s="91" t="s">
        <v>872</v>
      </c>
      <c r="B186" s="92" t="s">
        <v>873</v>
      </c>
      <c r="C186" s="92" t="s">
        <v>335</v>
      </c>
      <c r="D186" s="92" t="s">
        <v>887</v>
      </c>
      <c r="E186" s="93" t="s">
        <v>560</v>
      </c>
      <c r="F186" s="92" t="s">
        <v>349</v>
      </c>
      <c r="G186" s="92" t="s">
        <v>310</v>
      </c>
      <c r="H186" s="92" t="s">
        <v>13</v>
      </c>
      <c r="I186" s="92" t="s">
        <v>230</v>
      </c>
      <c r="J186" s="93" t="s">
        <v>253</v>
      </c>
      <c r="K186" s="94">
        <v>4.4000000000000004</v>
      </c>
      <c r="L186" s="94">
        <f>K186*VLOOKUP(H186,dagsoorttabel1,2,FALSE)</f>
        <v>1.7600000000000002</v>
      </c>
      <c r="M186" s="95">
        <f>prodnorm86</f>
        <v>0</v>
      </c>
      <c r="N186" s="92" t="s">
        <v>101</v>
      </c>
      <c r="O186" s="26">
        <f>uurtarief86</f>
        <v>0</v>
      </c>
      <c r="P186" s="94" t="e">
        <f>IF(ISBLANK(M186),0,L186/ROUND(M186,4))</f>
        <v>#DIV/0!</v>
      </c>
      <c r="Q186" s="26" t="e">
        <f>ROUND(O186,2)*P186</f>
        <v>#DIV/0!</v>
      </c>
      <c r="R186" s="94" t="e">
        <f>P186*dagenperjaar1</f>
        <v>#DIV/0!</v>
      </c>
      <c r="S186" s="27" t="e">
        <f>R186*ROUND(O186,2)</f>
        <v>#DIV/0!</v>
      </c>
    </row>
    <row r="187" spans="1:19" x14ac:dyDescent="0.2">
      <c r="A187" s="91" t="s">
        <v>872</v>
      </c>
      <c r="B187" s="92" t="s">
        <v>873</v>
      </c>
      <c r="C187" s="92" t="s">
        <v>335</v>
      </c>
      <c r="D187" s="92" t="s">
        <v>887</v>
      </c>
      <c r="E187" s="93" t="s">
        <v>560</v>
      </c>
      <c r="F187" s="92" t="s">
        <v>349</v>
      </c>
      <c r="G187" s="92" t="s">
        <v>311</v>
      </c>
      <c r="H187" s="92" t="s">
        <v>13</v>
      </c>
      <c r="I187" s="92" t="s">
        <v>230</v>
      </c>
      <c r="J187" s="93" t="s">
        <v>312</v>
      </c>
      <c r="K187" s="94">
        <v>4.4000000000000004</v>
      </c>
      <c r="L187" s="94">
        <f>K187*VLOOKUP(H187,dagsoorttabel1,2,FALSE)</f>
        <v>1.7600000000000002</v>
      </c>
      <c r="M187" s="95">
        <f>prodnorm87</f>
        <v>0</v>
      </c>
      <c r="N187" s="92" t="s">
        <v>101</v>
      </c>
      <c r="O187" s="26">
        <f>uurtarief87</f>
        <v>0</v>
      </c>
      <c r="P187" s="94" t="e">
        <f>IF(ISBLANK(M187),0,L187/ROUND(M187,4))</f>
        <v>#DIV/0!</v>
      </c>
      <c r="Q187" s="26" t="e">
        <f>ROUND(O187,2)*P187</f>
        <v>#DIV/0!</v>
      </c>
      <c r="R187" s="94" t="e">
        <f>P187*dagenperjaar1</f>
        <v>#DIV/0!</v>
      </c>
      <c r="S187" s="27" t="e">
        <f>R187*ROUND(O187,2)</f>
        <v>#DIV/0!</v>
      </c>
    </row>
    <row r="188" spans="1:19" x14ac:dyDescent="0.2">
      <c r="A188" s="91" t="s">
        <v>872</v>
      </c>
      <c r="B188" s="92" t="s">
        <v>873</v>
      </c>
      <c r="C188" s="92" t="s">
        <v>335</v>
      </c>
      <c r="D188" s="92" t="s">
        <v>888</v>
      </c>
      <c r="E188" s="93" t="s">
        <v>727</v>
      </c>
      <c r="F188" s="92" t="s">
        <v>349</v>
      </c>
      <c r="G188" s="92" t="s">
        <v>310</v>
      </c>
      <c r="H188" s="92" t="s">
        <v>13</v>
      </c>
      <c r="I188" s="92" t="s">
        <v>230</v>
      </c>
      <c r="J188" s="93" t="s">
        <v>253</v>
      </c>
      <c r="K188" s="94">
        <v>1.2</v>
      </c>
      <c r="L188" s="94">
        <f>K188*VLOOKUP(H188,dagsoorttabel1,2,FALSE)</f>
        <v>0.48</v>
      </c>
      <c r="M188" s="95">
        <f>prodnorm86</f>
        <v>0</v>
      </c>
      <c r="N188" s="92" t="s">
        <v>101</v>
      </c>
      <c r="O188" s="26">
        <f>uurtarief86</f>
        <v>0</v>
      </c>
      <c r="P188" s="94" t="e">
        <f>IF(ISBLANK(M188),0,L188/ROUND(M188,4))</f>
        <v>#DIV/0!</v>
      </c>
      <c r="Q188" s="26" t="e">
        <f>ROUND(O188,2)*P188</f>
        <v>#DIV/0!</v>
      </c>
      <c r="R188" s="94" t="e">
        <f>P188*dagenperjaar1</f>
        <v>#DIV/0!</v>
      </c>
      <c r="S188" s="27" t="e">
        <f>R188*ROUND(O188,2)</f>
        <v>#DIV/0!</v>
      </c>
    </row>
    <row r="189" spans="1:19" x14ac:dyDescent="0.2">
      <c r="A189" s="91" t="s">
        <v>872</v>
      </c>
      <c r="B189" s="92" t="s">
        <v>873</v>
      </c>
      <c r="C189" s="92" t="s">
        <v>335</v>
      </c>
      <c r="D189" s="92" t="s">
        <v>888</v>
      </c>
      <c r="E189" s="93" t="s">
        <v>727</v>
      </c>
      <c r="F189" s="92" t="s">
        <v>349</v>
      </c>
      <c r="G189" s="92" t="s">
        <v>311</v>
      </c>
      <c r="H189" s="92" t="s">
        <v>13</v>
      </c>
      <c r="I189" s="92" t="s">
        <v>230</v>
      </c>
      <c r="J189" s="93" t="s">
        <v>312</v>
      </c>
      <c r="K189" s="94">
        <v>1.2</v>
      </c>
      <c r="L189" s="94">
        <f>K189*VLOOKUP(H189,dagsoorttabel1,2,FALSE)</f>
        <v>0.48</v>
      </c>
      <c r="M189" s="95">
        <f>prodnorm87</f>
        <v>0</v>
      </c>
      <c r="N189" s="92" t="s">
        <v>101</v>
      </c>
      <c r="O189" s="26">
        <f>uurtarief87</f>
        <v>0</v>
      </c>
      <c r="P189" s="94" t="e">
        <f>IF(ISBLANK(M189),0,L189/ROUND(M189,4))</f>
        <v>#DIV/0!</v>
      </c>
      <c r="Q189" s="26" t="e">
        <f>ROUND(O189,2)*P189</f>
        <v>#DIV/0!</v>
      </c>
      <c r="R189" s="94" t="e">
        <f>P189*dagenperjaar1</f>
        <v>#DIV/0!</v>
      </c>
      <c r="S189" s="27" t="e">
        <f>R189*ROUND(O189,2)</f>
        <v>#DIV/0!</v>
      </c>
    </row>
    <row r="190" spans="1:19" x14ac:dyDescent="0.2">
      <c r="A190" s="91" t="s">
        <v>872</v>
      </c>
      <c r="B190" s="92" t="s">
        <v>873</v>
      </c>
      <c r="C190" s="92" t="s">
        <v>335</v>
      </c>
      <c r="D190" s="92" t="s">
        <v>889</v>
      </c>
      <c r="E190" s="93" t="s">
        <v>727</v>
      </c>
      <c r="F190" s="92" t="s">
        <v>349</v>
      </c>
      <c r="G190" s="92" t="s">
        <v>310</v>
      </c>
      <c r="H190" s="92" t="s">
        <v>13</v>
      </c>
      <c r="I190" s="92" t="s">
        <v>230</v>
      </c>
      <c r="J190" s="93" t="s">
        <v>253</v>
      </c>
      <c r="K190" s="94">
        <v>1.2</v>
      </c>
      <c r="L190" s="94">
        <f>K190*VLOOKUP(H190,dagsoorttabel1,2,FALSE)</f>
        <v>0.48</v>
      </c>
      <c r="M190" s="95">
        <f>prodnorm86</f>
        <v>0</v>
      </c>
      <c r="N190" s="92" t="s">
        <v>101</v>
      </c>
      <c r="O190" s="26">
        <f>uurtarief86</f>
        <v>0</v>
      </c>
      <c r="P190" s="94" t="e">
        <f>IF(ISBLANK(M190),0,L190/ROUND(M190,4))</f>
        <v>#DIV/0!</v>
      </c>
      <c r="Q190" s="26" t="e">
        <f>ROUND(O190,2)*P190</f>
        <v>#DIV/0!</v>
      </c>
      <c r="R190" s="94" t="e">
        <f>P190*dagenperjaar1</f>
        <v>#DIV/0!</v>
      </c>
      <c r="S190" s="27" t="e">
        <f>R190*ROUND(O190,2)</f>
        <v>#DIV/0!</v>
      </c>
    </row>
    <row r="191" spans="1:19" x14ac:dyDescent="0.2">
      <c r="A191" s="91" t="s">
        <v>872</v>
      </c>
      <c r="B191" s="92" t="s">
        <v>873</v>
      </c>
      <c r="C191" s="92" t="s">
        <v>335</v>
      </c>
      <c r="D191" s="92" t="s">
        <v>889</v>
      </c>
      <c r="E191" s="93" t="s">
        <v>727</v>
      </c>
      <c r="F191" s="92" t="s">
        <v>349</v>
      </c>
      <c r="G191" s="92" t="s">
        <v>311</v>
      </c>
      <c r="H191" s="92" t="s">
        <v>13</v>
      </c>
      <c r="I191" s="92" t="s">
        <v>230</v>
      </c>
      <c r="J191" s="93" t="s">
        <v>312</v>
      </c>
      <c r="K191" s="94">
        <v>1.2</v>
      </c>
      <c r="L191" s="94">
        <f>K191*VLOOKUP(H191,dagsoorttabel1,2,FALSE)</f>
        <v>0.48</v>
      </c>
      <c r="M191" s="95">
        <f>prodnorm87</f>
        <v>0</v>
      </c>
      <c r="N191" s="92" t="s">
        <v>101</v>
      </c>
      <c r="O191" s="26">
        <f>uurtarief87</f>
        <v>0</v>
      </c>
      <c r="P191" s="94" t="e">
        <f>IF(ISBLANK(M191),0,L191/ROUND(M191,4))</f>
        <v>#DIV/0!</v>
      </c>
      <c r="Q191" s="26" t="e">
        <f>ROUND(O191,2)*P191</f>
        <v>#DIV/0!</v>
      </c>
      <c r="R191" s="94" t="e">
        <f>P191*dagenperjaar1</f>
        <v>#DIV/0!</v>
      </c>
      <c r="S191" s="27" t="e">
        <f>R191*ROUND(O191,2)</f>
        <v>#DIV/0!</v>
      </c>
    </row>
    <row r="192" spans="1:19" x14ac:dyDescent="0.2">
      <c r="A192" s="91" t="s">
        <v>872</v>
      </c>
      <c r="B192" s="92" t="s">
        <v>873</v>
      </c>
      <c r="C192" s="92" t="s">
        <v>335</v>
      </c>
      <c r="D192" s="92" t="s">
        <v>890</v>
      </c>
      <c r="E192" s="93" t="s">
        <v>891</v>
      </c>
      <c r="F192" s="92" t="s">
        <v>349</v>
      </c>
      <c r="G192" s="92" t="s">
        <v>310</v>
      </c>
      <c r="H192" s="92" t="s">
        <v>13</v>
      </c>
      <c r="I192" s="92" t="s">
        <v>230</v>
      </c>
      <c r="J192" s="93" t="s">
        <v>253</v>
      </c>
      <c r="K192" s="94">
        <v>5.4</v>
      </c>
      <c r="L192" s="94">
        <f>K192*VLOOKUP(H192,dagsoorttabel1,2,FALSE)</f>
        <v>2.16</v>
      </c>
      <c r="M192" s="95">
        <f>prodnorm86</f>
        <v>0</v>
      </c>
      <c r="N192" s="92" t="s">
        <v>101</v>
      </c>
      <c r="O192" s="26">
        <f>uurtarief86</f>
        <v>0</v>
      </c>
      <c r="P192" s="94" t="e">
        <f>IF(ISBLANK(M192),0,L192/ROUND(M192,4))</f>
        <v>#DIV/0!</v>
      </c>
      <c r="Q192" s="26" t="e">
        <f>ROUND(O192,2)*P192</f>
        <v>#DIV/0!</v>
      </c>
      <c r="R192" s="94" t="e">
        <f>P192*dagenperjaar1</f>
        <v>#DIV/0!</v>
      </c>
      <c r="S192" s="27" t="e">
        <f>R192*ROUND(O192,2)</f>
        <v>#DIV/0!</v>
      </c>
    </row>
    <row r="193" spans="1:19" x14ac:dyDescent="0.2">
      <c r="A193" s="91" t="s">
        <v>872</v>
      </c>
      <c r="B193" s="92" t="s">
        <v>873</v>
      </c>
      <c r="C193" s="92" t="s">
        <v>335</v>
      </c>
      <c r="D193" s="92" t="s">
        <v>890</v>
      </c>
      <c r="E193" s="93" t="s">
        <v>891</v>
      </c>
      <c r="F193" s="92" t="s">
        <v>349</v>
      </c>
      <c r="G193" s="92" t="s">
        <v>311</v>
      </c>
      <c r="H193" s="92" t="s">
        <v>13</v>
      </c>
      <c r="I193" s="92" t="s">
        <v>230</v>
      </c>
      <c r="J193" s="93" t="s">
        <v>312</v>
      </c>
      <c r="K193" s="94">
        <v>5.4</v>
      </c>
      <c r="L193" s="94">
        <f>K193*VLOOKUP(H193,dagsoorttabel1,2,FALSE)</f>
        <v>2.16</v>
      </c>
      <c r="M193" s="95">
        <f>prodnorm87</f>
        <v>0</v>
      </c>
      <c r="N193" s="92" t="s">
        <v>101</v>
      </c>
      <c r="O193" s="26">
        <f>uurtarief87</f>
        <v>0</v>
      </c>
      <c r="P193" s="94" t="e">
        <f>IF(ISBLANK(M193),0,L193/ROUND(M193,4))</f>
        <v>#DIV/0!</v>
      </c>
      <c r="Q193" s="26" t="e">
        <f>ROUND(O193,2)*P193</f>
        <v>#DIV/0!</v>
      </c>
      <c r="R193" s="94" t="e">
        <f>P193*dagenperjaar1</f>
        <v>#DIV/0!</v>
      </c>
      <c r="S193" s="27" t="e">
        <f>R193*ROUND(O193,2)</f>
        <v>#DIV/0!</v>
      </c>
    </row>
    <row r="194" spans="1:19" x14ac:dyDescent="0.2">
      <c r="A194" s="91" t="s">
        <v>872</v>
      </c>
      <c r="B194" s="92" t="s">
        <v>873</v>
      </c>
      <c r="C194" s="92" t="s">
        <v>335</v>
      </c>
      <c r="D194" s="92" t="s">
        <v>896</v>
      </c>
      <c r="E194" s="93" t="s">
        <v>494</v>
      </c>
      <c r="F194" s="92" t="s">
        <v>458</v>
      </c>
      <c r="G194" s="92" t="s">
        <v>316</v>
      </c>
      <c r="H194" s="92" t="s">
        <v>13</v>
      </c>
      <c r="I194" s="92" t="s">
        <v>230</v>
      </c>
      <c r="J194" s="93" t="s">
        <v>265</v>
      </c>
      <c r="K194" s="94">
        <v>30</v>
      </c>
      <c r="L194" s="94">
        <f>K194*VLOOKUP(H194,dagsoorttabel1,2,FALSE)</f>
        <v>12</v>
      </c>
      <c r="M194" s="95">
        <f>prodnorm91</f>
        <v>0</v>
      </c>
      <c r="N194" s="92" t="s">
        <v>101</v>
      </c>
      <c r="O194" s="26">
        <f>uurtarief91</f>
        <v>0</v>
      </c>
      <c r="P194" s="94" t="e">
        <f>IF(ISBLANK(M194),0,L194/ROUND(M194,4))</f>
        <v>#DIV/0!</v>
      </c>
      <c r="Q194" s="26" t="e">
        <f>ROUND(O194,2)*P194</f>
        <v>#DIV/0!</v>
      </c>
      <c r="R194" s="94" t="e">
        <f>P194*dagenperjaar1</f>
        <v>#DIV/0!</v>
      </c>
      <c r="S194" s="27" t="e">
        <f>R194*ROUND(O194,2)</f>
        <v>#DIV/0!</v>
      </c>
    </row>
    <row r="195" spans="1:19" x14ac:dyDescent="0.2">
      <c r="A195" s="91" t="s">
        <v>872</v>
      </c>
      <c r="B195" s="92" t="s">
        <v>873</v>
      </c>
      <c r="C195" s="92" t="s">
        <v>335</v>
      </c>
      <c r="D195" s="92" t="s">
        <v>897</v>
      </c>
      <c r="E195" s="93" t="s">
        <v>898</v>
      </c>
      <c r="F195" s="92" t="s">
        <v>899</v>
      </c>
      <c r="G195" s="92" t="s">
        <v>317</v>
      </c>
      <c r="H195" s="92" t="s">
        <v>13</v>
      </c>
      <c r="I195" s="92" t="s">
        <v>230</v>
      </c>
      <c r="J195" s="93" t="s">
        <v>267</v>
      </c>
      <c r="K195" s="94">
        <v>30</v>
      </c>
      <c r="L195" s="94">
        <f>K195*VLOOKUP(H195,dagsoorttabel1,2,FALSE)</f>
        <v>12</v>
      </c>
      <c r="M195" s="95">
        <f>prodnorm92</f>
        <v>0</v>
      </c>
      <c r="N195" s="92" t="s">
        <v>101</v>
      </c>
      <c r="O195" s="26">
        <f>uurtarief92</f>
        <v>0</v>
      </c>
      <c r="P195" s="94" t="e">
        <f>IF(ISBLANK(M195),0,L195/ROUND(M195,4))</f>
        <v>#DIV/0!</v>
      </c>
      <c r="Q195" s="26" t="e">
        <f>ROUND(O195,2)*P195</f>
        <v>#DIV/0!</v>
      </c>
      <c r="R195" s="94" t="e">
        <f>P195*dagenperjaar1</f>
        <v>#DIV/0!</v>
      </c>
      <c r="S195" s="27" t="e">
        <f>R195*ROUND(O195,2)</f>
        <v>#DIV/0!</v>
      </c>
    </row>
    <row r="196" spans="1:19" ht="25.5" x14ac:dyDescent="0.2">
      <c r="A196" s="91" t="s">
        <v>872</v>
      </c>
      <c r="B196" s="92" t="s">
        <v>873</v>
      </c>
      <c r="C196" s="92" t="s">
        <v>335</v>
      </c>
      <c r="D196" s="92" t="s">
        <v>900</v>
      </c>
      <c r="E196" s="93" t="s">
        <v>901</v>
      </c>
      <c r="F196" s="92" t="s">
        <v>349</v>
      </c>
      <c r="G196" s="92" t="s">
        <v>313</v>
      </c>
      <c r="H196" s="92" t="s">
        <v>13</v>
      </c>
      <c r="I196" s="92" t="s">
        <v>230</v>
      </c>
      <c r="J196" s="93" t="s">
        <v>257</v>
      </c>
      <c r="K196" s="94">
        <v>10</v>
      </c>
      <c r="L196" s="94">
        <f>K196*VLOOKUP(H196,dagsoorttabel1,2,FALSE)</f>
        <v>4</v>
      </c>
      <c r="M196" s="95">
        <f>prodnorm88</f>
        <v>0</v>
      </c>
      <c r="N196" s="92" t="s">
        <v>101</v>
      </c>
      <c r="O196" s="26">
        <f>uurtarief88</f>
        <v>0</v>
      </c>
      <c r="P196" s="94" t="e">
        <f>IF(ISBLANK(M196),0,L196/ROUND(M196,4))</f>
        <v>#DIV/0!</v>
      </c>
      <c r="Q196" s="26" t="e">
        <f>ROUND(O196,2)*P196</f>
        <v>#DIV/0!</v>
      </c>
      <c r="R196" s="94" t="e">
        <f>P196*dagenperjaar1</f>
        <v>#DIV/0!</v>
      </c>
      <c r="S196" s="27" t="e">
        <f>R196*ROUND(O196,2)</f>
        <v>#DIV/0!</v>
      </c>
    </row>
    <row r="197" spans="1:19" x14ac:dyDescent="0.2">
      <c r="A197" s="91" t="s">
        <v>872</v>
      </c>
      <c r="B197" s="92" t="s">
        <v>873</v>
      </c>
      <c r="C197" s="92" t="s">
        <v>335</v>
      </c>
      <c r="D197" s="92" t="s">
        <v>902</v>
      </c>
      <c r="E197" s="93" t="s">
        <v>903</v>
      </c>
      <c r="F197" s="92" t="s">
        <v>349</v>
      </c>
      <c r="G197" s="92" t="s">
        <v>310</v>
      </c>
      <c r="H197" s="92" t="s">
        <v>13</v>
      </c>
      <c r="I197" s="92" t="s">
        <v>230</v>
      </c>
      <c r="J197" s="93" t="s">
        <v>253</v>
      </c>
      <c r="K197" s="94">
        <v>1</v>
      </c>
      <c r="L197" s="94">
        <f>K197*VLOOKUP(H197,dagsoorttabel1,2,FALSE)</f>
        <v>0.4</v>
      </c>
      <c r="M197" s="95">
        <f>prodnorm86</f>
        <v>0</v>
      </c>
      <c r="N197" s="92" t="s">
        <v>101</v>
      </c>
      <c r="O197" s="26">
        <f>uurtarief86</f>
        <v>0</v>
      </c>
      <c r="P197" s="94" t="e">
        <f>IF(ISBLANK(M197),0,L197/ROUND(M197,4))</f>
        <v>#DIV/0!</v>
      </c>
      <c r="Q197" s="26" t="e">
        <f>ROUND(O197,2)*P197</f>
        <v>#DIV/0!</v>
      </c>
      <c r="R197" s="94" t="e">
        <f>P197*dagenperjaar1</f>
        <v>#DIV/0!</v>
      </c>
      <c r="S197" s="27" t="e">
        <f>R197*ROUND(O197,2)</f>
        <v>#DIV/0!</v>
      </c>
    </row>
    <row r="198" spans="1:19" x14ac:dyDescent="0.2">
      <c r="A198" s="91" t="s">
        <v>872</v>
      </c>
      <c r="B198" s="92" t="s">
        <v>873</v>
      </c>
      <c r="C198" s="92" t="s">
        <v>335</v>
      </c>
      <c r="D198" s="92" t="s">
        <v>902</v>
      </c>
      <c r="E198" s="93" t="s">
        <v>903</v>
      </c>
      <c r="F198" s="92" t="s">
        <v>349</v>
      </c>
      <c r="G198" s="92" t="s">
        <v>311</v>
      </c>
      <c r="H198" s="92" t="s">
        <v>13</v>
      </c>
      <c r="I198" s="92" t="s">
        <v>230</v>
      </c>
      <c r="J198" s="93" t="s">
        <v>312</v>
      </c>
      <c r="K198" s="94">
        <v>1</v>
      </c>
      <c r="L198" s="94">
        <f>K198*VLOOKUP(H198,dagsoorttabel1,2,FALSE)</f>
        <v>0.4</v>
      </c>
      <c r="M198" s="95">
        <f>prodnorm87</f>
        <v>0</v>
      </c>
      <c r="N198" s="92" t="s">
        <v>101</v>
      </c>
      <c r="O198" s="26">
        <f>uurtarief87</f>
        <v>0</v>
      </c>
      <c r="P198" s="94" t="e">
        <f>IF(ISBLANK(M198),0,L198/ROUND(M198,4))</f>
        <v>#DIV/0!</v>
      </c>
      <c r="Q198" s="26" t="e">
        <f>ROUND(O198,2)*P198</f>
        <v>#DIV/0!</v>
      </c>
      <c r="R198" s="94" t="e">
        <f>P198*dagenperjaar1</f>
        <v>#DIV/0!</v>
      </c>
      <c r="S198" s="27" t="e">
        <f>R198*ROUND(O198,2)</f>
        <v>#DIV/0!</v>
      </c>
    </row>
    <row r="199" spans="1:19" x14ac:dyDescent="0.2">
      <c r="A199" s="91" t="s">
        <v>872</v>
      </c>
      <c r="B199" s="92" t="s">
        <v>873</v>
      </c>
      <c r="C199" s="92" t="s">
        <v>335</v>
      </c>
      <c r="D199" s="92" t="s">
        <v>904</v>
      </c>
      <c r="E199" s="93" t="s">
        <v>903</v>
      </c>
      <c r="F199" s="92" t="s">
        <v>349</v>
      </c>
      <c r="G199" s="92" t="s">
        <v>310</v>
      </c>
      <c r="H199" s="92" t="s">
        <v>13</v>
      </c>
      <c r="I199" s="92" t="s">
        <v>230</v>
      </c>
      <c r="J199" s="93" t="s">
        <v>253</v>
      </c>
      <c r="K199" s="94">
        <v>1</v>
      </c>
      <c r="L199" s="94">
        <f>K199*VLOOKUP(H199,dagsoorttabel1,2,FALSE)</f>
        <v>0.4</v>
      </c>
      <c r="M199" s="95">
        <f>prodnorm86</f>
        <v>0</v>
      </c>
      <c r="N199" s="92" t="s">
        <v>101</v>
      </c>
      <c r="O199" s="26">
        <f>uurtarief86</f>
        <v>0</v>
      </c>
      <c r="P199" s="94" t="e">
        <f>IF(ISBLANK(M199),0,L199/ROUND(M199,4))</f>
        <v>#DIV/0!</v>
      </c>
      <c r="Q199" s="26" t="e">
        <f>ROUND(O199,2)*P199</f>
        <v>#DIV/0!</v>
      </c>
      <c r="R199" s="94" t="e">
        <f>P199*dagenperjaar1</f>
        <v>#DIV/0!</v>
      </c>
      <c r="S199" s="27" t="e">
        <f>R199*ROUND(O199,2)</f>
        <v>#DIV/0!</v>
      </c>
    </row>
    <row r="200" spans="1:19" x14ac:dyDescent="0.2">
      <c r="A200" s="91" t="s">
        <v>872</v>
      </c>
      <c r="B200" s="92" t="s">
        <v>873</v>
      </c>
      <c r="C200" s="92" t="s">
        <v>335</v>
      </c>
      <c r="D200" s="92" t="s">
        <v>904</v>
      </c>
      <c r="E200" s="93" t="s">
        <v>903</v>
      </c>
      <c r="F200" s="92" t="s">
        <v>349</v>
      </c>
      <c r="G200" s="92" t="s">
        <v>311</v>
      </c>
      <c r="H200" s="92" t="s">
        <v>13</v>
      </c>
      <c r="I200" s="92" t="s">
        <v>230</v>
      </c>
      <c r="J200" s="93" t="s">
        <v>312</v>
      </c>
      <c r="K200" s="94">
        <v>1</v>
      </c>
      <c r="L200" s="94">
        <f>K200*VLOOKUP(H200,dagsoorttabel1,2,FALSE)</f>
        <v>0.4</v>
      </c>
      <c r="M200" s="95">
        <f>prodnorm87</f>
        <v>0</v>
      </c>
      <c r="N200" s="92" t="s">
        <v>101</v>
      </c>
      <c r="O200" s="26">
        <f>uurtarief87</f>
        <v>0</v>
      </c>
      <c r="P200" s="94" t="e">
        <f>IF(ISBLANK(M200),0,L200/ROUND(M200,4))</f>
        <v>#DIV/0!</v>
      </c>
      <c r="Q200" s="26" t="e">
        <f>ROUND(O200,2)*P200</f>
        <v>#DIV/0!</v>
      </c>
      <c r="R200" s="94" t="e">
        <f>P200*dagenperjaar1</f>
        <v>#DIV/0!</v>
      </c>
      <c r="S200" s="27" t="e">
        <f>R200*ROUND(O200,2)</f>
        <v>#DIV/0!</v>
      </c>
    </row>
    <row r="201" spans="1:19" x14ac:dyDescent="0.2">
      <c r="A201" s="91" t="s">
        <v>872</v>
      </c>
      <c r="B201" s="92" t="s">
        <v>873</v>
      </c>
      <c r="C201" s="92" t="s">
        <v>393</v>
      </c>
      <c r="D201" s="92" t="s">
        <v>907</v>
      </c>
      <c r="E201" s="93" t="s">
        <v>898</v>
      </c>
      <c r="F201" s="92" t="s">
        <v>899</v>
      </c>
      <c r="G201" s="92" t="s">
        <v>317</v>
      </c>
      <c r="H201" s="92" t="s">
        <v>13</v>
      </c>
      <c r="I201" s="92" t="s">
        <v>230</v>
      </c>
      <c r="J201" s="93" t="s">
        <v>267</v>
      </c>
      <c r="K201" s="94">
        <v>21</v>
      </c>
      <c r="L201" s="94">
        <f>K201*VLOOKUP(H201,dagsoorttabel1,2,FALSE)</f>
        <v>8.4</v>
      </c>
      <c r="M201" s="95">
        <f>prodnorm92</f>
        <v>0</v>
      </c>
      <c r="N201" s="92" t="s">
        <v>101</v>
      </c>
      <c r="O201" s="26">
        <f>uurtarief92</f>
        <v>0</v>
      </c>
      <c r="P201" s="94" t="e">
        <f>IF(ISBLANK(M201),0,L201/ROUND(M201,4))</f>
        <v>#DIV/0!</v>
      </c>
      <c r="Q201" s="26" t="e">
        <f>ROUND(O201,2)*P201</f>
        <v>#DIV/0!</v>
      </c>
      <c r="R201" s="94" t="e">
        <f>P201*dagenperjaar1</f>
        <v>#DIV/0!</v>
      </c>
      <c r="S201" s="27" t="e">
        <f>R201*ROUND(O201,2)</f>
        <v>#DIV/0!</v>
      </c>
    </row>
    <row r="202" spans="1:19" x14ac:dyDescent="0.2">
      <c r="A202" s="91" t="s">
        <v>872</v>
      </c>
      <c r="B202" s="92" t="s">
        <v>873</v>
      </c>
      <c r="C202" s="92" t="s">
        <v>393</v>
      </c>
      <c r="D202" s="92" t="s">
        <v>908</v>
      </c>
      <c r="E202" s="93" t="s">
        <v>477</v>
      </c>
      <c r="F202" s="92" t="s">
        <v>899</v>
      </c>
      <c r="G202" s="92" t="s">
        <v>317</v>
      </c>
      <c r="H202" s="92" t="s">
        <v>13</v>
      </c>
      <c r="I202" s="92" t="s">
        <v>230</v>
      </c>
      <c r="J202" s="93" t="s">
        <v>267</v>
      </c>
      <c r="K202" s="94">
        <v>18</v>
      </c>
      <c r="L202" s="94">
        <f>K202*VLOOKUP(H202,dagsoorttabel1,2,FALSE)</f>
        <v>7.2</v>
      </c>
      <c r="M202" s="95">
        <f>prodnorm92</f>
        <v>0</v>
      </c>
      <c r="N202" s="92" t="s">
        <v>101</v>
      </c>
      <c r="O202" s="26">
        <f>uurtarief92</f>
        <v>0</v>
      </c>
      <c r="P202" s="94" t="e">
        <f>IF(ISBLANK(M202),0,L202/ROUND(M202,4))</f>
        <v>#DIV/0!</v>
      </c>
      <c r="Q202" s="26" t="e">
        <f>ROUND(O202,2)*P202</f>
        <v>#DIV/0!</v>
      </c>
      <c r="R202" s="94" t="e">
        <f>P202*dagenperjaar1</f>
        <v>#DIV/0!</v>
      </c>
      <c r="S202" s="27" t="e">
        <f>R202*ROUND(O202,2)</f>
        <v>#DIV/0!</v>
      </c>
    </row>
    <row r="203" spans="1:19" x14ac:dyDescent="0.2">
      <c r="A203" s="91" t="s">
        <v>872</v>
      </c>
      <c r="B203" s="92" t="s">
        <v>873</v>
      </c>
      <c r="C203" s="92" t="s">
        <v>393</v>
      </c>
      <c r="D203" s="92" t="s">
        <v>909</v>
      </c>
      <c r="E203" s="93" t="s">
        <v>656</v>
      </c>
      <c r="F203" s="92" t="s">
        <v>349</v>
      </c>
      <c r="G203" s="92" t="s">
        <v>313</v>
      </c>
      <c r="H203" s="92" t="s">
        <v>13</v>
      </c>
      <c r="I203" s="92" t="s">
        <v>230</v>
      </c>
      <c r="J203" s="93" t="s">
        <v>257</v>
      </c>
      <c r="K203" s="94">
        <v>10</v>
      </c>
      <c r="L203" s="94">
        <f>K203*VLOOKUP(H203,dagsoorttabel1,2,FALSE)</f>
        <v>4</v>
      </c>
      <c r="M203" s="95">
        <f>prodnorm88</f>
        <v>0</v>
      </c>
      <c r="N203" s="92" t="s">
        <v>101</v>
      </c>
      <c r="O203" s="26">
        <f>uurtarief88</f>
        <v>0</v>
      </c>
      <c r="P203" s="94" t="e">
        <f>IF(ISBLANK(M203),0,L203/ROUND(M203,4))</f>
        <v>#DIV/0!</v>
      </c>
      <c r="Q203" s="26" t="e">
        <f>ROUND(O203,2)*P203</f>
        <v>#DIV/0!</v>
      </c>
      <c r="R203" s="94" t="e">
        <f>P203*dagenperjaar1</f>
        <v>#DIV/0!</v>
      </c>
      <c r="S203" s="27" t="e">
        <f>R203*ROUND(O203,2)</f>
        <v>#DIV/0!</v>
      </c>
    </row>
    <row r="204" spans="1:19" x14ac:dyDescent="0.2">
      <c r="A204" s="91" t="s">
        <v>872</v>
      </c>
      <c r="B204" s="92" t="s">
        <v>873</v>
      </c>
      <c r="C204" s="92" t="s">
        <v>393</v>
      </c>
      <c r="D204" s="92" t="s">
        <v>910</v>
      </c>
      <c r="E204" s="93" t="s">
        <v>911</v>
      </c>
      <c r="F204" s="92" t="s">
        <v>349</v>
      </c>
      <c r="G204" s="92" t="s">
        <v>304</v>
      </c>
      <c r="H204" s="92" t="s">
        <v>13</v>
      </c>
      <c r="I204" s="92" t="s">
        <v>230</v>
      </c>
      <c r="J204" s="93" t="s">
        <v>239</v>
      </c>
      <c r="K204" s="94">
        <v>133</v>
      </c>
      <c r="L204" s="94">
        <f>K204*VLOOKUP(H204,dagsoorttabel1,2,FALSE)</f>
        <v>53.2</v>
      </c>
      <c r="M204" s="95">
        <f>prodnorm80</f>
        <v>0</v>
      </c>
      <c r="N204" s="92" t="s">
        <v>101</v>
      </c>
      <c r="O204" s="26">
        <f>uurtarief80</f>
        <v>0</v>
      </c>
      <c r="P204" s="94" t="e">
        <f>IF(ISBLANK(M204),0,L204/ROUND(M204,4))</f>
        <v>#DIV/0!</v>
      </c>
      <c r="Q204" s="26" t="e">
        <f>ROUND(O204,2)*P204</f>
        <v>#DIV/0!</v>
      </c>
      <c r="R204" s="94" t="e">
        <f>P204*dagenperjaar1</f>
        <v>#DIV/0!</v>
      </c>
      <c r="S204" s="27" t="e">
        <f>R204*ROUND(O204,2)</f>
        <v>#DIV/0!</v>
      </c>
    </row>
    <row r="205" spans="1:19" x14ac:dyDescent="0.2">
      <c r="A205" s="91" t="s">
        <v>872</v>
      </c>
      <c r="B205" s="92" t="s">
        <v>873</v>
      </c>
      <c r="C205" s="92" t="s">
        <v>419</v>
      </c>
      <c r="D205" s="92" t="s">
        <v>912</v>
      </c>
      <c r="E205" s="93" t="s">
        <v>477</v>
      </c>
      <c r="F205" s="92" t="s">
        <v>913</v>
      </c>
      <c r="G205" s="92" t="s">
        <v>317</v>
      </c>
      <c r="H205" s="92" t="s">
        <v>13</v>
      </c>
      <c r="I205" s="92" t="s">
        <v>230</v>
      </c>
      <c r="J205" s="93" t="s">
        <v>267</v>
      </c>
      <c r="K205" s="94">
        <v>31</v>
      </c>
      <c r="L205" s="94">
        <f>K205*VLOOKUP(H205,dagsoorttabel1,2,FALSE)</f>
        <v>12.4</v>
      </c>
      <c r="M205" s="95">
        <f>prodnorm92</f>
        <v>0</v>
      </c>
      <c r="N205" s="92" t="s">
        <v>101</v>
      </c>
      <c r="O205" s="26">
        <f>uurtarief92</f>
        <v>0</v>
      </c>
      <c r="P205" s="94" t="e">
        <f>IF(ISBLANK(M205),0,L205/ROUND(M205,4))</f>
        <v>#DIV/0!</v>
      </c>
      <c r="Q205" s="26" t="e">
        <f>ROUND(O205,2)*P205</f>
        <v>#DIV/0!</v>
      </c>
      <c r="R205" s="94" t="e">
        <f>P205*dagenperjaar1</f>
        <v>#DIV/0!</v>
      </c>
      <c r="S205" s="27" t="e">
        <f>R205*ROUND(O205,2)</f>
        <v>#DIV/0!</v>
      </c>
    </row>
    <row r="206" spans="1:19" x14ac:dyDescent="0.2">
      <c r="A206" s="91" t="s">
        <v>872</v>
      </c>
      <c r="B206" s="92" t="s">
        <v>873</v>
      </c>
      <c r="C206" s="92" t="s">
        <v>419</v>
      </c>
      <c r="D206" s="92" t="s">
        <v>914</v>
      </c>
      <c r="E206" s="93" t="s">
        <v>477</v>
      </c>
      <c r="F206" s="92" t="s">
        <v>913</v>
      </c>
      <c r="G206" s="92" t="s">
        <v>317</v>
      </c>
      <c r="H206" s="92" t="s">
        <v>13</v>
      </c>
      <c r="I206" s="92" t="s">
        <v>230</v>
      </c>
      <c r="J206" s="93" t="s">
        <v>267</v>
      </c>
      <c r="K206" s="94">
        <v>32</v>
      </c>
      <c r="L206" s="94">
        <f>K206*VLOOKUP(H206,dagsoorttabel1,2,FALSE)</f>
        <v>12.8</v>
      </c>
      <c r="M206" s="95">
        <f>prodnorm92</f>
        <v>0</v>
      </c>
      <c r="N206" s="92" t="s">
        <v>101</v>
      </c>
      <c r="O206" s="26">
        <f>uurtarief92</f>
        <v>0</v>
      </c>
      <c r="P206" s="94" t="e">
        <f>IF(ISBLANK(M206),0,L206/ROUND(M206,4))</f>
        <v>#DIV/0!</v>
      </c>
      <c r="Q206" s="26" t="e">
        <f>ROUND(O206,2)*P206</f>
        <v>#DIV/0!</v>
      </c>
      <c r="R206" s="94" t="e">
        <f>P206*dagenperjaar1</f>
        <v>#DIV/0!</v>
      </c>
      <c r="S206" s="27" t="e">
        <f>R206*ROUND(O206,2)</f>
        <v>#DIV/0!</v>
      </c>
    </row>
    <row r="207" spans="1:19" x14ac:dyDescent="0.2">
      <c r="A207" s="97" t="s">
        <v>872</v>
      </c>
      <c r="B207" s="98" t="s">
        <v>873</v>
      </c>
      <c r="C207" s="98" t="s">
        <v>443</v>
      </c>
      <c r="D207" s="98" t="s">
        <v>915</v>
      </c>
      <c r="E207" s="99" t="s">
        <v>477</v>
      </c>
      <c r="F207" s="98" t="s">
        <v>913</v>
      </c>
      <c r="G207" s="98" t="s">
        <v>317</v>
      </c>
      <c r="H207" s="98" t="s">
        <v>13</v>
      </c>
      <c r="I207" s="98" t="s">
        <v>230</v>
      </c>
      <c r="J207" s="99" t="s">
        <v>267</v>
      </c>
      <c r="K207" s="100">
        <v>31</v>
      </c>
      <c r="L207" s="100">
        <f>K207*VLOOKUP(H207,dagsoorttabel1,2,FALSE)</f>
        <v>12.4</v>
      </c>
      <c r="M207" s="101">
        <f>prodnorm92</f>
        <v>0</v>
      </c>
      <c r="N207" s="98" t="s">
        <v>101</v>
      </c>
      <c r="O207" s="36">
        <f>uurtarief92</f>
        <v>0</v>
      </c>
      <c r="P207" s="100" t="e">
        <f>IF(ISBLANK(M207),0,L207/ROUND(M207,4))</f>
        <v>#DIV/0!</v>
      </c>
      <c r="Q207" s="36" t="e">
        <f>ROUND(O207,2)*P207</f>
        <v>#DIV/0!</v>
      </c>
      <c r="R207" s="100" t="e">
        <f>P207*dagenperjaar1</f>
        <v>#DIV/0!</v>
      </c>
      <c r="S207" s="37" t="e">
        <f>R207*ROUND(O207,2)</f>
        <v>#DIV/0!</v>
      </c>
    </row>
    <row r="208" spans="1:19" x14ac:dyDescent="0.2">
      <c r="A208" s="103" t="s">
        <v>948</v>
      </c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6" t="e">
        <f>IF(_xlfn.SINGLE(object4_urenjaar3)&gt;0,_xlfn.SINGLE(object4_prijsjaar3)/_xlfn.SINGLE(object4_urenjaar3),0)</f>
        <v>#DIV/0!</v>
      </c>
      <c r="P208" s="75" t="e">
        <f>SUM(P182:P207)</f>
        <v>#DIV/0!</v>
      </c>
      <c r="Q208" s="76" t="e">
        <f>SUM(Q182:Q207)</f>
        <v>#DIV/0!</v>
      </c>
      <c r="R208" s="75" t="e">
        <f>SUM(R182:R207)</f>
        <v>#DIV/0!</v>
      </c>
      <c r="S208" s="77" t="e">
        <f>SUM(S182:S207)</f>
        <v>#DIV/0!</v>
      </c>
    </row>
    <row r="209" spans="1:19" x14ac:dyDescent="0.2">
      <c r="A209" s="82" t="s">
        <v>933</v>
      </c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72"/>
    </row>
    <row r="210" spans="1:19" x14ac:dyDescent="0.2">
      <c r="A210" s="83" t="s">
        <v>934</v>
      </c>
      <c r="B210" s="84" t="s">
        <v>944</v>
      </c>
      <c r="C210" s="84" t="s">
        <v>393</v>
      </c>
      <c r="D210" s="84" t="s">
        <v>36</v>
      </c>
      <c r="E210" s="85" t="s">
        <v>945</v>
      </c>
      <c r="F210" s="84" t="s">
        <v>458</v>
      </c>
      <c r="G210" s="84" t="s">
        <v>301</v>
      </c>
      <c r="H210" s="84" t="s">
        <v>13</v>
      </c>
      <c r="I210" s="84" t="s">
        <v>230</v>
      </c>
      <c r="J210" s="85" t="s">
        <v>231</v>
      </c>
      <c r="K210" s="86">
        <v>12.39</v>
      </c>
      <c r="L210" s="86">
        <f>K210*VLOOKUP(H210,dagsoorttabel1,2,FALSE)</f>
        <v>4.9560000000000004</v>
      </c>
      <c r="M210" s="87">
        <f>prodnorm77</f>
        <v>0</v>
      </c>
      <c r="N210" s="84" t="s">
        <v>101</v>
      </c>
      <c r="O210" s="88">
        <f>uurtarief77</f>
        <v>0</v>
      </c>
      <c r="P210" s="86" t="e">
        <f>IF(ISBLANK(M210),0,L210/ROUND(M210,4))</f>
        <v>#DIV/0!</v>
      </c>
      <c r="Q210" s="88" t="e">
        <f>ROUND(O210,2)*P210</f>
        <v>#DIV/0!</v>
      </c>
      <c r="R210" s="86" t="e">
        <f>P210*dagenperjaar1</f>
        <v>#DIV/0!</v>
      </c>
      <c r="S210" s="90" t="e">
        <f>R210*ROUND(O210,2)</f>
        <v>#DIV/0!</v>
      </c>
    </row>
    <row r="211" spans="1:19" x14ac:dyDescent="0.2">
      <c r="A211" s="91" t="s">
        <v>934</v>
      </c>
      <c r="B211" s="92" t="s">
        <v>944</v>
      </c>
      <c r="C211" s="92" t="s">
        <v>393</v>
      </c>
      <c r="D211" s="92" t="s">
        <v>36</v>
      </c>
      <c r="E211" s="93" t="s">
        <v>924</v>
      </c>
      <c r="F211" s="92" t="s">
        <v>349</v>
      </c>
      <c r="G211" s="92" t="s">
        <v>310</v>
      </c>
      <c r="H211" s="92" t="s">
        <v>13</v>
      </c>
      <c r="I211" s="92" t="s">
        <v>230</v>
      </c>
      <c r="J211" s="93" t="s">
        <v>253</v>
      </c>
      <c r="K211" s="94">
        <v>0.87</v>
      </c>
      <c r="L211" s="94">
        <f>K211*VLOOKUP(H211,dagsoorttabel1,2,FALSE)</f>
        <v>0.34800000000000003</v>
      </c>
      <c r="M211" s="95">
        <f>prodnorm86</f>
        <v>0</v>
      </c>
      <c r="N211" s="92" t="s">
        <v>101</v>
      </c>
      <c r="O211" s="26">
        <f>uurtarief86</f>
        <v>0</v>
      </c>
      <c r="P211" s="94" t="e">
        <f>IF(ISBLANK(M211),0,L211/ROUND(M211,4))</f>
        <v>#DIV/0!</v>
      </c>
      <c r="Q211" s="26" t="e">
        <f>ROUND(O211,2)*P211</f>
        <v>#DIV/0!</v>
      </c>
      <c r="R211" s="94" t="e">
        <f>P211*dagenperjaar1</f>
        <v>#DIV/0!</v>
      </c>
      <c r="S211" s="27" t="e">
        <f>R211*ROUND(O211,2)</f>
        <v>#DIV/0!</v>
      </c>
    </row>
    <row r="212" spans="1:19" x14ac:dyDescent="0.2">
      <c r="A212" s="91" t="s">
        <v>934</v>
      </c>
      <c r="B212" s="92" t="s">
        <v>944</v>
      </c>
      <c r="C212" s="92" t="s">
        <v>393</v>
      </c>
      <c r="D212" s="92" t="s">
        <v>36</v>
      </c>
      <c r="E212" s="93" t="s">
        <v>807</v>
      </c>
      <c r="F212" s="92" t="s">
        <v>543</v>
      </c>
      <c r="G212" s="92" t="s">
        <v>314</v>
      </c>
      <c r="H212" s="92" t="s">
        <v>13</v>
      </c>
      <c r="I212" s="92" t="s">
        <v>230</v>
      </c>
      <c r="J212" s="93" t="s">
        <v>261</v>
      </c>
      <c r="K212" s="94">
        <v>2.44</v>
      </c>
      <c r="L212" s="94">
        <f>K212*VLOOKUP(H212,dagsoorttabel1,2,FALSE)</f>
        <v>0.97599999999999998</v>
      </c>
      <c r="M212" s="95">
        <f>prodnorm89</f>
        <v>0</v>
      </c>
      <c r="N212" s="92" t="s">
        <v>101</v>
      </c>
      <c r="O212" s="26">
        <f>uurtarief89</f>
        <v>0</v>
      </c>
      <c r="P212" s="94" t="e">
        <f>IF(ISBLANK(M212),0,L212/ROUND(M212,4))</f>
        <v>#DIV/0!</v>
      </c>
      <c r="Q212" s="26" t="e">
        <f>ROUND(O212,2)*P212</f>
        <v>#DIV/0!</v>
      </c>
      <c r="R212" s="94" t="e">
        <f>P212*dagenperjaar1</f>
        <v>#DIV/0!</v>
      </c>
      <c r="S212" s="27" t="e">
        <f>R212*ROUND(O212,2)</f>
        <v>#DIV/0!</v>
      </c>
    </row>
    <row r="213" spans="1:19" x14ac:dyDescent="0.2">
      <c r="A213" s="91" t="s">
        <v>934</v>
      </c>
      <c r="B213" s="92" t="s">
        <v>944</v>
      </c>
      <c r="C213" s="92" t="s">
        <v>393</v>
      </c>
      <c r="D213" s="92" t="s">
        <v>36</v>
      </c>
      <c r="E213" s="93" t="s">
        <v>925</v>
      </c>
      <c r="F213" s="92" t="s">
        <v>349</v>
      </c>
      <c r="G213" s="92" t="s">
        <v>310</v>
      </c>
      <c r="H213" s="92" t="s">
        <v>13</v>
      </c>
      <c r="I213" s="92" t="s">
        <v>230</v>
      </c>
      <c r="J213" s="93" t="s">
        <v>253</v>
      </c>
      <c r="K213" s="94">
        <v>0.87</v>
      </c>
      <c r="L213" s="94">
        <f>K213*VLOOKUP(H213,dagsoorttabel1,2,FALSE)</f>
        <v>0.34800000000000003</v>
      </c>
      <c r="M213" s="95">
        <f>prodnorm86</f>
        <v>0</v>
      </c>
      <c r="N213" s="92" t="s">
        <v>101</v>
      </c>
      <c r="O213" s="26">
        <f>uurtarief86</f>
        <v>0</v>
      </c>
      <c r="P213" s="94" t="e">
        <f>IF(ISBLANK(M213),0,L213/ROUND(M213,4))</f>
        <v>#DIV/0!</v>
      </c>
      <c r="Q213" s="26" t="e">
        <f>ROUND(O213,2)*P213</f>
        <v>#DIV/0!</v>
      </c>
      <c r="R213" s="94" t="e">
        <f>P213*dagenperjaar1</f>
        <v>#DIV/0!</v>
      </c>
      <c r="S213" s="27" t="e">
        <f>R213*ROUND(O213,2)</f>
        <v>#DIV/0!</v>
      </c>
    </row>
    <row r="214" spans="1:19" x14ac:dyDescent="0.2">
      <c r="A214" s="91" t="s">
        <v>934</v>
      </c>
      <c r="B214" s="92" t="s">
        <v>944</v>
      </c>
      <c r="C214" s="92" t="s">
        <v>393</v>
      </c>
      <c r="D214" s="92" t="s">
        <v>36</v>
      </c>
      <c r="E214" s="93" t="s">
        <v>774</v>
      </c>
      <c r="F214" s="92" t="s">
        <v>458</v>
      </c>
      <c r="G214" s="92" t="s">
        <v>303</v>
      </c>
      <c r="H214" s="92" t="s">
        <v>13</v>
      </c>
      <c r="I214" s="92" t="s">
        <v>230</v>
      </c>
      <c r="J214" s="93" t="s">
        <v>237</v>
      </c>
      <c r="K214" s="94">
        <v>5.26</v>
      </c>
      <c r="L214" s="94">
        <f>K214*VLOOKUP(H214,dagsoorttabel1,2,FALSE)</f>
        <v>2.1040000000000001</v>
      </c>
      <c r="M214" s="95">
        <f>prodnorm79</f>
        <v>0</v>
      </c>
      <c r="N214" s="92" t="s">
        <v>101</v>
      </c>
      <c r="O214" s="26">
        <f>uurtarief79</f>
        <v>0</v>
      </c>
      <c r="P214" s="94" t="e">
        <f>IF(ISBLANK(M214),0,L214/ROUND(M214,4))</f>
        <v>#DIV/0!</v>
      </c>
      <c r="Q214" s="26" t="e">
        <f>ROUND(O214,2)*P214</f>
        <v>#DIV/0!</v>
      </c>
      <c r="R214" s="94" t="e">
        <f>P214*dagenperjaar1</f>
        <v>#DIV/0!</v>
      </c>
      <c r="S214" s="27" t="e">
        <f>R214*ROUND(O214,2)</f>
        <v>#DIV/0!</v>
      </c>
    </row>
    <row r="215" spans="1:19" x14ac:dyDescent="0.2">
      <c r="A215" s="91" t="s">
        <v>934</v>
      </c>
      <c r="B215" s="92" t="s">
        <v>944</v>
      </c>
      <c r="C215" s="92" t="s">
        <v>393</v>
      </c>
      <c r="D215" s="92" t="s">
        <v>36</v>
      </c>
      <c r="E215" s="93" t="s">
        <v>946</v>
      </c>
      <c r="F215" s="92" t="s">
        <v>458</v>
      </c>
      <c r="G215" s="92" t="s">
        <v>302</v>
      </c>
      <c r="H215" s="92" t="s">
        <v>13</v>
      </c>
      <c r="I215" s="92" t="s">
        <v>230</v>
      </c>
      <c r="J215" s="93" t="s">
        <v>235</v>
      </c>
      <c r="K215" s="94">
        <v>14.79</v>
      </c>
      <c r="L215" s="94">
        <f>K215*VLOOKUP(H215,dagsoorttabel1,2,FALSE)</f>
        <v>5.9160000000000004</v>
      </c>
      <c r="M215" s="95">
        <f>prodnorm78</f>
        <v>0</v>
      </c>
      <c r="N215" s="92" t="s">
        <v>101</v>
      </c>
      <c r="O215" s="26">
        <f>uurtarief78</f>
        <v>0</v>
      </c>
      <c r="P215" s="94" t="e">
        <f>IF(ISBLANK(M215),0,L215/ROUND(M215,4))</f>
        <v>#DIV/0!</v>
      </c>
      <c r="Q215" s="26" t="e">
        <f>ROUND(O215,2)*P215</f>
        <v>#DIV/0!</v>
      </c>
      <c r="R215" s="94" t="e">
        <f>P215*dagenperjaar1</f>
        <v>#DIV/0!</v>
      </c>
      <c r="S215" s="27" t="e">
        <f>R215*ROUND(O215,2)</f>
        <v>#DIV/0!</v>
      </c>
    </row>
    <row r="216" spans="1:19" x14ac:dyDescent="0.2">
      <c r="A216" s="97" t="s">
        <v>934</v>
      </c>
      <c r="B216" s="98" t="s">
        <v>944</v>
      </c>
      <c r="C216" s="98" t="s">
        <v>393</v>
      </c>
      <c r="D216" s="98" t="s">
        <v>36</v>
      </c>
      <c r="E216" s="99" t="s">
        <v>932</v>
      </c>
      <c r="F216" s="98" t="s">
        <v>458</v>
      </c>
      <c r="G216" s="98" t="s">
        <v>313</v>
      </c>
      <c r="H216" s="98" t="s">
        <v>13</v>
      </c>
      <c r="I216" s="98" t="s">
        <v>230</v>
      </c>
      <c r="J216" s="99" t="s">
        <v>257</v>
      </c>
      <c r="K216" s="100">
        <v>39.54</v>
      </c>
      <c r="L216" s="100">
        <f>K216*VLOOKUP(H216,dagsoorttabel1,2,FALSE)</f>
        <v>15.816000000000001</v>
      </c>
      <c r="M216" s="101">
        <f>prodnorm88</f>
        <v>0</v>
      </c>
      <c r="N216" s="98" t="s">
        <v>101</v>
      </c>
      <c r="O216" s="36">
        <f>uurtarief88</f>
        <v>0</v>
      </c>
      <c r="P216" s="100" t="e">
        <f>IF(ISBLANK(M216),0,L216/ROUND(M216,4))</f>
        <v>#DIV/0!</v>
      </c>
      <c r="Q216" s="36" t="e">
        <f>ROUND(O216,2)*P216</f>
        <v>#DIV/0!</v>
      </c>
      <c r="R216" s="100" t="e">
        <f>P216*dagenperjaar1</f>
        <v>#DIV/0!</v>
      </c>
      <c r="S216" s="37" t="e">
        <f>R216*ROUND(O216,2)</f>
        <v>#DIV/0!</v>
      </c>
    </row>
    <row r="217" spans="1:19" x14ac:dyDescent="0.2">
      <c r="A217" s="73" t="s">
        <v>948</v>
      </c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6" t="e">
        <f>IF(_xlfn.SINGLE(object6_urenjaar3)&gt;0,_xlfn.SINGLE(object6_prijsjaar3)/_xlfn.SINGLE(object6_urenjaar3),0)</f>
        <v>#DIV/0!</v>
      </c>
      <c r="P217" s="75" t="e">
        <f>SUM(P210:P216)</f>
        <v>#DIV/0!</v>
      </c>
      <c r="Q217" s="76" t="e">
        <f>SUM(Q210:Q216)</f>
        <v>#DIV/0!</v>
      </c>
      <c r="R217" s="75" t="e">
        <f>SUM(R210:R216)</f>
        <v>#DIV/0!</v>
      </c>
      <c r="S217" s="76" t="e">
        <f>SUM(S210:S216)</f>
        <v>#DIV/0!</v>
      </c>
    </row>
  </sheetData>
  <sheetProtection algorithmName="SHA-512" hashValue="y8rDQndGIxIUmkaLs13/X9+OCDLDRkq7BTgq4Z5o0SobiJBiVroi7hDsPFAsGk+CvSf6HMCm6/AvIMrbaTkyiA==" saltValue="Z1YuEMBQ4Jcs0IP+2Iyiwg==" spinCount="100000" sheet="1" objects="1" scenarios="1" autoFilter="0"/>
  <autoFilter ref="A3:S217" xr:uid="{E1620358-035D-4CEA-ADBA-E7FE7D52FBF5}"/>
  <pageMargins left="0.7" right="0.7" top="0.75" bottom="0.75" header="0.3" footer="0.3"/>
  <pageSetup paperSize="9" scale="61" orientation="landscape" horizontalDpi="4294967295" verticalDpi="4294967295" r:id="rId1"/>
  <headerFooter>
    <oddFooter>&amp;LCentraal Museum Utrecht EA2026                              &amp;ROpmaakdatum: 19-03-2026
Intexso - Plantageweg 23E - Leusden
+31 (33) 2778485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E3F47-F77A-4195-A3E4-08647F73FB23}">
  <dimension ref="A1:N88"/>
  <sheetViews>
    <sheetView workbookViewId="0"/>
  </sheetViews>
  <sheetFormatPr defaultRowHeight="12.75" x14ac:dyDescent="0.2"/>
  <cols>
    <col min="1" max="1" width="5.625" customWidth="1"/>
    <col min="2" max="2" width="6.125" customWidth="1"/>
    <col min="3" max="3" width="11.625" customWidth="1"/>
    <col min="4" max="14" width="12.625" customWidth="1"/>
  </cols>
  <sheetData>
    <row r="1" spans="1:14" x14ac:dyDescent="0.2">
      <c r="A1" s="1" t="s">
        <v>949</v>
      </c>
    </row>
    <row r="3" spans="1:14" ht="25.5" x14ac:dyDescent="0.2">
      <c r="A3" s="104" t="s">
        <v>221</v>
      </c>
      <c r="B3" s="104" t="s">
        <v>7</v>
      </c>
      <c r="C3" s="105" t="s">
        <v>950</v>
      </c>
      <c r="D3" s="105" t="s">
        <v>951</v>
      </c>
      <c r="E3" s="105" t="s">
        <v>952</v>
      </c>
      <c r="F3" s="105" t="s">
        <v>953</v>
      </c>
      <c r="G3" s="105" t="s">
        <v>954</v>
      </c>
      <c r="H3" s="104" t="s">
        <v>955</v>
      </c>
      <c r="I3" s="104" t="s">
        <v>956</v>
      </c>
      <c r="J3" s="104" t="s">
        <v>957</v>
      </c>
      <c r="K3" s="104" t="s">
        <v>958</v>
      </c>
      <c r="L3" s="104" t="s">
        <v>959</v>
      </c>
      <c r="M3" s="104" t="s">
        <v>960</v>
      </c>
      <c r="N3" s="104" t="s">
        <v>961</v>
      </c>
    </row>
    <row r="4" spans="1:14" x14ac:dyDescent="0.2">
      <c r="A4" s="106"/>
      <c r="B4" s="106"/>
      <c r="C4" s="106"/>
      <c r="D4" s="106"/>
      <c r="E4" s="106"/>
      <c r="F4" s="106"/>
      <c r="G4" s="106"/>
      <c r="H4" s="106"/>
      <c r="I4" s="107" t="s">
        <v>223</v>
      </c>
      <c r="J4" s="107" t="s">
        <v>223</v>
      </c>
      <c r="K4" s="107" t="s">
        <v>223</v>
      </c>
      <c r="L4" s="107" t="s">
        <v>223</v>
      </c>
      <c r="M4" s="107" t="s">
        <v>223</v>
      </c>
      <c r="N4" s="107" t="s">
        <v>223</v>
      </c>
    </row>
    <row r="5" spans="1:14" x14ac:dyDescent="0.2">
      <c r="A5" s="51" t="s">
        <v>229</v>
      </c>
      <c r="B5" s="51" t="s">
        <v>15</v>
      </c>
      <c r="C5" s="51" t="s">
        <v>962</v>
      </c>
      <c r="D5" s="51" t="s">
        <v>230</v>
      </c>
      <c r="E5" s="66">
        <f>IF(B5="","",VLOOKUP(B5,dagsoorttabel1,2,FALSE))</f>
        <v>0.1</v>
      </c>
      <c r="F5" s="66">
        <v>1</v>
      </c>
      <c r="G5" s="66">
        <f>IF(prodnorm13&gt;0,1/ROUND(prodnorm13,4),0)</f>
        <v>0</v>
      </c>
      <c r="H5" s="55">
        <f>ROUND(uurtarief13,2)</f>
        <v>0</v>
      </c>
      <c r="I5" s="66">
        <v>0</v>
      </c>
      <c r="J5" s="66">
        <v>0</v>
      </c>
      <c r="K5" s="66">
        <v>0</v>
      </c>
      <c r="L5" s="66">
        <v>0</v>
      </c>
      <c r="M5" s="66">
        <v>45.55</v>
      </c>
      <c r="N5" s="66">
        <v>0</v>
      </c>
    </row>
    <row r="6" spans="1:14" x14ac:dyDescent="0.2">
      <c r="A6" s="56" t="s">
        <v>229</v>
      </c>
      <c r="B6" s="56" t="s">
        <v>13</v>
      </c>
      <c r="C6" s="56" t="s">
        <v>962</v>
      </c>
      <c r="D6" s="56" t="s">
        <v>230</v>
      </c>
      <c r="E6" s="68">
        <f>IF(B6="","",VLOOKUP(B6,dagsoorttabel1,2,FALSE))</f>
        <v>0.4</v>
      </c>
      <c r="F6" s="68">
        <v>1</v>
      </c>
      <c r="G6" s="68">
        <f>IF(prodnorm14&gt;0,1/ROUND(prodnorm14,4),0)</f>
        <v>0</v>
      </c>
      <c r="H6" s="60">
        <f>ROUND(uurtarief14,2)</f>
        <v>0</v>
      </c>
      <c r="I6" s="68">
        <v>0</v>
      </c>
      <c r="J6" s="68">
        <v>74.900000000000006</v>
      </c>
      <c r="K6" s="68">
        <v>0</v>
      </c>
      <c r="L6" s="68">
        <v>0</v>
      </c>
      <c r="M6" s="68">
        <v>0</v>
      </c>
      <c r="N6" s="68">
        <v>0</v>
      </c>
    </row>
    <row r="7" spans="1:14" x14ac:dyDescent="0.2">
      <c r="A7" s="56" t="s">
        <v>229</v>
      </c>
      <c r="B7" s="56" t="s">
        <v>10</v>
      </c>
      <c r="C7" s="56" t="s">
        <v>962</v>
      </c>
      <c r="D7" s="56" t="s">
        <v>230</v>
      </c>
      <c r="E7" s="68">
        <f>IF(B7="","",VLOOKUP(B7,dagsoorttabel1,2,FALSE))</f>
        <v>0.8</v>
      </c>
      <c r="F7" s="68">
        <v>1</v>
      </c>
      <c r="G7" s="68">
        <f>IF(prodnorm15&gt;0,1/ROUND(prodnorm15,4),0)</f>
        <v>0</v>
      </c>
      <c r="H7" s="60">
        <f>ROUND(uurtarief15,2)</f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12.39</v>
      </c>
    </row>
    <row r="8" spans="1:14" x14ac:dyDescent="0.2">
      <c r="A8" s="56" t="s">
        <v>229</v>
      </c>
      <c r="B8" s="56" t="s">
        <v>9</v>
      </c>
      <c r="C8" s="56" t="s">
        <v>962</v>
      </c>
      <c r="D8" s="56" t="s">
        <v>230</v>
      </c>
      <c r="E8" s="68">
        <f>IF(B8="","",VLOOKUP(B8,dagsoorttabel1,2,FALSE))</f>
        <v>1</v>
      </c>
      <c r="F8" s="68">
        <v>1</v>
      </c>
      <c r="G8" s="68">
        <f>IF(prodnorm16&gt;0,1/ROUND(prodnorm16,4),0)</f>
        <v>0</v>
      </c>
      <c r="H8" s="60">
        <f>ROUND(uurtarief16,2)</f>
        <v>0</v>
      </c>
      <c r="I8" s="68">
        <v>0</v>
      </c>
      <c r="J8" s="68">
        <v>108</v>
      </c>
      <c r="K8" s="68">
        <v>0</v>
      </c>
      <c r="L8" s="68">
        <v>0</v>
      </c>
      <c r="M8" s="68">
        <v>0</v>
      </c>
      <c r="N8" s="68">
        <v>0</v>
      </c>
    </row>
    <row r="9" spans="1:14" x14ac:dyDescent="0.2">
      <c r="A9" s="56" t="s">
        <v>232</v>
      </c>
      <c r="B9" s="56" t="s">
        <v>13</v>
      </c>
      <c r="C9" s="56" t="s">
        <v>962</v>
      </c>
      <c r="D9" s="56" t="s">
        <v>230</v>
      </c>
      <c r="E9" s="68">
        <f>IF(B9="","",VLOOKUP(B9,dagsoorttabel1,2,FALSE))</f>
        <v>0.4</v>
      </c>
      <c r="F9" s="68">
        <v>1</v>
      </c>
      <c r="G9" s="68">
        <f>IF(prodnorm17&gt;0,1/ROUND(prodnorm17,4),0)</f>
        <v>0</v>
      </c>
      <c r="H9" s="60">
        <f>ROUND(uurtarief17,2)</f>
        <v>0</v>
      </c>
      <c r="I9" s="68">
        <v>0</v>
      </c>
      <c r="J9" s="68">
        <v>668</v>
      </c>
      <c r="K9" s="68">
        <v>0</v>
      </c>
      <c r="L9" s="68">
        <v>0</v>
      </c>
      <c r="M9" s="68">
        <v>0</v>
      </c>
      <c r="N9" s="68">
        <v>0</v>
      </c>
    </row>
    <row r="10" spans="1:14" x14ac:dyDescent="0.2">
      <c r="A10" s="56" t="s">
        <v>234</v>
      </c>
      <c r="B10" s="56" t="s">
        <v>13</v>
      </c>
      <c r="C10" s="56" t="s">
        <v>962</v>
      </c>
      <c r="D10" s="56" t="s">
        <v>230</v>
      </c>
      <c r="E10" s="68">
        <f>IF(B10="","",VLOOKUP(B10,dagsoorttabel1,2,FALSE))</f>
        <v>0.4</v>
      </c>
      <c r="F10" s="68">
        <v>1</v>
      </c>
      <c r="G10" s="68">
        <f>IF(prodnorm18&gt;0,1/ROUND(prodnorm18,4),0)</f>
        <v>0</v>
      </c>
      <c r="H10" s="60">
        <f>ROUND(uurtarief18,2)</f>
        <v>0</v>
      </c>
      <c r="I10" s="68">
        <v>50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</row>
    <row r="11" spans="1:14" x14ac:dyDescent="0.2">
      <c r="A11" s="56" t="s">
        <v>234</v>
      </c>
      <c r="B11" s="56" t="s">
        <v>10</v>
      </c>
      <c r="C11" s="56" t="s">
        <v>962</v>
      </c>
      <c r="D11" s="56" t="s">
        <v>230</v>
      </c>
      <c r="E11" s="68">
        <f>IF(B11="","",VLOOKUP(B11,dagsoorttabel1,2,FALSE))</f>
        <v>0.8</v>
      </c>
      <c r="F11" s="68">
        <v>1</v>
      </c>
      <c r="G11" s="68">
        <f>IF(prodnorm19&gt;0,1/ROUND(prodnorm19,4),0)</f>
        <v>0</v>
      </c>
      <c r="H11" s="60">
        <f>ROUND(uurtarief19,2)</f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14.79</v>
      </c>
    </row>
    <row r="12" spans="1:14" x14ac:dyDescent="0.2">
      <c r="A12" s="56" t="s">
        <v>236</v>
      </c>
      <c r="B12" s="56" t="s">
        <v>15</v>
      </c>
      <c r="C12" s="56" t="s">
        <v>962</v>
      </c>
      <c r="D12" s="56" t="s">
        <v>230</v>
      </c>
      <c r="E12" s="68">
        <f>IF(B12="","",VLOOKUP(B12,dagsoorttabel1,2,FALSE))</f>
        <v>0.1</v>
      </c>
      <c r="F12" s="68">
        <v>1</v>
      </c>
      <c r="G12" s="68">
        <f>IF(prodnorm20&gt;0,1/ROUND(prodnorm20,4),0)</f>
        <v>0</v>
      </c>
      <c r="H12" s="60">
        <f>ROUND(uurtarief20,2)</f>
        <v>0</v>
      </c>
      <c r="I12" s="68">
        <v>0</v>
      </c>
      <c r="J12" s="68">
        <v>0</v>
      </c>
      <c r="K12" s="68">
        <v>0</v>
      </c>
      <c r="L12" s="68">
        <v>0</v>
      </c>
      <c r="M12" s="68">
        <v>2.5</v>
      </c>
      <c r="N12" s="68">
        <v>0</v>
      </c>
    </row>
    <row r="13" spans="1:14" x14ac:dyDescent="0.2">
      <c r="A13" s="56" t="s">
        <v>236</v>
      </c>
      <c r="B13" s="56" t="s">
        <v>10</v>
      </c>
      <c r="C13" s="56" t="s">
        <v>962</v>
      </c>
      <c r="D13" s="56" t="s">
        <v>230</v>
      </c>
      <c r="E13" s="68">
        <f>IF(B13="","",VLOOKUP(B13,dagsoorttabel1,2,FALSE))</f>
        <v>0.8</v>
      </c>
      <c r="F13" s="68">
        <v>1</v>
      </c>
      <c r="G13" s="68">
        <f>IF(prodnorm21&gt;0,1/ROUND(prodnorm21,4),0)</f>
        <v>0</v>
      </c>
      <c r="H13" s="60">
        <f>ROUND(uurtarief21,2)</f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5.26</v>
      </c>
    </row>
    <row r="14" spans="1:14" x14ac:dyDescent="0.2">
      <c r="A14" s="56" t="s">
        <v>236</v>
      </c>
      <c r="B14" s="56" t="s">
        <v>9</v>
      </c>
      <c r="C14" s="56" t="s">
        <v>962</v>
      </c>
      <c r="D14" s="56" t="s">
        <v>230</v>
      </c>
      <c r="E14" s="68">
        <f>IF(B14="","",VLOOKUP(B14,dagsoorttabel1,2,FALSE))</f>
        <v>1</v>
      </c>
      <c r="F14" s="68">
        <v>1</v>
      </c>
      <c r="G14" s="68">
        <f>IF(prodnorm22&gt;0,1/ROUND(prodnorm22,4),0)</f>
        <v>0</v>
      </c>
      <c r="H14" s="60">
        <f>ROUND(uurtarief22,2)</f>
        <v>0</v>
      </c>
      <c r="I14" s="68">
        <v>0</v>
      </c>
      <c r="J14" s="68">
        <v>2.4</v>
      </c>
      <c r="K14" s="68">
        <v>16.5</v>
      </c>
      <c r="L14" s="68">
        <v>0</v>
      </c>
      <c r="M14" s="68">
        <v>0</v>
      </c>
      <c r="N14" s="68">
        <v>0</v>
      </c>
    </row>
    <row r="15" spans="1:14" x14ac:dyDescent="0.2">
      <c r="A15" s="56" t="s">
        <v>238</v>
      </c>
      <c r="B15" s="56" t="s">
        <v>10</v>
      </c>
      <c r="C15" s="56" t="s">
        <v>962</v>
      </c>
      <c r="D15" s="56" t="s">
        <v>230</v>
      </c>
      <c r="E15" s="68">
        <f>IF(B15="","",VLOOKUP(B15,dagsoorttabel1,2,FALSE))</f>
        <v>0.8</v>
      </c>
      <c r="F15" s="68">
        <v>1</v>
      </c>
      <c r="G15" s="68">
        <f>IF(prodnorm23&gt;0,1/ROUND(prodnorm23,4),0)</f>
        <v>0</v>
      </c>
      <c r="H15" s="60">
        <f>ROUND(uurtarief23,2)</f>
        <v>0</v>
      </c>
      <c r="I15" s="68">
        <v>0</v>
      </c>
      <c r="J15" s="68">
        <v>0</v>
      </c>
      <c r="K15" s="68">
        <v>0</v>
      </c>
      <c r="L15" s="68">
        <v>133</v>
      </c>
      <c r="M15" s="68">
        <v>0</v>
      </c>
      <c r="N15" s="68">
        <v>0</v>
      </c>
    </row>
    <row r="16" spans="1:14" x14ac:dyDescent="0.2">
      <c r="A16" s="56" t="s">
        <v>238</v>
      </c>
      <c r="B16" s="56" t="s">
        <v>9</v>
      </c>
      <c r="C16" s="56" t="s">
        <v>962</v>
      </c>
      <c r="D16" s="56" t="s">
        <v>230</v>
      </c>
      <c r="E16" s="68">
        <f>IF(B16="","",VLOOKUP(B16,dagsoorttabel1,2,FALSE))</f>
        <v>1</v>
      </c>
      <c r="F16" s="68">
        <v>1</v>
      </c>
      <c r="G16" s="68">
        <f>IF(prodnorm24&gt;0,1/ROUND(prodnorm24,4),0)</f>
        <v>0</v>
      </c>
      <c r="H16" s="60">
        <f>ROUND(uurtarief24,2)</f>
        <v>0</v>
      </c>
      <c r="I16" s="68">
        <v>0</v>
      </c>
      <c r="J16" s="68">
        <v>75.7</v>
      </c>
      <c r="K16" s="68">
        <v>181</v>
      </c>
      <c r="L16" s="68">
        <v>0</v>
      </c>
      <c r="M16" s="68">
        <v>0</v>
      </c>
      <c r="N16" s="68">
        <v>0</v>
      </c>
    </row>
    <row r="17" spans="1:14" x14ac:dyDescent="0.2">
      <c r="A17" s="56" t="s">
        <v>240</v>
      </c>
      <c r="B17" s="56" t="s">
        <v>9</v>
      </c>
      <c r="C17" s="56" t="s">
        <v>962</v>
      </c>
      <c r="D17" s="56" t="s">
        <v>230</v>
      </c>
      <c r="E17" s="68">
        <f>IF(B17="","",VLOOKUP(B17,dagsoorttabel1,2,FALSE))</f>
        <v>1</v>
      </c>
      <c r="F17" s="68">
        <v>1</v>
      </c>
      <c r="G17" s="68">
        <f>IF(prodnorm25&gt;0,1/ROUND(prodnorm25,4),0)</f>
        <v>0</v>
      </c>
      <c r="H17" s="60">
        <f>ROUND(uurtarief25,2)</f>
        <v>0</v>
      </c>
      <c r="I17" s="68">
        <v>0</v>
      </c>
      <c r="J17" s="68">
        <v>88.2</v>
      </c>
      <c r="K17" s="68">
        <v>119</v>
      </c>
      <c r="L17" s="68">
        <v>0</v>
      </c>
      <c r="M17" s="68">
        <v>0</v>
      </c>
      <c r="N17" s="68">
        <v>0</v>
      </c>
    </row>
    <row r="18" spans="1:14" x14ac:dyDescent="0.2">
      <c r="A18" s="56" t="s">
        <v>242</v>
      </c>
      <c r="B18" s="56" t="s">
        <v>16</v>
      </c>
      <c r="C18" s="56" t="s">
        <v>962</v>
      </c>
      <c r="D18" s="56" t="s">
        <v>230</v>
      </c>
      <c r="E18" s="68">
        <f>IF(B18="","",VLOOKUP(B18,dagsoorttabel1,2,FALSE))</f>
        <v>4.6153846153846156E-2</v>
      </c>
      <c r="F18" s="68">
        <v>1</v>
      </c>
      <c r="G18" s="68">
        <f>IF(prodnorm26&gt;0,1/ROUND(prodnorm26,4),0)</f>
        <v>0</v>
      </c>
      <c r="H18" s="60">
        <f>ROUND(uurtarief26,2)</f>
        <v>0</v>
      </c>
      <c r="I18" s="68">
        <v>90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</row>
    <row r="19" spans="1:14" x14ac:dyDescent="0.2">
      <c r="A19" s="56" t="s">
        <v>242</v>
      </c>
      <c r="B19" s="56" t="s">
        <v>10</v>
      </c>
      <c r="C19" s="56" t="s">
        <v>962</v>
      </c>
      <c r="D19" s="56" t="s">
        <v>230</v>
      </c>
      <c r="E19" s="68">
        <f>IF(B19="","",VLOOKUP(B19,dagsoorttabel1,2,FALSE))</f>
        <v>0.8</v>
      </c>
      <c r="F19" s="68">
        <v>1</v>
      </c>
      <c r="G19" s="68">
        <f>IF(prodnorm27&gt;0,1/ROUND(prodnorm27,4),0)</f>
        <v>0</v>
      </c>
      <c r="H19" s="60">
        <f>ROUND(uurtarief27,2)</f>
        <v>0</v>
      </c>
      <c r="I19" s="68">
        <v>1745.1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</row>
    <row r="20" spans="1:14" x14ac:dyDescent="0.2">
      <c r="A20" s="56" t="s">
        <v>244</v>
      </c>
      <c r="B20" s="56" t="s">
        <v>9</v>
      </c>
      <c r="C20" s="56" t="s">
        <v>962</v>
      </c>
      <c r="D20" s="56" t="s">
        <v>230</v>
      </c>
      <c r="E20" s="68">
        <f>IF(B20="","",VLOOKUP(B20,dagsoorttabel1,2,FALSE))</f>
        <v>1</v>
      </c>
      <c r="F20" s="68">
        <v>1</v>
      </c>
      <c r="G20" s="68">
        <f>IF(prodnorm28&gt;0,1/ROUND(prodnorm28,4),0)</f>
        <v>0</v>
      </c>
      <c r="H20" s="60">
        <f>ROUND(uurtarief28,2)</f>
        <v>0</v>
      </c>
      <c r="I20" s="68">
        <v>1014.4000000000001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</row>
    <row r="21" spans="1:14" x14ac:dyDescent="0.2">
      <c r="A21" s="56" t="s">
        <v>246</v>
      </c>
      <c r="B21" s="56" t="s">
        <v>9</v>
      </c>
      <c r="C21" s="56" t="s">
        <v>962</v>
      </c>
      <c r="D21" s="56" t="s">
        <v>230</v>
      </c>
      <c r="E21" s="68">
        <f>IF(B21="","",VLOOKUP(B21,dagsoorttabel1,2,FALSE))</f>
        <v>1</v>
      </c>
      <c r="F21" s="68">
        <v>1</v>
      </c>
      <c r="G21" s="68">
        <f>IF(prodnorm29&gt;0,1/ROUND(prodnorm29,4),0)</f>
        <v>0</v>
      </c>
      <c r="H21" s="60">
        <f>ROUND(uurtarief29,2)</f>
        <v>0</v>
      </c>
      <c r="I21" s="68">
        <v>0</v>
      </c>
      <c r="J21" s="68">
        <v>0</v>
      </c>
      <c r="K21" s="68">
        <v>792</v>
      </c>
      <c r="L21" s="68">
        <v>0</v>
      </c>
      <c r="M21" s="68">
        <v>0</v>
      </c>
      <c r="N21" s="68">
        <v>0</v>
      </c>
    </row>
    <row r="22" spans="1:14" x14ac:dyDescent="0.2">
      <c r="A22" s="56" t="s">
        <v>248</v>
      </c>
      <c r="B22" s="56" t="s">
        <v>22</v>
      </c>
      <c r="C22" s="56" t="s">
        <v>962</v>
      </c>
      <c r="D22" s="56" t="s">
        <v>230</v>
      </c>
      <c r="E22" s="68">
        <f>IF(B22="","",VLOOKUP(B22,dagsoorttabel1,2,FALSE))</f>
        <v>3.8461538461538464E-3</v>
      </c>
      <c r="F22" s="68">
        <v>1</v>
      </c>
      <c r="G22" s="68">
        <f>IF(prodnorm30&gt;0,1/ROUND(prodnorm30,4),0)</f>
        <v>0</v>
      </c>
      <c r="H22" s="60">
        <f>ROUND(uurtarief30,2)</f>
        <v>0</v>
      </c>
      <c r="I22" s="68">
        <v>6.6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</row>
    <row r="23" spans="1:14" x14ac:dyDescent="0.2">
      <c r="A23" s="56" t="s">
        <v>248</v>
      </c>
      <c r="B23" s="56" t="s">
        <v>14</v>
      </c>
      <c r="C23" s="56" t="s">
        <v>962</v>
      </c>
      <c r="D23" s="56" t="s">
        <v>230</v>
      </c>
      <c r="E23" s="68">
        <f>IF(B23="","",VLOOKUP(B23,dagsoorttabel1,2,FALSE))</f>
        <v>0.2</v>
      </c>
      <c r="F23" s="68">
        <v>1</v>
      </c>
      <c r="G23" s="68">
        <f>IF(prodnorm31&gt;0,1/ROUND(prodnorm31,4),0)</f>
        <v>0</v>
      </c>
      <c r="H23" s="60">
        <f>ROUND(uurtarief31,2)</f>
        <v>0</v>
      </c>
      <c r="I23" s="68">
        <v>98.6</v>
      </c>
      <c r="J23" s="68">
        <v>13.1</v>
      </c>
      <c r="K23" s="68">
        <v>40.5</v>
      </c>
      <c r="L23" s="68">
        <v>0</v>
      </c>
      <c r="M23" s="68">
        <v>0</v>
      </c>
      <c r="N23" s="68">
        <v>0</v>
      </c>
    </row>
    <row r="24" spans="1:14" x14ac:dyDescent="0.2">
      <c r="A24" s="56" t="s">
        <v>248</v>
      </c>
      <c r="B24" s="56" t="s">
        <v>17</v>
      </c>
      <c r="C24" s="56" t="s">
        <v>962</v>
      </c>
      <c r="D24" s="56" t="s">
        <v>230</v>
      </c>
      <c r="E24" s="68">
        <f>IF(B24="","",VLOOKUP(B24,dagsoorttabel1,2,FALSE))</f>
        <v>2.3076923076923078E-2</v>
      </c>
      <c r="F24" s="68">
        <v>1</v>
      </c>
      <c r="G24" s="68">
        <f>IF(prodnorm32&gt;0,1/ROUND(prodnorm32,4),0)</f>
        <v>0</v>
      </c>
      <c r="H24" s="60">
        <f>ROUND(uurtarief32,2)</f>
        <v>0</v>
      </c>
      <c r="I24" s="68">
        <v>0</v>
      </c>
      <c r="J24" s="68">
        <v>220.6</v>
      </c>
      <c r="K24" s="68">
        <v>0</v>
      </c>
      <c r="L24" s="68">
        <v>0</v>
      </c>
      <c r="M24" s="68">
        <v>0</v>
      </c>
      <c r="N24" s="68">
        <v>0</v>
      </c>
    </row>
    <row r="25" spans="1:14" x14ac:dyDescent="0.2">
      <c r="A25" s="56" t="s">
        <v>250</v>
      </c>
      <c r="B25" s="56" t="s">
        <v>9</v>
      </c>
      <c r="C25" s="56" t="s">
        <v>962</v>
      </c>
      <c r="D25" s="56" t="s">
        <v>230</v>
      </c>
      <c r="E25" s="68">
        <f>IF(B25="","",VLOOKUP(B25,dagsoorttabel1,2,FALSE))</f>
        <v>1</v>
      </c>
      <c r="F25" s="68">
        <v>1</v>
      </c>
      <c r="G25" s="68">
        <f>IF(prodnorm33&gt;0,1/ROUND(prodnorm33,4),0)</f>
        <v>0</v>
      </c>
      <c r="H25" s="60">
        <f>ROUND(uurtarief33,2)</f>
        <v>0</v>
      </c>
      <c r="I25" s="68">
        <v>0</v>
      </c>
      <c r="J25" s="68">
        <v>26.9</v>
      </c>
      <c r="K25" s="68">
        <v>0</v>
      </c>
      <c r="L25" s="68">
        <v>0</v>
      </c>
      <c r="M25" s="68">
        <v>0</v>
      </c>
      <c r="N25" s="68">
        <v>0</v>
      </c>
    </row>
    <row r="26" spans="1:14" x14ac:dyDescent="0.2">
      <c r="A26" s="56" t="s">
        <v>252</v>
      </c>
      <c r="B26" s="56" t="s">
        <v>15</v>
      </c>
      <c r="C26" s="56" t="s">
        <v>962</v>
      </c>
      <c r="D26" s="56" t="s">
        <v>230</v>
      </c>
      <c r="E26" s="68">
        <f>IF(B26="","",VLOOKUP(B26,dagsoorttabel1,2,FALSE))</f>
        <v>0.1</v>
      </c>
      <c r="F26" s="68">
        <v>1</v>
      </c>
      <c r="G26" s="68">
        <f>IF(prodnorm34&gt;0,1/ROUND(prodnorm34,4),0)</f>
        <v>0</v>
      </c>
      <c r="H26" s="60">
        <f>ROUND(uurtarief34,2)</f>
        <v>0</v>
      </c>
      <c r="I26" s="68">
        <v>0</v>
      </c>
      <c r="J26" s="68">
        <v>0</v>
      </c>
      <c r="K26" s="68">
        <v>0</v>
      </c>
      <c r="L26" s="68">
        <v>0</v>
      </c>
      <c r="M26" s="68">
        <v>35.19</v>
      </c>
      <c r="N26" s="68">
        <v>0</v>
      </c>
    </row>
    <row r="27" spans="1:14" x14ac:dyDescent="0.2">
      <c r="A27" s="56" t="s">
        <v>252</v>
      </c>
      <c r="B27" s="56" t="s">
        <v>10</v>
      </c>
      <c r="C27" s="56" t="s">
        <v>962</v>
      </c>
      <c r="D27" s="56" t="s">
        <v>230</v>
      </c>
      <c r="E27" s="68">
        <f>IF(B27="","",VLOOKUP(B27,dagsoorttabel1,2,FALSE))</f>
        <v>0.8</v>
      </c>
      <c r="F27" s="68">
        <v>1</v>
      </c>
      <c r="G27" s="68">
        <f>IF(prodnorm35&gt;0,1/ROUND(prodnorm35,4),0)</f>
        <v>0</v>
      </c>
      <c r="H27" s="60">
        <f>ROUND(uurtarief35,2)</f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1.74</v>
      </c>
    </row>
    <row r="28" spans="1:14" x14ac:dyDescent="0.2">
      <c r="A28" s="56" t="s">
        <v>252</v>
      </c>
      <c r="B28" s="56" t="s">
        <v>9</v>
      </c>
      <c r="C28" s="56" t="s">
        <v>962</v>
      </c>
      <c r="D28" s="56" t="s">
        <v>230</v>
      </c>
      <c r="E28" s="68">
        <f>IF(B28="","",VLOOKUP(B28,dagsoorttabel1,2,FALSE))</f>
        <v>1</v>
      </c>
      <c r="F28" s="68">
        <v>1</v>
      </c>
      <c r="G28" s="68">
        <f>IF(prodnorm36&gt;0,1/ROUND(prodnorm36,4),0)</f>
        <v>0</v>
      </c>
      <c r="H28" s="60">
        <f>ROUND(uurtarief36,2)</f>
        <v>0</v>
      </c>
      <c r="I28" s="68">
        <v>37</v>
      </c>
      <c r="J28" s="68">
        <v>48.2</v>
      </c>
      <c r="K28" s="68">
        <v>88</v>
      </c>
      <c r="L28" s="68">
        <v>16.5</v>
      </c>
      <c r="M28" s="68">
        <v>0</v>
      </c>
      <c r="N28" s="68">
        <v>0</v>
      </c>
    </row>
    <row r="29" spans="1:14" x14ac:dyDescent="0.2">
      <c r="A29" s="56" t="s">
        <v>254</v>
      </c>
      <c r="B29" s="56" t="s">
        <v>10</v>
      </c>
      <c r="C29" s="56" t="s">
        <v>962</v>
      </c>
      <c r="D29" s="56" t="s">
        <v>230</v>
      </c>
      <c r="E29" s="68">
        <f>IF(B29="","",VLOOKUP(B29,dagsoorttabel1,2,FALSE))</f>
        <v>0.8</v>
      </c>
      <c r="F29" s="68">
        <v>1</v>
      </c>
      <c r="G29" s="68">
        <f>IF(prodnorm37&gt;0,1/ROUND(prodnorm37,4),0)</f>
        <v>0</v>
      </c>
      <c r="H29" s="60">
        <f>ROUND(uurtarief37,2)</f>
        <v>0</v>
      </c>
      <c r="I29" s="68">
        <v>32.200000000000003</v>
      </c>
      <c r="J29" s="68">
        <v>24.9</v>
      </c>
      <c r="K29" s="68">
        <v>84</v>
      </c>
      <c r="L29" s="68">
        <v>16.5</v>
      </c>
      <c r="M29" s="68">
        <v>0</v>
      </c>
      <c r="N29" s="68">
        <v>0</v>
      </c>
    </row>
    <row r="30" spans="1:14" x14ac:dyDescent="0.2">
      <c r="A30" s="56" t="s">
        <v>256</v>
      </c>
      <c r="B30" s="56" t="s">
        <v>14</v>
      </c>
      <c r="C30" s="56" t="s">
        <v>962</v>
      </c>
      <c r="D30" s="56" t="s">
        <v>230</v>
      </c>
      <c r="E30" s="68">
        <f>IF(B30="","",VLOOKUP(B30,dagsoorttabel1,2,FALSE))</f>
        <v>0.2</v>
      </c>
      <c r="F30" s="68">
        <v>1</v>
      </c>
      <c r="G30" s="68">
        <f>IF(prodnorm38&gt;0,1/ROUND(prodnorm38,4),0)</f>
        <v>0</v>
      </c>
      <c r="H30" s="60">
        <f>ROUND(uurtarief38,2)</f>
        <v>0</v>
      </c>
      <c r="I30" s="68">
        <v>0</v>
      </c>
      <c r="J30" s="68">
        <v>0</v>
      </c>
      <c r="K30" s="68">
        <v>4.5</v>
      </c>
      <c r="L30" s="68">
        <v>0</v>
      </c>
      <c r="M30" s="68">
        <v>0</v>
      </c>
      <c r="N30" s="68">
        <v>0</v>
      </c>
    </row>
    <row r="31" spans="1:14" x14ac:dyDescent="0.2">
      <c r="A31" s="56" t="s">
        <v>256</v>
      </c>
      <c r="B31" s="56" t="s">
        <v>10</v>
      </c>
      <c r="C31" s="56" t="s">
        <v>962</v>
      </c>
      <c r="D31" s="56" t="s">
        <v>230</v>
      </c>
      <c r="E31" s="68">
        <f>IF(B31="","",VLOOKUP(B31,dagsoorttabel1,2,FALSE))</f>
        <v>0.8</v>
      </c>
      <c r="F31" s="68">
        <v>1</v>
      </c>
      <c r="G31" s="68">
        <f>IF(prodnorm39&gt;0,1/ROUND(prodnorm39,4),0)</f>
        <v>0</v>
      </c>
      <c r="H31" s="60">
        <f>ROUND(uurtarief39,2)</f>
        <v>0</v>
      </c>
      <c r="I31" s="68">
        <v>319.29999999999995</v>
      </c>
      <c r="J31" s="68">
        <v>7.6</v>
      </c>
      <c r="K31" s="68">
        <v>0</v>
      </c>
      <c r="L31" s="68">
        <v>20</v>
      </c>
      <c r="M31" s="68">
        <v>0</v>
      </c>
      <c r="N31" s="68">
        <v>39.54</v>
      </c>
    </row>
    <row r="32" spans="1:14" x14ac:dyDescent="0.2">
      <c r="A32" s="56" t="s">
        <v>256</v>
      </c>
      <c r="B32" s="56" t="s">
        <v>9</v>
      </c>
      <c r="C32" s="56" t="s">
        <v>962</v>
      </c>
      <c r="D32" s="56" t="s">
        <v>230</v>
      </c>
      <c r="E32" s="68">
        <f>IF(B32="","",VLOOKUP(B32,dagsoorttabel1,2,FALSE))</f>
        <v>1</v>
      </c>
      <c r="F32" s="68">
        <v>1</v>
      </c>
      <c r="G32" s="68">
        <f>IF(prodnorm40&gt;0,1/ROUND(prodnorm40,4),0)</f>
        <v>0</v>
      </c>
      <c r="H32" s="60">
        <f>ROUND(uurtarief40,2)</f>
        <v>0</v>
      </c>
      <c r="I32" s="68">
        <v>0</v>
      </c>
      <c r="J32" s="68">
        <v>98.200000000000017</v>
      </c>
      <c r="K32" s="68">
        <v>237.9</v>
      </c>
      <c r="L32" s="68">
        <v>0</v>
      </c>
      <c r="M32" s="68">
        <v>0</v>
      </c>
      <c r="N32" s="68">
        <v>0</v>
      </c>
    </row>
    <row r="33" spans="1:14" x14ac:dyDescent="0.2">
      <c r="A33" s="56" t="s">
        <v>258</v>
      </c>
      <c r="B33" s="56" t="s">
        <v>15</v>
      </c>
      <c r="C33" s="56" t="s">
        <v>962</v>
      </c>
      <c r="D33" s="56" t="s">
        <v>230</v>
      </c>
      <c r="E33" s="68">
        <f>IF(B33="","",VLOOKUP(B33,dagsoorttabel1,2,FALSE))</f>
        <v>0.1</v>
      </c>
      <c r="F33" s="68">
        <v>1</v>
      </c>
      <c r="G33" s="68">
        <f>IF(prodnorm41&gt;0,1/ROUND(prodnorm41,4),0)</f>
        <v>0</v>
      </c>
      <c r="H33" s="60">
        <f>ROUND(uurtarief41,2)</f>
        <v>0</v>
      </c>
      <c r="I33" s="68">
        <v>0</v>
      </c>
      <c r="J33" s="68">
        <v>0</v>
      </c>
      <c r="K33" s="68">
        <v>0</v>
      </c>
      <c r="L33" s="68">
        <v>0</v>
      </c>
      <c r="M33" s="68">
        <v>24.32</v>
      </c>
      <c r="N33" s="68">
        <v>0</v>
      </c>
    </row>
    <row r="34" spans="1:14" x14ac:dyDescent="0.2">
      <c r="A34" s="56" t="s">
        <v>258</v>
      </c>
      <c r="B34" s="56" t="s">
        <v>9</v>
      </c>
      <c r="C34" s="56" t="s">
        <v>962</v>
      </c>
      <c r="D34" s="56" t="s">
        <v>230</v>
      </c>
      <c r="E34" s="68">
        <f>IF(B34="","",VLOOKUP(B34,dagsoorttabel1,2,FALSE))</f>
        <v>1</v>
      </c>
      <c r="F34" s="68">
        <v>1</v>
      </c>
      <c r="G34" s="68">
        <f>IF(prodnorm42&gt;0,1/ROUND(prodnorm42,4),0)</f>
        <v>0</v>
      </c>
      <c r="H34" s="60">
        <f>ROUND(uurtarief42,2)</f>
        <v>0</v>
      </c>
      <c r="I34" s="68">
        <v>0</v>
      </c>
      <c r="J34" s="68">
        <v>43.5</v>
      </c>
      <c r="K34" s="68">
        <v>0</v>
      </c>
      <c r="L34" s="68">
        <v>0</v>
      </c>
      <c r="M34" s="68">
        <v>0</v>
      </c>
      <c r="N34" s="68">
        <v>0</v>
      </c>
    </row>
    <row r="35" spans="1:14" x14ac:dyDescent="0.2">
      <c r="A35" s="56" t="s">
        <v>260</v>
      </c>
      <c r="B35" s="56" t="s">
        <v>10</v>
      </c>
      <c r="C35" s="56" t="s">
        <v>962</v>
      </c>
      <c r="D35" s="56" t="s">
        <v>230</v>
      </c>
      <c r="E35" s="68">
        <f>IF(B35="","",VLOOKUP(B35,dagsoorttabel1,2,FALSE))</f>
        <v>0.8</v>
      </c>
      <c r="F35" s="68">
        <v>1</v>
      </c>
      <c r="G35" s="68">
        <f>IF(prodnorm43&gt;0,1/ROUND(prodnorm43,4),0)</f>
        <v>0</v>
      </c>
      <c r="H35" s="60">
        <f>ROUND(uurtarief43,2)</f>
        <v>0</v>
      </c>
      <c r="I35" s="68">
        <v>57.6</v>
      </c>
      <c r="J35" s="68">
        <v>0</v>
      </c>
      <c r="K35" s="68">
        <v>0</v>
      </c>
      <c r="L35" s="68">
        <v>0</v>
      </c>
      <c r="M35" s="68">
        <v>0</v>
      </c>
      <c r="N35" s="68">
        <v>2.44</v>
      </c>
    </row>
    <row r="36" spans="1:14" x14ac:dyDescent="0.2">
      <c r="A36" s="56" t="s">
        <v>262</v>
      </c>
      <c r="B36" s="56" t="s">
        <v>9</v>
      </c>
      <c r="C36" s="56" t="s">
        <v>962</v>
      </c>
      <c r="D36" s="56" t="s">
        <v>230</v>
      </c>
      <c r="E36" s="68">
        <f>IF(B36="","",VLOOKUP(B36,dagsoorttabel1,2,FALSE))</f>
        <v>1</v>
      </c>
      <c r="F36" s="68">
        <v>1</v>
      </c>
      <c r="G36" s="68">
        <f>IF(prodnorm44&gt;0,1/ROUND(prodnorm44,4),0)</f>
        <v>0</v>
      </c>
      <c r="H36" s="60">
        <f>ROUND(uurtarief44,2)</f>
        <v>0</v>
      </c>
      <c r="I36" s="68">
        <v>0</v>
      </c>
      <c r="J36" s="68">
        <v>0</v>
      </c>
      <c r="K36" s="68">
        <v>15</v>
      </c>
      <c r="L36" s="68">
        <v>0</v>
      </c>
      <c r="M36" s="68">
        <v>0</v>
      </c>
      <c r="N36" s="68">
        <v>0</v>
      </c>
    </row>
    <row r="37" spans="1:14" x14ac:dyDescent="0.2">
      <c r="A37" s="56" t="s">
        <v>264</v>
      </c>
      <c r="B37" s="56" t="s">
        <v>10</v>
      </c>
      <c r="C37" s="56" t="s">
        <v>962</v>
      </c>
      <c r="D37" s="56" t="s">
        <v>230</v>
      </c>
      <c r="E37" s="68">
        <f>IF(B37="","",VLOOKUP(B37,dagsoorttabel1,2,FALSE))</f>
        <v>0.8</v>
      </c>
      <c r="F37" s="68">
        <v>1</v>
      </c>
      <c r="G37" s="68">
        <f>IF(prodnorm45&gt;0,1/ROUND(prodnorm45,4),0)</f>
        <v>0</v>
      </c>
      <c r="H37" s="60">
        <f>ROUND(uurtarief45,2)</f>
        <v>0</v>
      </c>
      <c r="I37" s="68">
        <v>4.5</v>
      </c>
      <c r="J37" s="68">
        <v>0</v>
      </c>
      <c r="K37" s="68">
        <v>0</v>
      </c>
      <c r="L37" s="68">
        <v>30</v>
      </c>
      <c r="M37" s="68">
        <v>0</v>
      </c>
      <c r="N37" s="68">
        <v>0</v>
      </c>
    </row>
    <row r="38" spans="1:14" x14ac:dyDescent="0.2">
      <c r="A38" s="56" t="s">
        <v>264</v>
      </c>
      <c r="B38" s="56" t="s">
        <v>9</v>
      </c>
      <c r="C38" s="56" t="s">
        <v>962</v>
      </c>
      <c r="D38" s="56" t="s">
        <v>230</v>
      </c>
      <c r="E38" s="68">
        <f>IF(B38="","",VLOOKUP(B38,dagsoorttabel1,2,FALSE))</f>
        <v>1</v>
      </c>
      <c r="F38" s="68">
        <v>1</v>
      </c>
      <c r="G38" s="68">
        <f>IF(prodnorm46&gt;0,1/ROUND(prodnorm46,4),0)</f>
        <v>0</v>
      </c>
      <c r="H38" s="60">
        <f>ROUND(uurtarief46,2)</f>
        <v>0</v>
      </c>
      <c r="I38" s="68">
        <v>0</v>
      </c>
      <c r="J38" s="68">
        <v>2.9</v>
      </c>
      <c r="K38" s="68">
        <v>0</v>
      </c>
      <c r="L38" s="68">
        <v>0</v>
      </c>
      <c r="M38" s="68">
        <v>0</v>
      </c>
      <c r="N38" s="68">
        <v>0</v>
      </c>
    </row>
    <row r="39" spans="1:14" x14ac:dyDescent="0.2">
      <c r="A39" s="56" t="s">
        <v>266</v>
      </c>
      <c r="B39" s="56" t="s">
        <v>16</v>
      </c>
      <c r="C39" s="56" t="s">
        <v>962</v>
      </c>
      <c r="D39" s="56" t="s">
        <v>230</v>
      </c>
      <c r="E39" s="68">
        <f>IF(B39="","",VLOOKUP(B39,dagsoorttabel1,2,FALSE))</f>
        <v>4.6153846153846156E-2</v>
      </c>
      <c r="F39" s="68">
        <v>1</v>
      </c>
      <c r="G39" s="68">
        <f>IF(prodnorm47&gt;0,1/ROUND(prodnorm47,4),0)</f>
        <v>0</v>
      </c>
      <c r="H39" s="60">
        <f>ROUND(uurtarief47,2)</f>
        <v>0</v>
      </c>
      <c r="I39" s="68">
        <v>1.4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</row>
    <row r="40" spans="1:14" x14ac:dyDescent="0.2">
      <c r="A40" s="56" t="s">
        <v>266</v>
      </c>
      <c r="B40" s="56" t="s">
        <v>14</v>
      </c>
      <c r="C40" s="56" t="s">
        <v>962</v>
      </c>
      <c r="D40" s="56" t="s">
        <v>230</v>
      </c>
      <c r="E40" s="68">
        <f>IF(B40="","",VLOOKUP(B40,dagsoorttabel1,2,FALSE))</f>
        <v>0.2</v>
      </c>
      <c r="F40" s="68">
        <v>1</v>
      </c>
      <c r="G40" s="68">
        <f>IF(prodnorm48&gt;0,1/ROUND(prodnorm48,4),0)</f>
        <v>0</v>
      </c>
      <c r="H40" s="60">
        <f>ROUND(uurtarief48,2)</f>
        <v>0</v>
      </c>
      <c r="I40" s="68">
        <v>16.7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</row>
    <row r="41" spans="1:14" x14ac:dyDescent="0.2">
      <c r="A41" s="56" t="s">
        <v>266</v>
      </c>
      <c r="B41" s="56" t="s">
        <v>15</v>
      </c>
      <c r="C41" s="56" t="s">
        <v>962</v>
      </c>
      <c r="D41" s="56" t="s">
        <v>230</v>
      </c>
      <c r="E41" s="68">
        <f>IF(B41="","",VLOOKUP(B41,dagsoorttabel1,2,FALSE))</f>
        <v>0.1</v>
      </c>
      <c r="F41" s="68">
        <v>1</v>
      </c>
      <c r="G41" s="68">
        <f>IF(prodnorm49&gt;0,1/ROUND(prodnorm49,4),0)</f>
        <v>0</v>
      </c>
      <c r="H41" s="60">
        <f>ROUND(uurtarief49,2)</f>
        <v>0</v>
      </c>
      <c r="I41" s="68">
        <v>0</v>
      </c>
      <c r="J41" s="68">
        <v>0</v>
      </c>
      <c r="K41" s="68">
        <v>0</v>
      </c>
      <c r="L41" s="68">
        <v>0</v>
      </c>
      <c r="M41" s="68">
        <v>5.37</v>
      </c>
      <c r="N41" s="68">
        <v>0</v>
      </c>
    </row>
    <row r="42" spans="1:14" x14ac:dyDescent="0.2">
      <c r="A42" s="56" t="s">
        <v>266</v>
      </c>
      <c r="B42" s="56" t="s">
        <v>10</v>
      </c>
      <c r="C42" s="56" t="s">
        <v>962</v>
      </c>
      <c r="D42" s="56" t="s">
        <v>230</v>
      </c>
      <c r="E42" s="68">
        <f>IF(B42="","",VLOOKUP(B42,dagsoorttabel1,2,FALSE))</f>
        <v>0.8</v>
      </c>
      <c r="F42" s="68">
        <v>1</v>
      </c>
      <c r="G42" s="68">
        <f>IF(prodnorm50&gt;0,1/ROUND(prodnorm50,4),0)</f>
        <v>0</v>
      </c>
      <c r="H42" s="60">
        <f>ROUND(uurtarief50,2)</f>
        <v>0</v>
      </c>
      <c r="I42" s="68">
        <v>179.40000000000003</v>
      </c>
      <c r="J42" s="68">
        <v>12.8</v>
      </c>
      <c r="K42" s="68">
        <v>0</v>
      </c>
      <c r="L42" s="68">
        <v>163</v>
      </c>
      <c r="M42" s="68">
        <v>0</v>
      </c>
      <c r="N42" s="68">
        <v>0</v>
      </c>
    </row>
    <row r="43" spans="1:14" x14ac:dyDescent="0.2">
      <c r="A43" s="56" t="s">
        <v>266</v>
      </c>
      <c r="B43" s="56" t="s">
        <v>9</v>
      </c>
      <c r="C43" s="56" t="s">
        <v>962</v>
      </c>
      <c r="D43" s="56" t="s">
        <v>230</v>
      </c>
      <c r="E43" s="68">
        <f>IF(B43="","",VLOOKUP(B43,dagsoorttabel1,2,FALSE))</f>
        <v>1</v>
      </c>
      <c r="F43" s="68">
        <v>1</v>
      </c>
      <c r="G43" s="68">
        <f>IF(prodnorm51&gt;0,1/ROUND(prodnorm51,4),0)</f>
        <v>0</v>
      </c>
      <c r="H43" s="60">
        <f>ROUND(uurtarief51,2)</f>
        <v>0</v>
      </c>
      <c r="I43" s="68">
        <v>0</v>
      </c>
      <c r="J43" s="68">
        <v>78.199999999999989</v>
      </c>
      <c r="K43" s="68">
        <v>33</v>
      </c>
      <c r="L43" s="68">
        <v>0</v>
      </c>
      <c r="M43" s="68">
        <v>0</v>
      </c>
      <c r="N43" s="68">
        <v>0</v>
      </c>
    </row>
    <row r="44" spans="1:14" x14ac:dyDescent="0.2">
      <c r="A44" s="56" t="s">
        <v>266</v>
      </c>
      <c r="B44" s="56" t="s">
        <v>17</v>
      </c>
      <c r="C44" s="56" t="s">
        <v>962</v>
      </c>
      <c r="D44" s="56" t="s">
        <v>230</v>
      </c>
      <c r="E44" s="68">
        <f>IF(B44="","",VLOOKUP(B44,dagsoorttabel1,2,FALSE))</f>
        <v>2.3076923076923078E-2</v>
      </c>
      <c r="F44" s="68">
        <v>1</v>
      </c>
      <c r="G44" s="68">
        <f>IF(prodnorm52&gt;0,1/ROUND(prodnorm52,4),0)</f>
        <v>0</v>
      </c>
      <c r="H44" s="60">
        <f>ROUND(uurtarief52,2)</f>
        <v>0</v>
      </c>
      <c r="I44" s="68">
        <v>0</v>
      </c>
      <c r="J44" s="68">
        <v>7.8</v>
      </c>
      <c r="K44" s="68">
        <v>0</v>
      </c>
      <c r="L44" s="68">
        <v>0</v>
      </c>
      <c r="M44" s="68">
        <v>0</v>
      </c>
      <c r="N44" s="68">
        <v>0</v>
      </c>
    </row>
    <row r="45" spans="1:14" x14ac:dyDescent="0.2">
      <c r="A45" s="56" t="s">
        <v>268</v>
      </c>
      <c r="B45" s="56" t="s">
        <v>9</v>
      </c>
      <c r="C45" s="56" t="s">
        <v>962</v>
      </c>
      <c r="D45" s="56" t="s">
        <v>230</v>
      </c>
      <c r="E45" s="68">
        <f>IF(B45="","",VLOOKUP(B45,dagsoorttabel1,2,FALSE))</f>
        <v>1</v>
      </c>
      <c r="F45" s="68">
        <v>1</v>
      </c>
      <c r="G45" s="68">
        <f>IF(prodnorm53&gt;0,1/ROUND(prodnorm53,4),0)</f>
        <v>0</v>
      </c>
      <c r="H45" s="60">
        <f>ROUND(uurtarief53,2)</f>
        <v>0</v>
      </c>
      <c r="I45" s="68">
        <v>0</v>
      </c>
      <c r="J45" s="68">
        <v>12.4</v>
      </c>
      <c r="K45" s="68">
        <v>0</v>
      </c>
      <c r="L45" s="68">
        <v>0</v>
      </c>
      <c r="M45" s="68">
        <v>0</v>
      </c>
      <c r="N45" s="68">
        <v>0</v>
      </c>
    </row>
    <row r="46" spans="1:14" x14ac:dyDescent="0.2">
      <c r="A46" s="56" t="s">
        <v>270</v>
      </c>
      <c r="B46" s="56" t="s">
        <v>10</v>
      </c>
      <c r="C46" s="56" t="s">
        <v>962</v>
      </c>
      <c r="D46" s="56" t="s">
        <v>230</v>
      </c>
      <c r="E46" s="68">
        <f>IF(B46="","",VLOOKUP(B46,dagsoorttabel1,2,FALSE))</f>
        <v>0.8</v>
      </c>
      <c r="F46" s="68">
        <v>1</v>
      </c>
      <c r="G46" s="68">
        <f>IF(prodnorm54&gt;0,1/ROUND(prodnorm54,4),0)</f>
        <v>0</v>
      </c>
      <c r="H46" s="60">
        <f>ROUND(uurtarief54,2)</f>
        <v>0</v>
      </c>
      <c r="I46" s="68">
        <v>164.3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</row>
    <row r="47" spans="1:14" x14ac:dyDescent="0.2">
      <c r="A47" s="61" t="s">
        <v>272</v>
      </c>
      <c r="B47" s="61" t="s">
        <v>9</v>
      </c>
      <c r="C47" s="61" t="s">
        <v>962</v>
      </c>
      <c r="D47" s="61" t="s">
        <v>273</v>
      </c>
      <c r="E47" s="70">
        <f>IF(B47="","",VLOOKUP(B47,dagsoorttabel1,2,FALSE))</f>
        <v>1</v>
      </c>
      <c r="F47" s="70">
        <v>1</v>
      </c>
      <c r="G47" s="70">
        <f>ROUND(prodnorm12,4)/60</f>
        <v>0</v>
      </c>
      <c r="H47" s="65">
        <f>ROUND(uurtarief12,2)</f>
        <v>0</v>
      </c>
      <c r="I47" s="70">
        <v>0</v>
      </c>
      <c r="J47" s="70">
        <v>1</v>
      </c>
      <c r="K47" s="70">
        <v>0</v>
      </c>
      <c r="L47" s="70">
        <v>0</v>
      </c>
      <c r="M47" s="70">
        <v>0</v>
      </c>
      <c r="N47" s="70">
        <v>0</v>
      </c>
    </row>
    <row r="48" spans="1:14" x14ac:dyDescent="0.2">
      <c r="A48" s="73" t="s">
        <v>276</v>
      </c>
      <c r="B48" s="74"/>
      <c r="C48" s="74"/>
      <c r="D48" s="74"/>
      <c r="E48" s="74"/>
      <c r="F48" s="74"/>
      <c r="G48" s="74"/>
      <c r="H48" s="74"/>
      <c r="I48" s="108"/>
      <c r="J48" s="108"/>
      <c r="K48" s="108"/>
      <c r="L48" s="108"/>
      <c r="M48" s="108"/>
      <c r="N48" s="108"/>
    </row>
    <row r="50" spans="1:14" x14ac:dyDescent="0.2">
      <c r="A50" s="51" t="s">
        <v>278</v>
      </c>
      <c r="B50" s="51" t="s">
        <v>18</v>
      </c>
      <c r="C50" s="51" t="s">
        <v>963</v>
      </c>
      <c r="D50" s="51" t="s">
        <v>230</v>
      </c>
      <c r="E50" s="66">
        <f>IF(B50="","",VLOOKUP(B50,dagsoorttabel1,2,FALSE))</f>
        <v>1.9230769230769232E-2</v>
      </c>
      <c r="F50" s="66">
        <v>1</v>
      </c>
      <c r="G50" s="66">
        <f>IF(prodnorm56&gt;0,1/ROUND(prodnorm56,4),0)</f>
        <v>0</v>
      </c>
      <c r="H50" s="55">
        <f>ROUND(uurtarief56,2)</f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66">
        <v>12.39</v>
      </c>
    </row>
    <row r="51" spans="1:14" x14ac:dyDescent="0.2">
      <c r="A51" s="56" t="s">
        <v>279</v>
      </c>
      <c r="B51" s="56" t="s">
        <v>18</v>
      </c>
      <c r="C51" s="56" t="s">
        <v>963</v>
      </c>
      <c r="D51" s="56" t="s">
        <v>230</v>
      </c>
      <c r="E51" s="68">
        <f>IF(B51="","",VLOOKUP(B51,dagsoorttabel1,2,FALSE))</f>
        <v>1.9230769230769232E-2</v>
      </c>
      <c r="F51" s="68">
        <v>1</v>
      </c>
      <c r="G51" s="68">
        <f>IF(prodnorm57&gt;0,1/ROUND(prodnorm57,4),0)</f>
        <v>0</v>
      </c>
      <c r="H51" s="60">
        <f>ROUND(uurtarief57,2)</f>
        <v>0</v>
      </c>
      <c r="I51" s="68">
        <v>0</v>
      </c>
      <c r="J51" s="68">
        <v>0</v>
      </c>
      <c r="K51" s="68">
        <v>0</v>
      </c>
      <c r="L51" s="68">
        <v>0</v>
      </c>
      <c r="M51" s="68">
        <v>0</v>
      </c>
      <c r="N51" s="68">
        <v>14.79</v>
      </c>
    </row>
    <row r="52" spans="1:14" x14ac:dyDescent="0.2">
      <c r="A52" s="56" t="s">
        <v>280</v>
      </c>
      <c r="B52" s="56" t="s">
        <v>18</v>
      </c>
      <c r="C52" s="56" t="s">
        <v>963</v>
      </c>
      <c r="D52" s="56" t="s">
        <v>230</v>
      </c>
      <c r="E52" s="68">
        <f>IF(B52="","",VLOOKUP(B52,dagsoorttabel1,2,FALSE))</f>
        <v>1.9230769230769232E-2</v>
      </c>
      <c r="F52" s="68">
        <v>1</v>
      </c>
      <c r="G52" s="68">
        <f>IF(prodnorm58&gt;0,1/ROUND(prodnorm58,4),0)</f>
        <v>0</v>
      </c>
      <c r="H52" s="60">
        <f>ROUND(uurtarief58,2)</f>
        <v>0</v>
      </c>
      <c r="I52" s="68">
        <v>0</v>
      </c>
      <c r="J52" s="68">
        <v>0</v>
      </c>
      <c r="K52" s="68">
        <v>16.5</v>
      </c>
      <c r="L52" s="68">
        <v>0</v>
      </c>
      <c r="M52" s="68">
        <v>0</v>
      </c>
      <c r="N52" s="68">
        <v>5.26</v>
      </c>
    </row>
    <row r="53" spans="1:14" x14ac:dyDescent="0.2">
      <c r="A53" s="56" t="s">
        <v>281</v>
      </c>
      <c r="B53" s="56" t="s">
        <v>18</v>
      </c>
      <c r="C53" s="56" t="s">
        <v>963</v>
      </c>
      <c r="D53" s="56" t="s">
        <v>230</v>
      </c>
      <c r="E53" s="68">
        <f>IF(B53="","",VLOOKUP(B53,dagsoorttabel1,2,FALSE))</f>
        <v>1.9230769230769232E-2</v>
      </c>
      <c r="F53" s="68">
        <v>1</v>
      </c>
      <c r="G53" s="68">
        <f>IF(prodnorm59&gt;0,1/ROUND(prodnorm59,4),0)</f>
        <v>0</v>
      </c>
      <c r="H53" s="60">
        <f>ROUND(uurtarief59,2)</f>
        <v>0</v>
      </c>
      <c r="I53" s="68">
        <v>0</v>
      </c>
      <c r="J53" s="68">
        <v>75.7</v>
      </c>
      <c r="K53" s="68">
        <v>181</v>
      </c>
      <c r="L53" s="68">
        <v>133</v>
      </c>
      <c r="M53" s="68">
        <v>0</v>
      </c>
      <c r="N53" s="68">
        <v>0</v>
      </c>
    </row>
    <row r="54" spans="1:14" x14ac:dyDescent="0.2">
      <c r="A54" s="56" t="s">
        <v>282</v>
      </c>
      <c r="B54" s="56" t="s">
        <v>18</v>
      </c>
      <c r="C54" s="56" t="s">
        <v>963</v>
      </c>
      <c r="D54" s="56" t="s">
        <v>230</v>
      </c>
      <c r="E54" s="68">
        <f>IF(B54="","",VLOOKUP(B54,dagsoorttabel1,2,FALSE))</f>
        <v>1.9230769230769232E-2</v>
      </c>
      <c r="F54" s="68">
        <v>1</v>
      </c>
      <c r="G54" s="68">
        <f>IF(prodnorm60&gt;0,1/ROUND(prodnorm60,4),0)</f>
        <v>0</v>
      </c>
      <c r="H54" s="60">
        <f>ROUND(uurtarief60,2)</f>
        <v>0</v>
      </c>
      <c r="I54" s="68">
        <v>0</v>
      </c>
      <c r="J54" s="68">
        <v>0</v>
      </c>
      <c r="K54" s="68">
        <v>119</v>
      </c>
      <c r="L54" s="68">
        <v>0</v>
      </c>
      <c r="M54" s="68">
        <v>0</v>
      </c>
      <c r="N54" s="68">
        <v>0</v>
      </c>
    </row>
    <row r="55" spans="1:14" x14ac:dyDescent="0.2">
      <c r="A55" s="56" t="s">
        <v>283</v>
      </c>
      <c r="B55" s="56" t="s">
        <v>18</v>
      </c>
      <c r="C55" s="56" t="s">
        <v>963</v>
      </c>
      <c r="D55" s="56" t="s">
        <v>230</v>
      </c>
      <c r="E55" s="68">
        <f>IF(B55="","",VLOOKUP(B55,dagsoorttabel1,2,FALSE))</f>
        <v>1.9230769230769232E-2</v>
      </c>
      <c r="F55" s="68">
        <v>1</v>
      </c>
      <c r="G55" s="68">
        <f>IF(prodnorm61&gt;0,1/ROUND(prodnorm61,4),0)</f>
        <v>0</v>
      </c>
      <c r="H55" s="60">
        <f>ROUND(uurtarief61,2)</f>
        <v>0</v>
      </c>
      <c r="I55" s="68">
        <v>1745.1</v>
      </c>
      <c r="J55" s="68">
        <v>0</v>
      </c>
      <c r="K55" s="68">
        <v>0</v>
      </c>
      <c r="L55" s="68">
        <v>0</v>
      </c>
      <c r="M55" s="68">
        <v>0</v>
      </c>
      <c r="N55" s="68">
        <v>0</v>
      </c>
    </row>
    <row r="56" spans="1:14" x14ac:dyDescent="0.2">
      <c r="A56" s="56" t="s">
        <v>284</v>
      </c>
      <c r="B56" s="56" t="s">
        <v>18</v>
      </c>
      <c r="C56" s="56" t="s">
        <v>963</v>
      </c>
      <c r="D56" s="56" t="s">
        <v>230</v>
      </c>
      <c r="E56" s="68">
        <f>IF(B56="","",VLOOKUP(B56,dagsoorttabel1,2,FALSE))</f>
        <v>1.9230769230769232E-2</v>
      </c>
      <c r="F56" s="68">
        <v>1</v>
      </c>
      <c r="G56" s="68">
        <f>IF(prodnorm62&gt;0,1/ROUND(prodnorm62,4),0)</f>
        <v>0</v>
      </c>
      <c r="H56" s="60">
        <f>ROUND(uurtarief62,2)</f>
        <v>0</v>
      </c>
      <c r="I56" s="68">
        <v>1014.4000000000001</v>
      </c>
      <c r="J56" s="68">
        <v>0</v>
      </c>
      <c r="K56" s="68">
        <v>0</v>
      </c>
      <c r="L56" s="68">
        <v>0</v>
      </c>
      <c r="M56" s="68">
        <v>0</v>
      </c>
      <c r="N56" s="68">
        <v>0</v>
      </c>
    </row>
    <row r="57" spans="1:14" x14ac:dyDescent="0.2">
      <c r="A57" s="56" t="s">
        <v>285</v>
      </c>
      <c r="B57" s="56" t="s">
        <v>18</v>
      </c>
      <c r="C57" s="56" t="s">
        <v>963</v>
      </c>
      <c r="D57" s="56" t="s">
        <v>230</v>
      </c>
      <c r="E57" s="68">
        <f>IF(B57="","",VLOOKUP(B57,dagsoorttabel1,2,FALSE))</f>
        <v>1.9230769230769232E-2</v>
      </c>
      <c r="F57" s="68">
        <v>1</v>
      </c>
      <c r="G57" s="68">
        <f>IF(prodnorm63&gt;0,1/ROUND(prodnorm63,4),0)</f>
        <v>0</v>
      </c>
      <c r="H57" s="60">
        <f>ROUND(uurtarief63,2)</f>
        <v>0</v>
      </c>
      <c r="I57" s="68">
        <v>0</v>
      </c>
      <c r="J57" s="68">
        <v>0</v>
      </c>
      <c r="K57" s="68">
        <v>792</v>
      </c>
      <c r="L57" s="68">
        <v>0</v>
      </c>
      <c r="M57" s="68">
        <v>0</v>
      </c>
      <c r="N57" s="68">
        <v>0</v>
      </c>
    </row>
    <row r="58" spans="1:14" x14ac:dyDescent="0.2">
      <c r="A58" s="56" t="s">
        <v>287</v>
      </c>
      <c r="B58" s="56" t="s">
        <v>18</v>
      </c>
      <c r="C58" s="56" t="s">
        <v>963</v>
      </c>
      <c r="D58" s="56" t="s">
        <v>230</v>
      </c>
      <c r="E58" s="68">
        <f>IF(B58="","",VLOOKUP(B58,dagsoorttabel1,2,FALSE))</f>
        <v>1.9230769230769232E-2</v>
      </c>
      <c r="F58" s="68">
        <v>1</v>
      </c>
      <c r="G58" s="68">
        <f>IF(prodnorm64&gt;0,1/ROUND(prodnorm64,4),0)</f>
        <v>0</v>
      </c>
      <c r="H58" s="60">
        <f>ROUND(uurtarief64,2)</f>
        <v>0</v>
      </c>
      <c r="I58" s="68">
        <v>0</v>
      </c>
      <c r="J58" s="68">
        <v>26.9</v>
      </c>
      <c r="K58" s="68">
        <v>0</v>
      </c>
      <c r="L58" s="68">
        <v>0</v>
      </c>
      <c r="M58" s="68">
        <v>0</v>
      </c>
      <c r="N58" s="68">
        <v>0</v>
      </c>
    </row>
    <row r="59" spans="1:14" x14ac:dyDescent="0.2">
      <c r="A59" s="56" t="s">
        <v>288</v>
      </c>
      <c r="B59" s="56" t="s">
        <v>18</v>
      </c>
      <c r="C59" s="56" t="s">
        <v>963</v>
      </c>
      <c r="D59" s="56" t="s">
        <v>230</v>
      </c>
      <c r="E59" s="68">
        <f>IF(B59="","",VLOOKUP(B59,dagsoorttabel1,2,FALSE))</f>
        <v>1.9230769230769232E-2</v>
      </c>
      <c r="F59" s="68">
        <v>1</v>
      </c>
      <c r="G59" s="68">
        <f>IF(prodnorm65&gt;0,1/ROUND(prodnorm65,4),0)</f>
        <v>0</v>
      </c>
      <c r="H59" s="60">
        <f>ROUND(uurtarief65,2)</f>
        <v>0</v>
      </c>
      <c r="I59" s="68">
        <v>37</v>
      </c>
      <c r="J59" s="68">
        <v>33.4</v>
      </c>
      <c r="K59" s="68">
        <v>84</v>
      </c>
      <c r="L59" s="68">
        <v>16.5</v>
      </c>
      <c r="M59" s="68">
        <v>0</v>
      </c>
      <c r="N59" s="68">
        <v>1.74</v>
      </c>
    </row>
    <row r="60" spans="1:14" x14ac:dyDescent="0.2">
      <c r="A60" s="56" t="s">
        <v>289</v>
      </c>
      <c r="B60" s="56" t="s">
        <v>18</v>
      </c>
      <c r="C60" s="56" t="s">
        <v>963</v>
      </c>
      <c r="D60" s="56" t="s">
        <v>230</v>
      </c>
      <c r="E60" s="68">
        <f>IF(B60="","",VLOOKUP(B60,dagsoorttabel1,2,FALSE))</f>
        <v>1.9230769230769232E-2</v>
      </c>
      <c r="F60" s="68">
        <v>1</v>
      </c>
      <c r="G60" s="68">
        <f>IF(prodnorm66&gt;0,1/ROUND(prodnorm66,4),0)</f>
        <v>0</v>
      </c>
      <c r="H60" s="60">
        <f>ROUND(uurtarief66,2)</f>
        <v>0</v>
      </c>
      <c r="I60" s="68">
        <v>32.200000000000003</v>
      </c>
      <c r="J60" s="68">
        <v>24.9</v>
      </c>
      <c r="K60" s="68">
        <v>84</v>
      </c>
      <c r="L60" s="68">
        <v>16.5</v>
      </c>
      <c r="M60" s="68">
        <v>0</v>
      </c>
      <c r="N60" s="68">
        <v>0</v>
      </c>
    </row>
    <row r="61" spans="1:14" x14ac:dyDescent="0.2">
      <c r="A61" s="56" t="s">
        <v>290</v>
      </c>
      <c r="B61" s="56" t="s">
        <v>18</v>
      </c>
      <c r="C61" s="56" t="s">
        <v>963</v>
      </c>
      <c r="D61" s="56" t="s">
        <v>230</v>
      </c>
      <c r="E61" s="68">
        <f>IF(B61="","",VLOOKUP(B61,dagsoorttabel1,2,FALSE))</f>
        <v>1.9230769230769232E-2</v>
      </c>
      <c r="F61" s="68">
        <v>1</v>
      </c>
      <c r="G61" s="68">
        <f>IF(prodnorm67&gt;0,1/ROUND(prodnorm67,4),0)</f>
        <v>0</v>
      </c>
      <c r="H61" s="60">
        <f>ROUND(uurtarief67,2)</f>
        <v>0</v>
      </c>
      <c r="I61" s="68">
        <v>319.29999999999995</v>
      </c>
      <c r="J61" s="68">
        <v>7.6</v>
      </c>
      <c r="K61" s="68">
        <v>237.9</v>
      </c>
      <c r="L61" s="68">
        <v>20</v>
      </c>
      <c r="M61" s="68">
        <v>0</v>
      </c>
      <c r="N61" s="68">
        <v>39.54</v>
      </c>
    </row>
    <row r="62" spans="1:14" x14ac:dyDescent="0.2">
      <c r="A62" s="56" t="s">
        <v>291</v>
      </c>
      <c r="B62" s="56" t="s">
        <v>18</v>
      </c>
      <c r="C62" s="56" t="s">
        <v>963</v>
      </c>
      <c r="D62" s="56" t="s">
        <v>230</v>
      </c>
      <c r="E62" s="68">
        <f>IF(B62="","",VLOOKUP(B62,dagsoorttabel1,2,FALSE))</f>
        <v>1.9230769230769232E-2</v>
      </c>
      <c r="F62" s="68">
        <v>1</v>
      </c>
      <c r="G62" s="68">
        <f>IF(prodnorm68&gt;0,1/ROUND(prodnorm68,4),0)</f>
        <v>0</v>
      </c>
      <c r="H62" s="60">
        <f>ROUND(uurtarief68,2)</f>
        <v>0</v>
      </c>
      <c r="I62" s="68">
        <v>57.6</v>
      </c>
      <c r="J62" s="68">
        <v>0</v>
      </c>
      <c r="K62" s="68">
        <v>0</v>
      </c>
      <c r="L62" s="68">
        <v>0</v>
      </c>
      <c r="M62" s="68">
        <v>0</v>
      </c>
      <c r="N62" s="68">
        <v>2.44</v>
      </c>
    </row>
    <row r="63" spans="1:14" x14ac:dyDescent="0.2">
      <c r="A63" s="56" t="s">
        <v>292</v>
      </c>
      <c r="B63" s="56" t="s">
        <v>18</v>
      </c>
      <c r="C63" s="56" t="s">
        <v>963</v>
      </c>
      <c r="D63" s="56" t="s">
        <v>230</v>
      </c>
      <c r="E63" s="68">
        <f>IF(B63="","",VLOOKUP(B63,dagsoorttabel1,2,FALSE))</f>
        <v>1.9230769230769232E-2</v>
      </c>
      <c r="F63" s="68">
        <v>1</v>
      </c>
      <c r="G63" s="68">
        <f>IF(prodnorm69&gt;0,1/ROUND(prodnorm69,4),0)</f>
        <v>0</v>
      </c>
      <c r="H63" s="60">
        <f>ROUND(uurtarief69,2)</f>
        <v>0</v>
      </c>
      <c r="I63" s="68">
        <v>0</v>
      </c>
      <c r="J63" s="68">
        <v>0</v>
      </c>
      <c r="K63" s="68">
        <v>15</v>
      </c>
      <c r="L63" s="68">
        <v>0</v>
      </c>
      <c r="M63" s="68">
        <v>0</v>
      </c>
      <c r="N63" s="68">
        <v>0</v>
      </c>
    </row>
    <row r="64" spans="1:14" x14ac:dyDescent="0.2">
      <c r="A64" s="56" t="s">
        <v>293</v>
      </c>
      <c r="B64" s="56" t="s">
        <v>18</v>
      </c>
      <c r="C64" s="56" t="s">
        <v>963</v>
      </c>
      <c r="D64" s="56" t="s">
        <v>230</v>
      </c>
      <c r="E64" s="68">
        <f>IF(B64="","",VLOOKUP(B64,dagsoorttabel1,2,FALSE))</f>
        <v>1.9230769230769232E-2</v>
      </c>
      <c r="F64" s="68">
        <v>1</v>
      </c>
      <c r="G64" s="68">
        <f>IF(prodnorm70&gt;0,1/ROUND(prodnorm70,4),0)</f>
        <v>0</v>
      </c>
      <c r="H64" s="60">
        <f>ROUND(uurtarief70,2)</f>
        <v>0</v>
      </c>
      <c r="I64" s="68">
        <v>4.5</v>
      </c>
      <c r="J64" s="68">
        <v>0</v>
      </c>
      <c r="K64" s="68">
        <v>0</v>
      </c>
      <c r="L64" s="68">
        <v>30</v>
      </c>
      <c r="M64" s="68">
        <v>0</v>
      </c>
      <c r="N64" s="68">
        <v>0</v>
      </c>
    </row>
    <row r="65" spans="1:14" x14ac:dyDescent="0.2">
      <c r="A65" s="56" t="s">
        <v>294</v>
      </c>
      <c r="B65" s="56" t="s">
        <v>18</v>
      </c>
      <c r="C65" s="56" t="s">
        <v>963</v>
      </c>
      <c r="D65" s="56" t="s">
        <v>230</v>
      </c>
      <c r="E65" s="68">
        <f>IF(B65="","",VLOOKUP(B65,dagsoorttabel1,2,FALSE))</f>
        <v>1.9230769230769232E-2</v>
      </c>
      <c r="F65" s="68">
        <v>1</v>
      </c>
      <c r="G65" s="68">
        <f>IF(prodnorm71&gt;0,1/ROUND(prodnorm71,4),0)</f>
        <v>0</v>
      </c>
      <c r="H65" s="60">
        <f>ROUND(uurtarief71,2)</f>
        <v>0</v>
      </c>
      <c r="I65" s="68">
        <v>179.40000000000003</v>
      </c>
      <c r="J65" s="68">
        <v>12.8</v>
      </c>
      <c r="K65" s="68">
        <v>33</v>
      </c>
      <c r="L65" s="68">
        <v>163</v>
      </c>
      <c r="M65" s="68">
        <v>0</v>
      </c>
      <c r="N65" s="68">
        <v>0</v>
      </c>
    </row>
    <row r="66" spans="1:14" x14ac:dyDescent="0.2">
      <c r="A66" s="56" t="s">
        <v>295</v>
      </c>
      <c r="B66" s="56" t="s">
        <v>18</v>
      </c>
      <c r="C66" s="56" t="s">
        <v>963</v>
      </c>
      <c r="D66" s="56" t="s">
        <v>230</v>
      </c>
      <c r="E66" s="68">
        <f>IF(B66="","",VLOOKUP(B66,dagsoorttabel1,2,FALSE))</f>
        <v>1.9230769230769232E-2</v>
      </c>
      <c r="F66" s="68">
        <v>1</v>
      </c>
      <c r="G66" s="68">
        <f>IF(prodnorm72&gt;0,1/ROUND(prodnorm72,4),0)</f>
        <v>0</v>
      </c>
      <c r="H66" s="60">
        <f>ROUND(uurtarief72,2)</f>
        <v>0</v>
      </c>
      <c r="I66" s="68">
        <v>164.3</v>
      </c>
      <c r="J66" s="68">
        <v>0</v>
      </c>
      <c r="K66" s="68">
        <v>0</v>
      </c>
      <c r="L66" s="68">
        <v>0</v>
      </c>
      <c r="M66" s="68">
        <v>0</v>
      </c>
      <c r="N66" s="68">
        <v>0</v>
      </c>
    </row>
    <row r="67" spans="1:14" x14ac:dyDescent="0.2">
      <c r="A67" s="61" t="s">
        <v>297</v>
      </c>
      <c r="B67" s="61" t="s">
        <v>18</v>
      </c>
      <c r="C67" s="61" t="s">
        <v>963</v>
      </c>
      <c r="D67" s="61" t="s">
        <v>273</v>
      </c>
      <c r="E67" s="70">
        <f>IF(B67="","",VLOOKUP(B67,dagsoorttabel1,2,FALSE))</f>
        <v>1.9230769230769232E-2</v>
      </c>
      <c r="F67" s="70">
        <v>1</v>
      </c>
      <c r="G67" s="70">
        <f>ROUND(prodnorm55,4)/60</f>
        <v>0</v>
      </c>
      <c r="H67" s="65">
        <f>ROUND(uurtarief55,2)</f>
        <v>0</v>
      </c>
      <c r="I67" s="70">
        <v>0</v>
      </c>
      <c r="J67" s="70">
        <v>1</v>
      </c>
      <c r="K67" s="70">
        <v>0</v>
      </c>
      <c r="L67" s="70">
        <v>0</v>
      </c>
      <c r="M67" s="70">
        <v>0</v>
      </c>
      <c r="N67" s="70">
        <v>0</v>
      </c>
    </row>
    <row r="68" spans="1:14" x14ac:dyDescent="0.2">
      <c r="A68" s="73" t="s">
        <v>299</v>
      </c>
      <c r="B68" s="74"/>
      <c r="C68" s="74"/>
      <c r="D68" s="74"/>
      <c r="E68" s="74"/>
      <c r="F68" s="74"/>
      <c r="G68" s="74"/>
      <c r="H68" s="74"/>
      <c r="I68" s="108"/>
      <c r="J68" s="108"/>
      <c r="K68" s="108"/>
      <c r="L68" s="108"/>
      <c r="M68" s="108"/>
      <c r="N68" s="108"/>
    </row>
    <row r="70" spans="1:14" x14ac:dyDescent="0.2">
      <c r="A70" s="51" t="s">
        <v>301</v>
      </c>
      <c r="B70" s="51" t="s">
        <v>13</v>
      </c>
      <c r="C70" s="51" t="s">
        <v>964</v>
      </c>
      <c r="D70" s="51" t="s">
        <v>230</v>
      </c>
      <c r="E70" s="66">
        <f>IF(B70="","",VLOOKUP(B70,dagsoorttabel1,2,FALSE))</f>
        <v>0.4</v>
      </c>
      <c r="F70" s="66">
        <v>1</v>
      </c>
      <c r="G70" s="66">
        <f>IF(prodnorm77&gt;0,1/ROUND(prodnorm77,4),0)</f>
        <v>0</v>
      </c>
      <c r="H70" s="55">
        <f>ROUND(uurtarief77,2)</f>
        <v>0</v>
      </c>
      <c r="I70" s="66">
        <v>0</v>
      </c>
      <c r="J70" s="66">
        <v>0</v>
      </c>
      <c r="K70" s="66">
        <v>0</v>
      </c>
      <c r="L70" s="66">
        <v>0</v>
      </c>
      <c r="M70" s="66">
        <v>0</v>
      </c>
      <c r="N70" s="66">
        <v>12.39</v>
      </c>
    </row>
    <row r="71" spans="1:14" x14ac:dyDescent="0.2">
      <c r="A71" s="56" t="s">
        <v>302</v>
      </c>
      <c r="B71" s="56" t="s">
        <v>13</v>
      </c>
      <c r="C71" s="56" t="s">
        <v>964</v>
      </c>
      <c r="D71" s="56" t="s">
        <v>230</v>
      </c>
      <c r="E71" s="68">
        <f>IF(B71="","",VLOOKUP(B71,dagsoorttabel1,2,FALSE))</f>
        <v>0.4</v>
      </c>
      <c r="F71" s="68">
        <v>1</v>
      </c>
      <c r="G71" s="68">
        <f>IF(prodnorm78&gt;0,1/ROUND(prodnorm78,4),0)</f>
        <v>0</v>
      </c>
      <c r="H71" s="60">
        <f>ROUND(uurtarief78,2)</f>
        <v>0</v>
      </c>
      <c r="I71" s="68">
        <v>0</v>
      </c>
      <c r="J71" s="68">
        <v>0</v>
      </c>
      <c r="K71" s="68">
        <v>0</v>
      </c>
      <c r="L71" s="68">
        <v>0</v>
      </c>
      <c r="M71" s="68">
        <v>0</v>
      </c>
      <c r="N71" s="68">
        <v>14.79</v>
      </c>
    </row>
    <row r="72" spans="1:14" x14ac:dyDescent="0.2">
      <c r="A72" s="56" t="s">
        <v>303</v>
      </c>
      <c r="B72" s="56" t="s">
        <v>13</v>
      </c>
      <c r="C72" s="56" t="s">
        <v>964</v>
      </c>
      <c r="D72" s="56" t="s">
        <v>230</v>
      </c>
      <c r="E72" s="68">
        <f>IF(B72="","",VLOOKUP(B72,dagsoorttabel1,2,FALSE))</f>
        <v>0.4</v>
      </c>
      <c r="F72" s="68">
        <v>1</v>
      </c>
      <c r="G72" s="68">
        <f>IF(prodnorm79&gt;0,1/ROUND(prodnorm79,4),0)</f>
        <v>0</v>
      </c>
      <c r="H72" s="60">
        <f>ROUND(uurtarief79,2)</f>
        <v>0</v>
      </c>
      <c r="I72" s="68">
        <v>0</v>
      </c>
      <c r="J72" s="68">
        <v>0</v>
      </c>
      <c r="K72" s="68">
        <v>16.5</v>
      </c>
      <c r="L72" s="68">
        <v>0</v>
      </c>
      <c r="M72" s="68">
        <v>0</v>
      </c>
      <c r="N72" s="68">
        <v>5.26</v>
      </c>
    </row>
    <row r="73" spans="1:14" x14ac:dyDescent="0.2">
      <c r="A73" s="56" t="s">
        <v>304</v>
      </c>
      <c r="B73" s="56" t="s">
        <v>13</v>
      </c>
      <c r="C73" s="56" t="s">
        <v>964</v>
      </c>
      <c r="D73" s="56" t="s">
        <v>230</v>
      </c>
      <c r="E73" s="68">
        <f>IF(B73="","",VLOOKUP(B73,dagsoorttabel1,2,FALSE))</f>
        <v>0.4</v>
      </c>
      <c r="F73" s="68">
        <v>1</v>
      </c>
      <c r="G73" s="68">
        <f>IF(prodnorm80&gt;0,1/ROUND(prodnorm80,4),0)</f>
        <v>0</v>
      </c>
      <c r="H73" s="60">
        <f>ROUND(uurtarief80,2)</f>
        <v>0</v>
      </c>
      <c r="I73" s="68">
        <v>0</v>
      </c>
      <c r="J73" s="68">
        <v>75.7</v>
      </c>
      <c r="K73" s="68">
        <v>181</v>
      </c>
      <c r="L73" s="68">
        <v>133</v>
      </c>
      <c r="M73" s="68">
        <v>0</v>
      </c>
      <c r="N73" s="68">
        <v>0</v>
      </c>
    </row>
    <row r="74" spans="1:14" x14ac:dyDescent="0.2">
      <c r="A74" s="56" t="s">
        <v>305</v>
      </c>
      <c r="B74" s="56" t="s">
        <v>13</v>
      </c>
      <c r="C74" s="56" t="s">
        <v>964</v>
      </c>
      <c r="D74" s="56" t="s">
        <v>230</v>
      </c>
      <c r="E74" s="68">
        <f>IF(B74="","",VLOOKUP(B74,dagsoorttabel1,2,FALSE))</f>
        <v>0.4</v>
      </c>
      <c r="F74" s="68">
        <v>1</v>
      </c>
      <c r="G74" s="68">
        <f>IF(prodnorm81&gt;0,1/ROUND(prodnorm81,4),0)</f>
        <v>0</v>
      </c>
      <c r="H74" s="60">
        <f>ROUND(uurtarief81,2)</f>
        <v>0</v>
      </c>
      <c r="I74" s="68">
        <v>0</v>
      </c>
      <c r="J74" s="68">
        <v>0</v>
      </c>
      <c r="K74" s="68">
        <v>119</v>
      </c>
      <c r="L74" s="68">
        <v>0</v>
      </c>
      <c r="M74" s="68">
        <v>0</v>
      </c>
      <c r="N74" s="68">
        <v>0</v>
      </c>
    </row>
    <row r="75" spans="1:14" x14ac:dyDescent="0.2">
      <c r="A75" s="56" t="s">
        <v>306</v>
      </c>
      <c r="B75" s="56" t="s">
        <v>13</v>
      </c>
      <c r="C75" s="56" t="s">
        <v>964</v>
      </c>
      <c r="D75" s="56" t="s">
        <v>230</v>
      </c>
      <c r="E75" s="68">
        <f>IF(B75="","",VLOOKUP(B75,dagsoorttabel1,2,FALSE))</f>
        <v>0.4</v>
      </c>
      <c r="F75" s="68">
        <v>1</v>
      </c>
      <c r="G75" s="68">
        <f>IF(prodnorm82&gt;0,1/ROUND(prodnorm82,4),0)</f>
        <v>0</v>
      </c>
      <c r="H75" s="60">
        <f>ROUND(uurtarief82,2)</f>
        <v>0</v>
      </c>
      <c r="I75" s="68">
        <v>1745.1</v>
      </c>
      <c r="J75" s="68">
        <v>0</v>
      </c>
      <c r="K75" s="68">
        <v>0</v>
      </c>
      <c r="L75" s="68">
        <v>0</v>
      </c>
      <c r="M75" s="68">
        <v>0</v>
      </c>
      <c r="N75" s="68">
        <v>0</v>
      </c>
    </row>
    <row r="76" spans="1:14" x14ac:dyDescent="0.2">
      <c r="A76" s="56" t="s">
        <v>307</v>
      </c>
      <c r="B76" s="56" t="s">
        <v>13</v>
      </c>
      <c r="C76" s="56" t="s">
        <v>964</v>
      </c>
      <c r="D76" s="56" t="s">
        <v>230</v>
      </c>
      <c r="E76" s="68">
        <f>IF(B76="","",VLOOKUP(B76,dagsoorttabel1,2,FALSE))</f>
        <v>0.4</v>
      </c>
      <c r="F76" s="68">
        <v>1</v>
      </c>
      <c r="G76" s="68">
        <f>IF(prodnorm83&gt;0,1/ROUND(prodnorm83,4),0)</f>
        <v>0</v>
      </c>
      <c r="H76" s="60">
        <f>ROUND(uurtarief83,2)</f>
        <v>0</v>
      </c>
      <c r="I76" s="68">
        <v>1014.4000000000001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</row>
    <row r="77" spans="1:14" x14ac:dyDescent="0.2">
      <c r="A77" s="56" t="s">
        <v>308</v>
      </c>
      <c r="B77" s="56" t="s">
        <v>13</v>
      </c>
      <c r="C77" s="56" t="s">
        <v>964</v>
      </c>
      <c r="D77" s="56" t="s">
        <v>230</v>
      </c>
      <c r="E77" s="68">
        <f>IF(B77="","",VLOOKUP(B77,dagsoorttabel1,2,FALSE))</f>
        <v>0.4</v>
      </c>
      <c r="F77" s="68">
        <v>1</v>
      </c>
      <c r="G77" s="68">
        <f>IF(prodnorm84&gt;0,1/ROUND(prodnorm84,4),0)</f>
        <v>0</v>
      </c>
      <c r="H77" s="60">
        <f>ROUND(uurtarief84,2)</f>
        <v>0</v>
      </c>
      <c r="I77" s="68">
        <v>0</v>
      </c>
      <c r="J77" s="68">
        <v>0</v>
      </c>
      <c r="K77" s="68">
        <v>792</v>
      </c>
      <c r="L77" s="68">
        <v>0</v>
      </c>
      <c r="M77" s="68">
        <v>0</v>
      </c>
      <c r="N77" s="68">
        <v>0</v>
      </c>
    </row>
    <row r="78" spans="1:14" x14ac:dyDescent="0.2">
      <c r="A78" s="56" t="s">
        <v>309</v>
      </c>
      <c r="B78" s="56" t="s">
        <v>13</v>
      </c>
      <c r="C78" s="56" t="s">
        <v>964</v>
      </c>
      <c r="D78" s="56" t="s">
        <v>230</v>
      </c>
      <c r="E78" s="68">
        <f>IF(B78="","",VLOOKUP(B78,dagsoorttabel1,2,FALSE))</f>
        <v>0.4</v>
      </c>
      <c r="F78" s="68">
        <v>1</v>
      </c>
      <c r="G78" s="68">
        <f>IF(prodnorm85&gt;0,1/ROUND(prodnorm85,4),0)</f>
        <v>0</v>
      </c>
      <c r="H78" s="60">
        <f>ROUND(uurtarief85,2)</f>
        <v>0</v>
      </c>
      <c r="I78" s="68">
        <v>0</v>
      </c>
      <c r="J78" s="68">
        <v>26.9</v>
      </c>
      <c r="K78" s="68">
        <v>0</v>
      </c>
      <c r="L78" s="68">
        <v>0</v>
      </c>
      <c r="M78" s="68">
        <v>0</v>
      </c>
      <c r="N78" s="68">
        <v>0</v>
      </c>
    </row>
    <row r="79" spans="1:14" x14ac:dyDescent="0.2">
      <c r="A79" s="56" t="s">
        <v>310</v>
      </c>
      <c r="B79" s="56" t="s">
        <v>13</v>
      </c>
      <c r="C79" s="56" t="s">
        <v>964</v>
      </c>
      <c r="D79" s="56" t="s">
        <v>230</v>
      </c>
      <c r="E79" s="68">
        <f>IF(B79="","",VLOOKUP(B79,dagsoorttabel1,2,FALSE))</f>
        <v>0.4</v>
      </c>
      <c r="F79" s="68">
        <v>1</v>
      </c>
      <c r="G79" s="68">
        <f>IF(prodnorm86&gt;0,1/ROUND(prodnorm86,4),0)</f>
        <v>0</v>
      </c>
      <c r="H79" s="60">
        <f>ROUND(uurtarief86,2)</f>
        <v>0</v>
      </c>
      <c r="I79" s="68">
        <v>37</v>
      </c>
      <c r="J79" s="68">
        <v>33.4</v>
      </c>
      <c r="K79" s="68">
        <v>84</v>
      </c>
      <c r="L79" s="68">
        <v>16.5</v>
      </c>
      <c r="M79" s="68">
        <v>0</v>
      </c>
      <c r="N79" s="68">
        <v>1.74</v>
      </c>
    </row>
    <row r="80" spans="1:14" x14ac:dyDescent="0.2">
      <c r="A80" s="56" t="s">
        <v>311</v>
      </c>
      <c r="B80" s="56" t="s">
        <v>13</v>
      </c>
      <c r="C80" s="56" t="s">
        <v>964</v>
      </c>
      <c r="D80" s="56" t="s">
        <v>230</v>
      </c>
      <c r="E80" s="68">
        <f>IF(B80="","",VLOOKUP(B80,dagsoorttabel1,2,FALSE))</f>
        <v>0.4</v>
      </c>
      <c r="F80" s="68">
        <v>1</v>
      </c>
      <c r="G80" s="68">
        <f>IF(prodnorm87&gt;0,1/ROUND(prodnorm87,4),0)</f>
        <v>0</v>
      </c>
      <c r="H80" s="60">
        <f>ROUND(uurtarief87,2)</f>
        <v>0</v>
      </c>
      <c r="I80" s="68">
        <v>32.200000000000003</v>
      </c>
      <c r="J80" s="68">
        <v>24.9</v>
      </c>
      <c r="K80" s="68">
        <v>84</v>
      </c>
      <c r="L80" s="68">
        <v>16.5</v>
      </c>
      <c r="M80" s="68">
        <v>0</v>
      </c>
      <c r="N80" s="68">
        <v>0</v>
      </c>
    </row>
    <row r="81" spans="1:14" x14ac:dyDescent="0.2">
      <c r="A81" s="56" t="s">
        <v>313</v>
      </c>
      <c r="B81" s="56" t="s">
        <v>13</v>
      </c>
      <c r="C81" s="56" t="s">
        <v>964</v>
      </c>
      <c r="D81" s="56" t="s">
        <v>230</v>
      </c>
      <c r="E81" s="68">
        <f>IF(B81="","",VLOOKUP(B81,dagsoorttabel1,2,FALSE))</f>
        <v>0.4</v>
      </c>
      <c r="F81" s="68">
        <v>1</v>
      </c>
      <c r="G81" s="68">
        <f>IF(prodnorm88&gt;0,1/ROUND(prodnorm88,4),0)</f>
        <v>0</v>
      </c>
      <c r="H81" s="60">
        <f>ROUND(uurtarief88,2)</f>
        <v>0</v>
      </c>
      <c r="I81" s="68">
        <v>319.29999999999995</v>
      </c>
      <c r="J81" s="68">
        <v>7.6</v>
      </c>
      <c r="K81" s="68">
        <v>237.9</v>
      </c>
      <c r="L81" s="68">
        <v>20</v>
      </c>
      <c r="M81" s="68">
        <v>0</v>
      </c>
      <c r="N81" s="68">
        <v>39.54</v>
      </c>
    </row>
    <row r="82" spans="1:14" x14ac:dyDescent="0.2">
      <c r="A82" s="56" t="s">
        <v>314</v>
      </c>
      <c r="B82" s="56" t="s">
        <v>13</v>
      </c>
      <c r="C82" s="56" t="s">
        <v>964</v>
      </c>
      <c r="D82" s="56" t="s">
        <v>230</v>
      </c>
      <c r="E82" s="68">
        <f>IF(B82="","",VLOOKUP(B82,dagsoorttabel1,2,FALSE))</f>
        <v>0.4</v>
      </c>
      <c r="F82" s="68">
        <v>1</v>
      </c>
      <c r="G82" s="68">
        <f>IF(prodnorm89&gt;0,1/ROUND(prodnorm89,4),0)</f>
        <v>0</v>
      </c>
      <c r="H82" s="60">
        <f>ROUND(uurtarief89,2)</f>
        <v>0</v>
      </c>
      <c r="I82" s="68">
        <v>57.6</v>
      </c>
      <c r="J82" s="68">
        <v>0</v>
      </c>
      <c r="K82" s="68">
        <v>0</v>
      </c>
      <c r="L82" s="68">
        <v>0</v>
      </c>
      <c r="M82" s="68">
        <v>0</v>
      </c>
      <c r="N82" s="68">
        <v>2.44</v>
      </c>
    </row>
    <row r="83" spans="1:14" x14ac:dyDescent="0.2">
      <c r="A83" s="56" t="s">
        <v>315</v>
      </c>
      <c r="B83" s="56" t="s">
        <v>13</v>
      </c>
      <c r="C83" s="56" t="s">
        <v>964</v>
      </c>
      <c r="D83" s="56" t="s">
        <v>230</v>
      </c>
      <c r="E83" s="68">
        <f>IF(B83="","",VLOOKUP(B83,dagsoorttabel1,2,FALSE))</f>
        <v>0.4</v>
      </c>
      <c r="F83" s="68">
        <v>1</v>
      </c>
      <c r="G83" s="68">
        <f>IF(prodnorm90&gt;0,1/ROUND(prodnorm90,4),0)</f>
        <v>0</v>
      </c>
      <c r="H83" s="60">
        <f>ROUND(uurtarief90,2)</f>
        <v>0</v>
      </c>
      <c r="I83" s="68">
        <v>0</v>
      </c>
      <c r="J83" s="68">
        <v>0</v>
      </c>
      <c r="K83" s="68">
        <v>15</v>
      </c>
      <c r="L83" s="68">
        <v>0</v>
      </c>
      <c r="M83" s="68">
        <v>0</v>
      </c>
      <c r="N83" s="68">
        <v>0</v>
      </c>
    </row>
    <row r="84" spans="1:14" x14ac:dyDescent="0.2">
      <c r="A84" s="56" t="s">
        <v>316</v>
      </c>
      <c r="B84" s="56" t="s">
        <v>13</v>
      </c>
      <c r="C84" s="56" t="s">
        <v>964</v>
      </c>
      <c r="D84" s="56" t="s">
        <v>230</v>
      </c>
      <c r="E84" s="68">
        <f>IF(B84="","",VLOOKUP(B84,dagsoorttabel1,2,FALSE))</f>
        <v>0.4</v>
      </c>
      <c r="F84" s="68">
        <v>1</v>
      </c>
      <c r="G84" s="68">
        <f>IF(prodnorm91&gt;0,1/ROUND(prodnorm91,4),0)</f>
        <v>0</v>
      </c>
      <c r="H84" s="60">
        <f>ROUND(uurtarief91,2)</f>
        <v>0</v>
      </c>
      <c r="I84" s="68">
        <v>4.5</v>
      </c>
      <c r="J84" s="68">
        <v>0</v>
      </c>
      <c r="K84" s="68">
        <v>0</v>
      </c>
      <c r="L84" s="68">
        <v>30</v>
      </c>
      <c r="M84" s="68">
        <v>0</v>
      </c>
      <c r="N84" s="68">
        <v>0</v>
      </c>
    </row>
    <row r="85" spans="1:14" x14ac:dyDescent="0.2">
      <c r="A85" s="56" t="s">
        <v>317</v>
      </c>
      <c r="B85" s="56" t="s">
        <v>13</v>
      </c>
      <c r="C85" s="56" t="s">
        <v>964</v>
      </c>
      <c r="D85" s="56" t="s">
        <v>230</v>
      </c>
      <c r="E85" s="68">
        <f>IF(B85="","",VLOOKUP(B85,dagsoorttabel1,2,FALSE))</f>
        <v>0.4</v>
      </c>
      <c r="F85" s="68">
        <v>1</v>
      </c>
      <c r="G85" s="68">
        <f>IF(prodnorm92&gt;0,1/ROUND(prodnorm92,4),0)</f>
        <v>0</v>
      </c>
      <c r="H85" s="60">
        <f>ROUND(uurtarief92,2)</f>
        <v>0</v>
      </c>
      <c r="I85" s="68">
        <v>179.40000000000003</v>
      </c>
      <c r="J85" s="68">
        <v>12.8</v>
      </c>
      <c r="K85" s="68">
        <v>33</v>
      </c>
      <c r="L85" s="68">
        <v>163</v>
      </c>
      <c r="M85" s="68">
        <v>0</v>
      </c>
      <c r="N85" s="68">
        <v>0</v>
      </c>
    </row>
    <row r="86" spans="1:14" x14ac:dyDescent="0.2">
      <c r="A86" s="56" t="s">
        <v>318</v>
      </c>
      <c r="B86" s="56" t="s">
        <v>13</v>
      </c>
      <c r="C86" s="56" t="s">
        <v>964</v>
      </c>
      <c r="D86" s="56" t="s">
        <v>230</v>
      </c>
      <c r="E86" s="68">
        <f>IF(B86="","",VLOOKUP(B86,dagsoorttabel1,2,FALSE))</f>
        <v>0.4</v>
      </c>
      <c r="F86" s="68">
        <v>1</v>
      </c>
      <c r="G86" s="68">
        <f>IF(prodnorm93&gt;0,1/ROUND(prodnorm93,4),0)</f>
        <v>0</v>
      </c>
      <c r="H86" s="60">
        <f>ROUND(uurtarief93,2)</f>
        <v>0</v>
      </c>
      <c r="I86" s="68">
        <v>164.3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</row>
    <row r="87" spans="1:14" x14ac:dyDescent="0.2">
      <c r="A87" s="61" t="s">
        <v>319</v>
      </c>
      <c r="B87" s="61" t="s">
        <v>13</v>
      </c>
      <c r="C87" s="61" t="s">
        <v>964</v>
      </c>
      <c r="D87" s="61" t="s">
        <v>273</v>
      </c>
      <c r="E87" s="70">
        <f>IF(B87="","",VLOOKUP(B87,dagsoorttabel1,2,FALSE))</f>
        <v>0.4</v>
      </c>
      <c r="F87" s="70">
        <v>1</v>
      </c>
      <c r="G87" s="70">
        <f>ROUND(prodnorm76,4)/60</f>
        <v>0</v>
      </c>
      <c r="H87" s="65">
        <f>ROUND(uurtarief76,2)</f>
        <v>0</v>
      </c>
      <c r="I87" s="70">
        <v>0</v>
      </c>
      <c r="J87" s="70">
        <v>1</v>
      </c>
      <c r="K87" s="70">
        <v>0</v>
      </c>
      <c r="L87" s="70">
        <v>0</v>
      </c>
      <c r="M87" s="70">
        <v>0</v>
      </c>
      <c r="N87" s="70">
        <v>0</v>
      </c>
    </row>
    <row r="88" spans="1:14" x14ac:dyDescent="0.2">
      <c r="A88" s="73" t="s">
        <v>321</v>
      </c>
      <c r="B88" s="74"/>
      <c r="C88" s="74"/>
      <c r="D88" s="74"/>
      <c r="E88" s="74"/>
      <c r="F88" s="74"/>
      <c r="G88" s="74"/>
      <c r="H88" s="74"/>
      <c r="I88" s="108"/>
      <c r="J88" s="108"/>
      <c r="K88" s="108"/>
      <c r="L88" s="108"/>
      <c r="M88" s="108"/>
      <c r="N88" s="108"/>
    </row>
  </sheetData>
  <sheetProtection algorithmName="SHA-512" hashValue="SfvJm7WdogBKNvIiDTTU6EChtMrYWuXW6DqOd5BcsICieFYjwTr9DGo0T7kzJGrSC+/p0EbhGF0Xxv2XiLCvaw==" saltValue="1ZpzKWQu67zhUSmgGPxfgw==" spinCount="100000" sheet="1" objects="1" scenarios="1" autoFilter="0"/>
  <pageMargins left="0.7" right="0.7" top="0.75" bottom="0.75" header="0.3" footer="0.3"/>
  <pageSetup paperSize="9" scale="70" orientation="landscape" horizontalDpi="4294967295" verticalDpi="4294967295" r:id="rId1"/>
  <headerFooter>
    <oddFooter>&amp;LCentraal Museum Utrecht EA2026                              &amp;ROpmaakdatum: 19-03-2026
Intexso - Plantageweg 23E - Leusden
+31 (33) 2778485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25AF3-405C-49C2-B82A-3E6F6503E51D}">
  <dimension ref="A1:O35"/>
  <sheetViews>
    <sheetView workbookViewId="0"/>
  </sheetViews>
  <sheetFormatPr defaultRowHeight="12.75" x14ac:dyDescent="0.2"/>
  <cols>
    <col min="1" max="1" width="8.625" customWidth="1"/>
    <col min="2" max="2" width="28.625" customWidth="1"/>
    <col min="3" max="4" width="15.625" customWidth="1"/>
    <col min="5" max="5" width="6.125" customWidth="1"/>
    <col min="6" max="6" width="10.625" customWidth="1"/>
    <col min="7" max="12" width="12.125" customWidth="1"/>
    <col min="13" max="13" width="12.625" customWidth="1"/>
    <col min="14" max="14" width="14.625" customWidth="1"/>
    <col min="15" max="15" width="13.625" customWidth="1"/>
  </cols>
  <sheetData>
    <row r="1" spans="1:15" x14ac:dyDescent="0.2">
      <c r="A1" s="1" t="str">
        <f>CONCATENATE("Bijlage H.6: ",tabeltype," objecten")</f>
        <v>Bijlage H.6: Invultabel objecten</v>
      </c>
    </row>
    <row r="3" spans="1:15" ht="38.25" x14ac:dyDescent="0.2">
      <c r="A3" s="44" t="s">
        <v>324</v>
      </c>
      <c r="B3" s="44" t="s">
        <v>965</v>
      </c>
      <c r="C3" s="44" t="s">
        <v>966</v>
      </c>
      <c r="D3" s="44" t="s">
        <v>967</v>
      </c>
      <c r="E3" s="44" t="s">
        <v>7</v>
      </c>
      <c r="F3" s="44" t="s">
        <v>968</v>
      </c>
      <c r="G3" s="44" t="s">
        <v>969</v>
      </c>
      <c r="H3" s="44" t="s">
        <v>970</v>
      </c>
      <c r="I3" s="44" t="s">
        <v>971</v>
      </c>
      <c r="J3" s="44" t="s">
        <v>972</v>
      </c>
      <c r="K3" s="44" t="s">
        <v>973</v>
      </c>
      <c r="L3" s="44" t="s">
        <v>974</v>
      </c>
      <c r="M3" s="44" t="s">
        <v>227</v>
      </c>
      <c r="N3" s="44" t="s">
        <v>228</v>
      </c>
      <c r="O3" s="44" t="s">
        <v>975</v>
      </c>
    </row>
    <row r="4" spans="1:15" x14ac:dyDescent="0.2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1:15" x14ac:dyDescent="0.2">
      <c r="A5" s="48" t="s">
        <v>97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</row>
    <row r="6" spans="1:15" x14ac:dyDescent="0.2">
      <c r="A6" s="51" t="s">
        <v>333</v>
      </c>
      <c r="B6" s="51" t="s">
        <v>976</v>
      </c>
      <c r="C6" s="51" t="s">
        <v>977</v>
      </c>
      <c r="D6" s="51" t="s">
        <v>978</v>
      </c>
      <c r="E6" s="109" t="s">
        <v>9</v>
      </c>
      <c r="F6" s="110">
        <f>gemuurtarief1</f>
        <v>0</v>
      </c>
      <c r="G6" s="66">
        <f>SUMPRODUCT(taakfreqtabel1,uurfactortabel1,kengetaltabel1,object1_opptabel1)*(1/VLOOKUP(E6,dagsoorttabel1,2,FALSE))</f>
        <v>0</v>
      </c>
      <c r="H6" s="53"/>
      <c r="I6" s="66">
        <f>G6+H6</f>
        <v>0</v>
      </c>
      <c r="J6" s="55">
        <f>SUMPRODUCT(taakfreqtabel1,kengetaltabel1,tarieftabel1,object1_opptabel1)*(1/VLOOKUP(E6,dagsoorttabel1,2,FALSE))</f>
        <v>0</v>
      </c>
      <c r="K6" s="55">
        <f>F6*H6</f>
        <v>0</v>
      </c>
      <c r="L6" s="55">
        <f>SUM(J6:K6)</f>
        <v>0</v>
      </c>
      <c r="M6" s="66">
        <f>I6*dagenperjaar1*VLOOKUP(E6,dagsoorttabel1,2,FALSE)</f>
        <v>0</v>
      </c>
      <c r="N6" s="55">
        <f>L6*dagenperjaar1*VLOOKUP(E6,dagsoorttabel1,2,FALSE)</f>
        <v>0</v>
      </c>
      <c r="O6" s="55">
        <f>N6/12</f>
        <v>0</v>
      </c>
    </row>
    <row r="7" spans="1:15" x14ac:dyDescent="0.2">
      <c r="A7" s="56" t="s">
        <v>606</v>
      </c>
      <c r="B7" s="56" t="s">
        <v>926</v>
      </c>
      <c r="C7" s="56" t="s">
        <v>979</v>
      </c>
      <c r="D7" s="56" t="s">
        <v>978</v>
      </c>
      <c r="E7" s="111" t="s">
        <v>9</v>
      </c>
      <c r="F7" s="112">
        <f>gemuurtarief1</f>
        <v>0</v>
      </c>
      <c r="G7" s="68">
        <f>SUMPRODUCT(taakfreqtabel1,uurfactortabel1,kengetaltabel1,object2_opptabel1)*(1/VLOOKUP(E7,dagsoorttabel1,2,FALSE))</f>
        <v>0</v>
      </c>
      <c r="H7" s="58"/>
      <c r="I7" s="68">
        <f>G7+H7</f>
        <v>0</v>
      </c>
      <c r="J7" s="60">
        <f>SUMPRODUCT(taakfreqtabel1,kengetaltabel1,tarieftabel1,object2_opptabel1)*(1/VLOOKUP(E7,dagsoorttabel1,2,FALSE))</f>
        <v>0</v>
      </c>
      <c r="K7" s="60">
        <f>F7*H7</f>
        <v>0</v>
      </c>
      <c r="L7" s="60">
        <f>SUM(J7:K7)</f>
        <v>0</v>
      </c>
      <c r="M7" s="68">
        <f>I7*dagenperjaar1*VLOOKUP(E7,dagsoorttabel1,2,FALSE)</f>
        <v>0</v>
      </c>
      <c r="N7" s="60">
        <f>L7*dagenperjaar1*VLOOKUP(E7,dagsoorttabel1,2,FALSE)</f>
        <v>0</v>
      </c>
      <c r="O7" s="60">
        <f>N7/12</f>
        <v>0</v>
      </c>
    </row>
    <row r="8" spans="1:15" x14ac:dyDescent="0.2">
      <c r="A8" s="56" t="s">
        <v>781</v>
      </c>
      <c r="B8" s="56" t="s">
        <v>980</v>
      </c>
      <c r="C8" s="56" t="s">
        <v>981</v>
      </c>
      <c r="D8" s="56" t="s">
        <v>978</v>
      </c>
      <c r="E8" s="111" t="s">
        <v>9</v>
      </c>
      <c r="F8" s="112">
        <f>gemuurtarief1</f>
        <v>0</v>
      </c>
      <c r="G8" s="68">
        <f>SUMPRODUCT(taakfreqtabel1,uurfactortabel1,kengetaltabel1,object3_opptabel1)*(1/VLOOKUP(E8,dagsoorttabel1,2,FALSE))</f>
        <v>0</v>
      </c>
      <c r="H8" s="58"/>
      <c r="I8" s="68">
        <f>G8+H8</f>
        <v>0</v>
      </c>
      <c r="J8" s="60">
        <f>SUMPRODUCT(taakfreqtabel1,kengetaltabel1,tarieftabel1,object3_opptabel1)*(1/VLOOKUP(E8,dagsoorttabel1,2,FALSE))</f>
        <v>0</v>
      </c>
      <c r="K8" s="60">
        <f>F8*H8</f>
        <v>0</v>
      </c>
      <c r="L8" s="60">
        <f>SUM(J8:K8)</f>
        <v>0</v>
      </c>
      <c r="M8" s="68">
        <f>I8*dagenperjaar1*VLOOKUP(E8,dagsoorttabel1,2,FALSE)</f>
        <v>0</v>
      </c>
      <c r="N8" s="60">
        <f>L8*dagenperjaar1*VLOOKUP(E8,dagsoorttabel1,2,FALSE)</f>
        <v>0</v>
      </c>
      <c r="O8" s="60">
        <f>N8/12</f>
        <v>0</v>
      </c>
    </row>
    <row r="9" spans="1:15" x14ac:dyDescent="0.2">
      <c r="A9" s="56" t="s">
        <v>872</v>
      </c>
      <c r="B9" s="56" t="s">
        <v>982</v>
      </c>
      <c r="C9" s="56" t="s">
        <v>983</v>
      </c>
      <c r="D9" s="56" t="s">
        <v>978</v>
      </c>
      <c r="E9" s="111" t="s">
        <v>9</v>
      </c>
      <c r="F9" s="112">
        <f>gemuurtarief1</f>
        <v>0</v>
      </c>
      <c r="G9" s="68">
        <f>SUMPRODUCT(taakfreqtabel1,uurfactortabel1,kengetaltabel1,object4_opptabel1)*(1/VLOOKUP(E9,dagsoorttabel1,2,FALSE))</f>
        <v>0</v>
      </c>
      <c r="H9" s="58"/>
      <c r="I9" s="68">
        <f>G9+H9</f>
        <v>0</v>
      </c>
      <c r="J9" s="60">
        <f>SUMPRODUCT(taakfreqtabel1,kengetaltabel1,tarieftabel1,object4_opptabel1)*(1/VLOOKUP(E9,dagsoorttabel1,2,FALSE))</f>
        <v>0</v>
      </c>
      <c r="K9" s="60">
        <f>F9*H9</f>
        <v>0</v>
      </c>
      <c r="L9" s="60">
        <f>SUM(J9:K9)</f>
        <v>0</v>
      </c>
      <c r="M9" s="68">
        <f>I9*dagenperjaar1*VLOOKUP(E9,dagsoorttabel1,2,FALSE)</f>
        <v>0</v>
      </c>
      <c r="N9" s="60">
        <f>L9*dagenperjaar1*VLOOKUP(E9,dagsoorttabel1,2,FALSE)</f>
        <v>0</v>
      </c>
      <c r="O9" s="60">
        <f>N9/12</f>
        <v>0</v>
      </c>
    </row>
    <row r="10" spans="1:15" x14ac:dyDescent="0.2">
      <c r="A10" s="56" t="s">
        <v>922</v>
      </c>
      <c r="B10" s="56" t="s">
        <v>984</v>
      </c>
      <c r="C10" s="56"/>
      <c r="D10" s="56" t="s">
        <v>978</v>
      </c>
      <c r="E10" s="111" t="s">
        <v>15</v>
      </c>
      <c r="F10" s="112">
        <f>gemuurtarief1</f>
        <v>0</v>
      </c>
      <c r="G10" s="68">
        <f>SUMPRODUCT(taakfreqtabel1,uurfactortabel1,kengetaltabel1,object5_opptabel1)*(1/VLOOKUP(E10,dagsoorttabel1,2,FALSE))</f>
        <v>0</v>
      </c>
      <c r="H10" s="58"/>
      <c r="I10" s="68">
        <f>G10+H10</f>
        <v>0</v>
      </c>
      <c r="J10" s="60">
        <f>SUMPRODUCT(taakfreqtabel1,kengetaltabel1,tarieftabel1,object5_opptabel1)*(1/VLOOKUP(E10,dagsoorttabel1,2,FALSE))</f>
        <v>0</v>
      </c>
      <c r="K10" s="60">
        <f>F10*H10</f>
        <v>0</v>
      </c>
      <c r="L10" s="60">
        <f>SUM(J10:K10)</f>
        <v>0</v>
      </c>
      <c r="M10" s="68">
        <f>I10*dagenperjaar1*VLOOKUP(E10,dagsoorttabel1,2,FALSE)</f>
        <v>0</v>
      </c>
      <c r="N10" s="60">
        <f>L10*dagenperjaar1*VLOOKUP(E10,dagsoorttabel1,2,FALSE)</f>
        <v>0</v>
      </c>
      <c r="O10" s="60">
        <f>N10/12</f>
        <v>0</v>
      </c>
    </row>
    <row r="11" spans="1:15" x14ac:dyDescent="0.2">
      <c r="A11" s="61" t="s">
        <v>934</v>
      </c>
      <c r="B11" s="61" t="s">
        <v>985</v>
      </c>
      <c r="C11" s="61" t="s">
        <v>986</v>
      </c>
      <c r="D11" s="61" t="s">
        <v>978</v>
      </c>
      <c r="E11" s="113" t="s">
        <v>10</v>
      </c>
      <c r="F11" s="114">
        <f>gemuurtarief1</f>
        <v>0</v>
      </c>
      <c r="G11" s="70">
        <f>SUMPRODUCT(taakfreqtabel1,uurfactortabel1,kengetaltabel1,object6_opptabel1)*(1/VLOOKUP(E11,dagsoorttabel1,2,FALSE))</f>
        <v>0</v>
      </c>
      <c r="H11" s="63"/>
      <c r="I11" s="70">
        <f>G11+H11</f>
        <v>0</v>
      </c>
      <c r="J11" s="65">
        <f>SUMPRODUCT(taakfreqtabel1,kengetaltabel1,tarieftabel1,object6_opptabel1)*(1/VLOOKUP(E11,dagsoorttabel1,2,FALSE))</f>
        <v>0</v>
      </c>
      <c r="K11" s="65">
        <f>F11*H11</f>
        <v>0</v>
      </c>
      <c r="L11" s="65">
        <f>SUM(J11:K11)</f>
        <v>0</v>
      </c>
      <c r="M11" s="70">
        <f>I11*dagenperjaar1*VLOOKUP(E11,dagsoorttabel1,2,FALSE)</f>
        <v>0</v>
      </c>
      <c r="N11" s="65">
        <f>L11*dagenperjaar1*VLOOKUP(E11,dagsoorttabel1,2,FALSE)</f>
        <v>0</v>
      </c>
      <c r="O11" s="65">
        <f>N11/12</f>
        <v>0</v>
      </c>
    </row>
    <row r="12" spans="1:15" x14ac:dyDescent="0.2">
      <c r="A12" s="73" t="s">
        <v>276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5">
        <f>SUM(M6:M11)</f>
        <v>0</v>
      </c>
      <c r="N12" s="76">
        <f>SUM(N6:N11)</f>
        <v>0</v>
      </c>
      <c r="O12" s="77">
        <f>SUM(O6:O11)</f>
        <v>0</v>
      </c>
    </row>
    <row r="13" spans="1:15" x14ac:dyDescent="0.2">
      <c r="A13" s="78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9"/>
    </row>
    <row r="14" spans="1:15" x14ac:dyDescent="0.2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7"/>
    </row>
    <row r="15" spans="1:15" x14ac:dyDescent="0.2">
      <c r="A15" s="48" t="s">
        <v>183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0"/>
    </row>
    <row r="16" spans="1:15" x14ac:dyDescent="0.2">
      <c r="A16" s="51" t="s">
        <v>333</v>
      </c>
      <c r="B16" s="51" t="s">
        <v>976</v>
      </c>
      <c r="C16" s="51" t="s">
        <v>977</v>
      </c>
      <c r="D16" s="51" t="s">
        <v>978</v>
      </c>
      <c r="E16" s="109" t="s">
        <v>18</v>
      </c>
      <c r="F16" s="110">
        <f>gemuurtarief2</f>
        <v>0</v>
      </c>
      <c r="G16" s="66">
        <f>SUMPRODUCT(taakfreqtabel2,uurfactortabel2,kengetaltabel2,object1_opptabel2)*(1/VLOOKUP(E16,dagsoorttabel1,2,FALSE))</f>
        <v>0</v>
      </c>
      <c r="H16" s="53"/>
      <c r="I16" s="66">
        <f>G16+H16</f>
        <v>0</v>
      </c>
      <c r="J16" s="55">
        <f>SUMPRODUCT(taakfreqtabel2,kengetaltabel2,tarieftabel2,object1_opptabel2)*(1/VLOOKUP(E16,dagsoorttabel1,2,FALSE))</f>
        <v>0</v>
      </c>
      <c r="K16" s="55">
        <f>F16*H16</f>
        <v>0</v>
      </c>
      <c r="L16" s="55">
        <f>SUM(J16:K16)</f>
        <v>0</v>
      </c>
      <c r="M16" s="66">
        <f>I16*dagenperjaar1*VLOOKUP(E16,dagsoorttabel1,2,FALSE)</f>
        <v>0</v>
      </c>
      <c r="N16" s="55">
        <f>L16*dagenperjaar1*VLOOKUP(E16,dagsoorttabel1,2,FALSE)</f>
        <v>0</v>
      </c>
      <c r="O16" s="55">
        <f>N16/12</f>
        <v>0</v>
      </c>
    </row>
    <row r="17" spans="1:15" x14ac:dyDescent="0.2">
      <c r="A17" s="56" t="s">
        <v>606</v>
      </c>
      <c r="B17" s="56" t="s">
        <v>926</v>
      </c>
      <c r="C17" s="56" t="s">
        <v>979</v>
      </c>
      <c r="D17" s="56" t="s">
        <v>978</v>
      </c>
      <c r="E17" s="111" t="s">
        <v>18</v>
      </c>
      <c r="F17" s="112">
        <f>gemuurtarief2</f>
        <v>0</v>
      </c>
      <c r="G17" s="68">
        <f>SUMPRODUCT(taakfreqtabel2,uurfactortabel2,kengetaltabel2,object2_opptabel2)*(1/VLOOKUP(E17,dagsoorttabel1,2,FALSE))</f>
        <v>0</v>
      </c>
      <c r="H17" s="58"/>
      <c r="I17" s="68">
        <f>G17+H17</f>
        <v>0</v>
      </c>
      <c r="J17" s="60">
        <f>SUMPRODUCT(taakfreqtabel2,kengetaltabel2,tarieftabel2,object2_opptabel2)*(1/VLOOKUP(E17,dagsoorttabel1,2,FALSE))</f>
        <v>0</v>
      </c>
      <c r="K17" s="60">
        <f>F17*H17</f>
        <v>0</v>
      </c>
      <c r="L17" s="60">
        <f>SUM(J17:K17)</f>
        <v>0</v>
      </c>
      <c r="M17" s="68">
        <f>I17*dagenperjaar1*VLOOKUP(E17,dagsoorttabel1,2,FALSE)</f>
        <v>0</v>
      </c>
      <c r="N17" s="60">
        <f>L17*dagenperjaar1*VLOOKUP(E17,dagsoorttabel1,2,FALSE)</f>
        <v>0</v>
      </c>
      <c r="O17" s="60">
        <f>N17/12</f>
        <v>0</v>
      </c>
    </row>
    <row r="18" spans="1:15" x14ac:dyDescent="0.2">
      <c r="A18" s="56" t="s">
        <v>781</v>
      </c>
      <c r="B18" s="56" t="s">
        <v>980</v>
      </c>
      <c r="C18" s="56" t="s">
        <v>981</v>
      </c>
      <c r="D18" s="56" t="s">
        <v>978</v>
      </c>
      <c r="E18" s="111" t="s">
        <v>18</v>
      </c>
      <c r="F18" s="112">
        <f>gemuurtarief2</f>
        <v>0</v>
      </c>
      <c r="G18" s="68">
        <f>SUMPRODUCT(taakfreqtabel2,uurfactortabel2,kengetaltabel2,object3_opptabel2)*(1/VLOOKUP(E18,dagsoorttabel1,2,FALSE))</f>
        <v>0</v>
      </c>
      <c r="H18" s="58"/>
      <c r="I18" s="68">
        <f>G18+H18</f>
        <v>0</v>
      </c>
      <c r="J18" s="60">
        <f>SUMPRODUCT(taakfreqtabel2,kengetaltabel2,tarieftabel2,object3_opptabel2)*(1/VLOOKUP(E18,dagsoorttabel1,2,FALSE))</f>
        <v>0</v>
      </c>
      <c r="K18" s="60">
        <f>F18*H18</f>
        <v>0</v>
      </c>
      <c r="L18" s="60">
        <f>SUM(J18:K18)</f>
        <v>0</v>
      </c>
      <c r="M18" s="68">
        <f>I18*dagenperjaar1*VLOOKUP(E18,dagsoorttabel1,2,FALSE)</f>
        <v>0</v>
      </c>
      <c r="N18" s="60">
        <f>L18*dagenperjaar1*VLOOKUP(E18,dagsoorttabel1,2,FALSE)</f>
        <v>0</v>
      </c>
      <c r="O18" s="60">
        <f>N18/12</f>
        <v>0</v>
      </c>
    </row>
    <row r="19" spans="1:15" x14ac:dyDescent="0.2">
      <c r="A19" s="56" t="s">
        <v>872</v>
      </c>
      <c r="B19" s="56" t="s">
        <v>982</v>
      </c>
      <c r="C19" s="56" t="s">
        <v>983</v>
      </c>
      <c r="D19" s="56" t="s">
        <v>978</v>
      </c>
      <c r="E19" s="111" t="s">
        <v>18</v>
      </c>
      <c r="F19" s="112">
        <f>gemuurtarief2</f>
        <v>0</v>
      </c>
      <c r="G19" s="68">
        <f>SUMPRODUCT(taakfreqtabel2,uurfactortabel2,kengetaltabel2,object4_opptabel2)*(1/VLOOKUP(E19,dagsoorttabel1,2,FALSE))</f>
        <v>0</v>
      </c>
      <c r="H19" s="58"/>
      <c r="I19" s="68">
        <f>G19+H19</f>
        <v>0</v>
      </c>
      <c r="J19" s="60">
        <f>SUMPRODUCT(taakfreqtabel2,kengetaltabel2,tarieftabel2,object4_opptabel2)*(1/VLOOKUP(E19,dagsoorttabel1,2,FALSE))</f>
        <v>0</v>
      </c>
      <c r="K19" s="60">
        <f>F19*H19</f>
        <v>0</v>
      </c>
      <c r="L19" s="60">
        <f>SUM(J19:K19)</f>
        <v>0</v>
      </c>
      <c r="M19" s="68">
        <f>I19*dagenperjaar1*VLOOKUP(E19,dagsoorttabel1,2,FALSE)</f>
        <v>0</v>
      </c>
      <c r="N19" s="60">
        <f>L19*dagenperjaar1*VLOOKUP(E19,dagsoorttabel1,2,FALSE)</f>
        <v>0</v>
      </c>
      <c r="O19" s="60">
        <f>N19/12</f>
        <v>0</v>
      </c>
    </row>
    <row r="20" spans="1:15" x14ac:dyDescent="0.2">
      <c r="A20" s="61" t="s">
        <v>934</v>
      </c>
      <c r="B20" s="61" t="s">
        <v>985</v>
      </c>
      <c r="C20" s="61" t="s">
        <v>986</v>
      </c>
      <c r="D20" s="61" t="s">
        <v>978</v>
      </c>
      <c r="E20" s="113" t="s">
        <v>18</v>
      </c>
      <c r="F20" s="114">
        <f>gemuurtarief2</f>
        <v>0</v>
      </c>
      <c r="G20" s="70">
        <f>SUMPRODUCT(taakfreqtabel2,uurfactortabel2,kengetaltabel2,object6_opptabel2)*(1/VLOOKUP(E20,dagsoorttabel1,2,FALSE))</f>
        <v>0</v>
      </c>
      <c r="H20" s="63"/>
      <c r="I20" s="70">
        <f>G20+H20</f>
        <v>0</v>
      </c>
      <c r="J20" s="65">
        <f>SUMPRODUCT(taakfreqtabel2,kengetaltabel2,tarieftabel2,object6_opptabel2)*(1/VLOOKUP(E20,dagsoorttabel1,2,FALSE))</f>
        <v>0</v>
      </c>
      <c r="K20" s="65">
        <f>F20*H20</f>
        <v>0</v>
      </c>
      <c r="L20" s="65">
        <f>SUM(J20:K20)</f>
        <v>0</v>
      </c>
      <c r="M20" s="70">
        <f>I20*dagenperjaar1*VLOOKUP(E20,dagsoorttabel1,2,FALSE)</f>
        <v>0</v>
      </c>
      <c r="N20" s="65">
        <f>L20*dagenperjaar1*VLOOKUP(E20,dagsoorttabel1,2,FALSE)</f>
        <v>0</v>
      </c>
      <c r="O20" s="65">
        <f>N20/12</f>
        <v>0</v>
      </c>
    </row>
    <row r="21" spans="1:15" x14ac:dyDescent="0.2">
      <c r="A21" s="73" t="s">
        <v>299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5">
        <f>SUM(M16:M20)</f>
        <v>0</v>
      </c>
      <c r="N21" s="76">
        <f>SUM(N16:N20)</f>
        <v>0</v>
      </c>
      <c r="O21" s="77">
        <f>SUM(O16:O20)</f>
        <v>0</v>
      </c>
    </row>
    <row r="22" spans="1:15" x14ac:dyDescent="0.2">
      <c r="A22" s="78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9"/>
    </row>
    <row r="23" spans="1:15" x14ac:dyDescent="0.2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7"/>
    </row>
    <row r="24" spans="1:15" x14ac:dyDescent="0.2">
      <c r="A24" s="48" t="s">
        <v>204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50"/>
    </row>
    <row r="25" spans="1:15" x14ac:dyDescent="0.2">
      <c r="A25" s="51" t="s">
        <v>333</v>
      </c>
      <c r="B25" s="51" t="s">
        <v>976</v>
      </c>
      <c r="C25" s="51" t="s">
        <v>977</v>
      </c>
      <c r="D25" s="51" t="s">
        <v>978</v>
      </c>
      <c r="E25" s="109" t="s">
        <v>13</v>
      </c>
      <c r="F25" s="110">
        <f>gemuurtarief3</f>
        <v>0</v>
      </c>
      <c r="G25" s="66">
        <f>SUMPRODUCT(taakfreqtabel3,uurfactortabel3,kengetaltabel3,object1_opptabel3)*(1/VLOOKUP(E25,dagsoorttabel1,2,FALSE))</f>
        <v>0</v>
      </c>
      <c r="H25" s="53"/>
      <c r="I25" s="66">
        <f>G25+H25</f>
        <v>0</v>
      </c>
      <c r="J25" s="55">
        <f>SUMPRODUCT(taakfreqtabel3,kengetaltabel3,tarieftabel3,object1_opptabel3)*(1/VLOOKUP(E25,dagsoorttabel1,2,FALSE))</f>
        <v>0</v>
      </c>
      <c r="K25" s="55">
        <f>F25*H25</f>
        <v>0</v>
      </c>
      <c r="L25" s="55">
        <f>SUM(J25:K25)</f>
        <v>0</v>
      </c>
      <c r="M25" s="66">
        <f>I25*dagenperjaar1*VLOOKUP(E25,dagsoorttabel1,2,FALSE)</f>
        <v>0</v>
      </c>
      <c r="N25" s="55">
        <f>L25*dagenperjaar1*VLOOKUP(E25,dagsoorttabel1,2,FALSE)</f>
        <v>0</v>
      </c>
      <c r="O25" s="55">
        <f>N25/12</f>
        <v>0</v>
      </c>
    </row>
    <row r="26" spans="1:15" x14ac:dyDescent="0.2">
      <c r="A26" s="56" t="s">
        <v>606</v>
      </c>
      <c r="B26" s="56" t="s">
        <v>926</v>
      </c>
      <c r="C26" s="56" t="s">
        <v>979</v>
      </c>
      <c r="D26" s="56" t="s">
        <v>978</v>
      </c>
      <c r="E26" s="111" t="s">
        <v>13</v>
      </c>
      <c r="F26" s="112">
        <f>gemuurtarief3</f>
        <v>0</v>
      </c>
      <c r="G26" s="68">
        <f>SUMPRODUCT(taakfreqtabel3,uurfactortabel3,kengetaltabel3,object2_opptabel3)*(1/VLOOKUP(E26,dagsoorttabel1,2,FALSE))</f>
        <v>0</v>
      </c>
      <c r="H26" s="58"/>
      <c r="I26" s="68">
        <f>G26+H26</f>
        <v>0</v>
      </c>
      <c r="J26" s="60">
        <f>SUMPRODUCT(taakfreqtabel3,kengetaltabel3,tarieftabel3,object2_opptabel3)*(1/VLOOKUP(E26,dagsoorttabel1,2,FALSE))</f>
        <v>0</v>
      </c>
      <c r="K26" s="60">
        <f>F26*H26</f>
        <v>0</v>
      </c>
      <c r="L26" s="60">
        <f>SUM(J26:K26)</f>
        <v>0</v>
      </c>
      <c r="M26" s="68">
        <f>I26*dagenperjaar1*VLOOKUP(E26,dagsoorttabel1,2,FALSE)</f>
        <v>0</v>
      </c>
      <c r="N26" s="60">
        <f>L26*dagenperjaar1*VLOOKUP(E26,dagsoorttabel1,2,FALSE)</f>
        <v>0</v>
      </c>
      <c r="O26" s="60">
        <f>N26/12</f>
        <v>0</v>
      </c>
    </row>
    <row r="27" spans="1:15" x14ac:dyDescent="0.2">
      <c r="A27" s="56" t="s">
        <v>781</v>
      </c>
      <c r="B27" s="56" t="s">
        <v>980</v>
      </c>
      <c r="C27" s="56" t="s">
        <v>981</v>
      </c>
      <c r="D27" s="56" t="s">
        <v>978</v>
      </c>
      <c r="E27" s="111" t="s">
        <v>13</v>
      </c>
      <c r="F27" s="112">
        <f>gemuurtarief3</f>
        <v>0</v>
      </c>
      <c r="G27" s="68">
        <f>SUMPRODUCT(taakfreqtabel3,uurfactortabel3,kengetaltabel3,object3_opptabel3)*(1/VLOOKUP(E27,dagsoorttabel1,2,FALSE))</f>
        <v>0</v>
      </c>
      <c r="H27" s="58"/>
      <c r="I27" s="68">
        <f>G27+H27</f>
        <v>0</v>
      </c>
      <c r="J27" s="60">
        <f>SUMPRODUCT(taakfreqtabel3,kengetaltabel3,tarieftabel3,object3_opptabel3)*(1/VLOOKUP(E27,dagsoorttabel1,2,FALSE))</f>
        <v>0</v>
      </c>
      <c r="K27" s="60">
        <f>F27*H27</f>
        <v>0</v>
      </c>
      <c r="L27" s="60">
        <f>SUM(J27:K27)</f>
        <v>0</v>
      </c>
      <c r="M27" s="68">
        <f>I27*dagenperjaar1*VLOOKUP(E27,dagsoorttabel1,2,FALSE)</f>
        <v>0</v>
      </c>
      <c r="N27" s="60">
        <f>L27*dagenperjaar1*VLOOKUP(E27,dagsoorttabel1,2,FALSE)</f>
        <v>0</v>
      </c>
      <c r="O27" s="60">
        <f>N27/12</f>
        <v>0</v>
      </c>
    </row>
    <row r="28" spans="1:15" x14ac:dyDescent="0.2">
      <c r="A28" s="56" t="s">
        <v>872</v>
      </c>
      <c r="B28" s="56" t="s">
        <v>982</v>
      </c>
      <c r="C28" s="56" t="s">
        <v>983</v>
      </c>
      <c r="D28" s="56" t="s">
        <v>978</v>
      </c>
      <c r="E28" s="111" t="s">
        <v>13</v>
      </c>
      <c r="F28" s="112">
        <f>gemuurtarief3</f>
        <v>0</v>
      </c>
      <c r="G28" s="68">
        <f>SUMPRODUCT(taakfreqtabel3,uurfactortabel3,kengetaltabel3,object4_opptabel3)*(1/VLOOKUP(E28,dagsoorttabel1,2,FALSE))</f>
        <v>0</v>
      </c>
      <c r="H28" s="58"/>
      <c r="I28" s="68">
        <f>G28+H28</f>
        <v>0</v>
      </c>
      <c r="J28" s="60">
        <f>SUMPRODUCT(taakfreqtabel3,kengetaltabel3,tarieftabel3,object4_opptabel3)*(1/VLOOKUP(E28,dagsoorttabel1,2,FALSE))</f>
        <v>0</v>
      </c>
      <c r="K28" s="60">
        <f>F28*H28</f>
        <v>0</v>
      </c>
      <c r="L28" s="60">
        <f>SUM(J28:K28)</f>
        <v>0</v>
      </c>
      <c r="M28" s="68">
        <f>I28*dagenperjaar1*VLOOKUP(E28,dagsoorttabel1,2,FALSE)</f>
        <v>0</v>
      </c>
      <c r="N28" s="60">
        <f>L28*dagenperjaar1*VLOOKUP(E28,dagsoorttabel1,2,FALSE)</f>
        <v>0</v>
      </c>
      <c r="O28" s="60">
        <f>N28/12</f>
        <v>0</v>
      </c>
    </row>
    <row r="29" spans="1:15" x14ac:dyDescent="0.2">
      <c r="A29" s="61" t="s">
        <v>934</v>
      </c>
      <c r="B29" s="61" t="s">
        <v>985</v>
      </c>
      <c r="C29" s="61" t="s">
        <v>986</v>
      </c>
      <c r="D29" s="61" t="s">
        <v>978</v>
      </c>
      <c r="E29" s="113" t="s">
        <v>13</v>
      </c>
      <c r="F29" s="114">
        <f>gemuurtarief3</f>
        <v>0</v>
      </c>
      <c r="G29" s="70">
        <f>SUMPRODUCT(taakfreqtabel3,uurfactortabel3,kengetaltabel3,object6_opptabel3)*(1/VLOOKUP(E29,dagsoorttabel1,2,FALSE))</f>
        <v>0</v>
      </c>
      <c r="H29" s="63"/>
      <c r="I29" s="70">
        <f>G29+H29</f>
        <v>0</v>
      </c>
      <c r="J29" s="65">
        <f>SUMPRODUCT(taakfreqtabel3,kengetaltabel3,tarieftabel3,object6_opptabel3)*(1/VLOOKUP(E29,dagsoorttabel1,2,FALSE))</f>
        <v>0</v>
      </c>
      <c r="K29" s="65">
        <f>F29*H29</f>
        <v>0</v>
      </c>
      <c r="L29" s="65">
        <f>SUM(J29:K29)</f>
        <v>0</v>
      </c>
      <c r="M29" s="70">
        <f>I29*dagenperjaar1*VLOOKUP(E29,dagsoorttabel1,2,FALSE)</f>
        <v>0</v>
      </c>
      <c r="N29" s="65">
        <f>L29*dagenperjaar1*VLOOKUP(E29,dagsoorttabel1,2,FALSE)</f>
        <v>0</v>
      </c>
      <c r="O29" s="65">
        <f>N29/12</f>
        <v>0</v>
      </c>
    </row>
    <row r="30" spans="1:15" x14ac:dyDescent="0.2">
      <c r="A30" s="73" t="s">
        <v>321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5">
        <f>SUM(M25:M29)</f>
        <v>0</v>
      </c>
      <c r="N30" s="76">
        <f>SUM(N25:N29)</f>
        <v>0</v>
      </c>
      <c r="O30" s="77">
        <f>SUM(O25:O29)</f>
        <v>0</v>
      </c>
    </row>
    <row r="31" spans="1:15" x14ac:dyDescent="0.2">
      <c r="A31" s="78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9"/>
    </row>
    <row r="33" spans="1:15" x14ac:dyDescent="0.2">
      <c r="A33" s="73" t="s">
        <v>987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5">
        <f>urenjaartotaal1+urenjaartotaal2+urenjaartotaal3</f>
        <v>0</v>
      </c>
      <c r="N33" s="76">
        <f>prijsjaartotaal1+prijsjaartotaal2+prijsjaartotaal3</f>
        <v>0</v>
      </c>
      <c r="O33" s="76">
        <f>prijsmaandtotaal1+prijsmaandtotaal2+prijsmaandtotaal3</f>
        <v>0</v>
      </c>
    </row>
    <row r="35" spans="1:15" x14ac:dyDescent="0.2">
      <c r="A35" s="73" t="s">
        <v>988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6">
        <f>N33*1.21</f>
        <v>0</v>
      </c>
      <c r="O35" s="76">
        <f>O33*1.21</f>
        <v>0</v>
      </c>
    </row>
  </sheetData>
  <sheetProtection algorithmName="SHA-512" hashValue="vjhsibS+stHqQasjUTe7brsaMaIBBVQR4J1F5k9VW/kqomIw0T/zVWYbvdX6QAQGjzrfnY9TVZ0Q3jbDr0WMgw==" saltValue="vmbejQQ8ixNU8K3qMsegng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&amp;LCentraal Museum Utrecht EA2026                              &amp;ROpmaakdatum: 19-03-2026
Intexso - Plantageweg 23E - Leusden
+31 (33) 2778485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16</vt:i4>
      </vt:variant>
      <vt:variant>
        <vt:lpstr>Benoemde bereiken</vt:lpstr>
      </vt:variant>
      <vt:variant>
        <vt:i4>817</vt:i4>
      </vt:variant>
    </vt:vector>
  </HeadingPairs>
  <TitlesOfParts>
    <vt:vector size="833" baseType="lpstr">
      <vt:lpstr>Omreken</vt:lpstr>
      <vt:lpstr>Tariefopbouw</vt:lpstr>
      <vt:lpstr>Categorienormen</vt:lpstr>
      <vt:lpstr>Regulier werk</vt:lpstr>
      <vt:lpstr>Ruimten werkdag</vt:lpstr>
      <vt:lpstr>Ruimten feestdag</vt:lpstr>
      <vt:lpstr>Ruimten weekenddag</vt:lpstr>
      <vt:lpstr>Objectinformatie</vt:lpstr>
      <vt:lpstr>Objecten</vt:lpstr>
      <vt:lpstr>Totaalblad Objecten</vt:lpstr>
      <vt:lpstr>Additioneel werk</vt:lpstr>
      <vt:lpstr>Additioneel werk per locatie</vt:lpstr>
      <vt:lpstr>Afroep incidenteel</vt:lpstr>
      <vt:lpstr>Regiewerk</vt:lpstr>
      <vt:lpstr>Glas</vt:lpstr>
      <vt:lpstr>Totaal</vt:lpstr>
      <vt:lpstr>'Additioneel werk'!Afdruktitels</vt:lpstr>
      <vt:lpstr>'Additioneel werk per locatie'!Afdruktitels</vt:lpstr>
      <vt:lpstr>'Afroep incidenteel'!Afdruktitels</vt:lpstr>
      <vt:lpstr>Categorienormen!Afdruktitels</vt:lpstr>
      <vt:lpstr>Glas!Afdruktitels</vt:lpstr>
      <vt:lpstr>Objecten!Afdruktitels</vt:lpstr>
      <vt:lpstr>Objectinformatie!Afdruktitels</vt:lpstr>
      <vt:lpstr>Regiewerk!Afdruktitels</vt:lpstr>
      <vt:lpstr>'Regulier werk'!Afdruktitels</vt:lpstr>
      <vt:lpstr>'Ruimten feestdag'!Afdruktitels</vt:lpstr>
      <vt:lpstr>'Ruimten weekenddag'!Afdruktitels</vt:lpstr>
      <vt:lpstr>'Ruimten werkdag'!Afdruktitels</vt:lpstr>
      <vt:lpstr>Tariefopbouw!Afdruktitels</vt:lpstr>
      <vt:lpstr>Totaal!Afdruktitels</vt:lpstr>
      <vt:lpstr>'Totaalblad Objecten'!Afdruktitels</vt:lpstr>
      <vt:lpstr>catdw_1_BKHB_1</vt:lpstr>
      <vt:lpstr>catdw_1_BKHV_51</vt:lpstr>
      <vt:lpstr>catdw_1_BKZB_1</vt:lpstr>
      <vt:lpstr>catdw_1_BKZV_51</vt:lpstr>
      <vt:lpstr>catdw_1_BVHB_1</vt:lpstr>
      <vt:lpstr>catdw_1_BVHV_51</vt:lpstr>
      <vt:lpstr>catdw_1_KPHB_1</vt:lpstr>
      <vt:lpstr>catdw_1_KPHV_51</vt:lpstr>
      <vt:lpstr>catdw_1_KRHB_1</vt:lpstr>
      <vt:lpstr>catdw_1_KRHV_51</vt:lpstr>
      <vt:lpstr>catdw_1_LAHB_1</vt:lpstr>
      <vt:lpstr>catdw_1_LAHV_51</vt:lpstr>
      <vt:lpstr>catdw_1_MEHB_1</vt:lpstr>
      <vt:lpstr>catdw_1_MEHV_12</vt:lpstr>
      <vt:lpstr>catdw_1_MEHV_51</vt:lpstr>
      <vt:lpstr>catdw_1_MEZB_1</vt:lpstr>
      <vt:lpstr>catdw_1_MEZV_51</vt:lpstr>
      <vt:lpstr>catdw_1_NMEHB_1</vt:lpstr>
      <vt:lpstr>catdw_1_NMEHV_51</vt:lpstr>
      <vt:lpstr>catdw_1_OAHB_1</vt:lpstr>
      <vt:lpstr>catdw_1_OAHV_1</vt:lpstr>
      <vt:lpstr>catdw_1_OAHV_51</vt:lpstr>
      <vt:lpstr>catdw_1_SKHB_1</vt:lpstr>
      <vt:lpstr>catdw_1_SKHV_51</vt:lpstr>
      <vt:lpstr>catdw_1_STHB_1</vt:lpstr>
      <vt:lpstr>catdw_1_STHV_51</vt:lpstr>
      <vt:lpstr>catdw_1_VAHB_1</vt:lpstr>
      <vt:lpstr>catdw_1_VAHV_51</vt:lpstr>
      <vt:lpstr>catdw_1_VAZB_1</vt:lpstr>
      <vt:lpstr>catdw_1_VAZV_51</vt:lpstr>
      <vt:lpstr>catdw_1_VEHB_1</vt:lpstr>
      <vt:lpstr>catdw_1_VEHV_51</vt:lpstr>
      <vt:lpstr>catdw_1_VEZB_1</vt:lpstr>
      <vt:lpstr>catdw_1_VEZV_51</vt:lpstr>
      <vt:lpstr>catdw_1_VLHB_1</vt:lpstr>
      <vt:lpstr>catdw_1_VLHV_51</vt:lpstr>
      <vt:lpstr>catdw_1_VTHB_1</vt:lpstr>
      <vt:lpstr>catdw_1_VTHV_12</vt:lpstr>
      <vt:lpstr>catdw_1_VTHV_2</vt:lpstr>
      <vt:lpstr>catdw_1_VTHV_51</vt:lpstr>
      <vt:lpstr>catdw_1_VTZB_1</vt:lpstr>
      <vt:lpstr>catdw_1_VTZV_51</vt:lpstr>
      <vt:lpstr>catdw_1_WIHB_1</vt:lpstr>
      <vt:lpstr>catdw_1_WIHV_51</vt:lpstr>
      <vt:lpstr>catdw_2_XBKHB_1</vt:lpstr>
      <vt:lpstr>catdw_2_XBVHB_1</vt:lpstr>
      <vt:lpstr>catdw_2_XKPHB_1</vt:lpstr>
      <vt:lpstr>catdw_2_XKRHB_1</vt:lpstr>
      <vt:lpstr>catdw_2_XLAHB_1</vt:lpstr>
      <vt:lpstr>catdw_2_XMEHB_1</vt:lpstr>
      <vt:lpstr>catdw_2_XMEZB_1</vt:lpstr>
      <vt:lpstr>catdw_2_XNMHB_1</vt:lpstr>
      <vt:lpstr>catdw_2_XSKHB_1</vt:lpstr>
      <vt:lpstr>catdw_2_XSTHB_1</vt:lpstr>
      <vt:lpstr>catdw_2_XVAHB_1</vt:lpstr>
      <vt:lpstr>catdw_2_XVEHB_1</vt:lpstr>
      <vt:lpstr>catdw_2_XVEZB_1</vt:lpstr>
      <vt:lpstr>catdw_2_XVLHB_1</vt:lpstr>
      <vt:lpstr>catdw_2_XVTHB_1</vt:lpstr>
      <vt:lpstr>catdw_2_XWINB_1</vt:lpstr>
      <vt:lpstr>catdw_3_WKBHB_1</vt:lpstr>
      <vt:lpstr>catdw_3_WKPHB_1</vt:lpstr>
      <vt:lpstr>catdw_3_WKRHB_1</vt:lpstr>
      <vt:lpstr>catdw_3_WLAHB_1</vt:lpstr>
      <vt:lpstr>catdw_3_WMEHB_1</vt:lpstr>
      <vt:lpstr>catdw_3_WMEZB_1</vt:lpstr>
      <vt:lpstr>catdw_3_WNMHB_1</vt:lpstr>
      <vt:lpstr>catdw_3_WSKHB_1</vt:lpstr>
      <vt:lpstr>catdw_3_WSTHB_1</vt:lpstr>
      <vt:lpstr>catdw_3_WVAHB_1</vt:lpstr>
      <vt:lpstr>catdw_3_WVBHB_1</vt:lpstr>
      <vt:lpstr>catdw_3_WVEHB_1</vt:lpstr>
      <vt:lpstr>catdw_3_WVEZB_1</vt:lpstr>
      <vt:lpstr>catdw_3_WVLHB_1</vt:lpstr>
      <vt:lpstr>catdw_3_WVTHB_1</vt:lpstr>
      <vt:lpstr>catdw_3_WWIHB_1</vt:lpstr>
      <vt:lpstr>catfd_1_BKHB_1</vt:lpstr>
      <vt:lpstr>catfd_1_BKHV_51</vt:lpstr>
      <vt:lpstr>catfd_1_BKZB_1</vt:lpstr>
      <vt:lpstr>catfd_1_BKZV_51</vt:lpstr>
      <vt:lpstr>catfd_1_BVHB_1</vt:lpstr>
      <vt:lpstr>catfd_1_BVHV_51</vt:lpstr>
      <vt:lpstr>catfd_1_KPHB_1</vt:lpstr>
      <vt:lpstr>catfd_1_KPHV_51</vt:lpstr>
      <vt:lpstr>catfd_1_KRHB_1</vt:lpstr>
      <vt:lpstr>catfd_1_KRHV_51</vt:lpstr>
      <vt:lpstr>catfd_1_LAHB_1</vt:lpstr>
      <vt:lpstr>catfd_1_LAHV_51</vt:lpstr>
      <vt:lpstr>catfd_1_MEHB_1</vt:lpstr>
      <vt:lpstr>catfd_1_MEHV_12</vt:lpstr>
      <vt:lpstr>catfd_1_MEHV_51</vt:lpstr>
      <vt:lpstr>catfd_1_MEZB_1</vt:lpstr>
      <vt:lpstr>catfd_1_MEZV_51</vt:lpstr>
      <vt:lpstr>catfd_1_NMEHB_1</vt:lpstr>
      <vt:lpstr>catfd_1_NMEHV_51</vt:lpstr>
      <vt:lpstr>catfd_1_OAHB_1</vt:lpstr>
      <vt:lpstr>catfd_1_OAHV_1</vt:lpstr>
      <vt:lpstr>catfd_1_OAHV_51</vt:lpstr>
      <vt:lpstr>catfd_1_SKHB_1</vt:lpstr>
      <vt:lpstr>catfd_1_SKHV_51</vt:lpstr>
      <vt:lpstr>catfd_1_STHB_1</vt:lpstr>
      <vt:lpstr>catfd_1_STHV_51</vt:lpstr>
      <vt:lpstr>catfd_1_VAHB_1</vt:lpstr>
      <vt:lpstr>catfd_1_VAHV_51</vt:lpstr>
      <vt:lpstr>catfd_1_VAZB_1</vt:lpstr>
      <vt:lpstr>catfd_1_VAZV_51</vt:lpstr>
      <vt:lpstr>catfd_1_VEHB_1</vt:lpstr>
      <vt:lpstr>catfd_1_VEHV_51</vt:lpstr>
      <vt:lpstr>catfd_1_VEZB_1</vt:lpstr>
      <vt:lpstr>catfd_1_VEZV_51</vt:lpstr>
      <vt:lpstr>catfd_1_VLHB_1</vt:lpstr>
      <vt:lpstr>catfd_1_VLHV_51</vt:lpstr>
      <vt:lpstr>catfd_1_VTHB_1</vt:lpstr>
      <vt:lpstr>catfd_1_VTHV_12</vt:lpstr>
      <vt:lpstr>catfd_1_VTHV_2</vt:lpstr>
      <vt:lpstr>catfd_1_VTHV_51</vt:lpstr>
      <vt:lpstr>catfd_1_VTZB_1</vt:lpstr>
      <vt:lpstr>catfd_1_VTZV_51</vt:lpstr>
      <vt:lpstr>catfd_1_WIHB_1</vt:lpstr>
      <vt:lpstr>catfd_1_WIHV_51</vt:lpstr>
      <vt:lpstr>catfd_2_XBKHB_1</vt:lpstr>
      <vt:lpstr>catfd_2_XBVHB_1</vt:lpstr>
      <vt:lpstr>catfd_2_XKPHB_1</vt:lpstr>
      <vt:lpstr>catfd_2_XKRHB_1</vt:lpstr>
      <vt:lpstr>catfd_2_XLAHB_1</vt:lpstr>
      <vt:lpstr>catfd_2_XMEHB_1</vt:lpstr>
      <vt:lpstr>catfd_2_XMEZB_1</vt:lpstr>
      <vt:lpstr>catfd_2_XNMHB_1</vt:lpstr>
      <vt:lpstr>catfd_2_XSKHB_1</vt:lpstr>
      <vt:lpstr>catfd_2_XSTHB_1</vt:lpstr>
      <vt:lpstr>catfd_2_XVAHB_1</vt:lpstr>
      <vt:lpstr>catfd_2_XVEHB_1</vt:lpstr>
      <vt:lpstr>catfd_2_XVEZB_1</vt:lpstr>
      <vt:lpstr>catfd_2_XVLHB_1</vt:lpstr>
      <vt:lpstr>catfd_2_XVTHB_1</vt:lpstr>
      <vt:lpstr>catfd_2_XWINB_1</vt:lpstr>
      <vt:lpstr>catfd_3_WKBHB_1</vt:lpstr>
      <vt:lpstr>catfd_3_WKPHB_1</vt:lpstr>
      <vt:lpstr>catfd_3_WKRHB_1</vt:lpstr>
      <vt:lpstr>catfd_3_WLAHB_1</vt:lpstr>
      <vt:lpstr>catfd_3_WMEHB_1</vt:lpstr>
      <vt:lpstr>catfd_3_WMEZB_1</vt:lpstr>
      <vt:lpstr>catfd_3_WNMHB_1</vt:lpstr>
      <vt:lpstr>catfd_3_WSKHB_1</vt:lpstr>
      <vt:lpstr>catfd_3_WSTHB_1</vt:lpstr>
      <vt:lpstr>catfd_3_WVAHB_1</vt:lpstr>
      <vt:lpstr>catfd_3_WVBHB_1</vt:lpstr>
      <vt:lpstr>catfd_3_WVEHB_1</vt:lpstr>
      <vt:lpstr>catfd_3_WVEZB_1</vt:lpstr>
      <vt:lpstr>catfd_3_WVLHB_1</vt:lpstr>
      <vt:lpstr>catfd_3_WVTHB_1</vt:lpstr>
      <vt:lpstr>catfd_3_WWIHB_1</vt:lpstr>
      <vt:lpstr>catpn_1_BKHB_1</vt:lpstr>
      <vt:lpstr>catpn_1_BKHV_51</vt:lpstr>
      <vt:lpstr>catpn_1_BKZB_1</vt:lpstr>
      <vt:lpstr>catpn_1_BKZV_51</vt:lpstr>
      <vt:lpstr>catpn_1_BVHB_1</vt:lpstr>
      <vt:lpstr>catpn_1_BVHV_51</vt:lpstr>
      <vt:lpstr>catpn_1_KPHB_1</vt:lpstr>
      <vt:lpstr>catpn_1_KPHV_51</vt:lpstr>
      <vt:lpstr>catpn_1_KRHB_1</vt:lpstr>
      <vt:lpstr>catpn_1_KRHV_51</vt:lpstr>
      <vt:lpstr>catpn_1_LAHB_1</vt:lpstr>
      <vt:lpstr>catpn_1_LAHV_51</vt:lpstr>
      <vt:lpstr>catpn_1_MEHB_1</vt:lpstr>
      <vt:lpstr>catpn_1_MEHV_12</vt:lpstr>
      <vt:lpstr>catpn_1_MEHV_51</vt:lpstr>
      <vt:lpstr>catpn_1_MEZB_1</vt:lpstr>
      <vt:lpstr>catpn_1_MEZV_51</vt:lpstr>
      <vt:lpstr>catpn_1_NMEHB_1</vt:lpstr>
      <vt:lpstr>catpn_1_NMEHV_51</vt:lpstr>
      <vt:lpstr>catpn_1_OAHB_1</vt:lpstr>
      <vt:lpstr>catpn_1_OAHV_1</vt:lpstr>
      <vt:lpstr>catpn_1_OAHV_51</vt:lpstr>
      <vt:lpstr>catpn_1_SKHB_1</vt:lpstr>
      <vt:lpstr>catpn_1_SKHV_51</vt:lpstr>
      <vt:lpstr>catpn_1_STHB_1</vt:lpstr>
      <vt:lpstr>catpn_1_STHV_51</vt:lpstr>
      <vt:lpstr>catpn_1_VAHB_1</vt:lpstr>
      <vt:lpstr>catpn_1_VAHV_51</vt:lpstr>
      <vt:lpstr>catpn_1_VAZB_1</vt:lpstr>
      <vt:lpstr>catpn_1_VAZV_51</vt:lpstr>
      <vt:lpstr>catpn_1_VEHB_1</vt:lpstr>
      <vt:lpstr>catpn_1_VEHV_51</vt:lpstr>
      <vt:lpstr>catpn_1_VEZB_1</vt:lpstr>
      <vt:lpstr>catpn_1_VEZV_51</vt:lpstr>
      <vt:lpstr>catpn_1_VLHB_1</vt:lpstr>
      <vt:lpstr>catpn_1_VLHV_51</vt:lpstr>
      <vt:lpstr>catpn_1_VTHB_1</vt:lpstr>
      <vt:lpstr>catpn_1_VTHV_12</vt:lpstr>
      <vt:lpstr>catpn_1_VTHV_2</vt:lpstr>
      <vt:lpstr>catpn_1_VTHV_51</vt:lpstr>
      <vt:lpstr>catpn_1_VTZB_1</vt:lpstr>
      <vt:lpstr>catpn_1_VTZV_51</vt:lpstr>
      <vt:lpstr>catpn_1_WIHB_1</vt:lpstr>
      <vt:lpstr>catpn_1_WIHV_51</vt:lpstr>
      <vt:lpstr>catpn_2_XBKHB_1</vt:lpstr>
      <vt:lpstr>catpn_2_XBVHB_1</vt:lpstr>
      <vt:lpstr>catpn_2_XKPHB_1</vt:lpstr>
      <vt:lpstr>catpn_2_XKRHB_1</vt:lpstr>
      <vt:lpstr>catpn_2_XLAHB_1</vt:lpstr>
      <vt:lpstr>catpn_2_XMEHB_1</vt:lpstr>
      <vt:lpstr>catpn_2_XMEZB_1</vt:lpstr>
      <vt:lpstr>catpn_2_XNMHB_1</vt:lpstr>
      <vt:lpstr>catpn_2_XSKHB_1</vt:lpstr>
      <vt:lpstr>catpn_2_XSTHB_1</vt:lpstr>
      <vt:lpstr>catpn_2_XVAHB_1</vt:lpstr>
      <vt:lpstr>catpn_2_XVEHB_1</vt:lpstr>
      <vt:lpstr>catpn_2_XVEZB_1</vt:lpstr>
      <vt:lpstr>catpn_2_XVLHB_1</vt:lpstr>
      <vt:lpstr>catpn_2_XVTHB_1</vt:lpstr>
      <vt:lpstr>catpn_2_XWINB_1</vt:lpstr>
      <vt:lpstr>catpn_3_WKBHB_1</vt:lpstr>
      <vt:lpstr>catpn_3_WKPHB_1</vt:lpstr>
      <vt:lpstr>catpn_3_WKRHB_1</vt:lpstr>
      <vt:lpstr>catpn_3_WLAHB_1</vt:lpstr>
      <vt:lpstr>catpn_3_WMEHB_1</vt:lpstr>
      <vt:lpstr>catpn_3_WMEZB_1</vt:lpstr>
      <vt:lpstr>catpn_3_WNMHB_1</vt:lpstr>
      <vt:lpstr>catpn_3_WSKHB_1</vt:lpstr>
      <vt:lpstr>catpn_3_WSTHB_1</vt:lpstr>
      <vt:lpstr>catpn_3_WVAHB_1</vt:lpstr>
      <vt:lpstr>catpn_3_WVBHB_1</vt:lpstr>
      <vt:lpstr>catpn_3_WVEHB_1</vt:lpstr>
      <vt:lpstr>catpn_3_WVEZB_1</vt:lpstr>
      <vt:lpstr>catpn_3_WVLHB_1</vt:lpstr>
      <vt:lpstr>catpn_3_WVTHB_1</vt:lpstr>
      <vt:lpstr>catpn_3_WWIHB_1</vt:lpstr>
      <vt:lpstr>cattf_1_BKHB_1</vt:lpstr>
      <vt:lpstr>cattf_1_BKHV_51</vt:lpstr>
      <vt:lpstr>cattf_1_BKZB_1</vt:lpstr>
      <vt:lpstr>cattf_1_BKZV_51</vt:lpstr>
      <vt:lpstr>cattf_1_BVHB_1</vt:lpstr>
      <vt:lpstr>cattf_1_BVHV_51</vt:lpstr>
      <vt:lpstr>cattf_1_KPHB_1</vt:lpstr>
      <vt:lpstr>cattf_1_KPHV_51</vt:lpstr>
      <vt:lpstr>cattf_1_KRHB_1</vt:lpstr>
      <vt:lpstr>cattf_1_KRHV_51</vt:lpstr>
      <vt:lpstr>cattf_1_LAHB_1</vt:lpstr>
      <vt:lpstr>cattf_1_LAHV_51</vt:lpstr>
      <vt:lpstr>cattf_1_MEHB_1</vt:lpstr>
      <vt:lpstr>cattf_1_MEHV_12</vt:lpstr>
      <vt:lpstr>cattf_1_MEHV_51</vt:lpstr>
      <vt:lpstr>cattf_1_MEZB_1</vt:lpstr>
      <vt:lpstr>cattf_1_MEZV_51</vt:lpstr>
      <vt:lpstr>cattf_1_NMEHB_1</vt:lpstr>
      <vt:lpstr>cattf_1_NMEHV_51</vt:lpstr>
      <vt:lpstr>cattf_1_OAHB_1</vt:lpstr>
      <vt:lpstr>cattf_1_OAHV_1</vt:lpstr>
      <vt:lpstr>cattf_1_OAHV_51</vt:lpstr>
      <vt:lpstr>cattf_1_SKHB_1</vt:lpstr>
      <vt:lpstr>cattf_1_SKHV_51</vt:lpstr>
      <vt:lpstr>cattf_1_STHB_1</vt:lpstr>
      <vt:lpstr>cattf_1_STHV_51</vt:lpstr>
      <vt:lpstr>cattf_1_VAHB_1</vt:lpstr>
      <vt:lpstr>cattf_1_VAHV_51</vt:lpstr>
      <vt:lpstr>cattf_1_VAZB_1</vt:lpstr>
      <vt:lpstr>cattf_1_VAZV_51</vt:lpstr>
      <vt:lpstr>cattf_1_VEHB_1</vt:lpstr>
      <vt:lpstr>cattf_1_VEHV_51</vt:lpstr>
      <vt:lpstr>cattf_1_VEZB_1</vt:lpstr>
      <vt:lpstr>cattf_1_VEZV_51</vt:lpstr>
      <vt:lpstr>cattf_1_VLHB_1</vt:lpstr>
      <vt:lpstr>cattf_1_VLHV_51</vt:lpstr>
      <vt:lpstr>cattf_1_VTHB_1</vt:lpstr>
      <vt:lpstr>cattf_1_VTHV_12</vt:lpstr>
      <vt:lpstr>cattf_1_VTHV_2</vt:lpstr>
      <vt:lpstr>cattf_1_VTHV_51</vt:lpstr>
      <vt:lpstr>cattf_1_VTZB_1</vt:lpstr>
      <vt:lpstr>cattf_1_VTZV_51</vt:lpstr>
      <vt:lpstr>cattf_1_WIHB_1</vt:lpstr>
      <vt:lpstr>cattf_1_WIHV_51</vt:lpstr>
      <vt:lpstr>cattf_2_XBKHB_1</vt:lpstr>
      <vt:lpstr>cattf_2_XBVHB_1</vt:lpstr>
      <vt:lpstr>cattf_2_XKPHB_1</vt:lpstr>
      <vt:lpstr>cattf_2_XKRHB_1</vt:lpstr>
      <vt:lpstr>cattf_2_XLAHB_1</vt:lpstr>
      <vt:lpstr>cattf_2_XMEHB_1</vt:lpstr>
      <vt:lpstr>cattf_2_XMEZB_1</vt:lpstr>
      <vt:lpstr>cattf_2_XNMHB_1</vt:lpstr>
      <vt:lpstr>cattf_2_XSKHB_1</vt:lpstr>
      <vt:lpstr>cattf_2_XSTHB_1</vt:lpstr>
      <vt:lpstr>cattf_2_XVAHB_1</vt:lpstr>
      <vt:lpstr>cattf_2_XVEHB_1</vt:lpstr>
      <vt:lpstr>cattf_2_XVEZB_1</vt:lpstr>
      <vt:lpstr>cattf_2_XVLHB_1</vt:lpstr>
      <vt:lpstr>cattf_2_XVTHB_1</vt:lpstr>
      <vt:lpstr>cattf_2_XWINB_1</vt:lpstr>
      <vt:lpstr>cattf_3_WKBHB_1</vt:lpstr>
      <vt:lpstr>cattf_3_WKPHB_1</vt:lpstr>
      <vt:lpstr>cattf_3_WKRHB_1</vt:lpstr>
      <vt:lpstr>cattf_3_WLAHB_1</vt:lpstr>
      <vt:lpstr>cattf_3_WMEHB_1</vt:lpstr>
      <vt:lpstr>cattf_3_WMEZB_1</vt:lpstr>
      <vt:lpstr>cattf_3_WNMHB_1</vt:lpstr>
      <vt:lpstr>cattf_3_WSKHB_1</vt:lpstr>
      <vt:lpstr>cattf_3_WSTHB_1</vt:lpstr>
      <vt:lpstr>cattf_3_WVAHB_1</vt:lpstr>
      <vt:lpstr>cattf_3_WVBHB_1</vt:lpstr>
      <vt:lpstr>cattf_3_WVEHB_1</vt:lpstr>
      <vt:lpstr>cattf_3_WVEZB_1</vt:lpstr>
      <vt:lpstr>cattf_3_WVLHB_1</vt:lpstr>
      <vt:lpstr>cattf_3_WVTHB_1</vt:lpstr>
      <vt:lpstr>cattf_3_WWIHB_1</vt:lpstr>
      <vt:lpstr>dagenperjaar1</vt:lpstr>
      <vt:lpstr>dagenperweek1</vt:lpstr>
      <vt:lpstr>dagsoorttabel1</vt:lpstr>
      <vt:lpstr>gemuurtarief1</vt:lpstr>
      <vt:lpstr>gemuurtarief2</vt:lpstr>
      <vt:lpstr>gemuurtarief3</vt:lpstr>
      <vt:lpstr>kengetaltabel1</vt:lpstr>
      <vt:lpstr>kengetaltabel2</vt:lpstr>
      <vt:lpstr>kengetaltabel3</vt:lpstr>
      <vt:lpstr>object1_gemuurtarief1</vt:lpstr>
      <vt:lpstr>object1_gemuurtarief2</vt:lpstr>
      <vt:lpstr>object1_gemuurtarief3</vt:lpstr>
      <vt:lpstr>object1_opptabel1</vt:lpstr>
      <vt:lpstr>object1_opptabel2</vt:lpstr>
      <vt:lpstr>object1_opptabel3</vt:lpstr>
      <vt:lpstr>object1_prijsdag1</vt:lpstr>
      <vt:lpstr>object1_prijsdag2</vt:lpstr>
      <vt:lpstr>object1_prijsdag3</vt:lpstr>
      <vt:lpstr>object1_prijsjaar1</vt:lpstr>
      <vt:lpstr>object1_prijsjaar2</vt:lpstr>
      <vt:lpstr>object1_prijsjaar3</vt:lpstr>
      <vt:lpstr>object1_urendag1</vt:lpstr>
      <vt:lpstr>object1_urendag2</vt:lpstr>
      <vt:lpstr>object1_urendag3</vt:lpstr>
      <vt:lpstr>object1_urenjaar1</vt:lpstr>
      <vt:lpstr>object1_urenjaar2</vt:lpstr>
      <vt:lpstr>object1_urenjaar3</vt:lpstr>
      <vt:lpstr>object2_gemuurtarief1</vt:lpstr>
      <vt:lpstr>object2_gemuurtarief2</vt:lpstr>
      <vt:lpstr>object2_gemuurtarief3</vt:lpstr>
      <vt:lpstr>object2_opptabel1</vt:lpstr>
      <vt:lpstr>object2_opptabel2</vt:lpstr>
      <vt:lpstr>object2_opptabel3</vt:lpstr>
      <vt:lpstr>object2_prijsdag1</vt:lpstr>
      <vt:lpstr>object2_prijsdag2</vt:lpstr>
      <vt:lpstr>object2_prijsdag3</vt:lpstr>
      <vt:lpstr>object2_prijsjaar1</vt:lpstr>
      <vt:lpstr>object2_prijsjaar2</vt:lpstr>
      <vt:lpstr>object2_prijsjaar3</vt:lpstr>
      <vt:lpstr>object2_urendag1</vt:lpstr>
      <vt:lpstr>object2_urendag2</vt:lpstr>
      <vt:lpstr>object2_urendag3</vt:lpstr>
      <vt:lpstr>object2_urenjaar1</vt:lpstr>
      <vt:lpstr>object2_urenjaar2</vt:lpstr>
      <vt:lpstr>object2_urenjaar3</vt:lpstr>
      <vt:lpstr>object3_gemuurtarief1</vt:lpstr>
      <vt:lpstr>object3_gemuurtarief2</vt:lpstr>
      <vt:lpstr>object3_gemuurtarief3</vt:lpstr>
      <vt:lpstr>object3_opptabel1</vt:lpstr>
      <vt:lpstr>object3_opptabel2</vt:lpstr>
      <vt:lpstr>object3_opptabel3</vt:lpstr>
      <vt:lpstr>object3_prijsdag1</vt:lpstr>
      <vt:lpstr>object3_prijsdag2</vt:lpstr>
      <vt:lpstr>object3_prijsdag3</vt:lpstr>
      <vt:lpstr>object3_prijsjaar1</vt:lpstr>
      <vt:lpstr>object3_prijsjaar2</vt:lpstr>
      <vt:lpstr>object3_prijsjaar3</vt:lpstr>
      <vt:lpstr>object3_urendag1</vt:lpstr>
      <vt:lpstr>object3_urendag2</vt:lpstr>
      <vt:lpstr>object3_urendag3</vt:lpstr>
      <vt:lpstr>object3_urenjaar1</vt:lpstr>
      <vt:lpstr>object3_urenjaar2</vt:lpstr>
      <vt:lpstr>object3_urenjaar3</vt:lpstr>
      <vt:lpstr>object4_gemuurtarief1</vt:lpstr>
      <vt:lpstr>object4_gemuurtarief2</vt:lpstr>
      <vt:lpstr>object4_gemuurtarief3</vt:lpstr>
      <vt:lpstr>object4_opptabel1</vt:lpstr>
      <vt:lpstr>object4_opptabel2</vt:lpstr>
      <vt:lpstr>object4_opptabel3</vt:lpstr>
      <vt:lpstr>object4_prijsdag1</vt:lpstr>
      <vt:lpstr>object4_prijsdag2</vt:lpstr>
      <vt:lpstr>object4_prijsdag3</vt:lpstr>
      <vt:lpstr>object4_prijsjaar1</vt:lpstr>
      <vt:lpstr>object4_prijsjaar2</vt:lpstr>
      <vt:lpstr>object4_prijsjaar3</vt:lpstr>
      <vt:lpstr>object4_urendag1</vt:lpstr>
      <vt:lpstr>object4_urendag2</vt:lpstr>
      <vt:lpstr>object4_urendag3</vt:lpstr>
      <vt:lpstr>object4_urenjaar1</vt:lpstr>
      <vt:lpstr>object4_urenjaar2</vt:lpstr>
      <vt:lpstr>object4_urenjaar3</vt:lpstr>
      <vt:lpstr>object5_gemuurtarief1</vt:lpstr>
      <vt:lpstr>object5_opptabel1</vt:lpstr>
      <vt:lpstr>object5_opptabel2</vt:lpstr>
      <vt:lpstr>object5_opptabel3</vt:lpstr>
      <vt:lpstr>object5_prijsdag1</vt:lpstr>
      <vt:lpstr>object5_prijsjaar1</vt:lpstr>
      <vt:lpstr>object5_urendag1</vt:lpstr>
      <vt:lpstr>object5_urenjaar1</vt:lpstr>
      <vt:lpstr>object6_gemuurtarief1</vt:lpstr>
      <vt:lpstr>object6_gemuurtarief2</vt:lpstr>
      <vt:lpstr>object6_gemuurtarief3</vt:lpstr>
      <vt:lpstr>object6_opptabel1</vt:lpstr>
      <vt:lpstr>object6_opptabel2</vt:lpstr>
      <vt:lpstr>object6_opptabel3</vt:lpstr>
      <vt:lpstr>object6_prijsdag1</vt:lpstr>
      <vt:lpstr>object6_prijsdag2</vt:lpstr>
      <vt:lpstr>object6_prijsdag3</vt:lpstr>
      <vt:lpstr>object6_prijsjaar1</vt:lpstr>
      <vt:lpstr>object6_prijsjaar2</vt:lpstr>
      <vt:lpstr>object6_prijsjaar3</vt:lpstr>
      <vt:lpstr>object6_urendag1</vt:lpstr>
      <vt:lpstr>object6_urendag2</vt:lpstr>
      <vt:lpstr>object6_urendag3</vt:lpstr>
      <vt:lpstr>object6_urenjaar1</vt:lpstr>
      <vt:lpstr>object6_urenjaar2</vt:lpstr>
      <vt:lpstr>object6_urenjaar3</vt:lpstr>
      <vt:lpstr>objectprijs1_1</vt:lpstr>
      <vt:lpstr>objectprijs1_2</vt:lpstr>
      <vt:lpstr>objectprijs1_3</vt:lpstr>
      <vt:lpstr>objectprijs2_1</vt:lpstr>
      <vt:lpstr>objectprijs2_2</vt:lpstr>
      <vt:lpstr>objectprijs2_3</vt:lpstr>
      <vt:lpstr>objectprijs3_1</vt:lpstr>
      <vt:lpstr>objectprijs3_2</vt:lpstr>
      <vt:lpstr>objectprijs3_3</vt:lpstr>
      <vt:lpstr>objectprijs4_1</vt:lpstr>
      <vt:lpstr>objectprijs4_2</vt:lpstr>
      <vt:lpstr>objectprijs4_3</vt:lpstr>
      <vt:lpstr>objectprijs5_1</vt:lpstr>
      <vt:lpstr>objectprijs6_1</vt:lpstr>
      <vt:lpstr>objectprijs6_2</vt:lpstr>
      <vt:lpstr>objectprijs6_3</vt:lpstr>
      <vt:lpstr>objecturen1_1</vt:lpstr>
      <vt:lpstr>objecturen1_2</vt:lpstr>
      <vt:lpstr>objecturen1_3</vt:lpstr>
      <vt:lpstr>objecturen2_1</vt:lpstr>
      <vt:lpstr>objecturen2_2</vt:lpstr>
      <vt:lpstr>objecturen2_3</vt:lpstr>
      <vt:lpstr>objecturen3_1</vt:lpstr>
      <vt:lpstr>objecturen3_2</vt:lpstr>
      <vt:lpstr>objecturen3_3</vt:lpstr>
      <vt:lpstr>objecturen4_1</vt:lpstr>
      <vt:lpstr>objecturen4_2</vt:lpstr>
      <vt:lpstr>objecturen4_3</vt:lpstr>
      <vt:lpstr>objecturen5_1</vt:lpstr>
      <vt:lpstr>objecturen6_1</vt:lpstr>
      <vt:lpstr>objecturen6_2</vt:lpstr>
      <vt:lpstr>objecturen6_3</vt:lpstr>
      <vt:lpstr>prijsdag1</vt:lpstr>
      <vt:lpstr>prijsdag2</vt:lpstr>
      <vt:lpstr>prijsdag3</vt:lpstr>
      <vt:lpstr>prijsjaar</vt:lpstr>
      <vt:lpstr>prijsjaar1</vt:lpstr>
      <vt:lpstr>prijsjaar2</vt:lpstr>
      <vt:lpstr>prijsjaar3</vt:lpstr>
      <vt:lpstr>prijsjaaradditioneel</vt:lpstr>
      <vt:lpstr>prijsjaaradditioneel1</vt:lpstr>
      <vt:lpstr>prijsjaaradditioneel3</vt:lpstr>
      <vt:lpstr>prijsjaarglas</vt:lpstr>
      <vt:lpstr>prijsjaarglas1</vt:lpstr>
      <vt:lpstr>prijsjaarregie</vt:lpstr>
      <vt:lpstr>prijsjaarregie1</vt:lpstr>
      <vt:lpstr>prijsjaarregie2</vt:lpstr>
      <vt:lpstr>prijsjaarregie3</vt:lpstr>
      <vt:lpstr>prijsjaartotaal</vt:lpstr>
      <vt:lpstr>prijsjaartotaal1</vt:lpstr>
      <vt:lpstr>prijsjaartotaal2</vt:lpstr>
      <vt:lpstr>prijsjaartotaal3</vt:lpstr>
      <vt:lpstr>prijsjaartotaaloverzicht</vt:lpstr>
      <vt:lpstr>prijsmaandtotaal1</vt:lpstr>
      <vt:lpstr>prijsmaandtotaal2</vt:lpstr>
      <vt:lpstr>prijsmaandtotaal3</vt:lpstr>
      <vt:lpstr>prodnorm0</vt:lpstr>
      <vt:lpstr>prodnorm1</vt:lpstr>
      <vt:lpstr>prodnorm10</vt:lpstr>
      <vt:lpstr>prodnorm11</vt:lpstr>
      <vt:lpstr>prodnorm12</vt:lpstr>
      <vt:lpstr>prodnorm13</vt:lpstr>
      <vt:lpstr>prodnorm14</vt:lpstr>
      <vt:lpstr>prodnorm15</vt:lpstr>
      <vt:lpstr>prodnorm16</vt:lpstr>
      <vt:lpstr>prodnorm17</vt:lpstr>
      <vt:lpstr>prodnorm18</vt:lpstr>
      <vt:lpstr>prodnorm19</vt:lpstr>
      <vt:lpstr>prodnorm2</vt:lpstr>
      <vt:lpstr>prodnorm20</vt:lpstr>
      <vt:lpstr>prodnorm21</vt:lpstr>
      <vt:lpstr>prodnorm22</vt:lpstr>
      <vt:lpstr>prodnorm23</vt:lpstr>
      <vt:lpstr>prodnorm24</vt:lpstr>
      <vt:lpstr>prodnorm25</vt:lpstr>
      <vt:lpstr>prodnorm26</vt:lpstr>
      <vt:lpstr>prodnorm27</vt:lpstr>
      <vt:lpstr>prodnorm28</vt:lpstr>
      <vt:lpstr>prodnorm29</vt:lpstr>
      <vt:lpstr>prodnorm3</vt:lpstr>
      <vt:lpstr>prodnorm30</vt:lpstr>
      <vt:lpstr>prodnorm31</vt:lpstr>
      <vt:lpstr>prodnorm32</vt:lpstr>
      <vt:lpstr>prodnorm33</vt:lpstr>
      <vt:lpstr>prodnorm34</vt:lpstr>
      <vt:lpstr>prodnorm35</vt:lpstr>
      <vt:lpstr>prodnorm36</vt:lpstr>
      <vt:lpstr>prodnorm37</vt:lpstr>
      <vt:lpstr>prodnorm38</vt:lpstr>
      <vt:lpstr>prodnorm39</vt:lpstr>
      <vt:lpstr>prodnorm4</vt:lpstr>
      <vt:lpstr>prodnorm40</vt:lpstr>
      <vt:lpstr>prodnorm41</vt:lpstr>
      <vt:lpstr>prodnorm42</vt:lpstr>
      <vt:lpstr>prodnorm43</vt:lpstr>
      <vt:lpstr>prodnorm44</vt:lpstr>
      <vt:lpstr>prodnorm45</vt:lpstr>
      <vt:lpstr>prodnorm46</vt:lpstr>
      <vt:lpstr>prodnorm47</vt:lpstr>
      <vt:lpstr>prodnorm48</vt:lpstr>
      <vt:lpstr>prodnorm49</vt:lpstr>
      <vt:lpstr>prodnorm5</vt:lpstr>
      <vt:lpstr>prodnorm50</vt:lpstr>
      <vt:lpstr>prodnorm51</vt:lpstr>
      <vt:lpstr>prodnorm52</vt:lpstr>
      <vt:lpstr>prodnorm53</vt:lpstr>
      <vt:lpstr>prodnorm54</vt:lpstr>
      <vt:lpstr>prodnorm55</vt:lpstr>
      <vt:lpstr>prodnorm56</vt:lpstr>
      <vt:lpstr>prodnorm57</vt:lpstr>
      <vt:lpstr>prodnorm58</vt:lpstr>
      <vt:lpstr>prodnorm59</vt:lpstr>
      <vt:lpstr>prodnorm6</vt:lpstr>
      <vt:lpstr>prodnorm60</vt:lpstr>
      <vt:lpstr>prodnorm61</vt:lpstr>
      <vt:lpstr>prodnorm62</vt:lpstr>
      <vt:lpstr>prodnorm63</vt:lpstr>
      <vt:lpstr>prodnorm64</vt:lpstr>
      <vt:lpstr>prodnorm65</vt:lpstr>
      <vt:lpstr>prodnorm66</vt:lpstr>
      <vt:lpstr>prodnorm67</vt:lpstr>
      <vt:lpstr>prodnorm68</vt:lpstr>
      <vt:lpstr>prodnorm69</vt:lpstr>
      <vt:lpstr>prodnorm7</vt:lpstr>
      <vt:lpstr>prodnorm70</vt:lpstr>
      <vt:lpstr>prodnorm71</vt:lpstr>
      <vt:lpstr>prodnorm72</vt:lpstr>
      <vt:lpstr>prodnorm73</vt:lpstr>
      <vt:lpstr>prodnorm74</vt:lpstr>
      <vt:lpstr>prodnorm75</vt:lpstr>
      <vt:lpstr>prodnorm76</vt:lpstr>
      <vt:lpstr>prodnorm77</vt:lpstr>
      <vt:lpstr>prodnorm78</vt:lpstr>
      <vt:lpstr>prodnorm79</vt:lpstr>
      <vt:lpstr>prodnorm8</vt:lpstr>
      <vt:lpstr>prodnorm80</vt:lpstr>
      <vt:lpstr>prodnorm81</vt:lpstr>
      <vt:lpstr>prodnorm82</vt:lpstr>
      <vt:lpstr>prodnorm83</vt:lpstr>
      <vt:lpstr>prodnorm84</vt:lpstr>
      <vt:lpstr>prodnorm85</vt:lpstr>
      <vt:lpstr>prodnorm86</vt:lpstr>
      <vt:lpstr>prodnorm87</vt:lpstr>
      <vt:lpstr>prodnorm88</vt:lpstr>
      <vt:lpstr>prodnorm89</vt:lpstr>
      <vt:lpstr>prodnorm9</vt:lpstr>
      <vt:lpstr>prodnorm90</vt:lpstr>
      <vt:lpstr>prodnorm91</vt:lpstr>
      <vt:lpstr>prodnorm92</vt:lpstr>
      <vt:lpstr>prodnorm93</vt:lpstr>
      <vt:lpstr>taakfreqtabel1</vt:lpstr>
      <vt:lpstr>taakfreqtabel2</vt:lpstr>
      <vt:lpstr>taakfreqtabel3</vt:lpstr>
      <vt:lpstr>tabeltype</vt:lpstr>
      <vt:lpstr>Tariefopbouw1</vt:lpstr>
      <vt:lpstr>Tariefopbouw2</vt:lpstr>
      <vt:lpstr>Tariefopbouw3</vt:lpstr>
      <vt:lpstr>Tariefopbouw4</vt:lpstr>
      <vt:lpstr>Tariefopbouw5</vt:lpstr>
      <vt:lpstr>Tariefopbouw6</vt:lpstr>
      <vt:lpstr>TariefOpbouwBasisloon1</vt:lpstr>
      <vt:lpstr>TariefOpbouwBasisloon2</vt:lpstr>
      <vt:lpstr>TariefOpbouwBasisloon3</vt:lpstr>
      <vt:lpstr>TariefOpbouwBasisloon4</vt:lpstr>
      <vt:lpstr>TariefOpbouwBasisloon5</vt:lpstr>
      <vt:lpstr>TariefOpbouwBasisloon6</vt:lpstr>
      <vt:lpstr>TariefOpbouwBasisloon7</vt:lpstr>
      <vt:lpstr>TariefOpbouwBasisloon8</vt:lpstr>
      <vt:lpstr>TariefOpbouwDirecteKosten1</vt:lpstr>
      <vt:lpstr>TariefOpbouwDirecteKosten2</vt:lpstr>
      <vt:lpstr>TariefOpbouwDirecteKosten3</vt:lpstr>
      <vt:lpstr>TariefOpbouwDirecteKosten4</vt:lpstr>
      <vt:lpstr>TariefOpbouwDirecteKosten5</vt:lpstr>
      <vt:lpstr>TariefOpbouwDirecteKosten6</vt:lpstr>
      <vt:lpstr>TariefOpbouwDirecteKosten7</vt:lpstr>
      <vt:lpstr>TariefOpbouwDirecteKosten8</vt:lpstr>
      <vt:lpstr>TariefOpbouwErvaring1</vt:lpstr>
      <vt:lpstr>TariefOpbouwErvaring2</vt:lpstr>
      <vt:lpstr>TariefOpbouwErvaring3</vt:lpstr>
      <vt:lpstr>TariefOpbouwErvaring4</vt:lpstr>
      <vt:lpstr>TariefOpbouwErvaring5</vt:lpstr>
      <vt:lpstr>TariefOpbouwErvaring6</vt:lpstr>
      <vt:lpstr>TariefOpbouwErvaring7</vt:lpstr>
      <vt:lpstr>TariefOpbouwErvaring8</vt:lpstr>
      <vt:lpstr>TariefOpbouwIndirecteKosten1</vt:lpstr>
      <vt:lpstr>TariefOpbouwIndirecteKosten2</vt:lpstr>
      <vt:lpstr>TariefOpbouwIndirecteKosten3</vt:lpstr>
      <vt:lpstr>TariefOpbouwIndirecteKosten4</vt:lpstr>
      <vt:lpstr>TariefOpbouwIndirecteKosten5</vt:lpstr>
      <vt:lpstr>TariefOpbouwIndirecteKosten6</vt:lpstr>
      <vt:lpstr>TariefOpbouwIndirecteKosten7</vt:lpstr>
      <vt:lpstr>TariefOpbouwIndirecteKosten8</vt:lpstr>
      <vt:lpstr>TariefOpbouwNaam1</vt:lpstr>
      <vt:lpstr>TariefOpbouwNaam2</vt:lpstr>
      <vt:lpstr>TariefOpbouwNaam3</vt:lpstr>
      <vt:lpstr>TariefOpbouwNaam4</vt:lpstr>
      <vt:lpstr>TariefOpbouwNaam5</vt:lpstr>
      <vt:lpstr>TariefOpbouwNaam6</vt:lpstr>
      <vt:lpstr>TariefOpbouwNaam7</vt:lpstr>
      <vt:lpstr>TariefOpbouwNaam8</vt:lpstr>
      <vt:lpstr>TariefOpbouwRisicoWinst1</vt:lpstr>
      <vt:lpstr>TariefOpbouwRisicoWinst2</vt:lpstr>
      <vt:lpstr>TariefOpbouwRisicoWinst3</vt:lpstr>
      <vt:lpstr>TariefOpbouwRisicoWinst4</vt:lpstr>
      <vt:lpstr>TariefOpbouwRisicoWinst5</vt:lpstr>
      <vt:lpstr>TariefOpbouwRisicoWinst6</vt:lpstr>
      <vt:lpstr>TariefOpbouwRisicoWinst7</vt:lpstr>
      <vt:lpstr>TariefOpbouwRisicoWinst8</vt:lpstr>
      <vt:lpstr>TariefOpbouwRisicoWinstPercentage1</vt:lpstr>
      <vt:lpstr>TariefOpbouwRisicoWinstPercentage2</vt:lpstr>
      <vt:lpstr>TariefOpbouwRisicoWinstPercentage3</vt:lpstr>
      <vt:lpstr>TariefOpbouwRisicoWinstPercentage4</vt:lpstr>
      <vt:lpstr>TariefOpbouwRisicoWinstPercentage5</vt:lpstr>
      <vt:lpstr>TariefOpbouwRisicoWinstPercentage6</vt:lpstr>
      <vt:lpstr>TariefOpbouwRisicoWinstPercentage7</vt:lpstr>
      <vt:lpstr>TariefOpbouwRisicoWinstPercentage8</vt:lpstr>
      <vt:lpstr>TariefOpbouwTarief1</vt:lpstr>
      <vt:lpstr>TariefOpbouwTarief1DN</vt:lpstr>
      <vt:lpstr>TariefOpbouwTarief1W</vt:lpstr>
      <vt:lpstr>TariefOpbouwTarief1X</vt:lpstr>
      <vt:lpstr>TariefOpbouwTarief2</vt:lpstr>
      <vt:lpstr>TariefOpbouwTarief2DN</vt:lpstr>
      <vt:lpstr>TariefOpbouwTarief2W</vt:lpstr>
      <vt:lpstr>TariefOpbouwTarief2X</vt:lpstr>
      <vt:lpstr>TariefOpbouwTarief3</vt:lpstr>
      <vt:lpstr>TariefOpbouwTarief3DN</vt:lpstr>
      <vt:lpstr>TariefOpbouwTarief3W</vt:lpstr>
      <vt:lpstr>TariefOpbouwTarief3X</vt:lpstr>
      <vt:lpstr>TariefOpbouwTarief4</vt:lpstr>
      <vt:lpstr>TariefOpbouwTarief4DN</vt:lpstr>
      <vt:lpstr>TariefOpbouwTarief4W</vt:lpstr>
      <vt:lpstr>TariefOpbouwTarief4X</vt:lpstr>
      <vt:lpstr>TariefOpbouwTarief5</vt:lpstr>
      <vt:lpstr>TariefOpbouwTarief5DN</vt:lpstr>
      <vt:lpstr>TariefOpbouwTarief5W</vt:lpstr>
      <vt:lpstr>TariefOpbouwTarief5X</vt:lpstr>
      <vt:lpstr>TariefOpbouwTarief6</vt:lpstr>
      <vt:lpstr>TariefOpbouwTarief6DN</vt:lpstr>
      <vt:lpstr>TariefOpbouwTarief6W</vt:lpstr>
      <vt:lpstr>TariefOpbouwTarief6X</vt:lpstr>
      <vt:lpstr>TariefOpbouwTarief7</vt:lpstr>
      <vt:lpstr>TariefOpbouwTarief7DN</vt:lpstr>
      <vt:lpstr>TariefOpbouwTarief7W</vt:lpstr>
      <vt:lpstr>TariefOpbouwTarief7X</vt:lpstr>
      <vt:lpstr>TariefOpbouwTarief8</vt:lpstr>
      <vt:lpstr>TariefOpbouwTarief8DN</vt:lpstr>
      <vt:lpstr>TariefOpbouwTarief8W</vt:lpstr>
      <vt:lpstr>TariefOpbouwTarief8X</vt:lpstr>
      <vt:lpstr>TariefOpbouwTotaalLoonkosten1</vt:lpstr>
      <vt:lpstr>TariefOpbouwTotaalLoonkosten2</vt:lpstr>
      <vt:lpstr>TariefOpbouwTotaalLoonkosten3</vt:lpstr>
      <vt:lpstr>TariefOpbouwTotaalLoonkosten4</vt:lpstr>
      <vt:lpstr>TariefOpbouwTotaalLoonkosten5</vt:lpstr>
      <vt:lpstr>TariefOpbouwTotaalLoonkosten6</vt:lpstr>
      <vt:lpstr>TariefOpbouwTotaalLoonkosten7</vt:lpstr>
      <vt:lpstr>TariefOpbouwTotaalLoonkosten8</vt:lpstr>
      <vt:lpstr>TariefOpbouwUurloon1</vt:lpstr>
      <vt:lpstr>TariefOpbouwUurloon2</vt:lpstr>
      <vt:lpstr>TariefOpbouwUurloon3</vt:lpstr>
      <vt:lpstr>TariefOpbouwUurloon4</vt:lpstr>
      <vt:lpstr>TariefOpbouwUurloon5</vt:lpstr>
      <vt:lpstr>TariefOpbouwUurloon6</vt:lpstr>
      <vt:lpstr>TariefOpbouwUurloon7</vt:lpstr>
      <vt:lpstr>TariefOpbouwUurloon8</vt:lpstr>
      <vt:lpstr>TariefOpbouwUurloonkosten1</vt:lpstr>
      <vt:lpstr>TariefOpbouwUurloonkosten2</vt:lpstr>
      <vt:lpstr>TariefOpbouwUurloonkosten3</vt:lpstr>
      <vt:lpstr>TariefOpbouwUurloonkosten4</vt:lpstr>
      <vt:lpstr>TariefOpbouwUurloonkosten5</vt:lpstr>
      <vt:lpstr>TariefOpbouwUurloonkosten6</vt:lpstr>
      <vt:lpstr>TariefOpbouwUurloonkosten7</vt:lpstr>
      <vt:lpstr>TariefOpbouwUurloonkosten8</vt:lpstr>
      <vt:lpstr>tarieftabel1</vt:lpstr>
      <vt:lpstr>tarieftabel2</vt:lpstr>
      <vt:lpstr>tarieftabel3</vt:lpstr>
      <vt:lpstr>TariefUitvoering1</vt:lpstr>
      <vt:lpstr>TariefUitvoering2</vt:lpstr>
      <vt:lpstr>TariefUitvoering3</vt:lpstr>
      <vt:lpstr>TariefUitvoering4</vt:lpstr>
      <vt:lpstr>TariefUitvoering5</vt:lpstr>
      <vt:lpstr>TariefUitvoering6</vt:lpstr>
      <vt:lpstr>urendag1</vt:lpstr>
      <vt:lpstr>urendag2</vt:lpstr>
      <vt:lpstr>urendag3</vt:lpstr>
      <vt:lpstr>urenjaar</vt:lpstr>
      <vt:lpstr>urenjaar1</vt:lpstr>
      <vt:lpstr>urenjaar2</vt:lpstr>
      <vt:lpstr>urenjaar3</vt:lpstr>
      <vt:lpstr>urenjaartotaal</vt:lpstr>
      <vt:lpstr>urenjaartotaal1</vt:lpstr>
      <vt:lpstr>urenjaartotaal2</vt:lpstr>
      <vt:lpstr>urenjaartotaal3</vt:lpstr>
      <vt:lpstr>urenjaartotaaloverzicht</vt:lpstr>
      <vt:lpstr>uurfactortabel1</vt:lpstr>
      <vt:lpstr>uurfactortabel2</vt:lpstr>
      <vt:lpstr>uurfactortabel3</vt:lpstr>
      <vt:lpstr>uurtarief0</vt:lpstr>
      <vt:lpstr>uurtarief1</vt:lpstr>
      <vt:lpstr>uurtarief10</vt:lpstr>
      <vt:lpstr>uurtarief11</vt:lpstr>
      <vt:lpstr>uurtarief12</vt:lpstr>
      <vt:lpstr>uurtarief13</vt:lpstr>
      <vt:lpstr>uurtarief14</vt:lpstr>
      <vt:lpstr>uurtarief15</vt:lpstr>
      <vt:lpstr>uurtarief16</vt:lpstr>
      <vt:lpstr>uurtarief17</vt:lpstr>
      <vt:lpstr>uurtarief18</vt:lpstr>
      <vt:lpstr>uurtarief19</vt:lpstr>
      <vt:lpstr>uurtarief2</vt:lpstr>
      <vt:lpstr>uurtarief20</vt:lpstr>
      <vt:lpstr>uurtarief21</vt:lpstr>
      <vt:lpstr>uurtarief22</vt:lpstr>
      <vt:lpstr>uurtarief23</vt:lpstr>
      <vt:lpstr>uurtarief24</vt:lpstr>
      <vt:lpstr>uurtarief25</vt:lpstr>
      <vt:lpstr>uurtarief26</vt:lpstr>
      <vt:lpstr>uurtarief27</vt:lpstr>
      <vt:lpstr>uurtarief28</vt:lpstr>
      <vt:lpstr>uurtarief29</vt:lpstr>
      <vt:lpstr>uurtarief3</vt:lpstr>
      <vt:lpstr>uurtarief30</vt:lpstr>
      <vt:lpstr>uurtarief31</vt:lpstr>
      <vt:lpstr>uurtarief32</vt:lpstr>
      <vt:lpstr>uurtarief33</vt:lpstr>
      <vt:lpstr>uurtarief34</vt:lpstr>
      <vt:lpstr>uurtarief35</vt:lpstr>
      <vt:lpstr>uurtarief36</vt:lpstr>
      <vt:lpstr>uurtarief37</vt:lpstr>
      <vt:lpstr>uurtarief38</vt:lpstr>
      <vt:lpstr>uurtarief39</vt:lpstr>
      <vt:lpstr>uurtarief4</vt:lpstr>
      <vt:lpstr>uurtarief40</vt:lpstr>
      <vt:lpstr>uurtarief41</vt:lpstr>
      <vt:lpstr>uurtarief42</vt:lpstr>
      <vt:lpstr>uurtarief43</vt:lpstr>
      <vt:lpstr>uurtarief44</vt:lpstr>
      <vt:lpstr>uurtarief45</vt:lpstr>
      <vt:lpstr>uurtarief46</vt:lpstr>
      <vt:lpstr>uurtarief47</vt:lpstr>
      <vt:lpstr>uurtarief48</vt:lpstr>
      <vt:lpstr>uurtarief49</vt:lpstr>
      <vt:lpstr>uurtarief5</vt:lpstr>
      <vt:lpstr>uurtarief50</vt:lpstr>
      <vt:lpstr>uurtarief51</vt:lpstr>
      <vt:lpstr>uurtarief52</vt:lpstr>
      <vt:lpstr>uurtarief53</vt:lpstr>
      <vt:lpstr>uurtarief54</vt:lpstr>
      <vt:lpstr>uurtarief55</vt:lpstr>
      <vt:lpstr>uurtarief56</vt:lpstr>
      <vt:lpstr>uurtarief57</vt:lpstr>
      <vt:lpstr>uurtarief58</vt:lpstr>
      <vt:lpstr>uurtarief59</vt:lpstr>
      <vt:lpstr>uurtarief6</vt:lpstr>
      <vt:lpstr>uurtarief60</vt:lpstr>
      <vt:lpstr>uurtarief61</vt:lpstr>
      <vt:lpstr>uurtarief62</vt:lpstr>
      <vt:lpstr>uurtarief63</vt:lpstr>
      <vt:lpstr>uurtarief64</vt:lpstr>
      <vt:lpstr>uurtarief65</vt:lpstr>
      <vt:lpstr>uurtarief66</vt:lpstr>
      <vt:lpstr>uurtarief67</vt:lpstr>
      <vt:lpstr>uurtarief68</vt:lpstr>
      <vt:lpstr>uurtarief69</vt:lpstr>
      <vt:lpstr>uurtarief7</vt:lpstr>
      <vt:lpstr>uurtarief70</vt:lpstr>
      <vt:lpstr>uurtarief71</vt:lpstr>
      <vt:lpstr>uurtarief72</vt:lpstr>
      <vt:lpstr>uurtarief73</vt:lpstr>
      <vt:lpstr>uurtarief74</vt:lpstr>
      <vt:lpstr>uurtarief75</vt:lpstr>
      <vt:lpstr>uurtarief76</vt:lpstr>
      <vt:lpstr>uurtarief77</vt:lpstr>
      <vt:lpstr>uurtarief78</vt:lpstr>
      <vt:lpstr>uurtarief79</vt:lpstr>
      <vt:lpstr>uurtarief8</vt:lpstr>
      <vt:lpstr>uurtarief80</vt:lpstr>
      <vt:lpstr>uurtarief81</vt:lpstr>
      <vt:lpstr>uurtarief82</vt:lpstr>
      <vt:lpstr>uurtarief83</vt:lpstr>
      <vt:lpstr>uurtarief84</vt:lpstr>
      <vt:lpstr>uurtarief85</vt:lpstr>
      <vt:lpstr>uurtarief86</vt:lpstr>
      <vt:lpstr>uurtarief87</vt:lpstr>
      <vt:lpstr>uurtarief88</vt:lpstr>
      <vt:lpstr>uurtarief89</vt:lpstr>
      <vt:lpstr>uurtarief9</vt:lpstr>
      <vt:lpstr>uurtarief90</vt:lpstr>
      <vt:lpstr>uurtarief91</vt:lpstr>
      <vt:lpstr>uurtarief92</vt:lpstr>
      <vt:lpstr>uurtarief93</vt:lpstr>
      <vt:lpstr>vu_variant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Maaike Schmelling</dc:creator>
  <cp:lastModifiedBy>Maaike Schmelling</cp:lastModifiedBy>
  <dcterms:created xsi:type="dcterms:W3CDTF">2026-03-19T18:45:52Z</dcterms:created>
  <dcterms:modified xsi:type="dcterms:W3CDTF">2026-03-19T18:48:02Z</dcterms:modified>
</cp:coreProperties>
</file>