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https://servicepunt71-my.sharepoint.com/personal/s_van_der_capellen_leiden_nl/Documents/Bureaublad/GHA/"/>
    </mc:Choice>
  </mc:AlternateContent>
  <xr:revisionPtr revIDLastSave="0" documentId="8_{155B0D71-5834-4946-8A46-E663B397687E}" xr6:coauthVersionLast="47" xr6:coauthVersionMax="47" xr10:uidLastSave="{00000000-0000-0000-0000-000000000000}"/>
  <bookViews>
    <workbookView xWindow="-108" yWindow="-108" windowWidth="30936" windowHeight="16776" xr2:uid="{1AED6D90-D7E0-41D7-AFD7-0FB90E80EC0E}"/>
  </bookViews>
  <sheets>
    <sheet name="Instructie" sheetId="12" r:id="rId1"/>
    <sheet name="Formulier logistiek" sheetId="6" r:id="rId2"/>
    <sheet name="Kwaliteit HRA 2027" sheetId="19" r:id="rId3"/>
    <sheet name="Kwaliteit HRA 2028" sheetId="27" r:id="rId4"/>
    <sheet name="Kwaliteit HRA 2029" sheetId="28" r:id="rId5"/>
    <sheet name="Kwaliteit HRA 2030" sheetId="29" r:id="rId6"/>
    <sheet name="Prijs HRA " sheetId="2" r:id="rId7"/>
    <sheet name="Fictieve inschrijfprijs HRA" sheetId="4" r:id="rId8"/>
    <sheet name="Kwaliteit GHA" sheetId="21" r:id="rId9"/>
    <sheet name="Prijs GHA" sheetId="22" r:id="rId10"/>
    <sheet name="Fictieve inschrijfprijs GHA" sheetId="23" r:id="rId11"/>
  </sheets>
  <definedNames>
    <definedName name="Activiteit">#REF!</definedName>
    <definedName name="_xlnm.Print_Area" localSheetId="10">'Fictieve inschrijfprijs GHA'!$A$1:$I$22</definedName>
    <definedName name="_xlnm.Print_Area" localSheetId="7">'Fictieve inschrijfprijs HRA'!$A$1:$I$25</definedName>
    <definedName name="_xlnm.Print_Area" localSheetId="1">'Formulier logistiek'!$A$1:$N$34</definedName>
    <definedName name="_xlnm.Print_Area" localSheetId="0">Instructie!$A$1:$E$27</definedName>
    <definedName name="_xlnm.Print_Area" localSheetId="8">'Kwaliteit GHA'!$A$1:$I$34</definedName>
    <definedName name="_xlnm.Print_Area" localSheetId="2">'Kwaliteit HRA 2027'!$C$12:$G$124</definedName>
    <definedName name="_xlnm.Print_Area" localSheetId="3">'Kwaliteit HRA 2028'!$A$1:$I$124</definedName>
    <definedName name="_xlnm.Print_Area" localSheetId="4">'Kwaliteit HRA 2029'!$A$1:$I$124</definedName>
    <definedName name="_xlnm.Print_Area" localSheetId="5">'Kwaliteit HRA 2030'!$A$1:$I$124</definedName>
    <definedName name="_xlnm.Print_Area" localSheetId="9">'Prijs GHA'!$A$1:$J$63</definedName>
    <definedName name="_xlnm.Print_Area" localSheetId="6">'Prijs HRA '!$C$14:$H$77</definedName>
    <definedName name="AfkeurPMD.VNS.Inv.MKS">#REF!</definedName>
    <definedName name="AfkeurPMD.VNS.Inv.PE">#REF!</definedName>
    <definedName name="AfkeurPMD.VNS.Inv.PET">#REF!</definedName>
    <definedName name="AfkeurPMD.VNS.Inv.PETTr">#REF!</definedName>
    <definedName name="AfkeurPMD.VNS.Inv.PP">#REF!</definedName>
    <definedName name="AnnualCounterM">#REF!</definedName>
    <definedName name="AnnualCounterQ">#REF!</definedName>
    <definedName name="AnnualMonthCounterA">#REF!</definedName>
    <definedName name="AREA" localSheetId="0">#REF!</definedName>
    <definedName name="AREA">#REF!</definedName>
    <definedName name="ArtikelNummer">#REF!</definedName>
    <definedName name="ArtikelOmschrijving">#REF!</definedName>
    <definedName name="ArtikelVerdeling">#REF!</definedName>
    <definedName name="AVU" localSheetId="0">#REF!</definedName>
    <definedName name="AVU">#REF!</definedName>
    <definedName name="BA.ANS.Inv.MKS">#REF!</definedName>
    <definedName name="BA.ANS.Inv.PE">#REF!</definedName>
    <definedName name="BA.ANS.Inv.PET">#REF!</definedName>
    <definedName name="BA.ANS.Inv.PP">#REF!</definedName>
    <definedName name="BA.BS.Afvalcode">#REF!</definedName>
    <definedName name="BA.BS.Client">#REF!</definedName>
    <definedName name="BA.BS.ClientNaam">#REF!</definedName>
    <definedName name="BA.BS.Inventory">#REF!</definedName>
    <definedName name="BA.BS.Leverancier">#REF!</definedName>
    <definedName name="BA.BS.Rejections">#REF!</definedName>
    <definedName name="BA.NS.Client.Wijster">#REF!</definedName>
    <definedName name="BA.NS.Inv.HK">#REF!</definedName>
    <definedName name="BA.NS.Inv.RA">#REF!</definedName>
    <definedName name="BA.NS.Reporting">#REF!</definedName>
    <definedName name="BA.NS.Wijster.Afvalcode">#REF!</definedName>
    <definedName name="BA.NS.Wijster.ClientNaam">#REF!</definedName>
    <definedName name="BA.NS.Wijster.Leverancier">#REF!</definedName>
    <definedName name="BA.VNS.Client.Wijster">#REF!</definedName>
    <definedName name="BA.VNS.Inv.D">#REF!</definedName>
    <definedName name="BA.VNS.Inv.F">#REF!</definedName>
    <definedName name="BA.VNS.Inv.HK">#REF!</definedName>
    <definedName name="BA.VNS.Inv.MKS">#REF!</definedName>
    <definedName name="BA.VNS.Inv.PE">#REF!</definedName>
    <definedName name="BA.VNS.Inv.PET">#REF!</definedName>
    <definedName name="BA.VNS.Inv.PETTr">#REF!</definedName>
    <definedName name="BA.VNS.Inv.PP">#REF!</definedName>
    <definedName name="BA.VNS.Inv.RA">#REF!</definedName>
    <definedName name="BA.VNS.Reporting">#REF!</definedName>
    <definedName name="BS.Data">#REF!</definedName>
    <definedName name="CBM" localSheetId="0">#REF!</definedName>
    <definedName name="CBM">#REF!</definedName>
    <definedName name="CurrencyLabel">#REF!</definedName>
    <definedName name="D">#REF!</definedName>
    <definedName name="dag">{0,1,2,3,4,5,6} + {0;1;2;3;4;5}*7</definedName>
    <definedName name="Dagen" localSheetId="1">{0,1,2,3,4,5,6} + {0;1;2;3;4;5}*7</definedName>
    <definedName name="Dagen" localSheetId="0">{0,1,2,3,4,5,6} + {0;1;2;3;4;5}*7</definedName>
    <definedName name="Dagen" localSheetId="8">{0,1,2,3,4,5,6} + {0;1;2;3;4;5}*7</definedName>
    <definedName name="Dagen" localSheetId="2">{0,1,2,3,4,5,6} + {0;1;2;3;4;5}*7</definedName>
    <definedName name="Dagen" localSheetId="3">{0,1,2,3,4,5,6} + {0;1;2;3;4;5}*7</definedName>
    <definedName name="Dagen" localSheetId="4">{0,1,2,3,4,5,6} + {0;1;2;3;4;5}*7</definedName>
    <definedName name="Dagen" localSheetId="5">{0,1,2,3,4,5,6} + {0;1;2;3;4;5}*7</definedName>
    <definedName name="Dagen">{0,1,2,3,4,5,6} + {0;1;2;3;4;5}*7</definedName>
    <definedName name="DateActualForecast">#REF!</definedName>
    <definedName name="DateModelEndIn">#REF!</definedName>
    <definedName name="DateModelStartIn">#REF!</definedName>
    <definedName name="DaysInPeriodM">#REF!</definedName>
    <definedName name="DaysInPeriodQ">#REF!</definedName>
    <definedName name="DaysOffset">#REF!</definedName>
    <definedName name="DME_BeforeCloseCompleted" hidden="1">"Onwaar"</definedName>
    <definedName name="DME_LocalFile" hidden="1">"Waar"</definedName>
    <definedName name="Drankenkartons__DKR_510">#REF!</definedName>
    <definedName name="Drankenkartons__DKR_510__T">#REF!</definedName>
    <definedName name="ExactAddinConnection" hidden="1">"100"</definedName>
    <definedName name="ExactAddinConnection.100" hidden="1">"RADHW-SQL01\\EXACT;100;arjan;1"</definedName>
    <definedName name="ExactAddinReports" hidden="1">3</definedName>
    <definedName name="Extern.NS.Afvalcode">#REF!</definedName>
    <definedName name="Extern.NS.Client">#REF!</definedName>
    <definedName name="Extern.NS.ClientNaam">#REF!</definedName>
    <definedName name="Extern.NS.Inventory">#REF!</definedName>
    <definedName name="Extern.NS.Leverancier">#REF!</definedName>
    <definedName name="F">#REF!</definedName>
    <definedName name="FCTTRANS.D">#REF!</definedName>
    <definedName name="FCTTRANS.F">#REF!</definedName>
    <definedName name="FCTTRANS.Ferro">#REF!</definedName>
    <definedName name="FCTTRANS.MKS">#REF!</definedName>
    <definedName name="FCTTRANS.Nferro">#REF!</definedName>
    <definedName name="FCTTRANS.PE">#REF!</definedName>
    <definedName name="FCTTRANS.PET">#REF!</definedName>
    <definedName name="FCTTRANS.PETTr_R">#REF!</definedName>
    <definedName name="FCTTRANS.PETTr_T">#REF!</definedName>
    <definedName name="FCTTRANS.PP">#REF!</definedName>
    <definedName name="FCTTRANS.R">#REF!</definedName>
    <definedName name="Ferro__PSP">#REF!</definedName>
    <definedName name="FinancialYearFlagA">#REF!</definedName>
    <definedName name="FinancialYearFlagM">#REF!</definedName>
    <definedName name="FinancialYearFlagQ">#REF!</definedName>
    <definedName name="Folie__DKR_310">#REF!</definedName>
    <definedName name="GAD" localSheetId="0">#REF!</definedName>
    <definedName name="GAD">#REF!</definedName>
    <definedName name="HHA.ANS.Client">#REF!</definedName>
    <definedName name="HHA.ANS.Client.Cube">#REF!</definedName>
    <definedName name="HHA.ANS.CustomerGroup2">#REF!</definedName>
    <definedName name="HHA.ANS.Inv.PE">#REF!</definedName>
    <definedName name="HHA.ANS.Inv.PET">#REF!</definedName>
    <definedName name="HHA.ANS.Reporting">#REF!</definedName>
    <definedName name="HHA.BS.Afvalcode">#REF!</definedName>
    <definedName name="HHA.BS.ASN">#REF!</definedName>
    <definedName name="HHA.BS.ASNClient">#REF!</definedName>
    <definedName name="HHA.BS.Client">#REF!</definedName>
    <definedName name="HHA.BS.ClientNaam">#REF!</definedName>
    <definedName name="HHA.BS.CorrectionSupply">#REF!</definedName>
    <definedName name="HHA.BS.Inventory">#REF!</definedName>
    <definedName name="HHA.BS.Leverancier">#REF!</definedName>
    <definedName name="HHA.BS.Reporting">#REF!</definedName>
    <definedName name="HHA.NNS.Client">#REF!</definedName>
    <definedName name="HHA.NNS.Client.Cube">#REF!</definedName>
    <definedName name="HHA.NNS.CustomerGroup">#REF!</definedName>
    <definedName name="HHA.NNS.CustomerGroup2">#REF!</definedName>
    <definedName name="HHA.NNS.Reporting">#REF!</definedName>
    <definedName name="HHA.NS.ClientAfkeurPMD">#REF!</definedName>
    <definedName name="HHA.NS.ClientAfkeurPMD.Cube">#REF!</definedName>
    <definedName name="HHA.NS.ClientVNS.Cube">#REF!</definedName>
    <definedName name="HHA.NS.ClientVollNS">#REF!</definedName>
    <definedName name="HHA.NS.Groningen.Afvalcode">#REF!</definedName>
    <definedName name="HHA.NS.Groningen.ClientNaam">#REF!</definedName>
    <definedName name="HHA.NS.Groningen.Leverancier">#REF!</definedName>
    <definedName name="HHA.NS.PostSeparation">#REF!</definedName>
    <definedName name="HHA.NS.Reporting.AfkeurPMD">#REF!</definedName>
    <definedName name="HHA.NS.Reporting.G">#REF!</definedName>
    <definedName name="HHA.NS.Wijster.Afvalcode">#REF!</definedName>
    <definedName name="HHA.NS.Wijster.ClientNaam">#REF!</definedName>
    <definedName name="HHA.NS.Wijster.Leverancier">#REF!</definedName>
    <definedName name="HHA.NSAfkeurPMD.Inv.D">#REF!</definedName>
    <definedName name="HHA.NSAfkeurPMD.Inv.HK">#REF!</definedName>
    <definedName name="HHA.NSAfkeurPMD.Inv.RA">#REF!</definedName>
    <definedName name="HHA.RKN.Client">#REF!</definedName>
    <definedName name="HHA.RKN.Inv.D">#REF!</definedName>
    <definedName name="HHA.RKN.Inv.F">#REF!</definedName>
    <definedName name="HHA.RKN.Inv.M">#REF!</definedName>
    <definedName name="HHA.RKN.Inv.MKS">#REF!</definedName>
    <definedName name="HHA.RKN.Inv.NF">#REF!</definedName>
    <definedName name="HHA.RKN.Inv.PE">#REF!</definedName>
    <definedName name="HHA.RKN.Inv.PET">#REF!</definedName>
    <definedName name="HHA.RKN.Inv.PETTR">#REF!</definedName>
    <definedName name="HHA.RKN.Inv.PP">#REF!</definedName>
    <definedName name="HHA.RKN.Reporting">#REF!</definedName>
    <definedName name="HHA.VNS.Inv.D">#REF!</definedName>
    <definedName name="HHA.VNS.Inv.F">#REF!</definedName>
    <definedName name="HHA.VNS.Inv.HK">#REF!</definedName>
    <definedName name="HHA.VNS.Inv.MKS">#REF!</definedName>
    <definedName name="HHA.VNS.Inv.PE">#REF!</definedName>
    <definedName name="HHA.VNS.Inv.PET">#REF!</definedName>
    <definedName name="HHA.VNS.Inv.PETTr">#REF!</definedName>
    <definedName name="HHA.VNS.Inv.PP">#REF!</definedName>
    <definedName name="HHA.VNS.Inv.RA">#REF!</definedName>
    <definedName name="HHA.VNS.Reporting">#REF!</definedName>
    <definedName name="IngezameldAfgekeurdList">#REF!</definedName>
    <definedName name="Inzetcode_ZB" localSheetId="0">#REF!</definedName>
    <definedName name="Inzetcode_ZB">#REF!</definedName>
    <definedName name="IQ_CH">110000</definedName>
    <definedName name="IQ_CQ">5000</definedName>
    <definedName name="IQ_CY">10000</definedName>
    <definedName name="IQ_DAILY">500000</definedName>
    <definedName name="IQ_DNTM" hidden="1">700000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MTD" hidden="1">800000</definedName>
    <definedName name="IQ_NAMES_REVISION_DATE_" hidden="1">"09/15/2021 12:23:05"</definedName>
    <definedName name="IQ_NTM">6000</definedName>
    <definedName name="IQ_QTD" hidden="1">750000</definedName>
    <definedName name="IQ_TODAY" hidden="1">0</definedName>
    <definedName name="IQ_WEEK">50000</definedName>
    <definedName name="IQ_YTD">3000</definedName>
    <definedName name="IQ_YTDMONTH" hidden="1">130000</definedName>
    <definedName name="Kostenrubriekcode" localSheetId="0">#REF!</definedName>
    <definedName name="Kostenrubriekcode">#REF!</definedName>
    <definedName name="M">#REF!</definedName>
    <definedName name="MasterCheck">#REF!</definedName>
    <definedName name="MKS_DKR_350">#REF!</definedName>
    <definedName name="ModelList">#REF!</definedName>
    <definedName name="ModelName">#REF!</definedName>
    <definedName name="ModelStatus">#REF!</definedName>
    <definedName name="ModelYearEndIn">#REF!</definedName>
    <definedName name="Monostroom.D">#REF!</definedName>
    <definedName name="Monostroom.F">#REF!</definedName>
    <definedName name="Monostroom.Ferro">#REF!</definedName>
    <definedName name="Monostroom.Mix">#REF!</definedName>
    <definedName name="Monostroom.NFerro">#REF!</definedName>
    <definedName name="Monostroom.PE">#REF!</definedName>
    <definedName name="Monostroom.PET">#REF!</definedName>
    <definedName name="Monostroom.PetTrays">#REF!</definedName>
    <definedName name="Monostroom.PP">#REF!</definedName>
    <definedName name="MonthlyForecastFlag">#REF!</definedName>
    <definedName name="MonthsModelLife">#REF!</definedName>
    <definedName name="MonthsOffset">#REF!</definedName>
    <definedName name="Non_Ferro__PSP">#REF!</definedName>
    <definedName name="Norm.Monostroom.D">#REF!</definedName>
    <definedName name="Norm.Monostroom.F">#REF!</definedName>
    <definedName name="Norm.Monostroom.Mix">#REF!</definedName>
    <definedName name="Norm.Monostroom.PE">#REF!</definedName>
    <definedName name="Norm.Monostroom.PET">#REF!</definedName>
    <definedName name="Norm.Monostroom.PetTrays">#REF!</definedName>
    <definedName name="Norm.Monostroom.PP">#REF!</definedName>
    <definedName name="o.Financieel">#REF!</definedName>
    <definedName name="PE_DKR_329">#REF!</definedName>
    <definedName name="PeriodFromM">#REF!</definedName>
    <definedName name="PeriodFromQ">#REF!</definedName>
    <definedName name="PeriodNumberM">#REF!</definedName>
    <definedName name="PeriodNumberQ">#REF!</definedName>
    <definedName name="PeriodStartNumber">#REF!</definedName>
    <definedName name="PeriodToA">#REF!</definedName>
    <definedName name="PeriodToM">#REF!</definedName>
    <definedName name="PeriodToQ">#REF!</definedName>
    <definedName name="PeriodToS">#REF!</definedName>
    <definedName name="PET_90_DKR_328_1">#REF!</definedName>
    <definedName name="PET_trays_KIDV">#REF!</definedName>
    <definedName name="PET_trays_KIDV_T">#REF!</definedName>
    <definedName name="PP_DKR_324">#REF!</definedName>
    <definedName name="Productcode" localSheetId="0">#REF!</definedName>
    <definedName name="Productcode">#REF!</definedName>
    <definedName name="Projectnummer">#REF!</definedName>
    <definedName name="QrtrlyForecastFlag">#REF!</definedName>
    <definedName name="QuarterlyCounterM">#REF!</definedName>
    <definedName name="Residu.totaal">#REF!</definedName>
    <definedName name="Residu_PSP">#REF!</definedName>
    <definedName name="ROVA" localSheetId="0">#REF!</definedName>
    <definedName name="ROVA">#REF!</definedName>
    <definedName name="sdfsdf" localSheetId="0">#REF!</definedName>
    <definedName name="sdfsdf">#REF!</definedName>
    <definedName name="SemiAnnualMonthCounterS">#REF!</definedName>
    <definedName name="SeparationList">#REF!</definedName>
    <definedName name="Thousand">#REF!</definedName>
    <definedName name="Timeline">#REF!</definedName>
    <definedName name="Tolerance">#REF!</definedName>
    <definedName name="TypesHK">#REF!</definedName>
    <definedName name="WasteToolOpgavetypeList">#REF!</definedName>
    <definedName name="WasteTypeList">#REF!</definedName>
    <definedName name="WBM.D">#REF!</definedName>
    <definedName name="WBM.D_T">#REF!</definedName>
    <definedName name="WBM.F">#REF!</definedName>
    <definedName name="WBM.Ferro">#REF!</definedName>
    <definedName name="WBM.MKS">#REF!</definedName>
    <definedName name="WBM.NonFerro">#REF!</definedName>
    <definedName name="WBM.PE">#REF!</definedName>
    <definedName name="WBM.PET">#REF!</definedName>
    <definedName name="WBM.PetTrays">#REF!</definedName>
    <definedName name="WBM.PetTrays_T">#REF!</definedName>
    <definedName name="WBM.PP">#REF!</definedName>
    <definedName name="WBM.R">#REF!</definedName>
    <definedName name="YearsModelLife">#REF!</definedName>
    <definedName name="YesNoList">#REF!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46" i="29" l="1"/>
  <c r="D34" i="29"/>
  <c r="D46" i="28"/>
  <c r="D34" i="28"/>
  <c r="D46" i="27"/>
  <c r="D34" i="27"/>
  <c r="D46" i="19"/>
  <c r="D34" i="19"/>
  <c r="D36" i="22" l="1"/>
  <c r="D35" i="22"/>
  <c r="D34" i="22"/>
  <c r="D49" i="2" l="1"/>
  <c r="D48" i="2"/>
  <c r="D47" i="2"/>
  <c r="D34" i="2"/>
  <c r="D33" i="2"/>
  <c r="D32" i="2"/>
  <c r="E158" i="29"/>
  <c r="E157" i="29"/>
  <c r="G154" i="29"/>
  <c r="F154" i="29"/>
  <c r="E154" i="29"/>
  <c r="G153" i="29"/>
  <c r="F153" i="29"/>
  <c r="E153" i="29"/>
  <c r="G152" i="29"/>
  <c r="F152" i="29"/>
  <c r="E152" i="29"/>
  <c r="G151" i="29"/>
  <c r="F151" i="29"/>
  <c r="E151" i="29"/>
  <c r="G150" i="29"/>
  <c r="F150" i="29"/>
  <c r="E150" i="29"/>
  <c r="G149" i="29"/>
  <c r="F149" i="29"/>
  <c r="E149" i="29"/>
  <c r="G148" i="29"/>
  <c r="F148" i="29"/>
  <c r="E148" i="29"/>
  <c r="G147" i="29"/>
  <c r="F147" i="29"/>
  <c r="F144" i="29"/>
  <c r="E144" i="29"/>
  <c r="G143" i="29"/>
  <c r="F143" i="29"/>
  <c r="E143" i="29"/>
  <c r="G112" i="29"/>
  <c r="G110" i="29"/>
  <c r="G109" i="29"/>
  <c r="G108" i="29"/>
  <c r="G107" i="29"/>
  <c r="G106" i="29"/>
  <c r="G105" i="29"/>
  <c r="G104" i="29"/>
  <c r="G103" i="29"/>
  <c r="G102" i="29"/>
  <c r="G101" i="29"/>
  <c r="G100" i="29"/>
  <c r="G99" i="29"/>
  <c r="G98" i="29"/>
  <c r="G97" i="29"/>
  <c r="G96" i="29"/>
  <c r="G94" i="29"/>
  <c r="G93" i="29"/>
  <c r="G91" i="29"/>
  <c r="G80" i="29"/>
  <c r="G78" i="29"/>
  <c r="G77" i="29"/>
  <c r="G76" i="29"/>
  <c r="G75" i="29"/>
  <c r="G74" i="29"/>
  <c r="G73" i="29"/>
  <c r="G72" i="29"/>
  <c r="G71" i="29"/>
  <c r="G70" i="29"/>
  <c r="G69" i="29"/>
  <c r="G68" i="29"/>
  <c r="G67" i="29"/>
  <c r="G66" i="29"/>
  <c r="G65" i="29"/>
  <c r="G64" i="29"/>
  <c r="G62" i="29"/>
  <c r="G61" i="29"/>
  <c r="G59" i="29"/>
  <c r="F49" i="29"/>
  <c r="F48" i="29"/>
  <c r="F47" i="29"/>
  <c r="F37" i="29"/>
  <c r="F36" i="29"/>
  <c r="F35" i="29"/>
  <c r="E158" i="28"/>
  <c r="E157" i="28"/>
  <c r="G154" i="28"/>
  <c r="F154" i="28"/>
  <c r="E154" i="28"/>
  <c r="G153" i="28"/>
  <c r="F153" i="28"/>
  <c r="E153" i="28"/>
  <c r="G152" i="28"/>
  <c r="F152" i="28"/>
  <c r="E152" i="28"/>
  <c r="G151" i="28"/>
  <c r="F151" i="28"/>
  <c r="E151" i="28"/>
  <c r="G150" i="28"/>
  <c r="F150" i="28"/>
  <c r="E150" i="28"/>
  <c r="G149" i="28"/>
  <c r="F149" i="28"/>
  <c r="E149" i="28"/>
  <c r="G148" i="28"/>
  <c r="F148" i="28"/>
  <c r="E148" i="28"/>
  <c r="G147" i="28"/>
  <c r="F147" i="28"/>
  <c r="F144" i="28"/>
  <c r="E144" i="28"/>
  <c r="G143" i="28"/>
  <c r="F143" i="28"/>
  <c r="E143" i="28"/>
  <c r="G112" i="28"/>
  <c r="G110" i="28"/>
  <c r="G109" i="28"/>
  <c r="G108" i="28"/>
  <c r="G107" i="28"/>
  <c r="G106" i="28"/>
  <c r="G105" i="28"/>
  <c r="G104" i="28"/>
  <c r="G103" i="28"/>
  <c r="G102" i="28"/>
  <c r="G101" i="28"/>
  <c r="G100" i="28"/>
  <c r="G99" i="28"/>
  <c r="G98" i="28"/>
  <c r="G97" i="28"/>
  <c r="G96" i="28"/>
  <c r="G94" i="28"/>
  <c r="G93" i="28"/>
  <c r="G91" i="28"/>
  <c r="G80" i="28"/>
  <c r="G78" i="28"/>
  <c r="G77" i="28"/>
  <c r="G76" i="28"/>
  <c r="G75" i="28"/>
  <c r="G74" i="28"/>
  <c r="G73" i="28"/>
  <c r="G72" i="28"/>
  <c r="G71" i="28"/>
  <c r="G70" i="28"/>
  <c r="G69" i="28"/>
  <c r="G68" i="28"/>
  <c r="G67" i="28"/>
  <c r="G66" i="28"/>
  <c r="G65" i="28"/>
  <c r="G64" i="28"/>
  <c r="G62" i="28"/>
  <c r="G61" i="28"/>
  <c r="G59" i="28"/>
  <c r="F49" i="28"/>
  <c r="F48" i="28"/>
  <c r="F47" i="28"/>
  <c r="F37" i="28"/>
  <c r="F36" i="28"/>
  <c r="F35" i="28"/>
  <c r="E158" i="27"/>
  <c r="E157" i="27"/>
  <c r="G154" i="27"/>
  <c r="F154" i="27"/>
  <c r="E154" i="27"/>
  <c r="G153" i="27"/>
  <c r="F153" i="27"/>
  <c r="E153" i="27"/>
  <c r="G152" i="27"/>
  <c r="F152" i="27"/>
  <c r="E152" i="27"/>
  <c r="G151" i="27"/>
  <c r="F151" i="27"/>
  <c r="E151" i="27"/>
  <c r="G150" i="27"/>
  <c r="F150" i="27"/>
  <c r="E150" i="27"/>
  <c r="G149" i="27"/>
  <c r="F149" i="27"/>
  <c r="E149" i="27"/>
  <c r="G148" i="27"/>
  <c r="F148" i="27"/>
  <c r="E148" i="27"/>
  <c r="G147" i="27"/>
  <c r="F147" i="27"/>
  <c r="F144" i="27"/>
  <c r="E144" i="27"/>
  <c r="G143" i="27"/>
  <c r="F143" i="27"/>
  <c r="E143" i="27"/>
  <c r="G112" i="27"/>
  <c r="G110" i="27"/>
  <c r="G109" i="27"/>
  <c r="G108" i="27"/>
  <c r="G107" i="27"/>
  <c r="G106" i="27"/>
  <c r="G105" i="27"/>
  <c r="G104" i="27"/>
  <c r="G103" i="27"/>
  <c r="G102" i="27"/>
  <c r="G101" i="27"/>
  <c r="G100" i="27"/>
  <c r="G99" i="27"/>
  <c r="G98" i="27"/>
  <c r="G97" i="27"/>
  <c r="G96" i="27"/>
  <c r="G94" i="27"/>
  <c r="G93" i="27"/>
  <c r="G91" i="27"/>
  <c r="G80" i="27"/>
  <c r="G78" i="27"/>
  <c r="G77" i="27"/>
  <c r="G76" i="27"/>
  <c r="G75" i="27"/>
  <c r="G74" i="27"/>
  <c r="G73" i="27"/>
  <c r="G72" i="27"/>
  <c r="G71" i="27"/>
  <c r="G70" i="27"/>
  <c r="G69" i="27"/>
  <c r="G68" i="27"/>
  <c r="G67" i="27"/>
  <c r="G66" i="27"/>
  <c r="G65" i="27"/>
  <c r="G64" i="27"/>
  <c r="G62" i="27"/>
  <c r="G61" i="27"/>
  <c r="G59" i="27"/>
  <c r="F49" i="27"/>
  <c r="F48" i="27"/>
  <c r="F47" i="27"/>
  <c r="F37" i="27"/>
  <c r="F36" i="27"/>
  <c r="F35" i="27"/>
  <c r="F23" i="2"/>
  <c r="F24" i="2" s="1"/>
  <c r="F50" i="27" l="1"/>
  <c r="F52" i="27" s="1"/>
  <c r="F38" i="28"/>
  <c r="F40" i="28" s="1"/>
  <c r="F41" i="28" s="1"/>
  <c r="F45" i="2"/>
  <c r="G81" i="29"/>
  <c r="G83" i="29" s="1"/>
  <c r="G84" i="29" s="1"/>
  <c r="F50" i="29"/>
  <c r="F52" i="29" s="1"/>
  <c r="G113" i="29"/>
  <c r="G115" i="29" s="1"/>
  <c r="G116" i="29" s="1"/>
  <c r="F38" i="29"/>
  <c r="F40" i="29" s="1"/>
  <c r="F41" i="29" s="1"/>
  <c r="F50" i="28"/>
  <c r="F52" i="28" s="1"/>
  <c r="G113" i="28"/>
  <c r="G115" i="28" s="1"/>
  <c r="G116" i="28" s="1"/>
  <c r="G81" i="28"/>
  <c r="G83" i="28" s="1"/>
  <c r="G84" i="28" s="1"/>
  <c r="G81" i="27"/>
  <c r="G83" i="27" s="1"/>
  <c r="F38" i="27"/>
  <c r="F40" i="27" s="1"/>
  <c r="F41" i="27" s="1"/>
  <c r="G113" i="27"/>
  <c r="G115" i="27" s="1"/>
  <c r="G116" i="27" s="1"/>
  <c r="F53" i="28"/>
  <c r="G120" i="27" l="1"/>
  <c r="G122" i="27" s="1"/>
  <c r="E17" i="4" s="1"/>
  <c r="G84" i="27"/>
  <c r="F53" i="27"/>
  <c r="G120" i="29"/>
  <c r="G122" i="29" s="1"/>
  <c r="E19" i="4" s="1"/>
  <c r="F53" i="29"/>
  <c r="G120" i="28"/>
  <c r="G122" i="28" s="1"/>
  <c r="E18" i="4" s="1"/>
  <c r="L24" i="6"/>
  <c r="F47" i="19"/>
  <c r="D24" i="2"/>
  <c r="G24" i="2" s="1"/>
  <c r="G23" i="2"/>
  <c r="F49" i="19" l="1"/>
  <c r="F48" i="19"/>
  <c r="D46" i="2" l="1"/>
  <c r="D31" i="2"/>
  <c r="G80" i="19" l="1"/>
  <c r="D33" i="22" l="1"/>
  <c r="G32" i="22" l="1"/>
  <c r="G59" i="19" l="1"/>
  <c r="F33" i="22" l="1"/>
  <c r="D24" i="21"/>
  <c r="F31" i="22"/>
  <c r="G31" i="22" s="1"/>
  <c r="F16" i="22"/>
  <c r="H41" i="22" l="1"/>
  <c r="E40" i="22"/>
  <c r="G40" i="22" s="1"/>
  <c r="E39" i="22"/>
  <c r="G39" i="22" s="1"/>
  <c r="E38" i="22"/>
  <c r="G38" i="22" s="1"/>
  <c r="E37" i="22"/>
  <c r="G37" i="22" s="1"/>
  <c r="E36" i="22"/>
  <c r="G36" i="22" s="1"/>
  <c r="E35" i="22"/>
  <c r="G35" i="22" s="1"/>
  <c r="E34" i="22"/>
  <c r="G34" i="22" s="1"/>
  <c r="E33" i="22"/>
  <c r="G33" i="22" s="1"/>
  <c r="D17" i="22"/>
  <c r="F17" i="22"/>
  <c r="E68" i="21"/>
  <c r="E67" i="21"/>
  <c r="G64" i="21"/>
  <c r="F64" i="21"/>
  <c r="E64" i="21"/>
  <c r="G63" i="21"/>
  <c r="F63" i="21"/>
  <c r="E63" i="21"/>
  <c r="G62" i="21"/>
  <c r="F62" i="21"/>
  <c r="E62" i="21"/>
  <c r="G61" i="21"/>
  <c r="F61" i="21"/>
  <c r="E61" i="21"/>
  <c r="G60" i="21"/>
  <c r="F60" i="21"/>
  <c r="E60" i="21"/>
  <c r="G59" i="21"/>
  <c r="F59" i="21"/>
  <c r="E59" i="21"/>
  <c r="G58" i="21"/>
  <c r="F58" i="21"/>
  <c r="E58" i="21"/>
  <c r="G57" i="21"/>
  <c r="F57" i="21"/>
  <c r="F54" i="21"/>
  <c r="E54" i="21"/>
  <c r="G53" i="21"/>
  <c r="F53" i="21"/>
  <c r="E53" i="21"/>
  <c r="F27" i="21"/>
  <c r="F26" i="21"/>
  <c r="F25" i="21"/>
  <c r="E158" i="19"/>
  <c r="E157" i="19"/>
  <c r="G154" i="19"/>
  <c r="F154" i="19"/>
  <c r="E154" i="19"/>
  <c r="G153" i="19"/>
  <c r="F153" i="19"/>
  <c r="E153" i="19"/>
  <c r="G152" i="19"/>
  <c r="F152" i="19"/>
  <c r="E152" i="19"/>
  <c r="G151" i="19"/>
  <c r="F151" i="19"/>
  <c r="E151" i="19"/>
  <c r="G150" i="19"/>
  <c r="F150" i="19"/>
  <c r="E150" i="19"/>
  <c r="G149" i="19"/>
  <c r="F149" i="19"/>
  <c r="E149" i="19"/>
  <c r="G148" i="19"/>
  <c r="F148" i="19"/>
  <c r="E148" i="19"/>
  <c r="G147" i="19"/>
  <c r="F147" i="19"/>
  <c r="F144" i="19"/>
  <c r="E144" i="19"/>
  <c r="G143" i="19"/>
  <c r="F143" i="19"/>
  <c r="E143" i="19"/>
  <c r="G112" i="19"/>
  <c r="G110" i="19"/>
  <c r="G109" i="19"/>
  <c r="G108" i="19"/>
  <c r="G107" i="19"/>
  <c r="G106" i="19"/>
  <c r="G105" i="19"/>
  <c r="G104" i="19"/>
  <c r="G103" i="19"/>
  <c r="G102" i="19"/>
  <c r="G101" i="19"/>
  <c r="G100" i="19"/>
  <c r="G99" i="19"/>
  <c r="G98" i="19"/>
  <c r="G97" i="19"/>
  <c r="G96" i="19"/>
  <c r="G94" i="19"/>
  <c r="G93" i="19"/>
  <c r="G91" i="19"/>
  <c r="G78" i="19"/>
  <c r="G77" i="19"/>
  <c r="G76" i="19"/>
  <c r="G75" i="19"/>
  <c r="G74" i="19"/>
  <c r="G73" i="19"/>
  <c r="G72" i="19"/>
  <c r="G71" i="19"/>
  <c r="G70" i="19"/>
  <c r="G69" i="19"/>
  <c r="G68" i="19"/>
  <c r="G67" i="19"/>
  <c r="G66" i="19"/>
  <c r="G65" i="19"/>
  <c r="G64" i="19"/>
  <c r="G62" i="19"/>
  <c r="G61" i="19"/>
  <c r="F37" i="19"/>
  <c r="F36" i="19"/>
  <c r="G113" i="19" l="1"/>
  <c r="G115" i="19" s="1"/>
  <c r="G116" i="19" s="1"/>
  <c r="G81" i="19"/>
  <c r="G83" i="19" s="1"/>
  <c r="G84" i="19" s="1"/>
  <c r="D47" i="22" a="1"/>
  <c r="D47" i="22" s="1"/>
  <c r="F35" i="19"/>
  <c r="F38" i="19" s="1"/>
  <c r="F50" i="19"/>
  <c r="F52" i="19" s="1"/>
  <c r="G17" i="22"/>
  <c r="F28" i="21"/>
  <c r="F30" i="21" s="1"/>
  <c r="G16" i="22"/>
  <c r="F40" i="19" l="1"/>
  <c r="F31" i="21"/>
  <c r="E16" i="23"/>
  <c r="G120" i="19"/>
  <c r="D46" i="22"/>
  <c r="D48" i="22" s="1"/>
  <c r="E18" i="23" s="1"/>
  <c r="G122" i="19" l="1"/>
  <c r="E16" i="4" s="1"/>
  <c r="F41" i="19"/>
  <c r="F53" i="19"/>
  <c r="E46" i="2"/>
  <c r="G46" i="2" s="1"/>
  <c r="D17" i="2"/>
  <c r="E52" i="2"/>
  <c r="G52" i="2" s="1"/>
  <c r="E53" i="2"/>
  <c r="G53" i="2" s="1"/>
  <c r="E51" i="2"/>
  <c r="G51" i="2" s="1"/>
  <c r="E50" i="2"/>
  <c r="G50" i="2" s="1"/>
  <c r="E49" i="2"/>
  <c r="G49" i="2" s="1"/>
  <c r="E48" i="2"/>
  <c r="G48" i="2" s="1"/>
  <c r="E47" i="2"/>
  <c r="G47" i="2" s="1"/>
  <c r="E35" i="2"/>
  <c r="E38" i="2"/>
  <c r="E37" i="2"/>
  <c r="E36" i="2"/>
  <c r="E34" i="2"/>
  <c r="E33" i="2"/>
  <c r="E32" i="2"/>
  <c r="E31" i="2"/>
  <c r="L17" i="6" l="1"/>
  <c r="E20" i="4" s="1"/>
  <c r="L31" i="6"/>
  <c r="E17" i="23" l="1"/>
  <c r="E19" i="23" s="1"/>
  <c r="E20" i="23" s="1"/>
  <c r="H54" i="2"/>
  <c r="F16" i="2" l="1"/>
  <c r="G16" i="2" l="1"/>
  <c r="F17" i="2"/>
  <c r="F30" i="2"/>
  <c r="G45" i="2"/>
  <c r="D61" i="2" s="1"/>
  <c r="G35" i="2" l="1"/>
  <c r="G38" i="2"/>
  <c r="G36" i="2"/>
  <c r="G37" i="2"/>
  <c r="G17" i="2"/>
  <c r="D59" i="2" s="1"/>
  <c r="G33" i="2" l="1"/>
  <c r="G34" i="2"/>
  <c r="G32" i="2"/>
  <c r="G31" i="2"/>
  <c r="G30" i="2"/>
  <c r="D60" i="2" l="1"/>
  <c r="D62" i="2" s="1"/>
  <c r="E21" i="4" l="1"/>
  <c r="E22" i="4" l="1"/>
  <c r="E23" i="4"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<sst xmlns="http://schemas.openxmlformats.org/spreadsheetml/2006/main" count="1127" uniqueCount="219">
  <si>
    <t xml:space="preserve">Omschrijving </t>
  </si>
  <si>
    <t>[invullen door inschrijver]</t>
  </si>
  <si>
    <t>Over de weg, in trekker- oplegger &gt;20 ton</t>
  </si>
  <si>
    <t>Over de weg: Euro VI: CNG</t>
  </si>
  <si>
    <t>Hulp gegevens: Verbergen bij publicatie</t>
  </si>
  <si>
    <t xml:space="preserve">Transportmodaliteit </t>
  </si>
  <si>
    <t>N.v.t.</t>
  </si>
  <si>
    <t>Aandrijving/brandstof</t>
  </si>
  <si>
    <t>Vrachtauto %</t>
  </si>
  <si>
    <t>Trekker oplegger %</t>
  </si>
  <si>
    <t>n.v.t.</t>
  </si>
  <si>
    <t>Over de weg: Euro VI - Diesel</t>
  </si>
  <si>
    <t>Over de weg: Euro VI: HVO</t>
  </si>
  <si>
    <t>Over de weg: Euro VI: LNG</t>
  </si>
  <si>
    <t>Over de weg: Euro VI: Bio LNG</t>
  </si>
  <si>
    <t>Over de weg: Elektrisch (gemiddelde mix)</t>
  </si>
  <si>
    <t xml:space="preserve">Gaslevering
</t>
  </si>
  <si>
    <t>Biogas (netto)</t>
  </si>
  <si>
    <t>Groengas (netto)</t>
  </si>
  <si>
    <t xml:space="preserve">Materiaallevering
</t>
  </si>
  <si>
    <t xml:space="preserve">kg x </t>
  </si>
  <si>
    <t>Drankenkarton (DKR)</t>
  </si>
  <si>
    <t>Ferrometaal</t>
  </si>
  <si>
    <t>Non-ferrometaal</t>
  </si>
  <si>
    <t>Papier (inzet als grondstof papier)</t>
  </si>
  <si>
    <t>Papier (inzet als bouwstof)</t>
  </si>
  <si>
    <t>Textiel (inzet als grondstof voor textiel)</t>
  </si>
  <si>
    <t>Textiel (inzet als grondstof andere nuttige toepassingen)</t>
  </si>
  <si>
    <t>Glas (inzet als glas)</t>
  </si>
  <si>
    <t>Glas (inzet als bouwmateriaal)</t>
  </si>
  <si>
    <t>Mineralen (inzet als bouwmateriaal)</t>
  </si>
  <si>
    <t>Bodemas (inzet als bouwmateriaal/mineralen)</t>
  </si>
  <si>
    <t>Gips (inzet als zandsteen)</t>
  </si>
  <si>
    <t>Luiers</t>
  </si>
  <si>
    <t>Emissies uit verbranding residu</t>
  </si>
  <si>
    <t>Inschrijver</t>
  </si>
  <si>
    <t>Naam inschrijver:</t>
  </si>
  <si>
    <t>&lt;NAAM INSCHRIJVER&gt;</t>
  </si>
  <si>
    <t>Naam en functie ondergetekende:</t>
  </si>
  <si>
    <t>&lt;NAAM EN FUNCTIE ONDERGETEKENDE&gt;</t>
  </si>
  <si>
    <t>Datum:</t>
  </si>
  <si>
    <t>&lt;DATUM&gt;</t>
  </si>
  <si>
    <t>Handtekening:</t>
  </si>
  <si>
    <t>&lt;HANDTEKENING&gt;</t>
  </si>
  <si>
    <t xml:space="preserve">Transportafstand (enkele reis) </t>
  </si>
  <si>
    <t>per ton</t>
  </si>
  <si>
    <t>Behaalde fictieve toeslag door transport</t>
  </si>
  <si>
    <t>Behaalde fictieve korting door verwerking</t>
  </si>
  <si>
    <t>Logistieke transportkosten gemeenten</t>
  </si>
  <si>
    <t xml:space="preserve">Energielevering/-efficiency
</t>
  </si>
  <si>
    <t>R1-waarde</t>
  </si>
  <si>
    <t>Score</t>
  </si>
  <si>
    <t>Kunststof (DKR) (1)</t>
  </si>
  <si>
    <t>Over de weg: Euro VI - GTL</t>
  </si>
  <si>
    <t>LZV %</t>
  </si>
  <si>
    <t>Over de weg: Euro VI Biodiesel (B30)</t>
  </si>
  <si>
    <t>Over de weg: Euro VI: Bio CNG</t>
  </si>
  <si>
    <t>Over de weg: Waterstof (aardgas SMR)</t>
  </si>
  <si>
    <t>Over de weg: Waterstof (aardgas SMR + CCS)</t>
  </si>
  <si>
    <t>Over de weg: Waterstof (groengas (covergisting) SMR + CCS)</t>
  </si>
  <si>
    <t>Over de weg: Waterstof (groengas (stortgas) SMR + CCS)</t>
  </si>
  <si>
    <t>Over de weg: Waterstof groene stroom</t>
  </si>
  <si>
    <t>Over de weg: Elektrisch groen</t>
  </si>
  <si>
    <t>Over de weg, in vrachtauto 20 ton met aanhanger</t>
  </si>
  <si>
    <t>Over de weg, LZV</t>
  </si>
  <si>
    <t>Over het spoor</t>
  </si>
  <si>
    <t>Via water, in binnenvaartschip (diesel)</t>
  </si>
  <si>
    <t>Over het water: diesel Hybride</t>
  </si>
  <si>
    <t>Over het water: LNG</t>
  </si>
  <si>
    <t xml:space="preserve">Inschrijver past, op straffe van uitsluiting, alleen de licht rood gearceerde cellen aan. Inschrijver dient alle licht rood gearceerde cellen correct en ondubbelzinnig in te vullen. 
</t>
  </si>
  <si>
    <t>Instructies voor het invullen van inschrijfformulier:</t>
  </si>
  <si>
    <t xml:space="preserve">Inschrijver is verantwoordelijk voor een zorgvuldige invulling van alle relevante invulvelden (licht rood gearceerd).  
</t>
  </si>
  <si>
    <r>
      <t>CO</t>
    </r>
    <r>
      <rPr>
        <vertAlign val="subscript"/>
        <sz val="10"/>
        <color theme="1"/>
        <rFont val="Open Sans"/>
        <family val="2"/>
      </rPr>
      <t>2</t>
    </r>
    <r>
      <rPr>
        <sz val="10"/>
        <color theme="1"/>
        <rFont val="Open Sans"/>
        <family val="2"/>
      </rPr>
      <t xml:space="preserve"> (g/tkm) WTW van de modaliteit:</t>
    </r>
  </si>
  <si>
    <r>
      <t>Reductie CO</t>
    </r>
    <r>
      <rPr>
        <vertAlign val="subscript"/>
        <sz val="10"/>
        <color theme="1"/>
        <rFont val="Open Sans"/>
        <family val="2"/>
      </rPr>
      <t>2</t>
    </r>
    <r>
      <rPr>
        <sz val="10"/>
        <color theme="1"/>
        <rFont val="Open Sans"/>
        <family val="2"/>
      </rPr>
      <t xml:space="preserve"> (g/tkm) WTW door aandrijving/brandstof:</t>
    </r>
  </si>
  <si>
    <r>
      <t xml:space="preserve">Weging
</t>
    </r>
    <r>
      <rPr>
        <sz val="10"/>
        <color rgb="FF000000"/>
        <rFont val="Open Sans"/>
        <family val="2"/>
      </rPr>
      <t>kg CO</t>
    </r>
    <r>
      <rPr>
        <vertAlign val="subscript"/>
        <sz val="10"/>
        <color rgb="FF000000"/>
        <rFont val="Open Sans"/>
        <family val="2"/>
      </rPr>
      <t>2</t>
    </r>
    <r>
      <rPr>
        <sz val="10"/>
        <color rgb="FF000000"/>
        <rFont val="Open Sans"/>
        <family val="2"/>
      </rPr>
      <t>-eq./Nm</t>
    </r>
    <r>
      <rPr>
        <vertAlign val="superscript"/>
        <sz val="10"/>
        <color rgb="FF000000"/>
        <rFont val="Open Sans"/>
        <family val="2"/>
      </rPr>
      <t>3</t>
    </r>
  </si>
  <si>
    <r>
      <t>Nm</t>
    </r>
    <r>
      <rPr>
        <vertAlign val="superscript"/>
        <sz val="10"/>
        <rFont val="Open Sans"/>
        <family val="2"/>
      </rPr>
      <t>3</t>
    </r>
    <r>
      <rPr>
        <sz val="10"/>
        <rFont val="Open Sans"/>
        <family val="2"/>
      </rPr>
      <t xml:space="preserve"> x</t>
    </r>
  </si>
  <si>
    <r>
      <t xml:space="preserve">Weging
</t>
    </r>
    <r>
      <rPr>
        <sz val="10"/>
        <color rgb="FF000000"/>
        <rFont val="Open Sans"/>
        <family val="2"/>
      </rPr>
      <t>kg CO</t>
    </r>
    <r>
      <rPr>
        <vertAlign val="subscript"/>
        <sz val="10"/>
        <color rgb="FF000000"/>
        <rFont val="Open Sans"/>
        <family val="2"/>
      </rPr>
      <t>2</t>
    </r>
    <r>
      <rPr>
        <sz val="10"/>
        <color rgb="FF000000"/>
        <rFont val="Open Sans"/>
        <family val="2"/>
      </rPr>
      <t>-eq./kg</t>
    </r>
  </si>
  <si>
    <t>Centraal station Leiden</t>
  </si>
  <si>
    <t>Naam</t>
  </si>
  <si>
    <t>Postcode</t>
  </si>
  <si>
    <t xml:space="preserve">Plaats </t>
  </si>
  <si>
    <t>Eigenaar</t>
  </si>
  <si>
    <t>Hoeveelheid HRA</t>
  </si>
  <si>
    <t>Prijs HRA</t>
  </si>
  <si>
    <t>Totale inschrijfprijs HRA</t>
  </si>
  <si>
    <t>Aantal tkm:</t>
  </si>
  <si>
    <r>
      <t>CO</t>
    </r>
    <r>
      <rPr>
        <b/>
        <vertAlign val="subscript"/>
        <sz val="10"/>
        <color theme="1"/>
        <rFont val="Open Sans"/>
        <family val="2"/>
      </rPr>
      <t>2</t>
    </r>
    <r>
      <rPr>
        <b/>
        <sz val="10"/>
        <color theme="1"/>
        <rFont val="Open Sans"/>
        <family val="2"/>
      </rPr>
      <t xml:space="preserve"> (g/tkm) WTW</t>
    </r>
  </si>
  <si>
    <t>Adres aanbestedende dienst</t>
  </si>
  <si>
    <t>Straatnaam + huisnummer</t>
  </si>
  <si>
    <t>Hoeveelheid GHA</t>
  </si>
  <si>
    <t>Verwerkingslocatie</t>
  </si>
  <si>
    <t>Transportafstand vanaf ontvangstlocatie tot verwerkingslocatie</t>
  </si>
  <si>
    <t>Transportmodaliteit (voor tenminste 85% van de af te leggen afstand)</t>
  </si>
  <si>
    <t>Totale transportkosten HRA per jaar</t>
  </si>
  <si>
    <t>Totale transportkosten GHA per jaar</t>
  </si>
  <si>
    <t>Transportkosten HRA (per ton per km (enkele reis))</t>
  </si>
  <si>
    <t>Transportkosten GHA (per ton per km (enkele reis))</t>
  </si>
  <si>
    <t>Hoeveelheid</t>
  </si>
  <si>
    <t>Meerprijs stoorstof: matrassen (prijs per stuk)</t>
  </si>
  <si>
    <t xml:space="preserve">1. Inschrijver dient het tabblad in te vullen van het perceel waarop u inschrijft. Deze dient Inschrijver te printen en rechtsgeldig te ondertekenen, en vervolgens (gescand) in PDF-format in te dienen.
</t>
  </si>
  <si>
    <t xml:space="preserve">Aan de genoemde hoeveelheden en aantallen kunnen geen rechten worden ontleend. De vaste tarieven per eenheid (zoals in dit formulier aangegeven) zijn tijdens de uitvoering van de opdracht van toepassing, ongeacht de daadwerkelijke hoeveelheden en/of aantallen. 
</t>
  </si>
  <si>
    <t xml:space="preserve">De eenheidstarieven zijn conform alle voorwaarden uit het programma van eisen en alle overige aanbestedingsdocumenten (waaronder de kwalitatieve gunningscriteria).
</t>
  </si>
  <si>
    <t>Aanbesteding verwerken huishoudelijk restafval (HRA en huis-aan-huis ingezameld GHA) Leidse regio gemeenten: Instructie invullen inschrijfformulier</t>
  </si>
  <si>
    <t>Aanbesteding verwerken huishoudelijk restafval (HRA en huis-aan-huis ingezameld GHA) Leidse regio gemeenten: Formulier logistiek</t>
  </si>
  <si>
    <t>Stationsplein 3G, 2312 AJ Leiden</t>
  </si>
  <si>
    <t>Ontvangstlocatie Inschrijver</t>
  </si>
  <si>
    <t>Transport</t>
  </si>
  <si>
    <t>Verwerkingsproces en eindproducten</t>
  </si>
  <si>
    <t>Logistiek HRA</t>
  </si>
  <si>
    <t>1. Er wordt geen gebruik gemaakt van een separate ontvangstlocatie</t>
  </si>
  <si>
    <t>2. Er wordt gebruik gemaakt van een separate ontvangstlocatie (niet zijnde de verwerkingslocatie)</t>
  </si>
  <si>
    <t>Verwerken HRA zonder nascheiding</t>
  </si>
  <si>
    <t>Verwerken na te scheiden HRA</t>
  </si>
  <si>
    <t xml:space="preserve">Het tarief voor het verwerken van na te scheiden HRA dient gelijk te zijn aan het tarief voor het verwerken van HRA zonder nascheiding.
</t>
  </si>
  <si>
    <t>Tarief per eenheid</t>
  </si>
  <si>
    <t>Kosten per eenheid</t>
  </si>
  <si>
    <t>Totale jaarlijkse kosten</t>
  </si>
  <si>
    <t>Ontvangst en transport HRA</t>
  </si>
  <si>
    <t>Wbm 2027</t>
  </si>
  <si>
    <t>Wbm 2028</t>
  </si>
  <si>
    <t>Wbm 2029</t>
  </si>
  <si>
    <t>Wbm 2030</t>
  </si>
  <si>
    <r>
      <t>CO</t>
    </r>
    <r>
      <rPr>
        <vertAlign val="subscript"/>
        <sz val="10"/>
        <color theme="1"/>
        <rFont val="Open Sans"/>
        <family val="2"/>
      </rPr>
      <t>2</t>
    </r>
    <r>
      <rPr>
        <sz val="10"/>
        <color theme="1"/>
        <rFont val="Open Sans"/>
        <family val="2"/>
      </rPr>
      <t>-heffing 2027</t>
    </r>
  </si>
  <si>
    <r>
      <t>CO</t>
    </r>
    <r>
      <rPr>
        <vertAlign val="subscript"/>
        <sz val="10"/>
        <color theme="1"/>
        <rFont val="Open Sans"/>
        <family val="2"/>
      </rPr>
      <t>2</t>
    </r>
    <r>
      <rPr>
        <sz val="10"/>
        <color theme="1"/>
        <rFont val="Open Sans"/>
        <family val="2"/>
      </rPr>
      <t>-heffing 2028</t>
    </r>
  </si>
  <si>
    <r>
      <t>CO</t>
    </r>
    <r>
      <rPr>
        <vertAlign val="subscript"/>
        <sz val="10"/>
        <color theme="1"/>
        <rFont val="Open Sans"/>
        <family val="2"/>
      </rPr>
      <t>2</t>
    </r>
    <r>
      <rPr>
        <sz val="10"/>
        <color theme="1"/>
        <rFont val="Open Sans"/>
        <family val="2"/>
      </rPr>
      <t>-heffing 2029</t>
    </r>
  </si>
  <si>
    <r>
      <t>CO</t>
    </r>
    <r>
      <rPr>
        <vertAlign val="subscript"/>
        <sz val="10"/>
        <color theme="1"/>
        <rFont val="Open Sans"/>
        <family val="2"/>
      </rPr>
      <t>2</t>
    </r>
    <r>
      <rPr>
        <sz val="10"/>
        <color theme="1"/>
        <rFont val="Open Sans"/>
        <family val="2"/>
      </rPr>
      <t>-heffing 2030</t>
    </r>
  </si>
  <si>
    <t>Overslag</t>
  </si>
  <si>
    <t>Ontvangstlocatie</t>
  </si>
  <si>
    <t>Kwaliteit HRA 2027</t>
  </si>
  <si>
    <t>Kwaliteit HRA 2028</t>
  </si>
  <si>
    <t>Kwaliteit HRA 2029</t>
  </si>
  <si>
    <t>Kwaliteit HRA 2030</t>
  </si>
  <si>
    <t>Inschrijfprijs HRA</t>
  </si>
  <si>
    <t>Aanbesteding verwerken huishoudelijk restafval (HRA en huis-aan-huis ingezameld GHA) Leidse regio gemeenten: Fictieve inschrijfprijs HRA</t>
  </si>
  <si>
    <t>Overslag en transport GHA</t>
  </si>
  <si>
    <t>Logistiek GHA</t>
  </si>
  <si>
    <t>Prijs GHA</t>
  </si>
  <si>
    <t>Inschrijfprijs GHA</t>
  </si>
  <si>
    <t>Totale inschrijfprijs GHA</t>
  </si>
  <si>
    <t>Ontvangst en transport GHA</t>
  </si>
  <si>
    <t>Verwerken GHA</t>
  </si>
  <si>
    <t>Aandrijving en brandstof (voor tenminste 85% van de af te leggen afstand)</t>
  </si>
  <si>
    <t>Waarde 2027</t>
  </si>
  <si>
    <r>
      <t>Hoeveelheid (Nm</t>
    </r>
    <r>
      <rPr>
        <b/>
        <vertAlign val="superscript"/>
        <sz val="10"/>
        <color rgb="FF000000"/>
        <rFont val="Open Sans"/>
        <family val="2"/>
      </rPr>
      <t>3</t>
    </r>
    <r>
      <rPr>
        <b/>
        <sz val="10"/>
        <color rgb="FF000000"/>
        <rFont val="Open Sans"/>
        <family val="2"/>
      </rPr>
      <t>) per ton</t>
    </r>
  </si>
  <si>
    <t>Hoeveelheid (kg) per ton</t>
  </si>
  <si>
    <r>
      <t>Afgevangen CO</t>
    </r>
    <r>
      <rPr>
        <vertAlign val="subscript"/>
        <sz val="10"/>
        <color rgb="FF000000"/>
        <rFont val="Open Sans"/>
        <family val="2"/>
      </rPr>
      <t>2</t>
    </r>
  </si>
  <si>
    <r>
      <t>*Toelichting: Een positieve CO</t>
    </r>
    <r>
      <rPr>
        <vertAlign val="subscript"/>
        <sz val="10"/>
        <rFont val="Open Sans"/>
        <family val="2"/>
      </rPr>
      <t>2</t>
    </r>
    <r>
      <rPr>
        <sz val="10"/>
        <rFont val="Open Sans"/>
        <family val="2"/>
      </rPr>
      <t>-score is een CO</t>
    </r>
    <r>
      <rPr>
        <vertAlign val="subscript"/>
        <sz val="10"/>
        <rFont val="Open Sans"/>
        <family val="2"/>
      </rPr>
      <t>2</t>
    </r>
    <r>
      <rPr>
        <sz val="10"/>
        <rFont val="Open Sans"/>
        <family val="2"/>
      </rPr>
      <t>-emissiebesparing en een negatieve een toename. 
(1) In deze aanbestedingsmethodiek worden verschillende soorten kunststoffen gelijk gewogen. In de praktijk komt de productie van mono-DKR-stromen beter uit als gekeken wordt naar de klimaatimpact. Omdat echter de afzet van een mix DKR-stroom (DKR-350) leidt tot een vergelijkbare milieu-impact als ook gekeken wordt naar landgebruik is er voor gekozen om in deze methodiek alle kunststoffen gelijk te stellen aan elkaar. Deze waarde is gekozen om biodiversiteit ook een plek te geven in de wegingsmethodiek.
(2) De toegepaste beprijzing per ton CO</t>
    </r>
    <r>
      <rPr>
        <vertAlign val="subscript"/>
        <sz val="10"/>
        <rFont val="Open Sans"/>
        <family val="2"/>
      </rPr>
      <t>2</t>
    </r>
    <r>
      <rPr>
        <sz val="10"/>
        <rFont val="Open Sans"/>
        <family val="2"/>
      </rPr>
      <t xml:space="preserve">-eq. is beleidsmatig  vastgesteld.
</t>
    </r>
  </si>
  <si>
    <t>Kwaliteitswaarde:</t>
  </si>
  <si>
    <t>Aanbesteding verwerken huishoudelijk restafval (HRA en huis-aan-huis ingezameld GHA) Leidse regio gemeenten: Kwaliteit HRA 2027</t>
  </si>
  <si>
    <r>
      <t>CO</t>
    </r>
    <r>
      <rPr>
        <vertAlign val="subscript"/>
        <sz val="10"/>
        <color theme="0"/>
        <rFont val="Open Sans"/>
        <family val="2"/>
      </rPr>
      <t>2</t>
    </r>
    <r>
      <rPr>
        <sz val="10"/>
        <color theme="0"/>
        <rFont val="Open Sans"/>
        <family val="2"/>
      </rPr>
      <t xml:space="preserve"> WTW (in tonnen) voor transport naar verwerkingslocatie</t>
    </r>
  </si>
  <si>
    <r>
      <t>CO</t>
    </r>
    <r>
      <rPr>
        <vertAlign val="subscript"/>
        <sz val="10"/>
        <rFont val="Open Sans"/>
        <family val="2"/>
      </rPr>
      <t>2</t>
    </r>
    <r>
      <rPr>
        <sz val="10"/>
        <rFont val="Open Sans"/>
        <family val="2"/>
      </rPr>
      <t xml:space="preserve"> -"weging" per ton CO</t>
    </r>
    <r>
      <rPr>
        <vertAlign val="subscript"/>
        <sz val="10"/>
        <rFont val="Open Sans"/>
        <family val="2"/>
      </rPr>
      <t>2</t>
    </r>
    <r>
      <rPr>
        <sz val="10"/>
        <rFont val="Open Sans"/>
        <family val="2"/>
      </rPr>
      <t>-equivalent (2)</t>
    </r>
  </si>
  <si>
    <t xml:space="preserve">Onderhavig document betreft het inschrijfformulier behorende bij de aanbesteding verwerken huishoudelijk restafval (HRA en huis-aan-huis ingezameld GHA) Leidse regio gemeenten.
</t>
  </si>
  <si>
    <r>
      <t>Wbm en CO</t>
    </r>
    <r>
      <rPr>
        <vertAlign val="subscript"/>
        <sz val="10"/>
        <color theme="0"/>
        <rFont val="Open Sans"/>
        <family val="2"/>
      </rPr>
      <t>2</t>
    </r>
    <r>
      <rPr>
        <sz val="10"/>
        <color theme="0"/>
        <rFont val="Open Sans"/>
        <family val="2"/>
      </rPr>
      <t>-heffing op restafval in Nederland</t>
    </r>
  </si>
  <si>
    <t>Aanbesteding verwerken huishoudelijk restafval (HRA en huis-aan-huis ingezameld GHA) Leidse regio gemeenten: Prijs HRA (prijspeil 2027)</t>
  </si>
  <si>
    <t>Aanbesteding verwerken huishoudelijk restafval (HRA en huis-aan-huis ingezameld GHA) Leidse regio gemeenten: Fictieve inschrijfprijs GHA</t>
  </si>
  <si>
    <t>Aanbesteding verwerken huishoudelijk restafval (HRA en huis-aan-huis ingezameld GHA) Leidse regio gemeenten: Prijs GHA (prijspeil 2027)</t>
  </si>
  <si>
    <r>
      <t>Totale CO</t>
    </r>
    <r>
      <rPr>
        <vertAlign val="subscript"/>
        <sz val="10"/>
        <color theme="0"/>
        <rFont val="Open Sans"/>
        <family val="2"/>
      </rPr>
      <t>2</t>
    </r>
    <r>
      <rPr>
        <sz val="10"/>
        <color theme="0"/>
        <rFont val="Open Sans"/>
        <family val="2"/>
      </rPr>
      <t>-equivalent impact verwerken HRA*</t>
    </r>
  </si>
  <si>
    <t xml:space="preserve">Totale fictieve inschrijfprijs HRA*
</t>
  </si>
  <si>
    <t>* Deze prijs vermelden in TenderNed</t>
  </si>
  <si>
    <t>(R1 x 450)-340</t>
  </si>
  <si>
    <r>
      <t>Percentage CO</t>
    </r>
    <r>
      <rPr>
        <vertAlign val="subscript"/>
        <sz val="10"/>
        <color theme="1"/>
        <rFont val="Open Sans"/>
        <family val="2"/>
      </rPr>
      <t>2</t>
    </r>
    <r>
      <rPr>
        <sz val="10"/>
        <color theme="1"/>
        <rFont val="Open Sans"/>
        <family val="2"/>
      </rPr>
      <t>-heffing HRA</t>
    </r>
    <r>
      <rPr>
        <sz val="10"/>
        <color rgb="FFFF0000"/>
        <rFont val="Open Sans"/>
        <family val="2"/>
      </rPr>
      <t xml:space="preserve"> </t>
    </r>
    <r>
      <rPr>
        <sz val="10"/>
        <color theme="1"/>
        <rFont val="Open Sans"/>
        <family val="2"/>
      </rPr>
      <t>die in rekening wordt gebracht in 2027</t>
    </r>
  </si>
  <si>
    <r>
      <t>Percentage CO</t>
    </r>
    <r>
      <rPr>
        <vertAlign val="subscript"/>
        <sz val="10"/>
        <rFont val="Open Sans"/>
        <family val="2"/>
      </rPr>
      <t>2</t>
    </r>
    <r>
      <rPr>
        <sz val="10"/>
        <rFont val="Open Sans"/>
        <family val="2"/>
      </rPr>
      <t>-heffing HRA die in rekening wordt gebracht in 2028</t>
    </r>
  </si>
  <si>
    <r>
      <t>Percentage CO</t>
    </r>
    <r>
      <rPr>
        <vertAlign val="subscript"/>
        <sz val="10"/>
        <rFont val="Open Sans"/>
        <family val="2"/>
      </rPr>
      <t>2</t>
    </r>
    <r>
      <rPr>
        <sz val="10"/>
        <rFont val="Open Sans"/>
        <family val="2"/>
      </rPr>
      <t>-heffing HRA die in rekening wordt gebracht in 2029</t>
    </r>
  </si>
  <si>
    <r>
      <t>Percentage CO</t>
    </r>
    <r>
      <rPr>
        <vertAlign val="subscript"/>
        <sz val="10"/>
        <rFont val="Open Sans"/>
        <family val="2"/>
      </rPr>
      <t>2</t>
    </r>
    <r>
      <rPr>
        <sz val="10"/>
        <rFont val="Open Sans"/>
        <family val="2"/>
      </rPr>
      <t>-heffing HRA die in rekening wordt gebracht in 2030</t>
    </r>
  </si>
  <si>
    <t>Aandeel waarover Wbm in 2027 moet worden betaald (1)</t>
  </si>
  <si>
    <t>Aandeel waarover Wbm in 2028 moet worden betaald (1)</t>
  </si>
  <si>
    <t>Aandeel waarover Wbm in 2029 moet worden betaald (1)</t>
  </si>
  <si>
    <t>Aandeel waarover Wbm in 2030 moet worden betaald (1)</t>
  </si>
  <si>
    <r>
      <t>Percentage CO</t>
    </r>
    <r>
      <rPr>
        <vertAlign val="subscript"/>
        <sz val="10"/>
        <color theme="1"/>
        <rFont val="Open Sans"/>
        <family val="2"/>
      </rPr>
      <t>2</t>
    </r>
    <r>
      <rPr>
        <sz val="10"/>
        <color theme="1"/>
        <rFont val="Open Sans"/>
        <family val="2"/>
      </rPr>
      <t>-heffing HRA</t>
    </r>
    <r>
      <rPr>
        <sz val="10"/>
        <color rgb="FFFF0000"/>
        <rFont val="Open Sans"/>
        <family val="2"/>
      </rPr>
      <t xml:space="preserve"> </t>
    </r>
    <r>
      <rPr>
        <sz val="10"/>
        <color theme="1"/>
        <rFont val="Open Sans"/>
        <family val="2"/>
      </rPr>
      <t>die in rekening wordt gebracht in 2027 (2)</t>
    </r>
  </si>
  <si>
    <r>
      <t>Percentage CO</t>
    </r>
    <r>
      <rPr>
        <vertAlign val="subscript"/>
        <sz val="10"/>
        <rFont val="Open Sans"/>
        <family val="2"/>
      </rPr>
      <t>2</t>
    </r>
    <r>
      <rPr>
        <sz val="10"/>
        <rFont val="Open Sans"/>
        <family val="2"/>
      </rPr>
      <t>-heffing HRA die in rekening wordt gebracht in 2028 (2)</t>
    </r>
  </si>
  <si>
    <r>
      <t>Percentage CO</t>
    </r>
    <r>
      <rPr>
        <vertAlign val="subscript"/>
        <sz val="10"/>
        <rFont val="Open Sans"/>
        <family val="2"/>
      </rPr>
      <t>2</t>
    </r>
    <r>
      <rPr>
        <sz val="10"/>
        <rFont val="Open Sans"/>
        <family val="2"/>
      </rPr>
      <t>-heffing HRA die in rekening wordt gebracht in 2029 (2)</t>
    </r>
  </si>
  <si>
    <r>
      <t>Percentage CO</t>
    </r>
    <r>
      <rPr>
        <vertAlign val="subscript"/>
        <sz val="10"/>
        <rFont val="Open Sans"/>
        <family val="2"/>
      </rPr>
      <t>2</t>
    </r>
    <r>
      <rPr>
        <sz val="10"/>
        <rFont val="Open Sans"/>
        <family val="2"/>
      </rPr>
      <t>-heffing HRA die in rekening wordt gebracht in 2030 (2)</t>
    </r>
  </si>
  <si>
    <r>
      <t>Percentage CO</t>
    </r>
    <r>
      <rPr>
        <vertAlign val="subscript"/>
        <sz val="10"/>
        <color theme="1"/>
        <rFont val="Open Sans"/>
        <family val="2"/>
      </rPr>
      <t>2</t>
    </r>
    <r>
      <rPr>
        <sz val="10"/>
        <color theme="1"/>
        <rFont val="Open Sans"/>
        <family val="2"/>
      </rPr>
      <t>-heffing GHA</t>
    </r>
    <r>
      <rPr>
        <sz val="10"/>
        <color rgb="FFFF0000"/>
        <rFont val="Open Sans"/>
        <family val="2"/>
      </rPr>
      <t xml:space="preserve"> </t>
    </r>
    <r>
      <rPr>
        <sz val="10"/>
        <color theme="1"/>
        <rFont val="Open Sans"/>
        <family val="2"/>
      </rPr>
      <t>die in rekening wordt gebracht in 2027 (2)</t>
    </r>
  </si>
  <si>
    <r>
      <t>Percentage CO</t>
    </r>
    <r>
      <rPr>
        <vertAlign val="subscript"/>
        <sz val="10"/>
        <rFont val="Open Sans"/>
        <family val="2"/>
      </rPr>
      <t>2</t>
    </r>
    <r>
      <rPr>
        <sz val="10"/>
        <rFont val="Open Sans"/>
        <family val="2"/>
      </rPr>
      <t>-heffing GHA die in rekening wordt gebracht in 2028 (2)</t>
    </r>
  </si>
  <si>
    <r>
      <t>Percentage CO</t>
    </r>
    <r>
      <rPr>
        <vertAlign val="subscript"/>
        <sz val="10"/>
        <rFont val="Open Sans"/>
        <family val="2"/>
      </rPr>
      <t>2</t>
    </r>
    <r>
      <rPr>
        <sz val="10"/>
        <rFont val="Open Sans"/>
        <family val="2"/>
      </rPr>
      <t>-heffing GHA die in rekening wordt gebracht in 2029 (2)</t>
    </r>
  </si>
  <si>
    <r>
      <t>Percentage CO</t>
    </r>
    <r>
      <rPr>
        <vertAlign val="subscript"/>
        <sz val="10"/>
        <rFont val="Open Sans"/>
        <family val="2"/>
      </rPr>
      <t>2</t>
    </r>
    <r>
      <rPr>
        <sz val="10"/>
        <rFont val="Open Sans"/>
        <family val="2"/>
      </rPr>
      <t>-heffing GHA die in rekening wordt gebracht in 2030 (2)</t>
    </r>
  </si>
  <si>
    <t>Sorteren GHA</t>
  </si>
  <si>
    <t>Sorteren GHA (1)</t>
  </si>
  <si>
    <t>CO2 WTW (in tonnen) voor transport naar verwerkingslocatie</t>
  </si>
  <si>
    <t>Aandeel (in gewichtsprocenten) van het huis-aan-huis ingezamelde GHA dat wordt uitgesorteerd in recyclebare mono-/deelstromen in 2027</t>
  </si>
  <si>
    <t>Aandeel (in gewichtsprocenten) van het huis-aan-huis ingezamelde GHA dat wordt uitgesorteerd in recyclebare mono-/deelstromen in 2028</t>
  </si>
  <si>
    <t>Aandeel (in gewichtsprocenten) van het huis-aan-huis ingezamelde GHA dat wordt uitgesorteerd in recyclebare mono-/deelstromen in 2029</t>
  </si>
  <si>
    <t>Aandeel (in gewichtsprocenten) van het huis-aan-huis ingezamelde GHA dat wordt uitgesorteerd in recyclebare mono-/deelstromen in 2030</t>
  </si>
  <si>
    <t>Behaalde fictieve kwaliteitswaarde 2027</t>
  </si>
  <si>
    <t>Behaalde fictieve kwaliteitswaarde 2028</t>
  </si>
  <si>
    <t>Behaalde fictieve kwaliteitswaarde 2029</t>
  </si>
  <si>
    <t>Behaalde fictieve kwaliteitswaarde 2030</t>
  </si>
  <si>
    <t xml:space="preserve">Behaalde fictieve kwaliteitswaarde </t>
  </si>
  <si>
    <t>Bodemas (slib/gestort/immobilisatie)</t>
  </si>
  <si>
    <t>Hoeveelheid brongescheiden HRA</t>
  </si>
  <si>
    <t xml:space="preserve">Hoeveelheid na te scheiden HRA </t>
  </si>
  <si>
    <t>Transportafstand ontvangstlocatie HRA (na te scheiden)</t>
  </si>
  <si>
    <t>Transportafstand ontvangstlocatie GHA (huis-aan-huis ingezameld)</t>
  </si>
  <si>
    <t>Transportafstand ontvangstlocatie HRA (brongescheiden)</t>
  </si>
  <si>
    <t>Overslag en transport HRA (brongescheiden)</t>
  </si>
  <si>
    <t>Overslag en transport HRA (na te scheiden)</t>
  </si>
  <si>
    <t>Verwerken HRA (brongescheiden)</t>
  </si>
  <si>
    <t>Transport verwerkingslocatie 1 HRA (brongescheiden)</t>
  </si>
  <si>
    <t>Transport verwerkingslocatie 2 HRA (na te scheiden)</t>
  </si>
  <si>
    <t>Verwerkingslocatie 2 HRA (na te scheiden)</t>
  </si>
  <si>
    <t>Verwerkingslocatie 1 HRA (brongescheiden)</t>
  </si>
  <si>
    <t>Verwerken HRA (na te scheiden)</t>
  </si>
  <si>
    <r>
      <t>CO</t>
    </r>
    <r>
      <rPr>
        <vertAlign val="subscript"/>
        <sz val="10"/>
        <rFont val="Open Sans"/>
        <family val="2"/>
      </rPr>
      <t>2</t>
    </r>
    <r>
      <rPr>
        <sz val="10"/>
        <rFont val="Open Sans"/>
        <family val="2"/>
      </rPr>
      <t xml:space="preserve"> -"weging" per ton CO</t>
    </r>
    <r>
      <rPr>
        <vertAlign val="subscript"/>
        <sz val="10"/>
        <rFont val="Open Sans"/>
        <family val="2"/>
      </rPr>
      <t>2</t>
    </r>
    <r>
      <rPr>
        <sz val="10"/>
        <rFont val="Open Sans"/>
        <family val="2"/>
      </rPr>
      <t>-equivalent (1)</t>
    </r>
  </si>
  <si>
    <r>
      <t>*Toelichting: Een positieve CO</t>
    </r>
    <r>
      <rPr>
        <vertAlign val="subscript"/>
        <sz val="10"/>
        <rFont val="Open Sans"/>
        <family val="2"/>
      </rPr>
      <t>2</t>
    </r>
    <r>
      <rPr>
        <sz val="10"/>
        <rFont val="Open Sans"/>
        <family val="2"/>
      </rPr>
      <t>-score is een CO</t>
    </r>
    <r>
      <rPr>
        <vertAlign val="subscript"/>
        <sz val="10"/>
        <rFont val="Open Sans"/>
        <family val="2"/>
      </rPr>
      <t>2</t>
    </r>
    <r>
      <rPr>
        <sz val="10"/>
        <rFont val="Open Sans"/>
        <family val="2"/>
      </rPr>
      <t>-emissiebesparing en een negatieve een toename. 
(1) De toegepaste beprijzing per ton CO</t>
    </r>
    <r>
      <rPr>
        <vertAlign val="subscript"/>
        <sz val="10"/>
        <rFont val="Open Sans"/>
        <family val="2"/>
      </rPr>
      <t>2</t>
    </r>
    <r>
      <rPr>
        <sz val="10"/>
        <rFont val="Open Sans"/>
        <family val="2"/>
      </rPr>
      <t xml:space="preserve">-eq. is beleidsmatig  vastgesteld.
</t>
    </r>
  </si>
  <si>
    <t>Aanbesteding verwerken huishoudelijk restafval (HRA en huis-aan-huis ingezameld GHA) Leidse regio gemeenten: Kwaliteit GHA</t>
  </si>
  <si>
    <t>Aanbesteding verwerken huishoudelijk restafval (HRA en huis-aan-huis ingezameld GHA) Leidse regio gemeenten: Kwaliteit HRA 2030</t>
  </si>
  <si>
    <t>Aanbesteding verwerken huishoudelijk restafval (HRA en huis-aan-huis ingezameld GHA) Leidse regio gemeenten: Kwaliteit HRA 2029</t>
  </si>
  <si>
    <t>Aanbesteding verwerken huishoudelijk restafval (HRA en huis-aan-huis ingezameld GHA) Leidse regio gemeenten: Kwaliteit HRA 2028</t>
  </si>
  <si>
    <r>
      <t xml:space="preserve">(1) Inschrijver vermeldt het (gewichts)percentage van het per ton aangeleverde GHA dat wordt uitgesorteerd via (na)sortering en/of (na)scheiding in recyclebare mono-/deelstromen (niet verbrand). Inschrijver dient hiervan in het plan van aanpak een nadere beschrijving te geven. Conform eis G-7 (Programma van Eisen) bedraagt het minimale (gewichts)percentage van het per ton aangeleverde GHA dat wordt uitgesorteerd in recyclebare mono-/deelstromen 50%. Over deze recyclebare deelstromen betaald de aanbestedende dienst geen </t>
    </r>
    <r>
      <rPr>
        <sz val="10"/>
        <rFont val="Open Sans"/>
        <family val="2"/>
      </rPr>
      <t>Wbm.</t>
    </r>
  </si>
  <si>
    <t>Fictieve inschrijfprijs GHA per ton</t>
  </si>
  <si>
    <t>Waarde 2028</t>
  </si>
  <si>
    <t>Waarde 2029</t>
  </si>
  <si>
    <t>Waarde 2030</t>
  </si>
  <si>
    <t>Kwaliteit GHA</t>
  </si>
  <si>
    <t xml:space="preserve">3. Inschrijver dient in het formulier logistiek het adres van de ontvangstlocatie(s) in te vullen en de afstand vanaf het adres van de door aanbestedende dienst opgegeven locatie van het betreffende perceel tot aan de ontvangstlocatie van Inschrijver.
De transportafstanden voor transport over de weg dienen door de Inschrijver te worden opgegeven op grond van de online routeplanner van Routenet (http://www.routenet.nl). Als instellingen dienen de volgende waarden te worden gehanteerd (voertuig: Truck 40T, optimalisatie: optimaal; vermijden: veerpont) conform eis A-10. 
De kilometerafstand dient naar boven afgerond te worden op een decimaal achter de komma. 
</t>
  </si>
  <si>
    <r>
      <t>2. Inschrijver vult in het inschrijfformulier een tarief voor het verwerken van HRA en GHA, zijnde een bedrag per dienst of per ton in euro's (€).
Alleen in het geval dat Inschrijver gebruik maakt van een separate ontvangstlocatie (niet zijnde de verwerkingslocatie) kan Inschrijver tevens een tarief voor op- en overslag en  een tarief voor transport opgeven. 
De aangeboden eenheidstarieven zijn allen afzonderlijke all-in tarieven, waarin administratie, overhead, materiaal, reis-verblijf, verzekeringen, belastingen, heffingen, kosten voor rapportage en alle (eventuele) overige kosten zijn inbegrepen.
De aangeboden eenheidstarieven zijn exclusief Btw en exclusief de (indicatieve) Wbm (afvalstoffenbelasting op grond van de Wet belastingen op milieugrondslag) en (indicatieve) CO</t>
    </r>
    <r>
      <rPr>
        <vertAlign val="subscript"/>
        <sz val="10"/>
        <rFont val="Open Sans"/>
        <family val="2"/>
      </rPr>
      <t>2</t>
    </r>
    <r>
      <rPr>
        <sz val="10"/>
        <rFont val="Open Sans"/>
        <family val="2"/>
      </rPr>
      <t xml:space="preserve">-heffing.
</t>
    </r>
  </si>
  <si>
    <r>
      <t>(1) Het aandeel (maximale percentage) waarover Wbm moet worden betaald, volgt automatisch door de productstromen te sommeren die niet worden verbrand, of na verbranding worden teruggewonnen. Aanbestedende dienst betaalt geen Wbm over de uitgesorteerde (of na verbranding teruggewonnen) deelstromen. 
(2) Percentage CO</t>
    </r>
    <r>
      <rPr>
        <vertAlign val="subscript"/>
        <sz val="10"/>
        <rFont val="Open Sans"/>
        <family val="2"/>
      </rPr>
      <t>2</t>
    </r>
    <r>
      <rPr>
        <sz val="10"/>
        <rFont val="Open Sans"/>
        <family val="2"/>
      </rPr>
      <t>-heffing HRA die in rekening wordt gebracht is het maximale percentage opgegeven waarover de CO</t>
    </r>
    <r>
      <rPr>
        <vertAlign val="subscript"/>
        <sz val="10"/>
        <rFont val="Open Sans"/>
        <family val="2"/>
      </rPr>
      <t>2</t>
    </r>
    <r>
      <rPr>
        <sz val="10"/>
        <rFont val="Open Sans"/>
        <family val="2"/>
      </rPr>
      <t>-heffing kan worden geheven. Dit percentage dient Inschrijver op te geven voor de (initiële) looptijd van de overeenkomst. Aanbestedende dienst betaalt uitsluitend het opgegeven deel CO</t>
    </r>
    <r>
      <rPr>
        <vertAlign val="subscript"/>
        <sz val="10"/>
        <rFont val="Open Sans"/>
        <family val="2"/>
      </rPr>
      <t>2</t>
    </r>
    <r>
      <rPr>
        <sz val="10"/>
        <rFont val="Open Sans"/>
        <family val="2"/>
      </rPr>
      <t xml:space="preserve">-heffing per ton HRA. 
</t>
    </r>
  </si>
  <si>
    <t>Fictieve inschrijfprijs HRA per ton</t>
  </si>
  <si>
    <r>
      <t>(1) Het aandeel (gewichtspercentage) van het per ton aangeleverde GHA waarover Wbm moet worden betaald, volgt automatisch uit het (gewichts)percentage van het per ton aangeleverde GHA dat wordt uitgesorteerd in recyclebare mono-/deelstromen (niet verbrand). Over de recyclebare mono-/deelstromen betaald de aanbestedende dienst geen Wbm. 
(2) Percentage CO</t>
    </r>
    <r>
      <rPr>
        <vertAlign val="subscript"/>
        <sz val="10"/>
        <rFont val="Open Sans"/>
        <family val="2"/>
      </rPr>
      <t>2</t>
    </r>
    <r>
      <rPr>
        <sz val="10"/>
        <rFont val="Open Sans"/>
        <family val="2"/>
      </rPr>
      <t>-heffing GHA die in rekening wordt gebracht is het maximale percentage opgegeven waarover de CO</t>
    </r>
    <r>
      <rPr>
        <vertAlign val="subscript"/>
        <sz val="10"/>
        <rFont val="Open Sans"/>
        <family val="2"/>
      </rPr>
      <t>2</t>
    </r>
    <r>
      <rPr>
        <sz val="10"/>
        <rFont val="Open Sans"/>
        <family val="2"/>
      </rPr>
      <t>-heffing kan worden geheven. Dit percentage kan nooit hoger zijn dan het aandeel van het GHA dar wordt uitgesorteerd in recyclebare mono-/deelstromen aangezien dit deel van het GHA niet wordt verbrand. Dit percentage dient Inschrijver op te geven voor de initiële looptijd van de overeenkomst. Aanbestedende dienst betaalt uitsluitend het opgegeven deel CO</t>
    </r>
    <r>
      <rPr>
        <vertAlign val="subscript"/>
        <sz val="10"/>
        <rFont val="Open Sans"/>
        <family val="2"/>
      </rPr>
      <t>2</t>
    </r>
    <r>
      <rPr>
        <sz val="10"/>
        <rFont val="Open Sans"/>
        <family val="2"/>
      </rPr>
      <t xml:space="preserve">-heffing per ton aangeleverd GHA.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</si>
</sst>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4" formatCode="_ &quot;€&quot;\ * #,##0.00_ ;_ &quot;€&quot;\ * \-#,##0.00_ ;_ &quot;€&quot;\ * &quot;-&quot;??_ ;_ @_ "/>
    <numFmt numFmtId="164" formatCode="#,##0_ ;\-#,##0\ "/>
    <numFmt numFmtId="165" formatCode="&quot;€&quot;\ #,##0.00"/>
    <numFmt numFmtId="166" formatCode="0.0"/>
    <numFmt numFmtId="167" formatCode="0.0&quot; km&quot;"/>
    <numFmt numFmtId="168" formatCode="0.000"/>
    <numFmt numFmtId="169" formatCode="0.0%"/>
    <numFmt numFmtId="170" formatCode="_ &quot;€&quot;\ * #,##0_ ;_ &quot;€&quot;\ * \-#,##0_ ;_ &quot;€&quot;\ * &quot;-&quot;??_ ;_ @_ "/>
    <numFmt numFmtId="171" formatCode="0.000%"/>
    <numFmt numFmtId="172" formatCode="#,##0&quot; ton&quot;"/>
    <numFmt numFmtId="173" formatCode="&quot;€&quot;\ 0.00&quot; per ton&quot;"/>
    <numFmt numFmtId="174" formatCode="#,##0&quot; stuks&quot;"/>
  </numFmts>
  <fonts count="31" x14ac:knownFonts="1">
    <font>
      <sz val="11"/>
      <color theme="1"/>
      <name val="Calibri"/>
      <family val="2"/>
      <scheme val="minor"/>
    </font>
    <font>
      <sz val="11"/>
      <color theme="1"/>
      <name val="Calibri"/>
      <family val="2"/>
      <scheme val="minor"/>
    </font>
    <font>
      <sz val="10"/>
      <name val="Arial"/>
      <family val="2"/>
    </font>
    <font>
      <sz val="9"/>
      <color theme="1"/>
      <name val="Century Gothic"/>
      <family val="2"/>
    </font>
    <font>
      <sz val="8"/>
      <name val="Calibri"/>
      <family val="2"/>
      <scheme val="minor"/>
    </font>
    <font>
      <sz val="11"/>
      <color indexed="8"/>
      <name val="Calibri"/>
      <family val="2"/>
      <scheme val="minor"/>
    </font>
    <font>
      <sz val="10"/>
      <color theme="1"/>
      <name val="Open Sans"/>
      <family val="2"/>
    </font>
    <font>
      <sz val="10"/>
      <name val="Open Sans"/>
      <family val="2"/>
    </font>
    <font>
      <b/>
      <sz val="10"/>
      <name val="Open Sans"/>
      <family val="2"/>
    </font>
    <font>
      <b/>
      <sz val="10"/>
      <color theme="0"/>
      <name val="Open Sans"/>
      <family val="2"/>
    </font>
    <font>
      <b/>
      <sz val="10"/>
      <color theme="1"/>
      <name val="Open Sans"/>
      <family val="2"/>
    </font>
    <font>
      <sz val="10"/>
      <color rgb="FF000000"/>
      <name val="Open Sans"/>
      <family val="2"/>
    </font>
    <font>
      <i/>
      <sz val="10"/>
      <color theme="1"/>
      <name val="Open Sans"/>
      <family val="2"/>
    </font>
    <font>
      <sz val="10"/>
      <color theme="0"/>
      <name val="Open Sans"/>
      <family val="2"/>
    </font>
    <font>
      <sz val="10"/>
      <color indexed="8"/>
      <name val="Open Sans"/>
      <family val="2"/>
    </font>
    <font>
      <vertAlign val="subscript"/>
      <sz val="10"/>
      <name val="Open Sans"/>
      <family val="2"/>
    </font>
    <font>
      <sz val="18"/>
      <color rgb="FFFFFFFF"/>
      <name val="Open Sans"/>
      <family val="2"/>
    </font>
    <font>
      <b/>
      <vertAlign val="subscript"/>
      <sz val="10"/>
      <color theme="1"/>
      <name val="Open Sans"/>
      <family val="2"/>
    </font>
    <font>
      <vertAlign val="subscript"/>
      <sz val="10"/>
      <color theme="1"/>
      <name val="Open Sans"/>
      <family val="2"/>
    </font>
    <font>
      <sz val="10"/>
      <color rgb="FFFF0000"/>
      <name val="Open Sans"/>
      <family val="2"/>
    </font>
    <font>
      <b/>
      <sz val="10"/>
      <color rgb="FF000000"/>
      <name val="Open Sans"/>
      <family val="2"/>
    </font>
    <font>
      <vertAlign val="subscript"/>
      <sz val="10"/>
      <color rgb="FF000000"/>
      <name val="Open Sans"/>
      <family val="2"/>
    </font>
    <font>
      <vertAlign val="superscript"/>
      <sz val="10"/>
      <color rgb="FF000000"/>
      <name val="Open Sans"/>
      <family val="2"/>
    </font>
    <font>
      <vertAlign val="superscript"/>
      <sz val="10"/>
      <name val="Open Sans"/>
      <family val="2"/>
    </font>
    <font>
      <b/>
      <sz val="10"/>
      <color theme="0" tint="-0.14999847407452621"/>
      <name val="Open Sans"/>
      <family val="2"/>
    </font>
    <font>
      <b/>
      <sz val="11"/>
      <color theme="0"/>
      <name val="Open Sans"/>
      <family val="2"/>
    </font>
    <font>
      <sz val="16"/>
      <color theme="0"/>
      <name val="Open Sans"/>
      <family val="2"/>
    </font>
    <font>
      <vertAlign val="subscript"/>
      <sz val="10"/>
      <color theme="0"/>
      <name val="Open Sans"/>
      <family val="2"/>
    </font>
    <font>
      <sz val="18"/>
      <color theme="0"/>
      <name val="Open Sans"/>
      <family val="2"/>
    </font>
    <font>
      <i/>
      <sz val="10"/>
      <color theme="0"/>
      <name val="Open Sans"/>
      <family val="2"/>
    </font>
    <font>
      <b/>
      <vertAlign val="superscript"/>
      <sz val="10"/>
      <color rgb="FF000000"/>
      <name val="Open Sans"/>
      <family val="2"/>
    </font>
  </fonts>
  <fills count="10">
    <fill>
      <patternFill patternType="none"/>
    </fill>
    <fill>
      <patternFill patternType="gray125"/>
    </fill>
    <fill>
      <patternFill patternType="solid">
        <fgColor theme="0"/>
        <bgColor indexed="64"/>
      </patternFill>
    </fill>
    <fill>
      <patternFill patternType="solid">
        <fgColor theme="0" tint="-0.249977111117893"/>
        <bgColor indexed="64"/>
      </patternFill>
    </fill>
    <fill>
      <patternFill patternType="solid">
        <fgColor indexed="9"/>
        <bgColor indexed="64"/>
      </patternFill>
    </fill>
    <fill>
      <patternFill patternType="solid">
        <fgColor theme="5" tint="0.79998168889431442"/>
        <bgColor indexed="64"/>
      </patternFill>
    </fill>
    <fill>
      <patternFill patternType="solid">
        <fgColor theme="0" tint="-0.14999847407452621"/>
        <bgColor indexed="64"/>
      </patternFill>
    </fill>
    <fill>
      <patternFill patternType="solid">
        <fgColor rgb="FF002060"/>
        <bgColor indexed="64"/>
      </patternFill>
    </fill>
    <fill>
      <patternFill patternType="solid">
        <fgColor theme="4" tint="0.59999389629810485"/>
        <bgColor indexed="64"/>
      </patternFill>
    </fill>
    <fill>
      <patternFill patternType="solid">
        <fgColor theme="3" tint="0.79998168889431442"/>
        <bgColor indexed="64"/>
      </patternFill>
    </fill>
  </fills>
  <borders count="17">
    <border>
      <left/>
      <right/>
      <top/>
      <bottom/>
      <diagonal/>
    </border>
    <border>
      <left style="medium">
        <color indexed="64"/>
      </left>
      <right/>
      <top style="medium">
        <color indexed="64"/>
      </top>
      <bottom/>
      <diagonal/>
    </border>
    <border>
      <left/>
      <right/>
      <top style="medium">
        <color indexed="64"/>
      </top>
      <bottom/>
      <diagonal/>
    </border>
    <border>
      <left style="thin">
        <color auto="1"/>
      </left>
      <right style="thin">
        <color auto="1"/>
      </right>
      <top style="thin">
        <color auto="1"/>
      </top>
      <bottom style="thin">
        <color auto="1"/>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indexed="64"/>
      </left>
      <right style="medium">
        <color indexed="64"/>
      </right>
      <top/>
      <bottom style="medium">
        <color indexed="64"/>
      </bottom>
      <diagonal/>
    </border>
    <border>
      <left/>
      <right style="medium">
        <color auto="1"/>
      </right>
      <top/>
      <bottom style="medium">
        <color auto="1"/>
      </bottom>
      <diagonal/>
    </border>
    <border>
      <left style="thin">
        <color indexed="64"/>
      </left>
      <right/>
      <top/>
      <bottom style="medium">
        <color indexed="64"/>
      </bottom>
      <diagonal/>
    </border>
    <border>
      <left style="medium">
        <color indexed="64"/>
      </left>
      <right style="thin">
        <color indexed="64"/>
      </right>
      <top style="medium">
        <color indexed="64"/>
      </top>
      <bottom style="medium">
        <color indexed="64"/>
      </bottom>
      <diagonal/>
    </border>
    <border>
      <left/>
      <right style="medium">
        <color indexed="64"/>
      </right>
      <top/>
      <bottom/>
      <diagonal/>
    </border>
  </borders>
  <cellStyleXfs count="12">
    <xf numFmtId="0" fontId="0" fillId="0" borderId="0"/>
    <xf numFmtId="0" fontId="2" fillId="0" borderId="0"/>
    <xf numFmtId="0" fontId="3" fillId="0" borderId="0"/>
    <xf numFmtId="0" fontId="2" fillId="0" borderId="0"/>
    <xf numFmtId="44" fontId="2" fillId="0" borderId="0" applyFont="0" applyFill="0" applyBorder="0" applyAlignment="0" applyProtection="0"/>
    <xf numFmtId="0" fontId="1" fillId="0" borderId="0"/>
    <xf numFmtId="0" fontId="1" fillId="0" borderId="0"/>
    <xf numFmtId="9" fontId="2"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5" fillId="0" borderId="0"/>
  </cellStyleXfs>
  <cellXfs count="261">
    <xf numFmtId="0" fontId="0" fillId="0" borderId="0" xfId="0"/>
    <xf numFmtId="0" fontId="6" fillId="0" borderId="0" xfId="0" applyFont="1"/>
    <xf numFmtId="0" fontId="6" fillId="0" borderId="0" xfId="0" applyFont="1" applyAlignment="1">
      <alignment horizontal="center"/>
    </xf>
    <xf numFmtId="0" fontId="6" fillId="0" borderId="0" xfId="0" applyFont="1" applyProtection="1">
      <protection locked="0"/>
    </xf>
    <xf numFmtId="0" fontId="6" fillId="0" borderId="0" xfId="0" applyFont="1" applyAlignment="1" applyProtection="1">
      <alignment vertical="center"/>
      <protection locked="0"/>
    </xf>
    <xf numFmtId="0" fontId="7" fillId="0" borderId="0" xfId="0" applyFont="1"/>
    <xf numFmtId="0" fontId="7" fillId="0" borderId="0" xfId="0" applyFont="1" applyAlignment="1">
      <alignment vertical="top"/>
    </xf>
    <xf numFmtId="0" fontId="6" fillId="0" borderId="0" xfId="0" applyFont="1" applyAlignment="1">
      <alignment vertical="top"/>
    </xf>
    <xf numFmtId="0" fontId="6" fillId="4" borderId="0" xfId="0" applyFont="1" applyFill="1"/>
    <xf numFmtId="0" fontId="6" fillId="0" borderId="0" xfId="2" applyFont="1" applyAlignment="1">
      <alignment vertical="center"/>
    </xf>
    <xf numFmtId="0" fontId="6" fillId="0" borderId="0" xfId="2" applyFont="1" applyAlignment="1">
      <alignment horizontal="center" vertical="center"/>
    </xf>
    <xf numFmtId="0" fontId="10" fillId="0" borderId="0" xfId="0" applyFont="1"/>
    <xf numFmtId="0" fontId="14" fillId="6" borderId="0" xfId="0" applyFont="1" applyFill="1"/>
    <xf numFmtId="0" fontId="6" fillId="0" borderId="0" xfId="0" applyFont="1" applyProtection="1">
      <protection hidden="1"/>
    </xf>
    <xf numFmtId="0" fontId="6" fillId="0" borderId="0" xfId="0" applyFont="1" applyAlignment="1" applyProtection="1">
      <alignment vertical="center" wrapText="1"/>
      <protection hidden="1"/>
    </xf>
    <xf numFmtId="0" fontId="6" fillId="0" borderId="0" xfId="2" applyFont="1" applyAlignment="1" applyProtection="1">
      <alignment vertical="center"/>
      <protection hidden="1"/>
    </xf>
    <xf numFmtId="0" fontId="9" fillId="0" borderId="0" xfId="2" applyFont="1" applyAlignment="1" applyProtection="1">
      <alignment vertical="center"/>
      <protection hidden="1"/>
    </xf>
    <xf numFmtId="9" fontId="6" fillId="0" borderId="0" xfId="8" applyFont="1" applyFill="1" applyAlignment="1" applyProtection="1">
      <alignment vertical="center" wrapText="1"/>
      <protection hidden="1"/>
    </xf>
    <xf numFmtId="0" fontId="6" fillId="0" borderId="0" xfId="2" applyFont="1" applyAlignment="1" applyProtection="1">
      <alignment horizontal="center" vertical="center"/>
      <protection hidden="1"/>
    </xf>
    <xf numFmtId="0" fontId="9" fillId="0" borderId="0" xfId="2" applyFont="1" applyAlignment="1">
      <alignment vertical="center"/>
    </xf>
    <xf numFmtId="0" fontId="6" fillId="0" borderId="0" xfId="0" applyFont="1" applyAlignment="1">
      <alignment vertical="center" wrapText="1"/>
    </xf>
    <xf numFmtId="0" fontId="7" fillId="0" borderId="0" xfId="2" applyFont="1" applyAlignment="1">
      <alignment vertical="center"/>
    </xf>
    <xf numFmtId="9" fontId="6" fillId="0" borderId="0" xfId="8" applyFont="1" applyFill="1" applyBorder="1" applyAlignment="1" applyProtection="1">
      <alignment vertical="center" wrapText="1"/>
      <protection hidden="1"/>
    </xf>
    <xf numFmtId="0" fontId="25" fillId="0" borderId="0" xfId="2" applyFont="1" applyAlignment="1" applyProtection="1">
      <alignment vertical="center"/>
      <protection hidden="1"/>
    </xf>
    <xf numFmtId="0" fontId="6" fillId="6" borderId="0" xfId="0" applyFont="1" applyFill="1"/>
    <xf numFmtId="0" fontId="14" fillId="0" borderId="0" xfId="0" applyFont="1"/>
    <xf numFmtId="0" fontId="7" fillId="0" borderId="0" xfId="1" applyFont="1" applyAlignment="1">
      <alignment vertical="center" wrapText="1"/>
    </xf>
    <xf numFmtId="44" fontId="6" fillId="0" borderId="4" xfId="4" applyFont="1" applyFill="1" applyBorder="1" applyAlignment="1" applyProtection="1">
      <alignment horizontal="center" vertical="center" wrapText="1"/>
    </xf>
    <xf numFmtId="0" fontId="19" fillId="0" borderId="0" xfId="2" applyFont="1" applyAlignment="1">
      <alignment vertical="center"/>
    </xf>
    <xf numFmtId="9" fontId="6" fillId="5" borderId="4" xfId="10" applyFont="1" applyFill="1" applyBorder="1" applyAlignment="1" applyProtection="1">
      <alignment horizontal="center" vertical="center"/>
      <protection locked="0"/>
    </xf>
    <xf numFmtId="2" fontId="7" fillId="5" borderId="4" xfId="3" applyNumberFormat="1" applyFont="1" applyFill="1" applyBorder="1" applyAlignment="1" applyProtection="1">
      <alignment horizontal="center" vertical="center" wrapText="1"/>
      <protection locked="0"/>
    </xf>
    <xf numFmtId="44" fontId="6" fillId="2" borderId="4" xfId="9" applyFont="1" applyFill="1" applyBorder="1" applyAlignment="1" applyProtection="1">
      <alignment horizontal="center" vertical="center" wrapText="1"/>
    </xf>
    <xf numFmtId="44" fontId="13" fillId="7" borderId="7" xfId="4" applyFont="1" applyFill="1" applyBorder="1" applyAlignment="1" applyProtection="1">
      <alignment horizontal="left" vertical="center" wrapText="1"/>
    </xf>
    <xf numFmtId="0" fontId="19" fillId="0" borderId="0" xfId="0" applyFont="1"/>
    <xf numFmtId="44" fontId="19" fillId="0" borderId="0" xfId="9" applyFont="1"/>
    <xf numFmtId="0" fontId="6" fillId="5" borderId="4" xfId="0" applyFont="1" applyFill="1" applyBorder="1" applyAlignment="1" applyProtection="1">
      <alignment vertical="center"/>
      <protection locked="0"/>
    </xf>
    <xf numFmtId="167" fontId="11" fillId="5" borderId="4" xfId="0" applyNumberFormat="1" applyFont="1" applyFill="1" applyBorder="1" applyAlignment="1" applyProtection="1">
      <alignment vertical="center" wrapText="1"/>
      <protection locked="0"/>
    </xf>
    <xf numFmtId="164" fontId="6" fillId="5" borderId="4" xfId="5" applyNumberFormat="1" applyFont="1" applyFill="1" applyBorder="1" applyAlignment="1" applyProtection="1">
      <alignment horizontal="center" vertical="center" wrapText="1"/>
      <protection locked="0"/>
    </xf>
    <xf numFmtId="173" fontId="6" fillId="5" borderId="4" xfId="0" applyNumberFormat="1" applyFont="1" applyFill="1" applyBorder="1" applyAlignment="1" applyProtection="1">
      <alignment horizontal="center" vertical="center"/>
      <protection locked="0"/>
    </xf>
    <xf numFmtId="44" fontId="13" fillId="7" borderId="7" xfId="9" applyFont="1" applyFill="1" applyBorder="1" applyAlignment="1" applyProtection="1">
      <alignment horizontal="center" vertical="center" wrapText="1"/>
    </xf>
    <xf numFmtId="0" fontId="6" fillId="5" borderId="4" xfId="0" applyFont="1" applyFill="1" applyBorder="1" applyAlignment="1" applyProtection="1">
      <alignment horizontal="center" vertical="center" wrapText="1"/>
      <protection locked="0"/>
    </xf>
    <xf numFmtId="167" fontId="7" fillId="5" borderId="4" xfId="0" applyNumberFormat="1" applyFont="1" applyFill="1" applyBorder="1" applyAlignment="1" applyProtection="1">
      <alignment horizontal="center" vertical="center"/>
      <protection locked="0"/>
    </xf>
    <xf numFmtId="9" fontId="6" fillId="5" borderId="7" xfId="10" applyFont="1" applyFill="1" applyBorder="1" applyAlignment="1" applyProtection="1">
      <alignment horizontal="center" vertical="center"/>
      <protection locked="0"/>
    </xf>
    <xf numFmtId="0" fontId="19" fillId="0" borderId="0" xfId="0" applyFont="1" applyProtection="1">
      <protection hidden="1"/>
    </xf>
    <xf numFmtId="0" fontId="19" fillId="6" borderId="0" xfId="0" applyFont="1" applyFill="1"/>
    <xf numFmtId="0" fontId="6" fillId="0" borderId="10" xfId="0" applyFont="1" applyBorder="1"/>
    <xf numFmtId="0" fontId="6" fillId="0" borderId="11" xfId="0" applyFont="1" applyBorder="1"/>
    <xf numFmtId="0" fontId="6" fillId="0" borderId="12" xfId="0" applyFont="1" applyBorder="1"/>
    <xf numFmtId="0" fontId="6" fillId="0" borderId="0" xfId="0" applyFont="1" applyAlignment="1">
      <alignment vertical="center"/>
    </xf>
    <xf numFmtId="0" fontId="16" fillId="7" borderId="4" xfId="0" applyFont="1" applyFill="1" applyBorder="1" applyAlignment="1">
      <alignment vertical="center" wrapText="1"/>
    </xf>
    <xf numFmtId="0" fontId="6" fillId="2" borderId="10" xfId="0" applyFont="1" applyFill="1" applyBorder="1" applyAlignment="1">
      <alignment vertical="top" wrapText="1"/>
    </xf>
    <xf numFmtId="0" fontId="6" fillId="2" borderId="11" xfId="0" applyFont="1" applyFill="1" applyBorder="1" applyAlignment="1">
      <alignment vertical="top" wrapText="1"/>
    </xf>
    <xf numFmtId="0" fontId="6" fillId="2" borderId="11" xfId="0" applyFont="1" applyFill="1" applyBorder="1" applyAlignment="1">
      <alignment horizontal="left" vertical="top" wrapText="1"/>
    </xf>
    <xf numFmtId="0" fontId="10" fillId="2" borderId="11" xfId="0" applyFont="1" applyFill="1" applyBorder="1" applyAlignment="1">
      <alignment wrapText="1"/>
    </xf>
    <xf numFmtId="0" fontId="7" fillId="0" borderId="11" xfId="0" applyFont="1" applyBorder="1" applyAlignment="1">
      <alignment vertical="top" wrapText="1"/>
    </xf>
    <xf numFmtId="0" fontId="6" fillId="2" borderId="12" xfId="0" applyFont="1" applyFill="1" applyBorder="1" applyAlignment="1">
      <alignment vertical="top" wrapText="1"/>
    </xf>
    <xf numFmtId="4" fontId="13" fillId="7" borderId="5" xfId="1" applyNumberFormat="1" applyFont="1" applyFill="1" applyBorder="1" applyAlignment="1">
      <alignment vertical="center" wrapText="1"/>
    </xf>
    <xf numFmtId="4" fontId="13" fillId="7" borderId="6" xfId="1" applyNumberFormat="1" applyFont="1" applyFill="1" applyBorder="1" applyAlignment="1">
      <alignment vertical="center" wrapText="1"/>
    </xf>
    <xf numFmtId="0" fontId="6" fillId="7" borderId="5" xfId="3" applyFont="1" applyFill="1" applyBorder="1" applyAlignment="1">
      <alignment horizontal="left" vertical="center" wrapText="1"/>
    </xf>
    <xf numFmtId="0" fontId="6" fillId="7" borderId="6" xfId="3" applyFont="1" applyFill="1" applyBorder="1" applyAlignment="1">
      <alignment horizontal="left" vertical="center" wrapText="1"/>
    </xf>
    <xf numFmtId="0" fontId="6" fillId="7" borderId="6" xfId="0" applyFont="1" applyFill="1" applyBorder="1" applyAlignment="1">
      <alignment horizontal="left" vertical="center"/>
    </xf>
    <xf numFmtId="0" fontId="7" fillId="0" borderId="0" xfId="0" applyFont="1" applyAlignment="1">
      <alignment horizontal="center"/>
    </xf>
    <xf numFmtId="0" fontId="13" fillId="7" borderId="5" xfId="1" applyFont="1" applyFill="1" applyBorder="1" applyAlignment="1">
      <alignment vertical="center"/>
    </xf>
    <xf numFmtId="0" fontId="13" fillId="7" borderId="6" xfId="1" applyFont="1" applyFill="1" applyBorder="1" applyAlignment="1">
      <alignment vertical="center" wrapText="1"/>
    </xf>
    <xf numFmtId="0" fontId="13" fillId="7" borderId="7" xfId="1" applyFont="1" applyFill="1" applyBorder="1" applyAlignment="1">
      <alignment vertical="center" wrapText="1"/>
    </xf>
    <xf numFmtId="0" fontId="9" fillId="9" borderId="1" xfId="1" applyFont="1" applyFill="1" applyBorder="1" applyAlignment="1">
      <alignment horizontal="left" vertical="center" wrapText="1"/>
    </xf>
    <xf numFmtId="0" fontId="9" fillId="9" borderId="2" xfId="1" applyFont="1" applyFill="1" applyBorder="1" applyAlignment="1">
      <alignment horizontal="left" vertical="center" wrapText="1"/>
    </xf>
    <xf numFmtId="0" fontId="6" fillId="9" borderId="5" xfId="3" applyFont="1" applyFill="1" applyBorder="1" applyAlignment="1">
      <alignment horizontal="left" vertical="center"/>
    </xf>
    <xf numFmtId="0" fontId="9" fillId="9" borderId="6" xfId="1" applyFont="1" applyFill="1" applyBorder="1" applyAlignment="1">
      <alignment horizontal="left" vertical="center" wrapText="1"/>
    </xf>
    <xf numFmtId="0" fontId="9" fillId="9" borderId="7" xfId="1" applyFont="1" applyFill="1" applyBorder="1" applyAlignment="1">
      <alignment horizontal="left" vertical="center" wrapText="1"/>
    </xf>
    <xf numFmtId="0" fontId="9" fillId="9" borderId="10" xfId="1" applyFont="1" applyFill="1" applyBorder="1" applyAlignment="1">
      <alignment horizontal="left" vertical="center" wrapText="1"/>
    </xf>
    <xf numFmtId="0" fontId="6" fillId="9" borderId="8" xfId="3" applyFont="1" applyFill="1" applyBorder="1" applyAlignment="1">
      <alignment vertical="center"/>
    </xf>
    <xf numFmtId="0" fontId="6" fillId="9" borderId="9" xfId="3" applyFont="1" applyFill="1" applyBorder="1" applyAlignment="1">
      <alignment vertical="center" wrapText="1"/>
    </xf>
    <xf numFmtId="0" fontId="6" fillId="9" borderId="4" xfId="3" applyFont="1" applyFill="1" applyBorder="1" applyAlignment="1">
      <alignment horizontal="center" vertical="center" wrapText="1"/>
    </xf>
    <xf numFmtId="0" fontId="6" fillId="9" borderId="12" xfId="3" applyFont="1" applyFill="1" applyBorder="1" applyAlignment="1">
      <alignment horizontal="center" vertical="center" wrapText="1"/>
    </xf>
    <xf numFmtId="169" fontId="11" fillId="0" borderId="4" xfId="8" applyNumberFormat="1" applyFont="1" applyFill="1" applyBorder="1" applyAlignment="1" applyProtection="1">
      <alignment horizontal="left" vertical="center"/>
    </xf>
    <xf numFmtId="169" fontId="11" fillId="0" borderId="4" xfId="8" applyNumberFormat="1" applyFont="1" applyFill="1" applyBorder="1" applyAlignment="1" applyProtection="1">
      <alignment horizontal="left" vertical="center" wrapText="1"/>
    </xf>
    <xf numFmtId="172" fontId="6" fillId="0" borderId="13" xfId="0" applyNumberFormat="1" applyFont="1" applyBorder="1" applyAlignment="1">
      <alignment horizontal="center" vertical="center"/>
    </xf>
    <xf numFmtId="170" fontId="6" fillId="0" borderId="4" xfId="0" applyNumberFormat="1" applyFont="1" applyBorder="1" applyAlignment="1">
      <alignment vertical="center"/>
    </xf>
    <xf numFmtId="169" fontId="11" fillId="7" borderId="5" xfId="8" applyNumberFormat="1" applyFont="1" applyFill="1" applyBorder="1" applyAlignment="1" applyProtection="1">
      <alignment horizontal="left" vertical="top"/>
    </xf>
    <xf numFmtId="169" fontId="11" fillId="7" borderId="6" xfId="8" applyNumberFormat="1" applyFont="1" applyFill="1" applyBorder="1" applyAlignment="1" applyProtection="1">
      <alignment horizontal="left" vertical="top" wrapText="1"/>
    </xf>
    <xf numFmtId="0" fontId="6" fillId="7" borderId="6" xfId="0" applyFont="1" applyFill="1" applyBorder="1" applyAlignment="1">
      <alignment vertical="top"/>
    </xf>
    <xf numFmtId="167" fontId="11" fillId="7" borderId="6" xfId="0" applyNumberFormat="1" applyFont="1" applyFill="1" applyBorder="1" applyAlignment="1">
      <alignment vertical="top" wrapText="1"/>
    </xf>
    <xf numFmtId="3" fontId="6" fillId="7" borderId="6" xfId="2" applyNumberFormat="1" applyFont="1" applyFill="1" applyBorder="1" applyAlignment="1">
      <alignment horizontal="center" vertical="top"/>
    </xf>
    <xf numFmtId="170" fontId="6" fillId="7" borderId="7" xfId="0" applyNumberFormat="1" applyFont="1" applyFill="1" applyBorder="1" applyAlignment="1">
      <alignment vertical="top"/>
    </xf>
    <xf numFmtId="0" fontId="12" fillId="0" borderId="0" xfId="0" applyFont="1"/>
    <xf numFmtId="172" fontId="6" fillId="0" borderId="4" xfId="0" applyNumberFormat="1" applyFont="1" applyBorder="1" applyAlignment="1">
      <alignment horizontal="right" vertical="center"/>
    </xf>
    <xf numFmtId="0" fontId="10" fillId="3" borderId="0" xfId="0" applyFont="1" applyFill="1" applyAlignment="1">
      <alignment horizontal="center" vertical="center" wrapText="1"/>
    </xf>
    <xf numFmtId="0" fontId="6" fillId="0" borderId="3" xfId="0" applyFont="1" applyBorder="1"/>
    <xf numFmtId="0" fontId="6" fillId="0" borderId="3" xfId="0" applyFont="1" applyBorder="1" applyAlignment="1">
      <alignment horizontal="right"/>
    </xf>
    <xf numFmtId="165" fontId="6" fillId="0" borderId="3" xfId="0" applyNumberFormat="1" applyFont="1" applyBorder="1"/>
    <xf numFmtId="0" fontId="28" fillId="7" borderId="5" xfId="0" applyFont="1" applyFill="1" applyBorder="1" applyAlignment="1">
      <alignment vertical="center"/>
    </xf>
    <xf numFmtId="0" fontId="26" fillId="7" borderId="6" xfId="0" applyFont="1" applyFill="1" applyBorder="1" applyAlignment="1">
      <alignment vertical="center" wrapText="1"/>
    </xf>
    <xf numFmtId="4" fontId="13" fillId="7" borderId="5" xfId="1" applyNumberFormat="1" applyFont="1" applyFill="1" applyBorder="1" applyAlignment="1">
      <alignment vertical="center"/>
    </xf>
    <xf numFmtId="4" fontId="13" fillId="7" borderId="7" xfId="1" applyNumberFormat="1" applyFont="1" applyFill="1" applyBorder="1" applyAlignment="1">
      <alignment vertical="center" wrapText="1"/>
    </xf>
    <xf numFmtId="0" fontId="6" fillId="8" borderId="4" xfId="3" applyFont="1" applyFill="1" applyBorder="1" applyAlignment="1">
      <alignment vertical="center" wrapText="1"/>
    </xf>
    <xf numFmtId="0" fontId="6" fillId="7" borderId="7" xfId="0" applyFont="1" applyFill="1" applyBorder="1" applyAlignment="1">
      <alignment horizontal="left" vertical="center"/>
    </xf>
    <xf numFmtId="0" fontId="10" fillId="0" borderId="0" xfId="3" applyFont="1" applyAlignment="1">
      <alignment horizontal="left" vertical="center" wrapText="1"/>
    </xf>
    <xf numFmtId="0" fontId="6" fillId="0" borderId="0" xfId="0" applyFont="1" applyAlignment="1">
      <alignment horizontal="left" vertical="center"/>
    </xf>
    <xf numFmtId="0" fontId="25" fillId="0" borderId="0" xfId="2" applyFont="1" applyAlignment="1">
      <alignment vertical="center"/>
    </xf>
    <xf numFmtId="0" fontId="9" fillId="7" borderId="6" xfId="1" applyFont="1" applyFill="1" applyBorder="1" applyAlignment="1">
      <alignment horizontal="center" vertical="center" wrapText="1"/>
    </xf>
    <xf numFmtId="0" fontId="9" fillId="7" borderId="7" xfId="1" applyFont="1" applyFill="1" applyBorder="1" applyAlignment="1">
      <alignment horizontal="center" vertical="center" wrapText="1"/>
    </xf>
    <xf numFmtId="0" fontId="6" fillId="9" borderId="5" xfId="3" applyFont="1" applyFill="1" applyBorder="1" applyAlignment="1">
      <alignment vertical="center" wrapText="1"/>
    </xf>
    <xf numFmtId="0" fontId="6" fillId="9" borderId="10" xfId="3" applyFont="1" applyFill="1" applyBorder="1" applyAlignment="1">
      <alignment vertical="center" wrapText="1"/>
    </xf>
    <xf numFmtId="0" fontId="6" fillId="9" borderId="13" xfId="3" applyFont="1" applyFill="1" applyBorder="1" applyAlignment="1">
      <alignment horizontal="center" vertical="center" wrapText="1"/>
    </xf>
    <xf numFmtId="0" fontId="6" fillId="9" borderId="12" xfId="3" applyFont="1" applyFill="1" applyBorder="1" applyAlignment="1">
      <alignment vertical="center" wrapText="1"/>
    </xf>
    <xf numFmtId="0" fontId="6" fillId="9" borderId="1" xfId="2" applyFont="1" applyFill="1" applyBorder="1" applyAlignment="1">
      <alignment horizontal="left" vertical="center" wrapText="1"/>
    </xf>
    <xf numFmtId="0" fontId="6" fillId="0" borderId="4" xfId="0" applyFont="1" applyBorder="1" applyAlignment="1">
      <alignment horizontal="right" vertical="center" wrapText="1"/>
    </xf>
    <xf numFmtId="3" fontId="6" fillId="0" borderId="4" xfId="0" applyNumberFormat="1" applyFont="1" applyBorder="1" applyAlignment="1">
      <alignment horizontal="center" vertical="center" wrapText="1"/>
    </xf>
    <xf numFmtId="0" fontId="6" fillId="0" borderId="0" xfId="0" applyFont="1" applyAlignment="1">
      <alignment horizontal="center" vertical="center" wrapText="1"/>
    </xf>
    <xf numFmtId="0" fontId="6" fillId="0" borderId="4" xfId="0" applyFont="1" applyBorder="1" applyAlignment="1">
      <alignment horizontal="center" vertical="center" wrapText="1"/>
    </xf>
    <xf numFmtId="9" fontId="6" fillId="0" borderId="4" xfId="8" applyFont="1" applyBorder="1" applyAlignment="1" applyProtection="1">
      <alignment horizontal="center" vertical="center" wrapText="1"/>
    </xf>
    <xf numFmtId="0" fontId="13" fillId="7" borderId="1" xfId="2" applyFont="1" applyFill="1" applyBorder="1" applyAlignment="1">
      <alignment vertical="center" wrapText="1"/>
    </xf>
    <xf numFmtId="0" fontId="9" fillId="7" borderId="5" xfId="1" applyFont="1" applyFill="1" applyBorder="1" applyAlignment="1">
      <alignment horizontal="center" vertical="center" wrapText="1"/>
    </xf>
    <xf numFmtId="166" fontId="13" fillId="7" borderId="7" xfId="0" applyNumberFormat="1" applyFont="1" applyFill="1" applyBorder="1" applyAlignment="1">
      <alignment horizontal="center" vertical="center" wrapText="1"/>
    </xf>
    <xf numFmtId="0" fontId="7" fillId="0" borderId="5" xfId="0" applyFont="1" applyBorder="1" applyAlignment="1">
      <alignment vertical="center" wrapText="1"/>
    </xf>
    <xf numFmtId="0" fontId="13" fillId="0" borderId="6" xfId="0" applyFont="1" applyBorder="1"/>
    <xf numFmtId="0" fontId="13" fillId="0" borderId="6" xfId="3" applyFont="1" applyBorder="1" applyAlignment="1">
      <alignment vertical="center" wrapText="1"/>
    </xf>
    <xf numFmtId="165" fontId="7" fillId="0" borderId="7" xfId="1" applyNumberFormat="1" applyFont="1" applyBorder="1" applyAlignment="1">
      <alignment horizontal="center" vertical="center" wrapText="1"/>
    </xf>
    <xf numFmtId="0" fontId="13" fillId="7" borderId="5" xfId="1" applyFont="1" applyFill="1" applyBorder="1" applyAlignment="1">
      <alignment horizontal="left" vertical="center"/>
    </xf>
    <xf numFmtId="0" fontId="13" fillId="7" borderId="6" xfId="0" applyFont="1" applyFill="1" applyBorder="1" applyAlignment="1">
      <alignment vertical="center" wrapText="1"/>
    </xf>
    <xf numFmtId="170" fontId="13" fillId="7" borderId="16" xfId="9" applyNumberFormat="1" applyFont="1" applyFill="1" applyBorder="1" applyAlignment="1" applyProtection="1">
      <alignment horizontal="center" vertical="center" wrapText="1"/>
    </xf>
    <xf numFmtId="0" fontId="13" fillId="7" borderId="5" xfId="1" applyFont="1" applyFill="1" applyBorder="1" applyAlignment="1">
      <alignment horizontal="left" vertical="center" wrapText="1"/>
    </xf>
    <xf numFmtId="0" fontId="13" fillId="7" borderId="9" xfId="0" applyFont="1" applyFill="1" applyBorder="1" applyAlignment="1">
      <alignment vertical="center" wrapText="1"/>
    </xf>
    <xf numFmtId="44" fontId="13" fillId="7" borderId="7" xfId="1" applyNumberFormat="1" applyFont="1" applyFill="1" applyBorder="1" applyAlignment="1">
      <alignment horizontal="center" vertical="center" wrapText="1"/>
    </xf>
    <xf numFmtId="9" fontId="6" fillId="0" borderId="0" xfId="8" applyFont="1" applyFill="1" applyBorder="1" applyAlignment="1" applyProtection="1">
      <alignment horizontal="center" vertical="center" wrapText="1"/>
    </xf>
    <xf numFmtId="0" fontId="9" fillId="0" borderId="0" xfId="1" applyFont="1" applyAlignment="1">
      <alignment horizontal="center" vertical="center" wrapText="1"/>
    </xf>
    <xf numFmtId="0" fontId="6" fillId="0" borderId="0" xfId="0" applyFont="1" applyAlignment="1">
      <alignment horizontal="right" vertical="center" wrapText="1"/>
    </xf>
    <xf numFmtId="0" fontId="13" fillId="7" borderId="6" xfId="1" applyFont="1" applyFill="1" applyBorder="1" applyAlignment="1">
      <alignment vertical="center"/>
    </xf>
    <xf numFmtId="0" fontId="13" fillId="7" borderId="7" xfId="1" applyFont="1" applyFill="1" applyBorder="1" applyAlignment="1">
      <alignment vertical="center"/>
    </xf>
    <xf numFmtId="0" fontId="13" fillId="7" borderId="5" xfId="3" applyFont="1" applyFill="1" applyBorder="1" applyAlignment="1">
      <alignment horizontal="left" vertical="top"/>
    </xf>
    <xf numFmtId="0" fontId="9" fillId="7" borderId="6" xfId="3" applyFont="1" applyFill="1" applyBorder="1" applyAlignment="1">
      <alignment vertical="center" wrapText="1"/>
    </xf>
    <xf numFmtId="0" fontId="9" fillId="7" borderId="6" xfId="3" applyFont="1" applyFill="1" applyBorder="1" applyAlignment="1">
      <alignment horizontal="center" vertical="center" wrapText="1"/>
    </xf>
    <xf numFmtId="0" fontId="13" fillId="7" borderId="7" xfId="3" applyFont="1" applyFill="1" applyBorder="1" applyAlignment="1">
      <alignment horizontal="center" vertical="center" wrapText="1"/>
    </xf>
    <xf numFmtId="0" fontId="20" fillId="9" borderId="4" xfId="0" applyFont="1" applyFill="1" applyBorder="1" applyAlignment="1">
      <alignment vertical="top"/>
    </xf>
    <xf numFmtId="0" fontId="20" fillId="9" borderId="4" xfId="0" applyFont="1" applyFill="1" applyBorder="1" applyAlignment="1">
      <alignment horizontal="center" vertical="top" wrapText="1"/>
    </xf>
    <xf numFmtId="0" fontId="7" fillId="9" borderId="10" xfId="1" applyFont="1" applyFill="1" applyBorder="1" applyAlignment="1">
      <alignment vertical="center" wrapText="1"/>
    </xf>
    <xf numFmtId="0" fontId="11" fillId="0" borderId="4" xfId="0" applyFont="1" applyBorder="1" applyAlignment="1">
      <alignment vertical="center" wrapText="1"/>
    </xf>
    <xf numFmtId="0" fontId="7" fillId="0" borderId="4" xfId="3" applyFont="1" applyBorder="1" applyAlignment="1">
      <alignment horizontal="center" vertical="center" wrapText="1"/>
    </xf>
    <xf numFmtId="0" fontId="11" fillId="2" borderId="7" xfId="0" applyFont="1" applyFill="1" applyBorder="1" applyAlignment="1">
      <alignment horizontal="right" vertical="center" wrapText="1"/>
    </xf>
    <xf numFmtId="168" fontId="7" fillId="0" borderId="4" xfId="1" applyNumberFormat="1" applyFont="1" applyBorder="1" applyAlignment="1">
      <alignment horizontal="center" vertical="center" wrapText="1"/>
    </xf>
    <xf numFmtId="0" fontId="20" fillId="9" borderId="5" xfId="0" applyFont="1" applyFill="1" applyBorder="1" applyAlignment="1">
      <alignment vertical="top" wrapText="1"/>
    </xf>
    <xf numFmtId="2" fontId="20" fillId="9" borderId="4" xfId="0" applyNumberFormat="1" applyFont="1" applyFill="1" applyBorder="1" applyAlignment="1">
      <alignment horizontal="center" vertical="top" wrapText="1"/>
    </xf>
    <xf numFmtId="168" fontId="7" fillId="9" borderId="4" xfId="1" applyNumberFormat="1" applyFont="1" applyFill="1" applyBorder="1" applyAlignment="1">
      <alignment vertical="center" wrapText="1"/>
    </xf>
    <xf numFmtId="0" fontId="7" fillId="0" borderId="4" xfId="0" applyFont="1" applyBorder="1" applyAlignment="1">
      <alignment vertical="center" wrapText="1"/>
    </xf>
    <xf numFmtId="0" fontId="7" fillId="0" borderId="4" xfId="3" applyFont="1" applyBorder="1" applyAlignment="1">
      <alignment horizontal="right" vertical="center" wrapText="1"/>
    </xf>
    <xf numFmtId="166" fontId="7" fillId="0" borderId="4" xfId="3" applyNumberFormat="1" applyFont="1" applyBorder="1" applyAlignment="1">
      <alignment horizontal="right" vertical="center" wrapText="1"/>
    </xf>
    <xf numFmtId="0" fontId="20" fillId="9" borderId="4" xfId="0" applyFont="1" applyFill="1" applyBorder="1" applyAlignment="1">
      <alignment vertical="top" wrapText="1"/>
    </xf>
    <xf numFmtId="0" fontId="7" fillId="0" borderId="4" xfId="3" quotePrefix="1" applyFont="1" applyBorder="1" applyAlignment="1">
      <alignment horizontal="right" vertical="center" wrapText="1"/>
    </xf>
    <xf numFmtId="0" fontId="20" fillId="9" borderId="15" xfId="0" applyFont="1" applyFill="1" applyBorder="1" applyAlignment="1">
      <alignment vertical="top" wrapText="1"/>
    </xf>
    <xf numFmtId="0" fontId="13" fillId="7" borderId="8" xfId="3" applyFont="1" applyFill="1" applyBorder="1" applyAlignment="1">
      <alignment vertical="center" wrapText="1"/>
    </xf>
    <xf numFmtId="0" fontId="13" fillId="7" borderId="0" xfId="0" applyFont="1" applyFill="1"/>
    <xf numFmtId="0" fontId="13" fillId="7" borderId="9" xfId="3" applyFont="1" applyFill="1" applyBorder="1" applyAlignment="1">
      <alignment vertical="center" wrapText="1"/>
    </xf>
    <xf numFmtId="0" fontId="13" fillId="7" borderId="14" xfId="3" applyFont="1" applyFill="1" applyBorder="1" applyAlignment="1">
      <alignment horizontal="right" vertical="center" wrapText="1"/>
    </xf>
    <xf numFmtId="1" fontId="13" fillId="7" borderId="4" xfId="1" applyNumberFormat="1" applyFont="1" applyFill="1" applyBorder="1" applyAlignment="1">
      <alignment horizontal="center" vertical="center" wrapText="1"/>
    </xf>
    <xf numFmtId="0" fontId="7" fillId="0" borderId="6" xfId="0" applyFont="1" applyBorder="1" applyAlignment="1">
      <alignment horizontal="right" vertical="center"/>
    </xf>
    <xf numFmtId="0" fontId="13" fillId="7" borderId="5" xfId="3" applyFont="1" applyFill="1" applyBorder="1" applyAlignment="1">
      <alignment vertical="center" wrapText="1"/>
    </xf>
    <xf numFmtId="0" fontId="13" fillId="7" borderId="6" xfId="0" applyFont="1" applyFill="1" applyBorder="1"/>
    <xf numFmtId="0" fontId="13" fillId="7" borderId="6" xfId="3" applyFont="1" applyFill="1" applyBorder="1" applyAlignment="1">
      <alignment vertical="center" wrapText="1"/>
    </xf>
    <xf numFmtId="0" fontId="13" fillId="7" borderId="6" xfId="3" applyFont="1" applyFill="1" applyBorder="1" applyAlignment="1">
      <alignment horizontal="center" vertical="center" wrapText="1"/>
    </xf>
    <xf numFmtId="44" fontId="13" fillId="7" borderId="7" xfId="4" applyFont="1" applyFill="1" applyBorder="1" applyAlignment="1" applyProtection="1">
      <alignment horizontal="center" vertical="center" wrapText="1"/>
    </xf>
    <xf numFmtId="0" fontId="9" fillId="7" borderId="6" xfId="2" applyFont="1" applyFill="1" applyBorder="1" applyAlignment="1">
      <alignment vertical="center"/>
    </xf>
    <xf numFmtId="0" fontId="13" fillId="7" borderId="6" xfId="1" applyFont="1" applyFill="1" applyBorder="1" applyAlignment="1">
      <alignment horizontal="center" vertical="center" wrapText="1"/>
    </xf>
    <xf numFmtId="0" fontId="11" fillId="0" borderId="7" xfId="0" applyFont="1" applyBorder="1" applyAlignment="1">
      <alignment horizontal="right" vertical="center" wrapText="1"/>
    </xf>
    <xf numFmtId="0" fontId="20" fillId="9" borderId="5" xfId="0" applyFont="1" applyFill="1" applyBorder="1" applyAlignment="1">
      <alignment vertical="center" wrapText="1"/>
    </xf>
    <xf numFmtId="0" fontId="20" fillId="9" borderId="4" xfId="0" applyFont="1" applyFill="1" applyBorder="1" applyAlignment="1">
      <alignment vertical="center" wrapText="1"/>
    </xf>
    <xf numFmtId="0" fontId="9" fillId="0" borderId="0" xfId="1" applyFont="1" applyAlignment="1">
      <alignment horizontal="left" vertical="center" wrapText="1"/>
    </xf>
    <xf numFmtId="0" fontId="9" fillId="0" borderId="2" xfId="1" applyFont="1" applyBorder="1" applyAlignment="1">
      <alignment horizontal="center" vertical="center" wrapText="1"/>
    </xf>
    <xf numFmtId="0" fontId="6" fillId="0" borderId="0" xfId="1" applyFont="1" applyAlignment="1">
      <alignment horizontal="center" vertical="center" wrapText="1"/>
    </xf>
    <xf numFmtId="0" fontId="6" fillId="0" borderId="0" xfId="5" applyFont="1" applyAlignment="1">
      <alignment horizontal="center" vertical="center" wrapText="1"/>
    </xf>
    <xf numFmtId="0" fontId="10" fillId="0" borderId="3" xfId="0" applyFont="1" applyBorder="1" applyAlignment="1">
      <alignment horizontal="center" vertical="center" wrapText="1"/>
    </xf>
    <xf numFmtId="1" fontId="10" fillId="0" borderId="0" xfId="8" applyNumberFormat="1" applyFont="1" applyFill="1" applyBorder="1" applyAlignment="1" applyProtection="1">
      <alignment horizontal="center" vertical="center" wrapText="1"/>
    </xf>
    <xf numFmtId="0" fontId="6" fillId="0" borderId="3" xfId="0" applyFont="1" applyBorder="1" applyAlignment="1">
      <alignment horizontal="center" vertical="center" wrapText="1"/>
    </xf>
    <xf numFmtId="9" fontId="6" fillId="0" borderId="3" xfId="8" applyFont="1" applyBorder="1" applyAlignment="1" applyProtection="1">
      <alignment horizontal="center" vertical="center" wrapText="1"/>
    </xf>
    <xf numFmtId="0" fontId="6" fillId="0" borderId="3" xfId="0" applyFont="1" applyBorder="1" applyAlignment="1">
      <alignment vertical="center" wrapText="1"/>
    </xf>
    <xf numFmtId="9" fontId="6" fillId="0" borderId="3" xfId="8" applyFont="1" applyBorder="1" applyAlignment="1" applyProtection="1">
      <alignment vertical="center" wrapText="1"/>
    </xf>
    <xf numFmtId="1" fontId="6" fillId="0" borderId="0" xfId="8" applyNumberFormat="1" applyFont="1" applyFill="1" applyBorder="1" applyAlignment="1" applyProtection="1">
      <alignment horizontal="center" vertical="center" wrapText="1"/>
    </xf>
    <xf numFmtId="9" fontId="6" fillId="0" borderId="0" xfId="8" applyFont="1" applyAlignment="1" applyProtection="1">
      <alignment vertical="center" wrapText="1"/>
    </xf>
    <xf numFmtId="0" fontId="8" fillId="0" borderId="3" xfId="0" applyFont="1" applyBorder="1" applyAlignment="1">
      <alignment horizontal="center" vertical="center" wrapText="1"/>
    </xf>
    <xf numFmtId="9" fontId="7" fillId="0" borderId="3" xfId="8" applyFont="1" applyFill="1" applyBorder="1" applyAlignment="1" applyProtection="1">
      <alignment horizontal="center" vertical="center" wrapText="1"/>
    </xf>
    <xf numFmtId="171" fontId="7" fillId="0" borderId="3" xfId="8" applyNumberFormat="1" applyFont="1" applyFill="1" applyBorder="1" applyAlignment="1" applyProtection="1">
      <alignment horizontal="center" vertical="center" wrapText="1"/>
    </xf>
    <xf numFmtId="0" fontId="6" fillId="9" borderId="4" xfId="3" applyFont="1" applyFill="1" applyBorder="1" applyAlignment="1">
      <alignment horizontal="left" vertical="center" wrapText="1"/>
    </xf>
    <xf numFmtId="0" fontId="13" fillId="7" borderId="6" xfId="1" applyFont="1" applyFill="1" applyBorder="1" applyAlignment="1">
      <alignment horizontal="center" vertical="center"/>
    </xf>
    <xf numFmtId="0" fontId="13" fillId="7" borderId="7" xfId="1" applyFont="1" applyFill="1" applyBorder="1" applyAlignment="1">
      <alignment horizontal="center" vertical="center"/>
    </xf>
    <xf numFmtId="0" fontId="6" fillId="9" borderId="4" xfId="3" applyFont="1" applyFill="1" applyBorder="1" applyAlignment="1">
      <alignment vertical="center" wrapText="1"/>
    </xf>
    <xf numFmtId="0" fontId="6" fillId="0" borderId="4" xfId="2" applyFont="1" applyBorder="1" applyAlignment="1">
      <alignment vertical="center"/>
    </xf>
    <xf numFmtId="172" fontId="6" fillId="0" borderId="4" xfId="0" applyNumberFormat="1" applyFont="1" applyBorder="1" applyAlignment="1">
      <alignment horizontal="center" vertical="center"/>
    </xf>
    <xf numFmtId="44" fontId="6" fillId="0" borderId="4" xfId="2" applyNumberFormat="1" applyFont="1" applyBorder="1" applyAlignment="1">
      <alignment horizontal="center" vertical="center"/>
    </xf>
    <xf numFmtId="164" fontId="6" fillId="0" borderId="4" xfId="2" applyNumberFormat="1" applyFont="1" applyBorder="1" applyAlignment="1">
      <alignment horizontal="center" vertical="center" wrapText="1"/>
    </xf>
    <xf numFmtId="0" fontId="13" fillId="7" borderId="5" xfId="2" applyFont="1" applyFill="1" applyBorder="1" applyAlignment="1">
      <alignment vertical="center"/>
    </xf>
    <xf numFmtId="0" fontId="13" fillId="7" borderId="6" xfId="2" applyFont="1" applyFill="1" applyBorder="1" applyAlignment="1">
      <alignment vertical="center"/>
    </xf>
    <xf numFmtId="44" fontId="13" fillId="7" borderId="6" xfId="4" applyFont="1" applyFill="1" applyBorder="1" applyAlignment="1" applyProtection="1">
      <alignment horizontal="center" vertical="center"/>
    </xf>
    <xf numFmtId="3" fontId="13" fillId="7" borderId="6" xfId="2" applyNumberFormat="1" applyFont="1" applyFill="1" applyBorder="1" applyAlignment="1">
      <alignment horizontal="center" vertical="center"/>
    </xf>
    <xf numFmtId="44" fontId="13" fillId="7" borderId="7" xfId="2" applyNumberFormat="1" applyFont="1" applyFill="1" applyBorder="1" applyAlignment="1">
      <alignment horizontal="center" vertical="center"/>
    </xf>
    <xf numFmtId="3" fontId="6" fillId="0" borderId="0" xfId="2" applyNumberFormat="1" applyFont="1" applyAlignment="1">
      <alignment horizontal="center" vertical="center"/>
    </xf>
    <xf numFmtId="44" fontId="6" fillId="0" borderId="0" xfId="2" applyNumberFormat="1" applyFont="1" applyAlignment="1">
      <alignment horizontal="center" vertical="center"/>
    </xf>
    <xf numFmtId="0" fontId="13" fillId="7" borderId="7" xfId="1" applyFont="1" applyFill="1" applyBorder="1" applyAlignment="1">
      <alignment horizontal="center" vertical="center" wrapText="1"/>
    </xf>
    <xf numFmtId="0" fontId="6" fillId="9" borderId="7" xfId="3" applyFont="1" applyFill="1" applyBorder="1" applyAlignment="1">
      <alignment horizontal="center" vertical="center" wrapText="1"/>
    </xf>
    <xf numFmtId="0" fontId="6" fillId="0" borderId="4" xfId="6" applyFont="1" applyBorder="1" applyAlignment="1">
      <alignment vertical="center" wrapText="1"/>
    </xf>
    <xf numFmtId="172" fontId="6" fillId="0" borderId="10" xfId="0" applyNumberFormat="1" applyFont="1" applyBorder="1" applyAlignment="1">
      <alignment horizontal="center" vertical="center"/>
    </xf>
    <xf numFmtId="166" fontId="7" fillId="0" borderId="0" xfId="2" applyNumberFormat="1" applyFont="1" applyAlignment="1">
      <alignment horizontal="center" vertical="center"/>
    </xf>
    <xf numFmtId="9" fontId="6" fillId="0" borderId="7" xfId="8" applyFont="1" applyFill="1" applyBorder="1" applyAlignment="1" applyProtection="1">
      <alignment horizontal="center" vertical="center"/>
    </xf>
    <xf numFmtId="173" fontId="6" fillId="0" borderId="4" xfId="0" applyNumberFormat="1" applyFont="1" applyBorder="1" applyAlignment="1">
      <alignment horizontal="center" vertical="center"/>
    </xf>
    <xf numFmtId="0" fontId="7" fillId="0" borderId="4" xfId="6" applyFont="1" applyBorder="1" applyAlignment="1">
      <alignment vertical="center" wrapText="1"/>
    </xf>
    <xf numFmtId="0" fontId="29" fillId="7" borderId="5" xfId="6" applyFont="1" applyFill="1" applyBorder="1" applyAlignment="1">
      <alignment horizontal="left" vertical="center" wrapText="1"/>
    </xf>
    <xf numFmtId="9" fontId="13" fillId="7" borderId="6" xfId="10" applyFont="1" applyFill="1" applyBorder="1" applyAlignment="1" applyProtection="1">
      <alignment horizontal="center" vertical="center"/>
    </xf>
    <xf numFmtId="165" fontId="13" fillId="7" borderId="6" xfId="3" applyNumberFormat="1" applyFont="1" applyFill="1" applyBorder="1" applyAlignment="1">
      <alignment horizontal="center" vertical="center" wrapText="1"/>
    </xf>
    <xf numFmtId="44" fontId="6" fillId="0" borderId="0" xfId="2" applyNumberFormat="1" applyFont="1" applyAlignment="1">
      <alignment vertical="center"/>
    </xf>
    <xf numFmtId="9" fontId="6" fillId="0" borderId="4" xfId="8" applyFont="1" applyFill="1" applyBorder="1" applyAlignment="1" applyProtection="1">
      <alignment horizontal="center" vertical="center"/>
    </xf>
    <xf numFmtId="165" fontId="6" fillId="0" borderId="4" xfId="3" applyNumberFormat="1" applyFont="1" applyBorder="1" applyAlignment="1">
      <alignment horizontal="center" vertical="center" wrapText="1"/>
    </xf>
    <xf numFmtId="3" fontId="13" fillId="0" borderId="0" xfId="2" applyNumberFormat="1" applyFont="1" applyAlignment="1">
      <alignment horizontal="center" vertical="center"/>
    </xf>
    <xf numFmtId="0" fontId="6" fillId="0" borderId="0" xfId="5" applyFont="1" applyAlignment="1">
      <alignment horizontal="left" vertical="center"/>
    </xf>
    <xf numFmtId="0" fontId="13" fillId="7" borderId="5" xfId="2" applyFont="1" applyFill="1" applyBorder="1" applyAlignment="1">
      <alignment horizontal="left" vertical="center"/>
    </xf>
    <xf numFmtId="0" fontId="13" fillId="7" borderId="7" xfId="2" applyFont="1" applyFill="1" applyBorder="1" applyAlignment="1">
      <alignment horizontal="left" vertical="center"/>
    </xf>
    <xf numFmtId="44" fontId="13" fillId="7" borderId="7" xfId="2" applyNumberFormat="1" applyFont="1" applyFill="1" applyBorder="1" applyAlignment="1">
      <alignment horizontal="left" vertical="center"/>
    </xf>
    <xf numFmtId="0" fontId="9" fillId="7" borderId="7" xfId="1" applyFont="1" applyFill="1" applyBorder="1" applyAlignment="1">
      <alignment vertical="center" wrapText="1"/>
    </xf>
    <xf numFmtId="0" fontId="7" fillId="9" borderId="4" xfId="3" applyFont="1" applyFill="1" applyBorder="1" applyAlignment="1">
      <alignment horizontal="center" vertical="center" wrapText="1"/>
    </xf>
    <xf numFmtId="0" fontId="6" fillId="0" borderId="4" xfId="6" applyFont="1" applyBorder="1" applyAlignment="1">
      <alignment horizontal="left" vertical="center" wrapText="1"/>
    </xf>
    <xf numFmtId="165" fontId="6" fillId="0" borderId="4" xfId="6" applyNumberFormat="1" applyFont="1" applyBorder="1" applyAlignment="1">
      <alignment horizontal="center" vertical="center" wrapText="1"/>
    </xf>
    <xf numFmtId="165" fontId="12" fillId="0" borderId="0" xfId="6" applyNumberFormat="1" applyFont="1" applyAlignment="1">
      <alignment horizontal="center" vertical="center" wrapText="1"/>
    </xf>
    <xf numFmtId="0" fontId="6" fillId="0" borderId="0" xfId="6" applyFont="1" applyAlignment="1">
      <alignment horizontal="center" vertical="center" wrapText="1"/>
    </xf>
    <xf numFmtId="0" fontId="13" fillId="7" borderId="5" xfId="6" applyFont="1" applyFill="1" applyBorder="1" applyAlignment="1">
      <alignment horizontal="center" vertical="center" wrapText="1"/>
    </xf>
    <xf numFmtId="165" fontId="29" fillId="7" borderId="7" xfId="6" applyNumberFormat="1" applyFont="1" applyFill="1" applyBorder="1" applyAlignment="1">
      <alignment horizontal="center" vertical="center" wrapText="1"/>
    </xf>
    <xf numFmtId="44" fontId="6" fillId="0" borderId="0" xfId="6" applyNumberFormat="1" applyFont="1" applyAlignment="1">
      <alignment horizontal="center" vertical="center"/>
    </xf>
    <xf numFmtId="0" fontId="10" fillId="3" borderId="0" xfId="0" applyFont="1" applyFill="1" applyAlignment="1">
      <alignment vertical="center" wrapText="1"/>
    </xf>
    <xf numFmtId="0" fontId="6" fillId="0" borderId="0" xfId="2" applyFont="1" applyAlignment="1">
      <alignment horizontal="left" vertical="center"/>
    </xf>
    <xf numFmtId="0" fontId="24" fillId="0" borderId="0" xfId="2" applyFont="1" applyAlignment="1">
      <alignment vertical="center"/>
    </xf>
    <xf numFmtId="0" fontId="6" fillId="9" borderId="8" xfId="3" applyFont="1" applyFill="1" applyBorder="1" applyAlignment="1">
      <alignment horizontal="center" vertical="center" wrapText="1"/>
    </xf>
    <xf numFmtId="0" fontId="6" fillId="0" borderId="4" xfId="2" applyFont="1" applyBorder="1" applyAlignment="1">
      <alignment horizontal="left" vertical="center"/>
    </xf>
    <xf numFmtId="0" fontId="6" fillId="0" borderId="4" xfId="5" applyFont="1" applyBorder="1" applyAlignment="1">
      <alignment horizontal="left" vertical="center" wrapText="1"/>
    </xf>
    <xf numFmtId="44" fontId="7" fillId="0" borderId="0" xfId="2" applyNumberFormat="1" applyFont="1" applyAlignment="1">
      <alignment vertical="center"/>
    </xf>
    <xf numFmtId="0" fontId="13" fillId="7" borderId="6" xfId="5" applyFont="1" applyFill="1" applyBorder="1" applyAlignment="1">
      <alignment horizontal="left" vertical="center" wrapText="1"/>
    </xf>
    <xf numFmtId="172" fontId="6" fillId="0" borderId="5" xfId="0" applyNumberFormat="1" applyFont="1" applyBorder="1" applyAlignment="1">
      <alignment horizontal="center" vertical="center"/>
    </xf>
    <xf numFmtId="172" fontId="6" fillId="0" borderId="6" xfId="0" applyNumberFormat="1" applyFont="1" applyBorder="1" applyAlignment="1">
      <alignment horizontal="center" vertical="center"/>
    </xf>
    <xf numFmtId="172" fontId="6" fillId="0" borderId="7" xfId="0" applyNumberFormat="1" applyFont="1" applyBorder="1" applyAlignment="1">
      <alignment horizontal="center" vertical="center"/>
    </xf>
    <xf numFmtId="0" fontId="6" fillId="0" borderId="4" xfId="5" applyFont="1" applyBorder="1" applyAlignment="1">
      <alignment horizontal="left" vertical="center"/>
    </xf>
    <xf numFmtId="0" fontId="6" fillId="0" borderId="4" xfId="5" applyFont="1" applyBorder="1" applyAlignment="1">
      <alignment horizontal="center" vertical="center" wrapText="1"/>
    </xf>
    <xf numFmtId="0" fontId="6" fillId="0" borderId="4" xfId="2" applyFont="1" applyBorder="1" applyAlignment="1">
      <alignment horizontal="center" vertical="center"/>
    </xf>
    <xf numFmtId="174" fontId="6" fillId="0" borderId="10" xfId="0" applyNumberFormat="1" applyFont="1" applyBorder="1" applyAlignment="1">
      <alignment horizontal="center" vertical="center"/>
    </xf>
    <xf numFmtId="9" fontId="6" fillId="5" borderId="4" xfId="8" applyFont="1" applyFill="1" applyBorder="1" applyAlignment="1" applyProtection="1">
      <alignment horizontal="center" vertical="center" wrapText="1"/>
      <protection locked="0"/>
    </xf>
    <xf numFmtId="0" fontId="10" fillId="3" borderId="0" xfId="0" applyFont="1" applyFill="1" applyAlignment="1">
      <alignment horizontal="center" vertical="center" wrapText="1"/>
    </xf>
    <xf numFmtId="0" fontId="28" fillId="7" borderId="5" xfId="0" applyFont="1" applyFill="1" applyBorder="1" applyAlignment="1">
      <alignment horizontal="left" vertical="center" wrapText="1"/>
    </xf>
    <xf numFmtId="0" fontId="28" fillId="7" borderId="6" xfId="0" applyFont="1" applyFill="1" applyBorder="1" applyAlignment="1">
      <alignment horizontal="left" vertical="center" wrapText="1"/>
    </xf>
    <xf numFmtId="0" fontId="28" fillId="7" borderId="7" xfId="0" applyFont="1" applyFill="1" applyBorder="1" applyAlignment="1">
      <alignment horizontal="left" vertical="center" wrapText="1"/>
    </xf>
    <xf numFmtId="0" fontId="6" fillId="9" borderId="5" xfId="3" applyFont="1" applyFill="1" applyBorder="1" applyAlignment="1">
      <alignment horizontal="left" vertical="center" wrapText="1"/>
    </xf>
    <xf numFmtId="0" fontId="6" fillId="9" borderId="7" xfId="3" applyFont="1" applyFill="1" applyBorder="1" applyAlignment="1">
      <alignment horizontal="left" vertical="center" wrapText="1"/>
    </xf>
    <xf numFmtId="0" fontId="6" fillId="5" borderId="5" xfId="0" applyFont="1" applyFill="1" applyBorder="1" applyAlignment="1" applyProtection="1">
      <alignment horizontal="center" vertical="center"/>
      <protection locked="0"/>
    </xf>
    <xf numFmtId="0" fontId="6" fillId="5" borderId="6" xfId="0" applyFont="1" applyFill="1" applyBorder="1" applyAlignment="1" applyProtection="1">
      <alignment horizontal="center" vertical="center"/>
      <protection locked="0"/>
    </xf>
    <xf numFmtId="0" fontId="6" fillId="5" borderId="7" xfId="0" applyFont="1" applyFill="1" applyBorder="1" applyAlignment="1" applyProtection="1">
      <alignment horizontal="center" vertical="center"/>
      <protection locked="0"/>
    </xf>
    <xf numFmtId="0" fontId="20" fillId="9" borderId="6" xfId="0" applyFont="1" applyFill="1" applyBorder="1" applyAlignment="1">
      <alignment horizontal="right" vertical="center" wrapText="1"/>
    </xf>
    <xf numFmtId="0" fontId="7" fillId="2" borderId="2" xfId="3" applyFont="1" applyFill="1" applyBorder="1" applyAlignment="1">
      <alignment horizontal="left" vertical="top" wrapText="1"/>
    </xf>
    <xf numFmtId="0" fontId="9" fillId="5" borderId="5" xfId="2" applyFont="1" applyFill="1" applyBorder="1" applyAlignment="1" applyProtection="1">
      <alignment horizontal="center" vertical="center"/>
      <protection locked="0"/>
    </xf>
    <xf numFmtId="0" fontId="9" fillId="5" borderId="6" xfId="2" applyFont="1" applyFill="1" applyBorder="1" applyAlignment="1" applyProtection="1">
      <alignment horizontal="center" vertical="center"/>
      <protection locked="0"/>
    </xf>
    <xf numFmtId="0" fontId="9" fillId="5" borderId="7" xfId="2" applyFont="1" applyFill="1" applyBorder="1" applyAlignment="1" applyProtection="1">
      <alignment horizontal="center" vertical="center"/>
      <protection locked="0"/>
    </xf>
    <xf numFmtId="172" fontId="6" fillId="0" borderId="10" xfId="0" applyNumberFormat="1" applyFont="1" applyBorder="1" applyAlignment="1">
      <alignment horizontal="center" vertical="center"/>
    </xf>
    <xf numFmtId="172" fontId="6" fillId="0" borderId="11" xfId="0" applyNumberFormat="1" applyFont="1" applyBorder="1" applyAlignment="1">
      <alignment horizontal="center" vertical="center"/>
    </xf>
    <xf numFmtId="172" fontId="6" fillId="0" borderId="12" xfId="0" applyNumberFormat="1" applyFont="1" applyBorder="1" applyAlignment="1">
      <alignment horizontal="center" vertical="center"/>
    </xf>
    <xf numFmtId="0" fontId="9" fillId="7" borderId="5" xfId="1" applyFont="1" applyFill="1" applyBorder="1" applyAlignment="1">
      <alignment horizontal="left" vertical="center" wrapText="1"/>
    </xf>
    <xf numFmtId="0" fontId="9" fillId="7" borderId="6" xfId="1" applyFont="1" applyFill="1" applyBorder="1" applyAlignment="1">
      <alignment horizontal="left" vertical="center" wrapText="1"/>
    </xf>
    <xf numFmtId="0" fontId="7" fillId="2" borderId="0" xfId="3" applyFont="1" applyFill="1" applyAlignment="1">
      <alignment horizontal="left" vertical="top" wrapText="1"/>
    </xf>
    <xf numFmtId="0" fontId="6" fillId="0" borderId="2" xfId="5" applyFont="1" applyBorder="1" applyAlignment="1">
      <alignment horizontal="left" vertical="top" wrapText="1"/>
    </xf>
  </cellXfs>
  <cellStyles count="12">
    <cellStyle name="Procent" xfId="8" builtinId="5"/>
    <cellStyle name="Procent 2" xfId="7" xr:uid="{B82A014D-E8CC-4F27-BE84-94CB0FED93D5}"/>
    <cellStyle name="Procent 3" xfId="10" xr:uid="{5F508BEB-2870-4094-BF50-C7C6CFA78D7F}"/>
    <cellStyle name="Standaard" xfId="0" builtinId="0"/>
    <cellStyle name="Standaard 10" xfId="1" xr:uid="{0C74B83F-1281-4FAF-9298-80D1534A6C09}"/>
    <cellStyle name="Standaard 11" xfId="3" xr:uid="{B6CA6E39-1876-4AFB-A2B0-FD9877F0FC87}"/>
    <cellStyle name="Standaard 2" xfId="2" xr:uid="{311B2D1B-AB42-476F-B90A-3E42AFA33F9C}"/>
    <cellStyle name="Standaard 2 2" xfId="11" xr:uid="{6914684B-2677-42E2-B7AE-DCFDF40F76A6}"/>
    <cellStyle name="Standaard 27 2 2 2" xfId="6" xr:uid="{3B2A15D4-7B57-40CC-B251-0B3F5C4E3697}"/>
    <cellStyle name="Standaard 27 3 2" xfId="5" xr:uid="{A22A9785-6DB9-4528-B009-87BF063C6B4D}"/>
    <cellStyle name="Valuta" xfId="9" builtinId="4"/>
    <cellStyle name="Valuta 2" xfId="4" xr:uid="{2608EA12-10B7-4DCF-B6CC-33AA22DB699A}"/>
  </cellStyles>
  <dxfs count="0"/>
  <tableStyles count="0" defaultTableStyle="TableStyleMedium2" defaultPivotStyle="PivotStyleLight16"/>
  <colors>
    <mruColors>
      <color rgb="FF91D888"/>
      <color rgb="FF259E6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eetMetadata" Target="metadata.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2</xdr:col>
      <xdr:colOff>6957392</xdr:colOff>
      <xdr:row>4</xdr:row>
      <xdr:rowOff>124048</xdr:rowOff>
    </xdr:from>
    <xdr:to>
      <xdr:col>2</xdr:col>
      <xdr:colOff>9246836</xdr:colOff>
      <xdr:row>8</xdr:row>
      <xdr:rowOff>132521</xdr:rowOff>
    </xdr:to>
    <xdr:pic>
      <xdr:nvPicPr>
        <xdr:cNvPr id="5" name="Afbeelding 4">
          <a:extLst>
            <a:ext uri="{FF2B5EF4-FFF2-40B4-BE49-F238E27FC236}">
              <a16:creationId xmlns:a16="http://schemas.microsoft.com/office/drawing/2014/main" id="{78D07F23-49BA-409C-90ED-EBA4FC879F12}"/>
            </a:ext>
          </a:extLst>
        </xdr:cNvPr>
        <xdr:cNvPicPr>
          <a:picLocks noChangeAspect="1"/>
        </xdr:cNvPicPr>
      </xdr:nvPicPr>
      <xdr:blipFill>
        <a:blip xmlns:r="http://schemas.openxmlformats.org/officeDocument/2006/relationships" r:embed="rId1"/>
        <a:stretch>
          <a:fillRect/>
        </a:stretch>
      </xdr:blipFill>
      <xdr:spPr>
        <a:xfrm>
          <a:off x="7321827" y="894331"/>
          <a:ext cx="2297064" cy="770473"/>
        </a:xfrm>
        <a:prstGeom prst="rect">
          <a:avLst/>
        </a:prstGeom>
      </xdr:spPr>
    </xdr:pic>
    <xdr:clientData/>
  </xdr:twoCellAnchor>
  <xdr:twoCellAnchor editAs="oneCell">
    <xdr:from>
      <xdr:col>2</xdr:col>
      <xdr:colOff>2072498</xdr:colOff>
      <xdr:row>3</xdr:row>
      <xdr:rowOff>107674</xdr:rowOff>
    </xdr:from>
    <xdr:to>
      <xdr:col>2</xdr:col>
      <xdr:colOff>3259612</xdr:colOff>
      <xdr:row>7</xdr:row>
      <xdr:rowOff>173271</xdr:rowOff>
    </xdr:to>
    <xdr:pic>
      <xdr:nvPicPr>
        <xdr:cNvPr id="2" name="Afbeelding 1">
          <a:extLst>
            <a:ext uri="{FF2B5EF4-FFF2-40B4-BE49-F238E27FC236}">
              <a16:creationId xmlns:a16="http://schemas.microsoft.com/office/drawing/2014/main" id="{7EC7CCF7-9153-4FDC-BE20-57DD073A7195}"/>
            </a:ext>
          </a:extLst>
        </xdr:cNvPr>
        <xdr:cNvPicPr>
          <a:picLocks noChangeAspect="1"/>
        </xdr:cNvPicPr>
      </xdr:nvPicPr>
      <xdr:blipFill rotWithShape="1">
        <a:blip xmlns:r="http://schemas.openxmlformats.org/officeDocument/2006/relationships" r:embed="rId2"/>
        <a:srcRect l="702" r="1"/>
        <a:stretch>
          <a:fillRect/>
        </a:stretch>
      </xdr:blipFill>
      <xdr:spPr>
        <a:xfrm>
          <a:off x="2436933" y="687457"/>
          <a:ext cx="1187114" cy="819977"/>
        </a:xfrm>
        <a:prstGeom prst="rect">
          <a:avLst/>
        </a:prstGeom>
      </xdr:spPr>
    </xdr:pic>
    <xdr:clientData/>
  </xdr:twoCellAnchor>
  <xdr:twoCellAnchor editAs="oneCell">
    <xdr:from>
      <xdr:col>2</xdr:col>
      <xdr:colOff>107671</xdr:colOff>
      <xdr:row>4</xdr:row>
      <xdr:rowOff>132521</xdr:rowOff>
    </xdr:from>
    <xdr:to>
      <xdr:col>2</xdr:col>
      <xdr:colOff>1734209</xdr:colOff>
      <xdr:row>8</xdr:row>
      <xdr:rowOff>94718</xdr:rowOff>
    </xdr:to>
    <xdr:pic>
      <xdr:nvPicPr>
        <xdr:cNvPr id="3" name="Afbeelding 2">
          <a:extLst>
            <a:ext uri="{FF2B5EF4-FFF2-40B4-BE49-F238E27FC236}">
              <a16:creationId xmlns:a16="http://schemas.microsoft.com/office/drawing/2014/main" id="{12551BFC-4D5B-4CEB-BE85-A7348779F9E2}"/>
            </a:ext>
          </a:extLst>
        </xdr:cNvPr>
        <xdr:cNvPicPr>
          <a:picLocks noChangeAspect="1"/>
        </xdr:cNvPicPr>
      </xdr:nvPicPr>
      <xdr:blipFill rotWithShape="1">
        <a:blip xmlns:r="http://schemas.openxmlformats.org/officeDocument/2006/relationships" r:embed="rId3"/>
        <a:srcRect l="974" t="3423" r="2789" b="3715"/>
        <a:stretch>
          <a:fillRect/>
        </a:stretch>
      </xdr:blipFill>
      <xdr:spPr>
        <a:xfrm>
          <a:off x="472106" y="902804"/>
          <a:ext cx="1615108" cy="735627"/>
        </a:xfrm>
        <a:prstGeom prst="rect">
          <a:avLst/>
        </a:prstGeom>
      </xdr:spPr>
    </xdr:pic>
    <xdr:clientData/>
  </xdr:twoCellAnchor>
  <xdr:twoCellAnchor editAs="oneCell">
    <xdr:from>
      <xdr:col>2</xdr:col>
      <xdr:colOff>3609331</xdr:colOff>
      <xdr:row>4</xdr:row>
      <xdr:rowOff>166295</xdr:rowOff>
    </xdr:from>
    <xdr:to>
      <xdr:col>2</xdr:col>
      <xdr:colOff>6607672</xdr:colOff>
      <xdr:row>8</xdr:row>
      <xdr:rowOff>173961</xdr:rowOff>
    </xdr:to>
    <xdr:pic>
      <xdr:nvPicPr>
        <xdr:cNvPr id="4" name="Afbeelding 3">
          <a:extLst>
            <a:ext uri="{FF2B5EF4-FFF2-40B4-BE49-F238E27FC236}">
              <a16:creationId xmlns:a16="http://schemas.microsoft.com/office/drawing/2014/main" id="{7C0BDD2C-9B9D-42C8-B3BD-102712A1FDB7}"/>
            </a:ext>
          </a:extLst>
        </xdr:cNvPr>
        <xdr:cNvPicPr>
          <a:picLocks noChangeAspect="1"/>
        </xdr:cNvPicPr>
      </xdr:nvPicPr>
      <xdr:blipFill rotWithShape="1">
        <a:blip xmlns:r="http://schemas.openxmlformats.org/officeDocument/2006/relationships" r:embed="rId4"/>
        <a:srcRect l="614" t="904"/>
        <a:stretch>
          <a:fillRect/>
        </a:stretch>
      </xdr:blipFill>
      <xdr:spPr>
        <a:xfrm>
          <a:off x="3973766" y="936578"/>
          <a:ext cx="2998341" cy="762046"/>
        </a:xfrm>
        <a:prstGeom prst="rect">
          <a:avLst/>
        </a:prstGeom>
      </xdr:spPr>
    </xdr:pic>
    <xdr:clientData/>
  </xdr:twoCellAnchor>
</xdr:wsDr>
</file>

<file path=xl/theme/theme1.xml><?xml version="1.0" encoding="utf-8"?>
<a:theme xmlns:a="http://schemas.openxmlformats.org/drawingml/2006/main" name="Office 2013 - 2022 Thema">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B79A94-85A8-4D95-95AB-DE615490381C}">
  <sheetPr>
    <pageSetUpPr fitToPage="1"/>
  </sheetPr>
  <dimension ref="A1:H28"/>
  <sheetViews>
    <sheetView showGridLines="0" tabSelected="1" zoomScale="85" zoomScaleNormal="85" workbookViewId="0">
      <selection activeCell="H11" sqref="H11"/>
    </sheetView>
  </sheetViews>
  <sheetFormatPr defaultColWidth="9.109375" defaultRowHeight="15" x14ac:dyDescent="0.35"/>
  <cols>
    <col min="1" max="2" width="2.6640625" style="1" customWidth="1"/>
    <col min="3" max="3" width="140.6640625" style="1" customWidth="1"/>
    <col min="4" max="6" width="2.6640625" style="1" customWidth="1"/>
    <col min="7" max="7" width="9.109375" style="1"/>
    <col min="8" max="8" width="26" style="1" bestFit="1" customWidth="1"/>
    <col min="9" max="16384" width="9.109375" style="1"/>
  </cols>
  <sheetData>
    <row r="1" spans="1:6" x14ac:dyDescent="0.35">
      <c r="A1" s="11"/>
      <c r="F1" s="12"/>
    </row>
    <row r="2" spans="1:6" ht="15.6" thickBot="1" x14ac:dyDescent="0.4">
      <c r="A2" s="11"/>
      <c r="F2" s="12"/>
    </row>
    <row r="3" spans="1:6" x14ac:dyDescent="0.35">
      <c r="A3" s="11"/>
      <c r="C3" s="45"/>
      <c r="F3" s="12"/>
    </row>
    <row r="4" spans="1:6" x14ac:dyDescent="0.35">
      <c r="A4" s="11"/>
      <c r="C4" s="46"/>
      <c r="F4" s="12"/>
    </row>
    <row r="5" spans="1:6" x14ac:dyDescent="0.35">
      <c r="A5" s="11"/>
      <c r="C5" s="46"/>
      <c r="F5" s="12"/>
    </row>
    <row r="6" spans="1:6" x14ac:dyDescent="0.35">
      <c r="A6" s="11"/>
      <c r="C6" s="46"/>
      <c r="F6" s="12"/>
    </row>
    <row r="7" spans="1:6" x14ac:dyDescent="0.35">
      <c r="A7" s="11"/>
      <c r="C7" s="46"/>
      <c r="F7" s="12"/>
    </row>
    <row r="8" spans="1:6" x14ac:dyDescent="0.35">
      <c r="A8" s="11"/>
      <c r="C8" s="46"/>
      <c r="F8" s="12"/>
    </row>
    <row r="9" spans="1:6" x14ac:dyDescent="0.35">
      <c r="A9" s="11"/>
      <c r="C9" s="46"/>
      <c r="F9" s="12"/>
    </row>
    <row r="10" spans="1:6" ht="15.6" thickBot="1" x14ac:dyDescent="0.4">
      <c r="A10" s="11"/>
      <c r="C10" s="47"/>
      <c r="F10" s="12"/>
    </row>
    <row r="11" spans="1:6" x14ac:dyDescent="0.35">
      <c r="A11" s="11"/>
      <c r="F11" s="12"/>
    </row>
    <row r="12" spans="1:6" ht="15.6" thickBot="1" x14ac:dyDescent="0.4">
      <c r="A12" s="11"/>
      <c r="F12" s="12"/>
    </row>
    <row r="13" spans="1:6" ht="75" customHeight="1" thickBot="1" x14ac:dyDescent="0.4">
      <c r="B13" s="48"/>
      <c r="C13" s="49" t="s">
        <v>102</v>
      </c>
      <c r="F13" s="12"/>
    </row>
    <row r="14" spans="1:6" x14ac:dyDescent="0.35">
      <c r="B14" s="48"/>
      <c r="D14" s="48"/>
      <c r="F14" s="12"/>
    </row>
    <row r="15" spans="1:6" ht="15.6" thickBot="1" x14ac:dyDescent="0.4">
      <c r="A15" s="11"/>
      <c r="B15" s="48"/>
      <c r="F15" s="12"/>
    </row>
    <row r="16" spans="1:6" ht="45" x14ac:dyDescent="0.35">
      <c r="B16" s="48"/>
      <c r="C16" s="50" t="s">
        <v>151</v>
      </c>
      <c r="F16" s="12"/>
    </row>
    <row r="17" spans="1:8" ht="30" x14ac:dyDescent="0.35">
      <c r="B17" s="48"/>
      <c r="C17" s="51" t="s">
        <v>71</v>
      </c>
      <c r="D17" s="48"/>
      <c r="F17" s="12"/>
    </row>
    <row r="18" spans="1:8" ht="45" x14ac:dyDescent="0.35">
      <c r="B18" s="48"/>
      <c r="C18" s="52" t="s">
        <v>69</v>
      </c>
      <c r="F18" s="12"/>
    </row>
    <row r="19" spans="1:8" ht="45" x14ac:dyDescent="0.35">
      <c r="B19" s="48"/>
      <c r="C19" s="51" t="s">
        <v>101</v>
      </c>
      <c r="F19" s="12"/>
    </row>
    <row r="20" spans="1:8" ht="45" x14ac:dyDescent="0.35">
      <c r="B20" s="48"/>
      <c r="C20" s="51" t="s">
        <v>100</v>
      </c>
      <c r="F20" s="12"/>
    </row>
    <row r="21" spans="1:8" ht="30" x14ac:dyDescent="0.35">
      <c r="B21" s="48"/>
      <c r="C21" s="51" t="s">
        <v>113</v>
      </c>
      <c r="F21" s="12"/>
    </row>
    <row r="22" spans="1:8" x14ac:dyDescent="0.35">
      <c r="B22" s="48"/>
      <c r="C22" s="53" t="s">
        <v>70</v>
      </c>
      <c r="D22" s="48"/>
      <c r="F22" s="12"/>
    </row>
    <row r="23" spans="1:8" ht="45" x14ac:dyDescent="0.35">
      <c r="B23" s="48"/>
      <c r="C23" s="51" t="s">
        <v>99</v>
      </c>
      <c r="D23" s="48"/>
      <c r="F23" s="12"/>
    </row>
    <row r="24" spans="1:8" ht="165" x14ac:dyDescent="0.35">
      <c r="B24" s="48"/>
      <c r="C24" s="54" t="s">
        <v>215</v>
      </c>
      <c r="D24" s="48"/>
      <c r="F24" s="12"/>
    </row>
    <row r="25" spans="1:8" ht="135.6" thickBot="1" x14ac:dyDescent="0.4">
      <c r="B25" s="48"/>
      <c r="C25" s="55" t="s">
        <v>214</v>
      </c>
      <c r="D25" s="48"/>
      <c r="F25" s="12"/>
      <c r="H25" s="33"/>
    </row>
    <row r="26" spans="1:8" x14ac:dyDescent="0.35">
      <c r="F26" s="12"/>
    </row>
    <row r="27" spans="1:8" x14ac:dyDescent="0.35">
      <c r="F27" s="12"/>
    </row>
    <row r="28" spans="1:8" x14ac:dyDescent="0.35">
      <c r="A28" s="12"/>
      <c r="B28" s="12"/>
      <c r="C28" s="12"/>
      <c r="D28" s="12"/>
      <c r="E28" s="12"/>
      <c r="F28" s="12"/>
    </row>
  </sheetData>
  <sheetProtection algorithmName="SHA-512" hashValue="LiCZoUDnqDwntFSVs2K1LXkLye9eABWbVY9AeN726dqKTZOznkg6IF9KzUBZdMB8UA+rIKwsxdgqsAUqxMrlog==" saltValue="6tppeGdOPHvQ8laQNHhfUw==" spinCount="100000" sheet="1" objects="1" scenarios="1"/>
  <dataValidations count="1">
    <dataValidation operator="lessThanOrEqual" allowBlank="1" showInputMessage="1" showErrorMessage="1" sqref="C39 C21 C34" xr:uid="{A489833A-DE15-4585-8DCD-5A7B4E20ED15}"/>
  </dataValidations>
  <pageMargins left="0.70866141732283472" right="0.70866141732283472" top="0.74803149606299213" bottom="0.74803149606299213" header="0.31496062992125984" footer="0.31496062992125984"/>
  <pageSetup paperSize="9" scale="57" orientation="portrait" r:id="rId1"/>
  <headerFooter>
    <oddHeader>&amp;L&amp;"Open Sans,Vet"&amp;12&amp;F</oddHeader>
    <oddFooter>&amp;L&amp;"Open Sans,Vet"&amp;12&amp;A&amp;"-,Standaard"&amp;11
&amp;R&amp;"Open Sans,Vet"&amp;12&amp;P van &amp;N</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88BF80-3695-4A31-A892-B48247F9AA41}">
  <sheetPr>
    <pageSetUpPr fitToPage="1"/>
  </sheetPr>
  <dimension ref="A1:S71"/>
  <sheetViews>
    <sheetView showGridLines="0" zoomScale="85" zoomScaleNormal="85" workbookViewId="0">
      <selection activeCell="G9" sqref="G9"/>
    </sheetView>
  </sheetViews>
  <sheetFormatPr defaultColWidth="9.109375" defaultRowHeight="15" x14ac:dyDescent="0.3"/>
  <cols>
    <col min="1" max="2" width="2.6640625" style="9" customWidth="1"/>
    <col min="3" max="3" width="63.88671875" style="9" customWidth="1"/>
    <col min="4" max="4" width="29.109375" style="10" customWidth="1"/>
    <col min="5" max="7" width="30.6640625" style="10" customWidth="1"/>
    <col min="8" max="8" width="39" style="9" customWidth="1"/>
    <col min="9" max="13" width="2.6640625" style="9" customWidth="1"/>
    <col min="14" max="14" width="64.6640625" style="9" bestFit="1" customWidth="1"/>
    <col min="15" max="16384" width="9.109375" style="9"/>
  </cols>
  <sheetData>
    <row r="1" spans="3:19" s="1" customFormat="1" ht="15" customHeight="1" x14ac:dyDescent="0.35">
      <c r="J1" s="2"/>
      <c r="K1" s="24"/>
    </row>
    <row r="2" spans="3:19" s="1" customFormat="1" ht="15" customHeight="1" thickBot="1" x14ac:dyDescent="0.4">
      <c r="J2" s="2"/>
      <c r="K2" s="24"/>
    </row>
    <row r="3" spans="3:19" s="25" customFormat="1" ht="75" customHeight="1" thickBot="1" x14ac:dyDescent="0.4">
      <c r="C3" s="91" t="s">
        <v>155</v>
      </c>
      <c r="D3" s="120"/>
      <c r="E3" s="120"/>
      <c r="F3" s="120"/>
      <c r="G3" s="120"/>
      <c r="H3" s="120"/>
      <c r="K3" s="24"/>
    </row>
    <row r="4" spans="3:19" s="1" customFormat="1" ht="16.5" customHeight="1" x14ac:dyDescent="0.35">
      <c r="J4" s="2"/>
      <c r="K4" s="24"/>
    </row>
    <row r="5" spans="3:19" s="1" customFormat="1" ht="16.5" customHeight="1" thickBot="1" x14ac:dyDescent="0.4">
      <c r="J5" s="2"/>
      <c r="K5" s="24"/>
      <c r="N5" s="11"/>
    </row>
    <row r="6" spans="3:19" s="1" customFormat="1" ht="16.5" customHeight="1" thickBot="1" x14ac:dyDescent="0.4">
      <c r="C6" s="56" t="s">
        <v>35</v>
      </c>
      <c r="D6" s="57"/>
      <c r="E6" s="57"/>
      <c r="F6" s="94"/>
      <c r="H6" s="28"/>
      <c r="J6" s="2"/>
      <c r="K6" s="24"/>
    </row>
    <row r="7" spans="3:19" s="1" customFormat="1" ht="16.5" customHeight="1" thickBot="1" x14ac:dyDescent="0.4">
      <c r="C7" s="181" t="s">
        <v>36</v>
      </c>
      <c r="D7" s="247" t="s">
        <v>37</v>
      </c>
      <c r="E7" s="247"/>
      <c r="F7" s="248"/>
      <c r="J7" s="2"/>
      <c r="K7" s="24"/>
    </row>
    <row r="8" spans="3:19" s="1" customFormat="1" ht="16.5" customHeight="1" thickBot="1" x14ac:dyDescent="0.4">
      <c r="C8" s="181" t="s">
        <v>38</v>
      </c>
      <c r="D8" s="247" t="s">
        <v>39</v>
      </c>
      <c r="E8" s="247"/>
      <c r="F8" s="248"/>
      <c r="J8" s="2"/>
      <c r="K8" s="24"/>
    </row>
    <row r="9" spans="3:19" s="1" customFormat="1" ht="16.5" customHeight="1" thickBot="1" x14ac:dyDescent="0.4">
      <c r="C9" s="181" t="s">
        <v>40</v>
      </c>
      <c r="D9" s="247" t="s">
        <v>41</v>
      </c>
      <c r="E9" s="247"/>
      <c r="F9" s="248"/>
      <c r="J9" s="2"/>
      <c r="K9" s="24"/>
      <c r="P9" s="26"/>
      <c r="S9" s="9"/>
    </row>
    <row r="10" spans="3:19" s="1" customFormat="1" ht="16.5" customHeight="1" thickBot="1" x14ac:dyDescent="0.4">
      <c r="C10" s="181" t="s">
        <v>42</v>
      </c>
      <c r="D10" s="247" t="s">
        <v>43</v>
      </c>
      <c r="E10" s="247"/>
      <c r="F10" s="248"/>
      <c r="J10" s="2"/>
      <c r="K10" s="24"/>
    </row>
    <row r="11" spans="3:19" s="1" customFormat="1" ht="16.5" customHeight="1" thickBot="1" x14ac:dyDescent="0.4">
      <c r="C11" s="58"/>
      <c r="D11" s="60"/>
      <c r="E11" s="60"/>
      <c r="F11" s="96"/>
      <c r="J11" s="2"/>
      <c r="K11" s="24"/>
    </row>
    <row r="12" spans="3:19" s="1" customFormat="1" ht="16.5" customHeight="1" x14ac:dyDescent="0.35">
      <c r="I12" s="5"/>
      <c r="J12" s="61"/>
      <c r="K12" s="24"/>
    </row>
    <row r="13" spans="3:19" s="1" customFormat="1" ht="16.5" customHeight="1" thickBot="1" x14ac:dyDescent="0.4">
      <c r="K13" s="24"/>
    </row>
    <row r="14" spans="3:19" s="19" customFormat="1" ht="16.5" customHeight="1" thickBot="1" x14ac:dyDescent="0.4">
      <c r="C14" s="62" t="s">
        <v>134</v>
      </c>
      <c r="D14" s="182"/>
      <c r="E14" s="182"/>
      <c r="F14" s="182"/>
      <c r="G14" s="183"/>
      <c r="H14" s="9"/>
      <c r="K14" s="24"/>
    </row>
    <row r="15" spans="3:19" ht="16.5" customHeight="1" thickBot="1" x14ac:dyDescent="0.4">
      <c r="C15" s="184" t="s">
        <v>0</v>
      </c>
      <c r="D15" s="73" t="s">
        <v>127</v>
      </c>
      <c r="E15" s="73" t="s">
        <v>114</v>
      </c>
      <c r="F15" s="73" t="s">
        <v>97</v>
      </c>
      <c r="G15" s="73" t="s">
        <v>116</v>
      </c>
      <c r="K15" s="24"/>
    </row>
    <row r="16" spans="3:19" ht="60.75" customHeight="1" thickBot="1" x14ac:dyDescent="0.4">
      <c r="C16" s="185" t="s">
        <v>126</v>
      </c>
      <c r="D16" s="37" t="s">
        <v>109</v>
      </c>
      <c r="E16" s="38"/>
      <c r="F16" s="186">
        <f>'Formulier logistiek'!$K$31</f>
        <v>3600</v>
      </c>
      <c r="G16" s="187">
        <f>IF($D$16="1. Er wordt geen gebruik gemaakt van een separate ontvangstlocatie", 0, F16*$E$16)</f>
        <v>0</v>
      </c>
      <c r="K16" s="24"/>
      <c r="N16" s="1"/>
    </row>
    <row r="17" spans="3:11" ht="60.75" customHeight="1" thickBot="1" x14ac:dyDescent="0.4">
      <c r="C17" s="185" t="s">
        <v>106</v>
      </c>
      <c r="D17" s="188" t="str">
        <f>$D$16</f>
        <v>1. Er wordt geen gebruik gemaakt van een separate ontvangstlocatie</v>
      </c>
      <c r="E17" s="38"/>
      <c r="F17" s="186">
        <f>F16</f>
        <v>3600</v>
      </c>
      <c r="G17" s="187">
        <f>IF(D17="1. Er wordt geen gebruik gemaakt van een separate ontvangstlocatie", 0, F17*$E$17)</f>
        <v>0</v>
      </c>
      <c r="K17" s="24"/>
    </row>
    <row r="18" spans="3:11" ht="16.5" customHeight="1" thickBot="1" x14ac:dyDescent="0.4">
      <c r="C18" s="189"/>
      <c r="D18" s="190"/>
      <c r="E18" s="191"/>
      <c r="F18" s="192"/>
      <c r="G18" s="193"/>
      <c r="K18" s="24"/>
    </row>
    <row r="19" spans="3:11" ht="16.5" customHeight="1" thickBot="1" x14ac:dyDescent="0.4">
      <c r="C19" s="211"/>
      <c r="D19" s="169"/>
      <c r="E19" s="169"/>
      <c r="F19" s="169"/>
      <c r="G19" s="9"/>
      <c r="K19" s="24"/>
    </row>
    <row r="20" spans="3:11" s="20" customFormat="1" ht="16.5" customHeight="1" thickBot="1" x14ac:dyDescent="0.4">
      <c r="C20" s="62" t="s">
        <v>177</v>
      </c>
      <c r="D20" s="162"/>
      <c r="E20" s="162"/>
      <c r="F20" s="162"/>
      <c r="G20" s="9"/>
      <c r="H20" s="9"/>
      <c r="K20" s="24"/>
    </row>
    <row r="21" spans="3:11" ht="16.5" customHeight="1" thickBot="1" x14ac:dyDescent="0.4">
      <c r="C21" s="235" t="s">
        <v>179</v>
      </c>
      <c r="D21" s="236"/>
      <c r="E21" s="236"/>
      <c r="F21" s="239"/>
      <c r="G21" s="9"/>
      <c r="K21" s="24"/>
    </row>
    <row r="22" spans="3:11" ht="16.5" customHeight="1" thickBot="1" x14ac:dyDescent="0.4">
      <c r="C22" s="235" t="s">
        <v>180</v>
      </c>
      <c r="D22" s="236"/>
      <c r="E22" s="236"/>
      <c r="F22" s="239"/>
      <c r="G22" s="9"/>
      <c r="K22" s="24"/>
    </row>
    <row r="23" spans="3:11" ht="16.5" customHeight="1" thickBot="1" x14ac:dyDescent="0.4">
      <c r="C23" s="235" t="s">
        <v>181</v>
      </c>
      <c r="D23" s="236"/>
      <c r="E23" s="236"/>
      <c r="F23" s="239"/>
      <c r="G23" s="9"/>
      <c r="K23" s="24"/>
    </row>
    <row r="24" spans="3:11" ht="16.5" customHeight="1" thickBot="1" x14ac:dyDescent="0.4">
      <c r="C24" s="235" t="s">
        <v>182</v>
      </c>
      <c r="D24" s="236"/>
      <c r="E24" s="236"/>
      <c r="F24" s="239"/>
      <c r="G24" s="9"/>
      <c r="K24" s="24"/>
    </row>
    <row r="25" spans="3:11" ht="16.5" customHeight="1" thickBot="1" x14ac:dyDescent="0.4">
      <c r="C25" s="62" t="s">
        <v>176</v>
      </c>
      <c r="D25" s="162"/>
      <c r="E25" s="162"/>
      <c r="F25" s="162"/>
      <c r="G25" s="9"/>
      <c r="K25" s="24"/>
    </row>
    <row r="26" spans="3:11" ht="75" customHeight="1" x14ac:dyDescent="0.35">
      <c r="C26" s="260" t="s">
        <v>208</v>
      </c>
      <c r="D26" s="260"/>
      <c r="E26" s="260"/>
      <c r="F26" s="260"/>
      <c r="G26" s="9"/>
      <c r="K26" s="24"/>
    </row>
    <row r="27" spans="3:11" ht="16.5" customHeight="1" x14ac:dyDescent="0.35">
      <c r="C27" s="211"/>
      <c r="D27" s="169"/>
      <c r="E27" s="169"/>
      <c r="F27" s="169"/>
      <c r="G27" s="169"/>
      <c r="K27" s="24"/>
    </row>
    <row r="28" spans="3:11" ht="16.5" customHeight="1" thickBot="1" x14ac:dyDescent="0.4">
      <c r="C28" s="211"/>
      <c r="D28" s="169"/>
      <c r="E28" s="169"/>
      <c r="F28" s="169"/>
      <c r="G28" s="169"/>
      <c r="K28" s="24"/>
    </row>
    <row r="29" spans="3:11" s="20" customFormat="1" ht="16.5" customHeight="1" thickBot="1" x14ac:dyDescent="0.4">
      <c r="C29" s="62" t="s">
        <v>140</v>
      </c>
      <c r="D29" s="162"/>
      <c r="E29" s="162"/>
      <c r="F29" s="162"/>
      <c r="G29" s="196"/>
      <c r="H29" s="9"/>
      <c r="K29" s="24"/>
    </row>
    <row r="30" spans="3:11" s="20" customFormat="1" ht="30" customHeight="1" thickBot="1" x14ac:dyDescent="0.4">
      <c r="C30" s="184" t="s">
        <v>0</v>
      </c>
      <c r="D30" s="73"/>
      <c r="E30" s="73" t="s">
        <v>114</v>
      </c>
      <c r="F30" s="73" t="s">
        <v>97</v>
      </c>
      <c r="G30" s="73" t="s">
        <v>116</v>
      </c>
      <c r="H30" s="9"/>
      <c r="K30" s="24"/>
    </row>
    <row r="31" spans="3:11" ht="16.5" customHeight="1" thickBot="1" x14ac:dyDescent="0.4">
      <c r="C31" s="198" t="s">
        <v>140</v>
      </c>
      <c r="D31" s="237"/>
      <c r="E31" s="38"/>
      <c r="F31" s="199">
        <f>'Formulier logistiek'!$K$31</f>
        <v>3600</v>
      </c>
      <c r="G31" s="31">
        <f>E31*F31</f>
        <v>0</v>
      </c>
      <c r="H31" s="200"/>
      <c r="K31" s="24"/>
    </row>
    <row r="32" spans="3:11" ht="16.5" customHeight="1" thickBot="1" x14ac:dyDescent="0.4">
      <c r="C32" s="185" t="s">
        <v>98</v>
      </c>
      <c r="D32" s="237"/>
      <c r="E32" s="38"/>
      <c r="F32" s="238">
        <v>1000</v>
      </c>
      <c r="G32" s="31">
        <f t="shared" ref="G32" si="0">E32*F32</f>
        <v>0</v>
      </c>
      <c r="H32" s="200"/>
      <c r="K32" s="24"/>
    </row>
    <row r="33" spans="1:14" s="20" customFormat="1" ht="16.5" customHeight="1" thickBot="1" x14ac:dyDescent="0.4">
      <c r="C33" s="198" t="s">
        <v>164</v>
      </c>
      <c r="D33" s="208">
        <f>(100%-$F$21)</f>
        <v>1</v>
      </c>
      <c r="E33" s="209">
        <f>$D$33*$D$53</f>
        <v>40.85</v>
      </c>
      <c r="F33" s="254">
        <f>'Formulier logistiek'!$K$31</f>
        <v>3600</v>
      </c>
      <c r="G33" s="31">
        <f>E33*$F$33</f>
        <v>147060</v>
      </c>
      <c r="H33" s="200"/>
      <c r="K33" s="24"/>
      <c r="N33" s="9"/>
    </row>
    <row r="34" spans="1:14" s="20" customFormat="1" ht="16.5" customHeight="1" thickBot="1" x14ac:dyDescent="0.4">
      <c r="C34" s="198" t="s">
        <v>165</v>
      </c>
      <c r="D34" s="208">
        <f>(100%-$F$22)</f>
        <v>1</v>
      </c>
      <c r="E34" s="209">
        <f>$D$34*$D$54</f>
        <v>90.21</v>
      </c>
      <c r="F34" s="255"/>
      <c r="G34" s="31">
        <f t="shared" ref="G34:G40" si="1">E34*$F$33</f>
        <v>324756</v>
      </c>
      <c r="H34" s="200"/>
      <c r="K34" s="24"/>
      <c r="N34" s="9"/>
    </row>
    <row r="35" spans="1:14" s="20" customFormat="1" ht="16.5" customHeight="1" thickBot="1" x14ac:dyDescent="0.4">
      <c r="C35" s="198" t="s">
        <v>166</v>
      </c>
      <c r="D35" s="208">
        <f>(100%-$F$23)</f>
        <v>1</v>
      </c>
      <c r="E35" s="209">
        <f>$D$35*$D$55</f>
        <v>92.61</v>
      </c>
      <c r="F35" s="255"/>
      <c r="G35" s="31">
        <f t="shared" si="1"/>
        <v>333396</v>
      </c>
      <c r="H35" s="200"/>
      <c r="K35" s="24"/>
      <c r="N35" s="9"/>
    </row>
    <row r="36" spans="1:14" s="20" customFormat="1" ht="16.5" customHeight="1" thickBot="1" x14ac:dyDescent="0.4">
      <c r="C36" s="198" t="s">
        <v>167</v>
      </c>
      <c r="D36" s="208">
        <f>(100%-$F$24)</f>
        <v>1</v>
      </c>
      <c r="E36" s="209">
        <f>$D$36*$D$56</f>
        <v>120.71</v>
      </c>
      <c r="F36" s="255"/>
      <c r="G36" s="31">
        <f t="shared" si="1"/>
        <v>434556</v>
      </c>
      <c r="H36" s="200"/>
      <c r="K36" s="24"/>
      <c r="N36" s="9"/>
    </row>
    <row r="37" spans="1:14" s="20" customFormat="1" ht="16.5" customHeight="1" thickBot="1" x14ac:dyDescent="0.4">
      <c r="C37" s="198" t="s">
        <v>172</v>
      </c>
      <c r="D37" s="239"/>
      <c r="E37" s="209">
        <f>$D$37*$D$57</f>
        <v>0</v>
      </c>
      <c r="F37" s="255"/>
      <c r="G37" s="31">
        <f t="shared" si="1"/>
        <v>0</v>
      </c>
      <c r="K37" s="24"/>
      <c r="N37" s="9"/>
    </row>
    <row r="38" spans="1:14" s="20" customFormat="1" ht="16.5" customHeight="1" thickBot="1" x14ac:dyDescent="0.4">
      <c r="C38" s="203" t="s">
        <v>173</v>
      </c>
      <c r="D38" s="239"/>
      <c r="E38" s="209">
        <f>$D$38*$D$58</f>
        <v>0</v>
      </c>
      <c r="F38" s="255"/>
      <c r="G38" s="31">
        <f t="shared" si="1"/>
        <v>0</v>
      </c>
      <c r="H38" s="200"/>
      <c r="K38" s="24"/>
      <c r="N38" s="9"/>
    </row>
    <row r="39" spans="1:14" s="20" customFormat="1" ht="16.5" customHeight="1" thickBot="1" x14ac:dyDescent="0.4">
      <c r="C39" s="203" t="s">
        <v>174</v>
      </c>
      <c r="D39" s="239"/>
      <c r="E39" s="209">
        <f>$D$39*$D$59</f>
        <v>0</v>
      </c>
      <c r="F39" s="255"/>
      <c r="G39" s="31">
        <f t="shared" si="1"/>
        <v>0</v>
      </c>
      <c r="H39" s="200"/>
      <c r="K39" s="24"/>
      <c r="N39" s="9"/>
    </row>
    <row r="40" spans="1:14" s="20" customFormat="1" ht="16.5" customHeight="1" thickBot="1" x14ac:dyDescent="0.4">
      <c r="C40" s="203" t="s">
        <v>175</v>
      </c>
      <c r="D40" s="239"/>
      <c r="E40" s="209">
        <f>$D$40*$D$60</f>
        <v>0</v>
      </c>
      <c r="F40" s="256"/>
      <c r="G40" s="31">
        <f t="shared" si="1"/>
        <v>0</v>
      </c>
      <c r="H40" s="200"/>
      <c r="K40" s="24"/>
      <c r="N40" s="9"/>
    </row>
    <row r="41" spans="1:14" ht="16.5" customHeight="1" thickBot="1" x14ac:dyDescent="0.4">
      <c r="C41" s="204"/>
      <c r="D41" s="205"/>
      <c r="E41" s="206"/>
      <c r="F41" s="159"/>
      <c r="G41" s="39"/>
      <c r="H41" s="210">
        <f>SUM(H40:H40)</f>
        <v>0</v>
      </c>
      <c r="K41" s="24"/>
    </row>
    <row r="42" spans="1:14" s="14" customFormat="1" ht="90" customHeight="1" x14ac:dyDescent="0.35">
      <c r="A42" s="20"/>
      <c r="B42" s="20"/>
      <c r="C42" s="250" t="s">
        <v>218</v>
      </c>
      <c r="D42" s="250"/>
      <c r="E42" s="250"/>
      <c r="F42" s="250"/>
      <c r="G42" s="250"/>
      <c r="H42" s="200"/>
      <c r="I42" s="20"/>
      <c r="J42" s="20"/>
      <c r="K42" s="24"/>
      <c r="N42" s="9"/>
    </row>
    <row r="43" spans="1:14" ht="16.5" customHeight="1" x14ac:dyDescent="0.35">
      <c r="C43" s="211"/>
      <c r="D43" s="169"/>
      <c r="E43" s="169"/>
      <c r="F43" s="169"/>
      <c r="G43" s="169"/>
      <c r="K43" s="24"/>
    </row>
    <row r="44" spans="1:14" ht="16.5" customHeight="1" thickBot="1" x14ac:dyDescent="0.4">
      <c r="C44" s="211"/>
      <c r="D44" s="169"/>
      <c r="E44" s="169"/>
      <c r="F44" s="169"/>
      <c r="G44" s="169"/>
      <c r="K44" s="24"/>
    </row>
    <row r="45" spans="1:14" ht="16.5" customHeight="1" thickBot="1" x14ac:dyDescent="0.4">
      <c r="C45" s="212" t="s">
        <v>137</v>
      </c>
      <c r="D45" s="213"/>
      <c r="E45" s="169"/>
      <c r="F45" s="9"/>
      <c r="G45" s="9"/>
      <c r="K45" s="24"/>
    </row>
    <row r="46" spans="1:14" ht="16.5" customHeight="1" thickBot="1" x14ac:dyDescent="0.4">
      <c r="C46" s="198" t="s">
        <v>139</v>
      </c>
      <c r="D46" s="31">
        <f>4*SUM($G$16:$G$17)</f>
        <v>0</v>
      </c>
      <c r="E46" s="169"/>
      <c r="F46" s="9"/>
      <c r="G46" s="9"/>
      <c r="K46" s="24"/>
    </row>
    <row r="47" spans="1:14" ht="16.5" customHeight="1" thickBot="1" x14ac:dyDescent="0.4">
      <c r="C47" s="198" t="s">
        <v>140</v>
      </c>
      <c r="D47" s="31" cm="1">
        <f t="array" ref="D47">SUM($G$31:$G$32*4,($G$33:$G$40))</f>
        <v>1239768</v>
      </c>
      <c r="E47" s="169"/>
      <c r="F47" s="9"/>
      <c r="G47" s="9"/>
      <c r="K47" s="24"/>
    </row>
    <row r="48" spans="1:14" ht="16.5" customHeight="1" thickBot="1" x14ac:dyDescent="0.4">
      <c r="C48" s="212" t="s">
        <v>138</v>
      </c>
      <c r="D48" s="214">
        <f>SUM($D$46:$D$47)</f>
        <v>1239768</v>
      </c>
      <c r="E48" s="169"/>
      <c r="F48" s="9"/>
      <c r="G48" s="9"/>
      <c r="K48" s="24"/>
    </row>
    <row r="49" spans="1:11" ht="16.5" customHeight="1" x14ac:dyDescent="0.35">
      <c r="C49" s="211"/>
      <c r="D49" s="169"/>
      <c r="E49" s="169"/>
      <c r="F49" s="169"/>
      <c r="G49" s="169"/>
      <c r="K49" s="24"/>
    </row>
    <row r="50" spans="1:11" ht="16.5" customHeight="1" thickBot="1" x14ac:dyDescent="0.4">
      <c r="C50" s="211"/>
      <c r="D50" s="169"/>
      <c r="E50" s="169"/>
      <c r="F50" s="169"/>
      <c r="G50" s="169"/>
      <c r="K50" s="24"/>
    </row>
    <row r="51" spans="1:11" s="21" customFormat="1" ht="16.5" customHeight="1" thickBot="1" x14ac:dyDescent="0.4">
      <c r="C51" s="62" t="s">
        <v>152</v>
      </c>
      <c r="D51" s="215"/>
      <c r="F51" s="10"/>
      <c r="G51" s="10"/>
      <c r="K51" s="24"/>
    </row>
    <row r="52" spans="1:11" s="21" customFormat="1" ht="16.5" customHeight="1" thickBot="1" x14ac:dyDescent="0.4">
      <c r="C52" s="184" t="s">
        <v>0</v>
      </c>
      <c r="D52" s="216" t="s">
        <v>115</v>
      </c>
      <c r="F52" s="10"/>
      <c r="G52" s="10"/>
      <c r="K52" s="24"/>
    </row>
    <row r="53" spans="1:11" ht="16.5" customHeight="1" thickBot="1" x14ac:dyDescent="0.4">
      <c r="C53" s="217" t="s">
        <v>118</v>
      </c>
      <c r="D53" s="218">
        <v>40.85</v>
      </c>
      <c r="K53" s="24"/>
    </row>
    <row r="54" spans="1:11" ht="16.5" customHeight="1" thickBot="1" x14ac:dyDescent="0.4">
      <c r="C54" s="217" t="s">
        <v>119</v>
      </c>
      <c r="D54" s="218">
        <v>90.21</v>
      </c>
      <c r="K54" s="24"/>
    </row>
    <row r="55" spans="1:11" ht="16.5" customHeight="1" thickBot="1" x14ac:dyDescent="0.4">
      <c r="C55" s="217" t="s">
        <v>120</v>
      </c>
      <c r="D55" s="218">
        <v>92.61</v>
      </c>
      <c r="K55" s="24"/>
    </row>
    <row r="56" spans="1:11" ht="16.5" customHeight="1" thickBot="1" x14ac:dyDescent="0.4">
      <c r="C56" s="217" t="s">
        <v>121</v>
      </c>
      <c r="D56" s="218">
        <v>120.71</v>
      </c>
      <c r="K56" s="24"/>
    </row>
    <row r="57" spans="1:11" s="21" customFormat="1" ht="16.5" customHeight="1" thickBot="1" x14ac:dyDescent="0.4">
      <c r="C57" s="217" t="s">
        <v>122</v>
      </c>
      <c r="D57" s="218">
        <v>18.388605829474407</v>
      </c>
      <c r="E57" s="10"/>
      <c r="F57" s="10"/>
      <c r="G57" s="220"/>
      <c r="K57" s="24"/>
    </row>
    <row r="58" spans="1:11" s="21" customFormat="1" ht="16.5" customHeight="1" thickBot="1" x14ac:dyDescent="0.4">
      <c r="C58" s="217" t="s">
        <v>123</v>
      </c>
      <c r="D58" s="218">
        <v>39.04730143505261</v>
      </c>
      <c r="E58" s="10"/>
      <c r="F58" s="9"/>
      <c r="G58" s="220"/>
      <c r="K58" s="24"/>
    </row>
    <row r="59" spans="1:11" s="21" customFormat="1" ht="16.5" customHeight="1" thickBot="1" x14ac:dyDescent="0.4">
      <c r="C59" s="217" t="s">
        <v>124</v>
      </c>
      <c r="D59" s="218">
        <v>62.649072802195214</v>
      </c>
      <c r="E59" s="10"/>
      <c r="F59" s="9"/>
      <c r="G59" s="220"/>
      <c r="K59" s="24"/>
    </row>
    <row r="60" spans="1:11" s="21" customFormat="1" ht="16.5" customHeight="1" thickBot="1" x14ac:dyDescent="0.4">
      <c r="C60" s="217" t="s">
        <v>125</v>
      </c>
      <c r="D60" s="218">
        <v>91.470736449722509</v>
      </c>
      <c r="E60" s="9"/>
      <c r="F60" s="220"/>
      <c r="G60" s="220"/>
      <c r="K60" s="24"/>
    </row>
    <row r="61" spans="1:11" s="21" customFormat="1" ht="16.5" customHeight="1" thickBot="1" x14ac:dyDescent="0.4">
      <c r="C61" s="221"/>
      <c r="D61" s="222"/>
      <c r="F61" s="220"/>
      <c r="G61" s="220"/>
      <c r="K61" s="24"/>
    </row>
    <row r="62" spans="1:11" s="21" customFormat="1" ht="15" customHeight="1" x14ac:dyDescent="0.35">
      <c r="C62" s="220"/>
      <c r="D62" s="223"/>
      <c r="E62" s="219"/>
      <c r="F62" s="220"/>
      <c r="G62" s="220"/>
      <c r="K62" s="24"/>
    </row>
    <row r="63" spans="1:11" s="21" customFormat="1" ht="15" customHeight="1" x14ac:dyDescent="0.35">
      <c r="C63" s="220"/>
      <c r="D63" s="223"/>
      <c r="E63" s="219"/>
      <c r="F63" s="220"/>
      <c r="G63" s="220"/>
      <c r="K63" s="24"/>
    </row>
    <row r="64" spans="1:11" x14ac:dyDescent="0.35">
      <c r="A64" s="24"/>
      <c r="B64" s="24"/>
      <c r="C64" s="24"/>
      <c r="D64" s="24"/>
      <c r="E64" s="24"/>
      <c r="F64" s="24"/>
      <c r="G64" s="24"/>
      <c r="H64" s="24"/>
      <c r="I64" s="24"/>
      <c r="J64" s="24"/>
      <c r="K64" s="24"/>
    </row>
    <row r="65" spans="3:4" hidden="1" x14ac:dyDescent="0.3"/>
    <row r="66" spans="3:4" hidden="1" x14ac:dyDescent="0.3"/>
    <row r="67" spans="3:4" hidden="1" x14ac:dyDescent="0.3">
      <c r="C67" s="87" t="s">
        <v>4</v>
      </c>
      <c r="D67" s="87"/>
    </row>
    <row r="68" spans="3:4" hidden="1" x14ac:dyDescent="0.3">
      <c r="C68" s="225" t="s">
        <v>109</v>
      </c>
    </row>
    <row r="69" spans="3:4" hidden="1" x14ac:dyDescent="0.3">
      <c r="C69" s="225" t="s">
        <v>110</v>
      </c>
    </row>
    <row r="70" spans="3:4" hidden="1" x14ac:dyDescent="0.3"/>
    <row r="71" spans="3:4" hidden="1" x14ac:dyDescent="0.3"/>
  </sheetData>
  <sheetProtection algorithmName="SHA-512" hashValue="TqEPtxooaQggefwNX3r9EY4FamnG9xPDnqIeIOMtsQ/+yAEe1Vc5w7HZP+ArPmNmh2WAbfhswOq1ZevvjydFbA==" saltValue="zH49DIJJe3mjD8kN860YaQ==" spinCount="100000" sheet="1" objects="1" scenarios="1"/>
  <protectedRanges>
    <protectedRange sqref="D11:D12" name="gegevens_1_2_1_1"/>
    <protectedRange sqref="D7:D10" name="gegevens_1_2_1_1_1"/>
  </protectedRanges>
  <mergeCells count="7">
    <mergeCell ref="C42:G42"/>
    <mergeCell ref="D7:F7"/>
    <mergeCell ref="D8:F8"/>
    <mergeCell ref="D9:F9"/>
    <mergeCell ref="D10:F10"/>
    <mergeCell ref="F33:F40"/>
    <mergeCell ref="C26:F26"/>
  </mergeCells>
  <dataValidations count="3">
    <dataValidation type="list" operator="lessThanOrEqual" allowBlank="1" showInputMessage="1" showErrorMessage="1" sqref="D16" xr:uid="{F3D9F369-45EA-49E5-82CC-7E27CE612313}">
      <formula1>$C$68:$C$69</formula1>
    </dataValidation>
    <dataValidation operator="lessThanOrEqual" allowBlank="1" showInputMessage="1" showErrorMessage="1" sqref="C52:C63 C15:G15 D57:D61 E62:F63 D52 F52:G52 F41 E30:G30 D27:F28 C33:C41 F31:F33 G31:G41 C43:G44 C49:G50 F60:F61 D45:E48 C30:C31 C19:G19 G21:G28 C21:E24 C26:C28 D41" xr:uid="{68C78F3C-F35F-4F9C-ACDF-65C4272B3D6A}"/>
    <dataValidation type="decimal" operator="greaterThanOrEqual" allowBlank="1" showInputMessage="1" showErrorMessage="1" sqref="F21:F24 D37:D40" xr:uid="{8B48BBDE-FDDA-4A21-9B96-349FCF06CD4A}">
      <formula1>0.5</formula1>
    </dataValidation>
  </dataValidations>
  <pageMargins left="0.70866141732283472" right="0.70866141732283472" top="0.74803149606299213" bottom="0.74803149606299213" header="0.31496062992125984" footer="0.31496062992125984"/>
  <pageSetup paperSize="9" scale="37" orientation="portrait" r:id="rId1"/>
  <headerFooter>
    <oddHeader>&amp;L&amp;"Open Sans,Vet"&amp;12&amp;F</oddHeader>
    <oddFooter>&amp;L&amp;"Open Sans,Vet"&amp;12&amp;A&amp;R&amp;"Open Sans,Vet"&amp;12&amp;P van &amp;N</oddFooter>
  </headerFooter>
  <ignoredErrors>
    <ignoredError sqref="D33 D34:D36" unlockedFormula="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508BBD-651B-44EF-9E75-99432A1CC2C3}">
  <sheetPr>
    <pageSetUpPr fitToPage="1"/>
  </sheetPr>
  <dimension ref="A1:Y23"/>
  <sheetViews>
    <sheetView showGridLines="0" zoomScale="85" zoomScaleNormal="85" workbookViewId="0">
      <selection activeCell="F35" sqref="F35"/>
    </sheetView>
  </sheetViews>
  <sheetFormatPr defaultColWidth="9.109375" defaultRowHeight="15" x14ac:dyDescent="0.35"/>
  <cols>
    <col min="1" max="2" width="2.6640625" style="9" customWidth="1"/>
    <col min="3" max="3" width="19.5546875" style="9" customWidth="1"/>
    <col min="4" max="4" width="42.109375" style="9" customWidth="1"/>
    <col min="5" max="7" width="30.6640625" style="10" customWidth="1"/>
    <col min="8" max="8" width="2.6640625" style="1" customWidth="1"/>
    <col min="9" max="10" width="2.6640625" style="2" customWidth="1"/>
    <col min="11" max="12" width="2.6640625" style="1" customWidth="1"/>
    <col min="13" max="16384" width="9.109375" style="9"/>
  </cols>
  <sheetData>
    <row r="1" spans="3:25" s="1" customFormat="1" x14ac:dyDescent="0.35">
      <c r="I1" s="2"/>
      <c r="J1" s="24"/>
      <c r="M1" s="9"/>
      <c r="N1" s="9"/>
      <c r="O1" s="9"/>
      <c r="P1" s="9"/>
      <c r="Q1" s="9"/>
      <c r="R1" s="9"/>
      <c r="S1" s="9"/>
    </row>
    <row r="2" spans="3:25" s="1" customFormat="1" ht="15.6" thickBot="1" x14ac:dyDescent="0.4">
      <c r="I2" s="2"/>
      <c r="J2" s="24"/>
      <c r="M2" s="9"/>
      <c r="N2" s="9"/>
      <c r="O2" s="9"/>
      <c r="P2" s="9"/>
      <c r="Q2" s="9"/>
      <c r="R2" s="9"/>
      <c r="S2" s="9"/>
    </row>
    <row r="3" spans="3:25" s="25" customFormat="1" ht="75" customHeight="1" thickBot="1" x14ac:dyDescent="0.4">
      <c r="C3" s="241" t="s">
        <v>154</v>
      </c>
      <c r="D3" s="242"/>
      <c r="E3" s="242"/>
      <c r="F3" s="242"/>
      <c r="G3" s="243"/>
      <c r="H3" s="1"/>
      <c r="I3" s="2"/>
      <c r="J3" s="24"/>
      <c r="K3" s="1"/>
      <c r="L3" s="1"/>
      <c r="M3" s="9"/>
      <c r="N3" s="9"/>
      <c r="O3" s="9"/>
      <c r="P3" s="9"/>
      <c r="Q3" s="9"/>
      <c r="R3" s="9"/>
      <c r="S3" s="9"/>
    </row>
    <row r="4" spans="3:25" s="1" customFormat="1" ht="16.5" customHeight="1" x14ac:dyDescent="0.35">
      <c r="I4" s="2"/>
      <c r="J4" s="24"/>
      <c r="M4" s="9"/>
      <c r="N4" s="9"/>
      <c r="O4" s="9"/>
      <c r="P4" s="9"/>
      <c r="Q4" s="9"/>
      <c r="R4" s="9"/>
      <c r="S4" s="9"/>
    </row>
    <row r="5" spans="3:25" s="1" customFormat="1" ht="16.5" customHeight="1" thickBot="1" x14ac:dyDescent="0.4">
      <c r="I5" s="2"/>
      <c r="J5" s="24"/>
      <c r="M5" s="9"/>
      <c r="N5" s="9"/>
      <c r="O5" s="9"/>
      <c r="P5" s="9"/>
      <c r="Q5" s="9"/>
      <c r="R5" s="9"/>
      <c r="S5" s="9"/>
    </row>
    <row r="6" spans="3:25" s="1" customFormat="1" ht="16.5" customHeight="1" thickBot="1" x14ac:dyDescent="0.4">
      <c r="C6" s="56" t="s">
        <v>35</v>
      </c>
      <c r="D6" s="57"/>
      <c r="E6" s="57"/>
      <c r="F6" s="57"/>
      <c r="G6" s="94"/>
      <c r="J6" s="24"/>
    </row>
    <row r="7" spans="3:25" s="1" customFormat="1" ht="16.5" customHeight="1" thickBot="1" x14ac:dyDescent="0.4">
      <c r="C7" s="244" t="s">
        <v>36</v>
      </c>
      <c r="D7" s="245"/>
      <c r="E7" s="246" t="s">
        <v>37</v>
      </c>
      <c r="F7" s="247"/>
      <c r="G7" s="248"/>
      <c r="J7" s="24"/>
      <c r="M7" s="3"/>
    </row>
    <row r="8" spans="3:25" s="1" customFormat="1" ht="16.5" customHeight="1" thickBot="1" x14ac:dyDescent="0.4">
      <c r="C8" s="244" t="s">
        <v>38</v>
      </c>
      <c r="D8" s="245"/>
      <c r="E8" s="246" t="s">
        <v>39</v>
      </c>
      <c r="F8" s="247"/>
      <c r="G8" s="248"/>
      <c r="J8" s="24"/>
      <c r="M8" s="4"/>
    </row>
    <row r="9" spans="3:25" s="1" customFormat="1" ht="16.5" customHeight="1" thickBot="1" x14ac:dyDescent="0.4">
      <c r="C9" s="244" t="s">
        <v>40</v>
      </c>
      <c r="D9" s="245"/>
      <c r="E9" s="246" t="s">
        <v>41</v>
      </c>
      <c r="F9" s="247"/>
      <c r="G9" s="248"/>
      <c r="J9" s="24"/>
      <c r="M9" s="4"/>
      <c r="V9" s="26"/>
      <c r="Y9" s="9"/>
    </row>
    <row r="10" spans="3:25" s="1" customFormat="1" ht="16.5" customHeight="1" thickBot="1" x14ac:dyDescent="0.4">
      <c r="C10" s="244" t="s">
        <v>42</v>
      </c>
      <c r="D10" s="245"/>
      <c r="E10" s="246" t="s">
        <v>43</v>
      </c>
      <c r="F10" s="247"/>
      <c r="G10" s="248"/>
      <c r="J10" s="24"/>
      <c r="M10" s="4"/>
    </row>
    <row r="11" spans="3:25" s="1" customFormat="1" ht="16.5" customHeight="1" thickBot="1" x14ac:dyDescent="0.4">
      <c r="C11" s="58"/>
      <c r="D11" s="59"/>
      <c r="E11" s="59"/>
      <c r="F11" s="60"/>
      <c r="G11" s="96"/>
      <c r="J11" s="24"/>
      <c r="M11" s="4"/>
    </row>
    <row r="12" spans="3:25" s="1" customFormat="1" ht="16.5" customHeight="1" x14ac:dyDescent="0.35">
      <c r="J12" s="24"/>
      <c r="M12" s="3"/>
      <c r="N12" s="3"/>
      <c r="O12" s="3"/>
      <c r="P12" s="3"/>
      <c r="Q12" s="3"/>
      <c r="R12" s="3"/>
      <c r="S12" s="3"/>
    </row>
    <row r="13" spans="3:25" s="1" customFormat="1" ht="16.5" customHeight="1" thickBot="1" x14ac:dyDescent="0.4">
      <c r="F13" s="226"/>
      <c r="G13" s="226"/>
      <c r="I13" s="2"/>
      <c r="J13" s="24"/>
      <c r="M13" s="9"/>
      <c r="N13" s="9"/>
      <c r="O13" s="9"/>
      <c r="P13" s="9"/>
      <c r="Q13" s="9"/>
      <c r="R13" s="9"/>
      <c r="S13" s="9"/>
      <c r="T13" s="11"/>
    </row>
    <row r="14" spans="3:25" s="19" customFormat="1" ht="16.5" customHeight="1" thickBot="1" x14ac:dyDescent="0.4">
      <c r="C14" s="257"/>
      <c r="D14" s="258"/>
      <c r="E14" s="101"/>
      <c r="F14" s="21"/>
      <c r="G14" s="21"/>
      <c r="H14" s="1"/>
      <c r="I14" s="2"/>
      <c r="J14" s="24"/>
      <c r="K14" s="1"/>
      <c r="L14" s="1"/>
      <c r="M14" s="28"/>
    </row>
    <row r="15" spans="3:25" ht="16.5" customHeight="1" thickBot="1" x14ac:dyDescent="0.4">
      <c r="C15" s="227"/>
      <c r="D15" s="72" t="s">
        <v>0</v>
      </c>
      <c r="E15" s="104"/>
      <c r="F15" s="21"/>
      <c r="G15" s="21"/>
      <c r="J15" s="24"/>
    </row>
    <row r="16" spans="3:25" ht="16.5" customHeight="1" thickBot="1" x14ac:dyDescent="0.4">
      <c r="C16" s="228" t="s">
        <v>213</v>
      </c>
      <c r="D16" s="229" t="s">
        <v>187</v>
      </c>
      <c r="E16" s="27">
        <f>'Kwaliteit GHA'!$F$30*4</f>
        <v>0</v>
      </c>
      <c r="F16" s="21"/>
      <c r="G16" s="21"/>
      <c r="J16" s="24"/>
    </row>
    <row r="17" spans="1:10" ht="16.5" customHeight="1" thickBot="1" x14ac:dyDescent="0.4">
      <c r="C17" s="228" t="s">
        <v>135</v>
      </c>
      <c r="D17" s="229" t="s">
        <v>48</v>
      </c>
      <c r="E17" s="27">
        <f>'Formulier logistiek'!$L$31*4</f>
        <v>0</v>
      </c>
      <c r="F17" s="21"/>
      <c r="G17" s="21"/>
      <c r="J17" s="24"/>
    </row>
    <row r="18" spans="1:10" ht="16.5" customHeight="1" thickBot="1" x14ac:dyDescent="0.4">
      <c r="C18" s="228" t="s">
        <v>136</v>
      </c>
      <c r="D18" s="229" t="s">
        <v>84</v>
      </c>
      <c r="E18" s="27">
        <f>'Prijs GHA'!$D$48</f>
        <v>1239768</v>
      </c>
      <c r="F18" s="21"/>
      <c r="G18" s="21"/>
      <c r="H18" s="5"/>
      <c r="I18" s="61"/>
      <c r="J18" s="24"/>
    </row>
    <row r="19" spans="1:10" ht="15.6" thickBot="1" x14ac:dyDescent="0.4">
      <c r="C19" s="119" t="s">
        <v>157</v>
      </c>
      <c r="D19" s="231"/>
      <c r="E19" s="32">
        <f>SUM(E16:E18)</f>
        <v>1239768</v>
      </c>
      <c r="F19" s="21"/>
      <c r="G19" s="21"/>
      <c r="H19" s="5"/>
      <c r="I19" s="61"/>
      <c r="J19" s="24"/>
    </row>
    <row r="20" spans="1:10" ht="16.5" customHeight="1" thickBot="1" x14ac:dyDescent="0.4">
      <c r="C20" s="119" t="s">
        <v>209</v>
      </c>
      <c r="D20" s="231"/>
      <c r="E20" s="32">
        <f>E19/(4*'Formulier logistiek'!$K$31)</f>
        <v>86.094999999999999</v>
      </c>
      <c r="F20" s="21"/>
      <c r="G20" s="21"/>
      <c r="H20" s="5"/>
      <c r="I20" s="61"/>
      <c r="J20" s="24"/>
    </row>
    <row r="21" spans="1:10" x14ac:dyDescent="0.35">
      <c r="C21" s="9" t="s">
        <v>158</v>
      </c>
      <c r="J21" s="24"/>
    </row>
    <row r="22" spans="1:10" x14ac:dyDescent="0.35">
      <c r="J22" s="24"/>
    </row>
    <row r="23" spans="1:10" x14ac:dyDescent="0.35">
      <c r="A23" s="24"/>
      <c r="B23" s="24"/>
      <c r="C23" s="24"/>
      <c r="D23" s="24"/>
      <c r="E23" s="24"/>
      <c r="F23" s="24"/>
      <c r="G23" s="24"/>
      <c r="H23" s="24"/>
      <c r="I23" s="24"/>
      <c r="J23" s="24"/>
    </row>
  </sheetData>
  <sheetProtection algorithmName="SHA-512" hashValue="NuEF/6mozIvR+oi8VjgqGeRoqGuWy7WFT8122TFO/n5myPaX6eNp04uXk9Mo9sVzKExBydvULZkCNYrWpgLALg==" saltValue="+0vO4isnNnR3Wn/H15IuxQ==" spinCount="100000" sheet="1" objects="1" scenarios="1"/>
  <protectedRanges>
    <protectedRange sqref="K7:K12 E7:E10 F7:G12" name="gegevens_1_2_1_1"/>
  </protectedRanges>
  <mergeCells count="10">
    <mergeCell ref="C10:D10"/>
    <mergeCell ref="E10:G10"/>
    <mergeCell ref="C14:D14"/>
    <mergeCell ref="C3:G3"/>
    <mergeCell ref="C7:D7"/>
    <mergeCell ref="E7:G7"/>
    <mergeCell ref="C8:D8"/>
    <mergeCell ref="E8:G8"/>
    <mergeCell ref="C9:D9"/>
    <mergeCell ref="E9:G9"/>
  </mergeCells>
  <dataValidations count="1">
    <dataValidation operator="lessThanOrEqual" allowBlank="1" showInputMessage="1" showErrorMessage="1" sqref="F18:G20 C19:C20 F15:G16 D15:E20" xr:uid="{890CA0DA-6F88-426B-9461-4D05CF53BDDD}"/>
  </dataValidations>
  <pageMargins left="0.70866141732283472" right="0.70866141732283472" top="0.74803149606299213" bottom="0.74803149606299213" header="0.31496062992125984" footer="0.31496062992125984"/>
  <pageSetup paperSize="9" scale="79" orientation="landscape" r:id="rId1"/>
  <headerFooter>
    <oddHeader>&amp;L&amp;"Open Sans,Vet"&amp;12&amp;F</oddHeader>
    <oddFooter>&amp;L&amp;"Open Sans,Vet"&amp;12&amp;A&amp;R&amp;"Open Sans,Vet"&amp;12&amp;P van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70F5FC-E7BF-43A5-B2F9-472AF824F7C3}">
  <sheetPr>
    <pageSetUpPr fitToPage="1"/>
  </sheetPr>
  <dimension ref="A1:W61"/>
  <sheetViews>
    <sheetView showGridLines="0" zoomScale="85" zoomScaleNormal="85" workbookViewId="0">
      <selection activeCell="R10" sqref="R10"/>
    </sheetView>
  </sheetViews>
  <sheetFormatPr defaultColWidth="8.88671875" defaultRowHeight="15" x14ac:dyDescent="0.35"/>
  <cols>
    <col min="1" max="2" width="2.6640625" style="1" customWidth="1"/>
    <col min="3" max="3" width="22.33203125" style="1" customWidth="1"/>
    <col min="4" max="4" width="30" style="1" customWidth="1"/>
    <col min="5" max="9" width="20.6640625" style="8" customWidth="1"/>
    <col min="10" max="10" width="16.44140625" style="8" customWidth="1"/>
    <col min="11" max="11" width="15.6640625" style="8" customWidth="1"/>
    <col min="12" max="12" width="15.6640625" style="1" customWidth="1"/>
    <col min="13" max="13" width="2.6640625" style="1" customWidth="1"/>
    <col min="14" max="15" width="2.6640625" style="2" customWidth="1"/>
    <col min="16" max="17" width="2.6640625" style="1" customWidth="1"/>
    <col min="18" max="18" width="54.5546875" style="1" bestFit="1" customWidth="1"/>
    <col min="19" max="19" width="17.33203125" style="1" bestFit="1" customWidth="1"/>
    <col min="20" max="20" width="17.5546875" style="1" bestFit="1" customWidth="1"/>
    <col min="21" max="21" width="9.109375" style="1"/>
    <col min="22" max="22" width="32.5546875" style="1" customWidth="1"/>
    <col min="23" max="16384" width="8.88671875" style="1"/>
  </cols>
  <sheetData>
    <row r="1" spans="3:23" x14ac:dyDescent="0.35">
      <c r="E1" s="1"/>
      <c r="F1" s="1"/>
      <c r="G1" s="1"/>
      <c r="H1" s="1"/>
      <c r="I1" s="1"/>
      <c r="J1" s="1"/>
      <c r="K1" s="1"/>
      <c r="O1" s="24"/>
    </row>
    <row r="2" spans="3:23" ht="15.6" thickBot="1" x14ac:dyDescent="0.4">
      <c r="E2" s="1"/>
      <c r="F2" s="1"/>
      <c r="G2" s="1"/>
      <c r="H2" s="1"/>
      <c r="I2" s="1"/>
      <c r="J2" s="1"/>
      <c r="K2" s="1"/>
      <c r="O2" s="24"/>
    </row>
    <row r="3" spans="3:23" s="25" customFormat="1" ht="75" customHeight="1" thickBot="1" x14ac:dyDescent="0.4">
      <c r="C3" s="241" t="s">
        <v>103</v>
      </c>
      <c r="D3" s="242"/>
      <c r="E3" s="242"/>
      <c r="F3" s="242"/>
      <c r="G3" s="242"/>
      <c r="H3" s="242"/>
      <c r="I3" s="242"/>
      <c r="J3" s="242"/>
      <c r="K3" s="242"/>
      <c r="L3" s="243"/>
      <c r="O3" s="24"/>
    </row>
    <row r="4" spans="3:23" x14ac:dyDescent="0.35">
      <c r="E4" s="1"/>
      <c r="F4" s="1"/>
      <c r="G4" s="1"/>
      <c r="H4" s="1"/>
      <c r="I4" s="1"/>
      <c r="J4" s="1"/>
      <c r="K4" s="1"/>
      <c r="O4" s="24"/>
    </row>
    <row r="5" spans="3:23" ht="15.6" thickBot="1" x14ac:dyDescent="0.4">
      <c r="E5" s="1"/>
      <c r="F5" s="1"/>
      <c r="G5" s="1"/>
      <c r="H5" s="1"/>
      <c r="I5" s="1"/>
      <c r="J5" s="1"/>
      <c r="K5" s="1"/>
      <c r="O5" s="24"/>
      <c r="R5" s="11"/>
    </row>
    <row r="6" spans="3:23" ht="15" customHeight="1" thickBot="1" x14ac:dyDescent="0.4">
      <c r="C6" s="56" t="s">
        <v>35</v>
      </c>
      <c r="D6" s="57"/>
      <c r="E6" s="57"/>
      <c r="F6" s="57"/>
      <c r="G6" s="57"/>
      <c r="H6" s="1"/>
      <c r="I6" s="1"/>
      <c r="J6" s="1"/>
      <c r="K6" s="1"/>
      <c r="O6" s="24"/>
    </row>
    <row r="7" spans="3:23" ht="15" customHeight="1" thickBot="1" x14ac:dyDescent="0.4">
      <c r="C7" s="244" t="s">
        <v>36</v>
      </c>
      <c r="D7" s="245"/>
      <c r="E7" s="246" t="s">
        <v>37</v>
      </c>
      <c r="F7" s="247"/>
      <c r="G7" s="248"/>
      <c r="H7" s="1"/>
      <c r="I7" s="1"/>
      <c r="J7" s="1"/>
      <c r="K7" s="1"/>
      <c r="O7" s="24"/>
    </row>
    <row r="8" spans="3:23" ht="15" customHeight="1" thickBot="1" x14ac:dyDescent="0.4">
      <c r="C8" s="244" t="s">
        <v>38</v>
      </c>
      <c r="D8" s="245"/>
      <c r="E8" s="246" t="s">
        <v>39</v>
      </c>
      <c r="F8" s="247"/>
      <c r="G8" s="248"/>
      <c r="H8" s="1"/>
      <c r="I8" s="1"/>
      <c r="J8" s="1"/>
      <c r="K8" s="1"/>
      <c r="O8" s="24"/>
    </row>
    <row r="9" spans="3:23" ht="15" customHeight="1" thickBot="1" x14ac:dyDescent="0.4">
      <c r="C9" s="244" t="s">
        <v>40</v>
      </c>
      <c r="D9" s="245"/>
      <c r="E9" s="246" t="s">
        <v>41</v>
      </c>
      <c r="F9" s="247"/>
      <c r="G9" s="248"/>
      <c r="H9" s="1"/>
      <c r="I9" s="1"/>
      <c r="J9" s="1"/>
      <c r="K9" s="1"/>
      <c r="O9" s="24"/>
      <c r="T9" s="26"/>
      <c r="W9" s="9"/>
    </row>
    <row r="10" spans="3:23" ht="15" customHeight="1" thickBot="1" x14ac:dyDescent="0.4">
      <c r="C10" s="244" t="s">
        <v>42</v>
      </c>
      <c r="D10" s="245"/>
      <c r="E10" s="246" t="s">
        <v>43</v>
      </c>
      <c r="F10" s="247"/>
      <c r="G10" s="248"/>
      <c r="H10" s="1"/>
      <c r="I10" s="1"/>
      <c r="J10" s="1"/>
      <c r="K10" s="1"/>
      <c r="O10" s="24"/>
    </row>
    <row r="11" spans="3:23" ht="15" customHeight="1" thickBot="1" x14ac:dyDescent="0.4">
      <c r="C11" s="58"/>
      <c r="D11" s="59"/>
      <c r="E11" s="60"/>
      <c r="F11" s="60"/>
      <c r="G11" s="60"/>
      <c r="H11" s="1"/>
      <c r="I11" s="1"/>
      <c r="J11" s="1"/>
      <c r="K11" s="1"/>
      <c r="O11" s="24"/>
    </row>
    <row r="12" spans="3:23" ht="15" customHeight="1" x14ac:dyDescent="0.35">
      <c r="E12" s="1"/>
      <c r="F12" s="1"/>
      <c r="G12" s="1"/>
      <c r="H12" s="1"/>
      <c r="I12" s="1"/>
      <c r="J12" s="1"/>
      <c r="K12" s="1"/>
      <c r="M12" s="5"/>
      <c r="N12" s="61"/>
      <c r="O12" s="24"/>
    </row>
    <row r="13" spans="3:23" ht="15" customHeight="1" thickBot="1" x14ac:dyDescent="0.4">
      <c r="E13" s="1"/>
      <c r="F13" s="1"/>
      <c r="G13" s="1"/>
      <c r="H13" s="1"/>
      <c r="I13" s="1"/>
      <c r="J13" s="1"/>
      <c r="K13" s="1"/>
      <c r="N13" s="1"/>
      <c r="O13" s="24"/>
    </row>
    <row r="14" spans="3:23" ht="15" customHeight="1" thickBot="1" x14ac:dyDescent="0.4">
      <c r="C14" s="62" t="s">
        <v>193</v>
      </c>
      <c r="D14" s="63"/>
      <c r="E14" s="63"/>
      <c r="F14" s="63"/>
      <c r="G14" s="63"/>
      <c r="H14" s="63"/>
      <c r="I14" s="63"/>
      <c r="J14" s="63"/>
      <c r="K14" s="63"/>
      <c r="L14" s="64"/>
      <c r="N14" s="1"/>
      <c r="O14" s="24"/>
    </row>
    <row r="15" spans="3:23" ht="15" customHeight="1" thickBot="1" x14ac:dyDescent="0.4">
      <c r="C15" s="65"/>
      <c r="D15" s="66"/>
      <c r="E15" s="67" t="s">
        <v>105</v>
      </c>
      <c r="F15" s="68"/>
      <c r="G15" s="68"/>
      <c r="H15" s="68"/>
      <c r="I15" s="69"/>
      <c r="J15" s="70"/>
      <c r="K15" s="70"/>
      <c r="L15" s="70"/>
      <c r="N15" s="1"/>
      <c r="O15" s="24"/>
    </row>
    <row r="16" spans="3:23" ht="45.6" thickBot="1" x14ac:dyDescent="0.4">
      <c r="C16" s="71" t="s">
        <v>87</v>
      </c>
      <c r="D16" s="72"/>
      <c r="E16" s="73" t="s">
        <v>78</v>
      </c>
      <c r="F16" s="73" t="s">
        <v>88</v>
      </c>
      <c r="G16" s="73" t="s">
        <v>79</v>
      </c>
      <c r="H16" s="73" t="s">
        <v>80</v>
      </c>
      <c r="I16" s="73" t="s">
        <v>81</v>
      </c>
      <c r="J16" s="74" t="s">
        <v>44</v>
      </c>
      <c r="K16" s="74" t="s">
        <v>82</v>
      </c>
      <c r="L16" s="74" t="s">
        <v>93</v>
      </c>
      <c r="N16" s="1"/>
      <c r="O16" s="24"/>
    </row>
    <row r="17" spans="3:21" s="7" customFormat="1" ht="15.6" thickBot="1" x14ac:dyDescent="0.4">
      <c r="C17" s="75" t="s">
        <v>77</v>
      </c>
      <c r="D17" s="76" t="s">
        <v>104</v>
      </c>
      <c r="E17" s="35"/>
      <c r="F17" s="35"/>
      <c r="G17" s="35"/>
      <c r="H17" s="35"/>
      <c r="I17" s="35"/>
      <c r="J17" s="36"/>
      <c r="K17" s="77">
        <v>800</v>
      </c>
      <c r="L17" s="78">
        <f>$J$17*2*$K$17*$E$38</f>
        <v>0</v>
      </c>
      <c r="O17" s="24"/>
      <c r="R17" s="1"/>
      <c r="U17" s="26"/>
    </row>
    <row r="18" spans="3:21" s="7" customFormat="1" ht="15.6" thickBot="1" x14ac:dyDescent="0.4">
      <c r="C18" s="79"/>
      <c r="D18" s="80"/>
      <c r="E18" s="81"/>
      <c r="F18" s="81"/>
      <c r="G18" s="81"/>
      <c r="H18" s="81"/>
      <c r="I18" s="81"/>
      <c r="J18" s="82"/>
      <c r="K18" s="83"/>
      <c r="L18" s="84"/>
      <c r="O18" s="24"/>
      <c r="R18" s="1"/>
    </row>
    <row r="19" spans="3:21" x14ac:dyDescent="0.35">
      <c r="C19" s="85"/>
      <c r="E19" s="1"/>
      <c r="F19" s="1"/>
      <c r="G19" s="1"/>
      <c r="H19" s="1"/>
      <c r="I19" s="1"/>
      <c r="J19" s="1"/>
      <c r="K19" s="1"/>
      <c r="N19" s="1"/>
      <c r="O19" s="24"/>
    </row>
    <row r="20" spans="3:21" ht="15.6" thickBot="1" x14ac:dyDescent="0.4">
      <c r="C20" s="85"/>
      <c r="E20" s="1"/>
      <c r="F20" s="1"/>
      <c r="G20" s="1"/>
      <c r="H20" s="1"/>
      <c r="I20" s="1"/>
      <c r="J20" s="1"/>
      <c r="K20" s="1"/>
      <c r="N20" s="1"/>
      <c r="O20" s="24"/>
    </row>
    <row r="21" spans="3:21" ht="15" customHeight="1" thickBot="1" x14ac:dyDescent="0.4">
      <c r="C21" s="62" t="s">
        <v>191</v>
      </c>
      <c r="D21" s="63"/>
      <c r="E21" s="63"/>
      <c r="F21" s="63"/>
      <c r="G21" s="63"/>
      <c r="H21" s="63"/>
      <c r="I21" s="63"/>
      <c r="J21" s="63"/>
      <c r="K21" s="63"/>
      <c r="L21" s="64"/>
      <c r="N21" s="1"/>
      <c r="O21" s="24"/>
    </row>
    <row r="22" spans="3:21" ht="15" customHeight="1" thickBot="1" x14ac:dyDescent="0.4">
      <c r="C22" s="65"/>
      <c r="D22" s="66"/>
      <c r="E22" s="67" t="s">
        <v>105</v>
      </c>
      <c r="F22" s="68"/>
      <c r="G22" s="68"/>
      <c r="H22" s="68"/>
      <c r="I22" s="69"/>
      <c r="J22" s="70"/>
      <c r="K22" s="70"/>
      <c r="L22" s="70"/>
      <c r="N22" s="1"/>
      <c r="O22" s="24"/>
    </row>
    <row r="23" spans="3:21" ht="45.6" thickBot="1" x14ac:dyDescent="0.4">
      <c r="C23" s="71" t="s">
        <v>87</v>
      </c>
      <c r="D23" s="72"/>
      <c r="E23" s="73" t="s">
        <v>78</v>
      </c>
      <c r="F23" s="73" t="s">
        <v>88</v>
      </c>
      <c r="G23" s="73" t="s">
        <v>79</v>
      </c>
      <c r="H23" s="73" t="s">
        <v>80</v>
      </c>
      <c r="I23" s="73" t="s">
        <v>81</v>
      </c>
      <c r="J23" s="74" t="s">
        <v>44</v>
      </c>
      <c r="K23" s="74" t="s">
        <v>82</v>
      </c>
      <c r="L23" s="74" t="s">
        <v>93</v>
      </c>
      <c r="N23" s="1"/>
      <c r="O23" s="24"/>
    </row>
    <row r="24" spans="3:21" s="7" customFormat="1" ht="15.6" thickBot="1" x14ac:dyDescent="0.4">
      <c r="C24" s="75" t="s">
        <v>77</v>
      </c>
      <c r="D24" s="76" t="s">
        <v>104</v>
      </c>
      <c r="E24" s="35"/>
      <c r="F24" s="35"/>
      <c r="G24" s="35"/>
      <c r="H24" s="35"/>
      <c r="I24" s="35"/>
      <c r="J24" s="36"/>
      <c r="K24" s="77">
        <v>34000</v>
      </c>
      <c r="L24" s="78">
        <f>$J$24*2*$K$24*$E$38</f>
        <v>0</v>
      </c>
      <c r="O24" s="24"/>
      <c r="R24" s="6"/>
      <c r="U24" s="26"/>
    </row>
    <row r="25" spans="3:21" s="7" customFormat="1" ht="15.6" thickBot="1" x14ac:dyDescent="0.4">
      <c r="C25" s="79"/>
      <c r="D25" s="80"/>
      <c r="E25" s="81"/>
      <c r="F25" s="81"/>
      <c r="G25" s="81"/>
      <c r="H25" s="81"/>
      <c r="I25" s="81"/>
      <c r="J25" s="82"/>
      <c r="K25" s="83"/>
      <c r="L25" s="84"/>
      <c r="O25" s="24"/>
      <c r="R25" s="6"/>
    </row>
    <row r="26" spans="3:21" ht="15" customHeight="1" x14ac:dyDescent="0.35">
      <c r="E26" s="1"/>
      <c r="F26" s="1"/>
      <c r="G26" s="1"/>
      <c r="H26" s="1"/>
      <c r="I26" s="1"/>
      <c r="J26" s="1"/>
      <c r="K26" s="1"/>
      <c r="N26" s="1"/>
      <c r="O26" s="24"/>
      <c r="R26" s="5"/>
    </row>
    <row r="27" spans="3:21" ht="15" customHeight="1" thickBot="1" x14ac:dyDescent="0.4">
      <c r="E27" s="1"/>
      <c r="F27" s="1"/>
      <c r="G27" s="1"/>
      <c r="H27" s="1"/>
      <c r="I27" s="1"/>
      <c r="J27" s="1"/>
      <c r="K27" s="1"/>
      <c r="N27" s="1"/>
      <c r="O27" s="24"/>
      <c r="R27" s="5"/>
    </row>
    <row r="28" spans="3:21" ht="15" customHeight="1" thickBot="1" x14ac:dyDescent="0.4">
      <c r="C28" s="62" t="s">
        <v>192</v>
      </c>
      <c r="D28" s="63"/>
      <c r="E28" s="63"/>
      <c r="F28" s="63"/>
      <c r="G28" s="63"/>
      <c r="H28" s="63"/>
      <c r="I28" s="63"/>
      <c r="J28" s="63"/>
      <c r="K28" s="63"/>
      <c r="L28" s="64"/>
      <c r="N28" s="1"/>
      <c r="O28" s="24"/>
      <c r="R28" s="5"/>
    </row>
    <row r="29" spans="3:21" ht="15" customHeight="1" thickBot="1" x14ac:dyDescent="0.4">
      <c r="C29" s="65"/>
      <c r="D29" s="66"/>
      <c r="E29" s="67" t="s">
        <v>105</v>
      </c>
      <c r="F29" s="68"/>
      <c r="G29" s="68"/>
      <c r="H29" s="68"/>
      <c r="I29" s="69"/>
      <c r="J29" s="70"/>
      <c r="K29" s="70"/>
      <c r="L29" s="70"/>
      <c r="N29" s="1"/>
      <c r="O29" s="24"/>
      <c r="R29" s="5"/>
    </row>
    <row r="30" spans="3:21" ht="45.6" thickBot="1" x14ac:dyDescent="0.4">
      <c r="C30" s="71" t="s">
        <v>87</v>
      </c>
      <c r="D30" s="72"/>
      <c r="E30" s="73" t="s">
        <v>78</v>
      </c>
      <c r="F30" s="73" t="s">
        <v>88</v>
      </c>
      <c r="G30" s="73" t="s">
        <v>79</v>
      </c>
      <c r="H30" s="73" t="s">
        <v>80</v>
      </c>
      <c r="I30" s="73" t="s">
        <v>81</v>
      </c>
      <c r="J30" s="74" t="s">
        <v>44</v>
      </c>
      <c r="K30" s="74" t="s">
        <v>89</v>
      </c>
      <c r="L30" s="74" t="s">
        <v>94</v>
      </c>
      <c r="N30" s="1"/>
      <c r="O30" s="24"/>
      <c r="R30" s="34"/>
    </row>
    <row r="31" spans="3:21" s="7" customFormat="1" ht="15.6" thickBot="1" x14ac:dyDescent="0.4">
      <c r="C31" s="75" t="s">
        <v>77</v>
      </c>
      <c r="D31" s="76" t="s">
        <v>104</v>
      </c>
      <c r="E31" s="35"/>
      <c r="F31" s="35"/>
      <c r="G31" s="35"/>
      <c r="H31" s="35"/>
      <c r="I31" s="35"/>
      <c r="J31" s="36"/>
      <c r="K31" s="86">
        <v>3600</v>
      </c>
      <c r="L31" s="78">
        <f>$J$31*2*$K$31*$E$39</f>
        <v>0</v>
      </c>
      <c r="O31" s="24"/>
      <c r="R31" s="6"/>
      <c r="U31" s="26"/>
    </row>
    <row r="32" spans="3:21" s="7" customFormat="1" ht="15.6" thickBot="1" x14ac:dyDescent="0.4">
      <c r="C32" s="79"/>
      <c r="D32" s="80"/>
      <c r="E32" s="81"/>
      <c r="F32" s="81"/>
      <c r="G32" s="81"/>
      <c r="H32" s="81"/>
      <c r="I32" s="81"/>
      <c r="J32" s="82"/>
      <c r="K32" s="83"/>
      <c r="L32" s="84"/>
      <c r="O32" s="24"/>
      <c r="R32" s="6"/>
    </row>
    <row r="33" spans="1:15" x14ac:dyDescent="0.35">
      <c r="E33" s="1"/>
      <c r="F33" s="1"/>
      <c r="G33" s="1"/>
      <c r="H33" s="1"/>
      <c r="I33" s="1"/>
      <c r="J33" s="1"/>
      <c r="K33" s="1"/>
      <c r="O33" s="24"/>
    </row>
    <row r="34" spans="1:15" x14ac:dyDescent="0.35">
      <c r="E34" s="1"/>
      <c r="F34" s="1"/>
      <c r="G34" s="1"/>
      <c r="H34" s="1"/>
      <c r="I34" s="1"/>
      <c r="J34" s="1"/>
      <c r="K34" s="1"/>
      <c r="O34" s="24"/>
    </row>
    <row r="35" spans="1:15" x14ac:dyDescent="0.35">
      <c r="A35" s="24"/>
      <c r="B35" s="24"/>
      <c r="C35" s="24"/>
      <c r="D35" s="24"/>
      <c r="E35" s="24"/>
      <c r="F35" s="24"/>
      <c r="G35" s="24"/>
      <c r="H35" s="24"/>
      <c r="I35" s="24"/>
      <c r="J35" s="24"/>
      <c r="K35" s="24"/>
      <c r="L35" s="24"/>
      <c r="M35" s="24"/>
      <c r="N35" s="24"/>
      <c r="O35" s="24"/>
    </row>
    <row r="36" spans="1:15" hidden="1" x14ac:dyDescent="0.35">
      <c r="E36" s="1"/>
      <c r="F36" s="1"/>
      <c r="G36" s="1"/>
      <c r="H36" s="1"/>
      <c r="I36" s="1"/>
      <c r="J36" s="1"/>
      <c r="K36" s="1"/>
    </row>
    <row r="37" spans="1:15" ht="15" hidden="1" customHeight="1" x14ac:dyDescent="0.35">
      <c r="C37" s="240" t="s">
        <v>4</v>
      </c>
      <c r="D37" s="240"/>
      <c r="E37" s="240"/>
      <c r="F37" s="1"/>
      <c r="G37" s="1"/>
      <c r="H37" s="1"/>
      <c r="I37" s="1"/>
      <c r="J37" s="1"/>
      <c r="K37" s="1"/>
    </row>
    <row r="38" spans="1:15" hidden="1" x14ac:dyDescent="0.35">
      <c r="C38" s="88"/>
      <c r="D38" s="89" t="s">
        <v>95</v>
      </c>
      <c r="E38" s="90">
        <v>0.18</v>
      </c>
      <c r="F38" s="1"/>
      <c r="G38" s="1"/>
      <c r="H38" s="1"/>
      <c r="I38" s="1"/>
      <c r="J38" s="1"/>
      <c r="K38" s="1"/>
    </row>
    <row r="39" spans="1:15" hidden="1" x14ac:dyDescent="0.35">
      <c r="C39" s="88"/>
      <c r="D39" s="89" t="s">
        <v>96</v>
      </c>
      <c r="E39" s="90">
        <v>2.8</v>
      </c>
      <c r="F39" s="1"/>
      <c r="G39" s="1"/>
      <c r="H39" s="1"/>
      <c r="I39" s="1"/>
      <c r="J39" s="1"/>
      <c r="K39" s="1"/>
    </row>
    <row r="40" spans="1:15" hidden="1" x14ac:dyDescent="0.35">
      <c r="E40" s="1"/>
      <c r="F40" s="1"/>
      <c r="G40" s="1"/>
      <c r="H40" s="1"/>
      <c r="I40" s="1"/>
      <c r="J40" s="1"/>
      <c r="K40" s="1"/>
    </row>
    <row r="41" spans="1:15" x14ac:dyDescent="0.35">
      <c r="E41" s="1"/>
      <c r="F41" s="1"/>
      <c r="G41" s="1"/>
      <c r="H41" s="1"/>
      <c r="I41" s="1"/>
      <c r="J41" s="1"/>
      <c r="K41" s="1"/>
    </row>
    <row r="42" spans="1:15" x14ac:dyDescent="0.35">
      <c r="E42" s="1"/>
      <c r="F42" s="1"/>
      <c r="G42" s="1"/>
      <c r="H42" s="1"/>
      <c r="I42" s="1"/>
      <c r="J42" s="1"/>
      <c r="K42" s="1"/>
    </row>
    <row r="43" spans="1:15" x14ac:dyDescent="0.35">
      <c r="E43" s="1"/>
      <c r="F43" s="1"/>
      <c r="G43" s="1"/>
      <c r="H43" s="1"/>
      <c r="I43" s="1"/>
      <c r="J43" s="1"/>
      <c r="K43" s="1"/>
    </row>
    <row r="44" spans="1:15" x14ac:dyDescent="0.35">
      <c r="E44" s="1"/>
      <c r="F44" s="1"/>
      <c r="G44" s="1"/>
      <c r="H44" s="1"/>
      <c r="I44" s="1"/>
      <c r="J44" s="1"/>
      <c r="K44" s="1"/>
    </row>
    <row r="45" spans="1:15" x14ac:dyDescent="0.35">
      <c r="E45" s="1"/>
      <c r="F45" s="1"/>
      <c r="G45" s="1"/>
      <c r="H45" s="1"/>
      <c r="I45" s="1"/>
      <c r="J45" s="1"/>
      <c r="K45" s="1"/>
    </row>
    <row r="46" spans="1:15" x14ac:dyDescent="0.35">
      <c r="E46" s="1"/>
      <c r="F46" s="1"/>
      <c r="G46" s="1"/>
      <c r="H46" s="1"/>
      <c r="I46" s="1"/>
      <c r="J46" s="1"/>
      <c r="K46" s="1"/>
    </row>
    <row r="47" spans="1:15" x14ac:dyDescent="0.35">
      <c r="E47" s="1"/>
      <c r="F47" s="1"/>
      <c r="G47" s="1"/>
      <c r="H47" s="1"/>
      <c r="I47" s="1"/>
      <c r="J47" s="1"/>
      <c r="K47" s="1"/>
    </row>
    <row r="48" spans="1:15" x14ac:dyDescent="0.35">
      <c r="E48" s="1"/>
      <c r="F48" s="1"/>
      <c r="G48" s="1"/>
      <c r="H48" s="1"/>
      <c r="I48" s="1"/>
      <c r="J48" s="1"/>
      <c r="K48" s="1"/>
    </row>
    <row r="49" spans="5:11" x14ac:dyDescent="0.35">
      <c r="E49" s="1"/>
      <c r="F49" s="1"/>
      <c r="G49" s="1"/>
      <c r="H49" s="1"/>
      <c r="I49" s="1"/>
      <c r="J49" s="1"/>
      <c r="K49" s="1"/>
    </row>
    <row r="50" spans="5:11" x14ac:dyDescent="0.35">
      <c r="E50" s="1"/>
      <c r="F50" s="1"/>
      <c r="G50" s="1"/>
      <c r="H50" s="1"/>
      <c r="I50" s="1"/>
      <c r="J50" s="1"/>
      <c r="K50" s="1"/>
    </row>
    <row r="51" spans="5:11" x14ac:dyDescent="0.35">
      <c r="E51" s="1"/>
      <c r="F51" s="1"/>
      <c r="G51" s="1"/>
      <c r="H51" s="1"/>
      <c r="I51" s="1"/>
      <c r="J51" s="1"/>
      <c r="K51" s="1"/>
    </row>
    <row r="52" spans="5:11" x14ac:dyDescent="0.35">
      <c r="E52" s="1"/>
      <c r="F52" s="1"/>
      <c r="G52" s="1"/>
      <c r="H52" s="1"/>
      <c r="I52" s="1"/>
      <c r="J52" s="1"/>
      <c r="K52" s="1"/>
    </row>
    <row r="53" spans="5:11" x14ac:dyDescent="0.35">
      <c r="E53" s="1"/>
      <c r="F53" s="1"/>
      <c r="G53" s="1"/>
      <c r="H53" s="1"/>
      <c r="I53" s="1"/>
      <c r="J53" s="1"/>
      <c r="K53" s="1"/>
    </row>
    <row r="54" spans="5:11" x14ac:dyDescent="0.35">
      <c r="E54" s="1"/>
      <c r="F54" s="1"/>
      <c r="G54" s="1"/>
      <c r="H54" s="1"/>
      <c r="I54" s="1"/>
      <c r="J54" s="1"/>
      <c r="K54" s="1"/>
    </row>
    <row r="55" spans="5:11" x14ac:dyDescent="0.35">
      <c r="E55" s="1"/>
      <c r="F55" s="1"/>
      <c r="G55" s="1"/>
      <c r="H55" s="1"/>
      <c r="I55" s="1"/>
      <c r="J55" s="1"/>
      <c r="K55" s="1"/>
    </row>
    <row r="56" spans="5:11" x14ac:dyDescent="0.35">
      <c r="E56" s="1"/>
      <c r="F56" s="1"/>
      <c r="G56" s="1"/>
      <c r="H56" s="1"/>
      <c r="I56" s="1"/>
      <c r="J56" s="1"/>
      <c r="K56" s="1"/>
    </row>
    <row r="57" spans="5:11" x14ac:dyDescent="0.35">
      <c r="E57" s="1"/>
      <c r="F57" s="1"/>
      <c r="G57" s="1"/>
      <c r="H57" s="1"/>
      <c r="I57" s="1"/>
      <c r="J57" s="1"/>
      <c r="K57" s="1"/>
    </row>
    <row r="58" spans="5:11" x14ac:dyDescent="0.35">
      <c r="E58" s="1"/>
      <c r="F58" s="1"/>
      <c r="G58" s="1"/>
      <c r="H58" s="1"/>
      <c r="I58" s="1"/>
      <c r="J58" s="1"/>
      <c r="K58" s="1"/>
    </row>
    <row r="59" spans="5:11" x14ac:dyDescent="0.35">
      <c r="E59" s="1"/>
      <c r="F59" s="1"/>
      <c r="G59" s="1"/>
      <c r="H59" s="1"/>
      <c r="I59" s="1"/>
      <c r="J59" s="1"/>
      <c r="K59" s="1"/>
    </row>
    <row r="60" spans="5:11" x14ac:dyDescent="0.35">
      <c r="E60" s="1"/>
      <c r="F60" s="1"/>
      <c r="G60" s="1"/>
      <c r="H60" s="1"/>
      <c r="I60" s="1"/>
      <c r="J60" s="1"/>
      <c r="K60" s="1"/>
    </row>
    <row r="61" spans="5:11" x14ac:dyDescent="0.35">
      <c r="E61" s="1"/>
      <c r="F61" s="1"/>
      <c r="G61" s="1"/>
      <c r="H61" s="1"/>
      <c r="I61" s="1"/>
      <c r="J61" s="1"/>
      <c r="K61" s="1"/>
    </row>
  </sheetData>
  <sheetProtection algorithmName="SHA-512" hashValue="D39pEMlgY3h+FU3qAdXgHD8kGW+lwNqs6lt9u5VlxGSqKnyuLV9wVhUkCzYwvR4zs7zGEmfOTNAbwnhqQUDiTQ==" saltValue="Eqd5GExVDUQRbZbHAYpYpg==" spinCount="100000" sheet="1" objects="1" scenarios="1"/>
  <protectedRanges>
    <protectedRange sqref="J7:J12 E7:E10" name="gegevens_1_2_1_1"/>
  </protectedRanges>
  <mergeCells count="10">
    <mergeCell ref="C37:E37"/>
    <mergeCell ref="C3:L3"/>
    <mergeCell ref="C7:D7"/>
    <mergeCell ref="C8:D8"/>
    <mergeCell ref="C9:D9"/>
    <mergeCell ref="C10:D10"/>
    <mergeCell ref="E7:G7"/>
    <mergeCell ref="E8:G8"/>
    <mergeCell ref="E9:G9"/>
    <mergeCell ref="E10:G10"/>
  </mergeCells>
  <phoneticPr fontId="4" type="noConversion"/>
  <pageMargins left="0.70866141732283472" right="0.70866141732283472" top="0.74803149606299213" bottom="0.74803149606299213" header="0.31496062992125984" footer="0.31496062992125984"/>
  <pageSetup paperSize="9" scale="61" orientation="landscape" r:id="rId1"/>
  <headerFooter>
    <oddHeader>&amp;L&amp;"Open Sans,Vet"&amp;12&amp;F</oddHeader>
    <oddFooter>&amp;L&amp;"Open Sans,Vet"&amp;12&amp;A&amp;R&amp;"Open Sans,Vet"&amp;12&amp;P van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B72C2A-A69E-456F-9BB9-8CA0CDB5F72A}">
  <sheetPr>
    <pageSetUpPr fitToPage="1"/>
  </sheetPr>
  <dimension ref="A1:K200"/>
  <sheetViews>
    <sheetView showGridLines="0" zoomScale="85" zoomScaleNormal="85" workbookViewId="0">
      <selection activeCell="G25" sqref="G25"/>
    </sheetView>
  </sheetViews>
  <sheetFormatPr defaultColWidth="9.109375" defaultRowHeight="15" x14ac:dyDescent="0.3"/>
  <cols>
    <col min="1" max="2" width="2.6640625" style="15" customWidth="1"/>
    <col min="3" max="3" width="68.5546875" style="15" customWidth="1"/>
    <col min="4" max="4" width="38.33203125" style="18" customWidth="1"/>
    <col min="5" max="5" width="38.44140625" style="18" customWidth="1"/>
    <col min="6" max="6" width="25.6640625" style="18" customWidth="1"/>
    <col min="7" max="7" width="52.5546875" style="18" customWidth="1"/>
    <col min="8" max="12" width="2.6640625" style="15" customWidth="1"/>
    <col min="13" max="14" width="50.6640625" style="15" customWidth="1"/>
    <col min="15" max="16384" width="9.109375" style="15"/>
  </cols>
  <sheetData>
    <row r="1" spans="1:11" s="1" customFormat="1" x14ac:dyDescent="0.35">
      <c r="I1" s="2"/>
      <c r="J1" s="24"/>
    </row>
    <row r="2" spans="1:11" s="1" customFormat="1" ht="15.6" thickBot="1" x14ac:dyDescent="0.4">
      <c r="I2" s="2"/>
      <c r="J2" s="24"/>
    </row>
    <row r="3" spans="1:11" s="25" customFormat="1" ht="75" customHeight="1" thickBot="1" x14ac:dyDescent="0.4">
      <c r="C3" s="91" t="s">
        <v>148</v>
      </c>
      <c r="D3" s="92"/>
      <c r="E3" s="92"/>
      <c r="F3" s="92"/>
      <c r="G3" s="92"/>
      <c r="J3" s="24"/>
    </row>
    <row r="4" spans="1:11" ht="16.5" customHeight="1" x14ac:dyDescent="0.35">
      <c r="A4" s="9"/>
      <c r="B4" s="9"/>
      <c r="C4" s="9"/>
      <c r="D4" s="10"/>
      <c r="E4" s="10"/>
      <c r="F4" s="10"/>
      <c r="G4" s="10"/>
      <c r="H4" s="9"/>
      <c r="I4" s="9"/>
      <c r="J4" s="24"/>
    </row>
    <row r="5" spans="1:11" ht="16.5" customHeight="1" thickBot="1" x14ac:dyDescent="0.4">
      <c r="A5" s="9"/>
      <c r="B5" s="9"/>
      <c r="C5" s="9"/>
      <c r="D5" s="10"/>
      <c r="E5" s="10"/>
      <c r="F5" s="10"/>
      <c r="G5" s="10"/>
      <c r="H5" s="9"/>
      <c r="I5" s="9"/>
      <c r="J5" s="24"/>
    </row>
    <row r="6" spans="1:11" s="1" customFormat="1" ht="16.5" customHeight="1" thickBot="1" x14ac:dyDescent="0.4">
      <c r="B6" s="9"/>
      <c r="C6" s="93" t="s">
        <v>35</v>
      </c>
      <c r="D6" s="57"/>
      <c r="E6" s="57"/>
      <c r="F6" s="57"/>
      <c r="G6" s="94"/>
      <c r="I6" s="2"/>
      <c r="J6" s="24"/>
    </row>
    <row r="7" spans="1:11" s="1" customFormat="1" ht="16.5" customHeight="1" thickBot="1" x14ac:dyDescent="0.4">
      <c r="B7" s="9"/>
      <c r="C7" s="95" t="s">
        <v>36</v>
      </c>
      <c r="D7" s="246" t="s">
        <v>37</v>
      </c>
      <c r="E7" s="247"/>
      <c r="F7" s="247"/>
      <c r="G7" s="248"/>
      <c r="I7" s="2"/>
      <c r="J7" s="24"/>
    </row>
    <row r="8" spans="1:11" s="1" customFormat="1" ht="16.5" customHeight="1" thickBot="1" x14ac:dyDescent="0.4">
      <c r="B8" s="9"/>
      <c r="C8" s="95" t="s">
        <v>38</v>
      </c>
      <c r="D8" s="246" t="s">
        <v>39</v>
      </c>
      <c r="E8" s="247"/>
      <c r="F8" s="247"/>
      <c r="G8" s="248"/>
      <c r="I8" s="2"/>
      <c r="J8" s="24"/>
    </row>
    <row r="9" spans="1:11" s="1" customFormat="1" ht="16.5" customHeight="1" thickBot="1" x14ac:dyDescent="0.4">
      <c r="B9" s="9"/>
      <c r="C9" s="95" t="s">
        <v>40</v>
      </c>
      <c r="D9" s="246" t="s">
        <v>41</v>
      </c>
      <c r="E9" s="247"/>
      <c r="F9" s="247"/>
      <c r="G9" s="248"/>
      <c r="I9" s="2"/>
      <c r="J9" s="24"/>
    </row>
    <row r="10" spans="1:11" s="1" customFormat="1" ht="16.5" customHeight="1" thickBot="1" x14ac:dyDescent="0.4">
      <c r="B10" s="9"/>
      <c r="C10" s="95" t="s">
        <v>42</v>
      </c>
      <c r="D10" s="246" t="s">
        <v>43</v>
      </c>
      <c r="E10" s="247"/>
      <c r="F10" s="247"/>
      <c r="G10" s="248"/>
      <c r="I10" s="2"/>
      <c r="J10" s="24"/>
    </row>
    <row r="11" spans="1:11" s="1" customFormat="1" ht="16.5" customHeight="1" thickBot="1" x14ac:dyDescent="0.4">
      <c r="B11" s="9"/>
      <c r="C11" s="58"/>
      <c r="D11" s="60"/>
      <c r="E11" s="60"/>
      <c r="F11" s="60"/>
      <c r="G11" s="96"/>
      <c r="I11" s="2"/>
      <c r="J11" s="24"/>
    </row>
    <row r="12" spans="1:11" s="13" customFormat="1" ht="16.5" customHeight="1" x14ac:dyDescent="0.35">
      <c r="A12" s="1"/>
      <c r="B12" s="9"/>
      <c r="C12" s="97"/>
      <c r="D12" s="97"/>
      <c r="E12" s="98"/>
      <c r="F12" s="98"/>
      <c r="G12" s="98"/>
      <c r="H12" s="1"/>
      <c r="I12" s="1"/>
      <c r="J12" s="24"/>
    </row>
    <row r="13" spans="1:11" s="13" customFormat="1" ht="16.5" customHeight="1" thickBot="1" x14ac:dyDescent="0.4">
      <c r="A13" s="1"/>
      <c r="B13" s="9"/>
      <c r="C13" s="97"/>
      <c r="D13" s="97"/>
      <c r="E13" s="98"/>
      <c r="F13" s="98"/>
      <c r="G13" s="99"/>
      <c r="H13" s="1"/>
      <c r="I13" s="1"/>
      <c r="J13" s="24"/>
    </row>
    <row r="14" spans="1:11" s="16" customFormat="1" ht="16.5" customHeight="1" thickBot="1" x14ac:dyDescent="0.4">
      <c r="A14" s="1"/>
      <c r="B14" s="9"/>
      <c r="C14" s="62" t="s">
        <v>200</v>
      </c>
      <c r="D14" s="100"/>
      <c r="E14" s="100"/>
      <c r="F14" s="101"/>
      <c r="G14" s="99"/>
      <c r="H14" s="1"/>
      <c r="I14" s="1"/>
      <c r="J14" s="24"/>
      <c r="K14" s="13"/>
    </row>
    <row r="15" spans="1:11" s="23" customFormat="1" ht="16.5" customHeight="1" thickBot="1" x14ac:dyDescent="0.4">
      <c r="A15" s="1"/>
      <c r="B15" s="9"/>
      <c r="C15" s="102" t="s">
        <v>78</v>
      </c>
      <c r="D15" s="251"/>
      <c r="E15" s="252"/>
      <c r="F15" s="253"/>
      <c r="G15" s="99"/>
      <c r="H15" s="99"/>
      <c r="I15" s="99"/>
      <c r="J15" s="24"/>
    </row>
    <row r="16" spans="1:11" s="23" customFormat="1" ht="16.5" customHeight="1" thickBot="1" x14ac:dyDescent="0.4">
      <c r="A16" s="1"/>
      <c r="B16" s="9"/>
      <c r="C16" s="102" t="s">
        <v>88</v>
      </c>
      <c r="D16" s="251"/>
      <c r="E16" s="252"/>
      <c r="F16" s="253"/>
      <c r="G16" s="99"/>
      <c r="H16" s="99"/>
      <c r="I16" s="99"/>
      <c r="J16" s="24"/>
    </row>
    <row r="17" spans="1:11" s="23" customFormat="1" ht="16.5" customHeight="1" thickBot="1" x14ac:dyDescent="0.4">
      <c r="A17" s="1"/>
      <c r="B17" s="9"/>
      <c r="C17" s="102" t="s">
        <v>79</v>
      </c>
      <c r="D17" s="251"/>
      <c r="E17" s="252"/>
      <c r="F17" s="253"/>
      <c r="G17" s="99"/>
      <c r="H17" s="99"/>
      <c r="I17" s="99"/>
      <c r="J17" s="24"/>
    </row>
    <row r="18" spans="1:11" s="23" customFormat="1" ht="16.5" customHeight="1" thickBot="1" x14ac:dyDescent="0.4">
      <c r="A18" s="1"/>
      <c r="B18" s="9"/>
      <c r="C18" s="102" t="s">
        <v>80</v>
      </c>
      <c r="D18" s="251"/>
      <c r="E18" s="252"/>
      <c r="F18" s="253"/>
      <c r="G18" s="99"/>
      <c r="H18" s="99"/>
      <c r="I18" s="99"/>
      <c r="J18" s="24"/>
    </row>
    <row r="19" spans="1:11" s="23" customFormat="1" ht="16.5" customHeight="1" thickBot="1" x14ac:dyDescent="0.4">
      <c r="A19" s="1"/>
      <c r="B19" s="9"/>
      <c r="C19" s="102" t="s">
        <v>81</v>
      </c>
      <c r="D19" s="251"/>
      <c r="E19" s="252"/>
      <c r="F19" s="253"/>
      <c r="G19" s="99"/>
      <c r="H19" s="99"/>
      <c r="I19" s="99"/>
      <c r="J19" s="24"/>
    </row>
    <row r="20" spans="1:11" s="1" customFormat="1" ht="16.5" customHeight="1" thickBot="1" x14ac:dyDescent="0.4">
      <c r="B20" s="9"/>
      <c r="C20" s="58"/>
      <c r="D20" s="60"/>
      <c r="E20" s="60"/>
      <c r="F20" s="96"/>
      <c r="G20" s="99"/>
      <c r="I20" s="2"/>
      <c r="J20" s="24"/>
    </row>
    <row r="21" spans="1:11" s="13" customFormat="1" ht="16.5" customHeight="1" x14ac:dyDescent="0.35">
      <c r="A21" s="1"/>
      <c r="B21" s="1"/>
      <c r="C21" s="97"/>
      <c r="D21" s="97"/>
      <c r="E21" s="98"/>
      <c r="F21" s="98"/>
      <c r="G21" s="99"/>
      <c r="H21" s="1"/>
      <c r="I21" s="1"/>
      <c r="J21" s="24"/>
    </row>
    <row r="22" spans="1:11" s="13" customFormat="1" ht="16.5" customHeight="1" thickBot="1" x14ac:dyDescent="0.4">
      <c r="A22" s="1"/>
      <c r="B22" s="1"/>
      <c r="C22" s="97"/>
      <c r="D22" s="97"/>
      <c r="E22" s="98"/>
      <c r="F22" s="98"/>
      <c r="G22" s="99"/>
      <c r="H22" s="1"/>
      <c r="I22" s="1"/>
      <c r="J22" s="24"/>
    </row>
    <row r="23" spans="1:11" s="16" customFormat="1" ht="16.5" customHeight="1" thickBot="1" x14ac:dyDescent="0.4">
      <c r="A23" s="1"/>
      <c r="B23" s="9"/>
      <c r="C23" s="62" t="s">
        <v>199</v>
      </c>
      <c r="D23" s="100"/>
      <c r="E23" s="100"/>
      <c r="F23" s="101"/>
      <c r="G23" s="99"/>
      <c r="H23" s="1"/>
      <c r="I23" s="1"/>
      <c r="J23" s="24"/>
      <c r="K23" s="13"/>
    </row>
    <row r="24" spans="1:11" s="23" customFormat="1" ht="16.5" customHeight="1" thickBot="1" x14ac:dyDescent="0.4">
      <c r="A24" s="1"/>
      <c r="B24" s="9"/>
      <c r="C24" s="102" t="s">
        <v>78</v>
      </c>
      <c r="D24" s="251"/>
      <c r="E24" s="252"/>
      <c r="F24" s="253"/>
      <c r="G24" s="99"/>
      <c r="H24" s="99"/>
      <c r="I24" s="99"/>
      <c r="J24" s="24"/>
    </row>
    <row r="25" spans="1:11" s="23" customFormat="1" ht="16.5" customHeight="1" thickBot="1" x14ac:dyDescent="0.4">
      <c r="A25" s="1"/>
      <c r="B25" s="9"/>
      <c r="C25" s="102" t="s">
        <v>88</v>
      </c>
      <c r="D25" s="251"/>
      <c r="E25" s="252"/>
      <c r="F25" s="253"/>
      <c r="G25" s="99"/>
      <c r="H25" s="99"/>
      <c r="I25" s="99"/>
      <c r="J25" s="24"/>
    </row>
    <row r="26" spans="1:11" s="23" customFormat="1" ht="16.5" customHeight="1" thickBot="1" x14ac:dyDescent="0.4">
      <c r="A26" s="1"/>
      <c r="B26" s="9"/>
      <c r="C26" s="102" t="s">
        <v>79</v>
      </c>
      <c r="D26" s="251"/>
      <c r="E26" s="252"/>
      <c r="F26" s="253"/>
      <c r="G26" s="99"/>
      <c r="H26" s="99"/>
      <c r="I26" s="99"/>
      <c r="J26" s="24"/>
    </row>
    <row r="27" spans="1:11" s="23" customFormat="1" ht="16.5" customHeight="1" thickBot="1" x14ac:dyDescent="0.4">
      <c r="A27" s="1"/>
      <c r="B27" s="9"/>
      <c r="C27" s="102" t="s">
        <v>80</v>
      </c>
      <c r="D27" s="251"/>
      <c r="E27" s="252"/>
      <c r="F27" s="253"/>
      <c r="G27" s="99"/>
      <c r="H27" s="99"/>
      <c r="I27" s="99"/>
      <c r="J27" s="24"/>
    </row>
    <row r="28" spans="1:11" s="23" customFormat="1" ht="16.5" customHeight="1" thickBot="1" x14ac:dyDescent="0.4">
      <c r="A28" s="1"/>
      <c r="B28" s="9"/>
      <c r="C28" s="102" t="s">
        <v>81</v>
      </c>
      <c r="D28" s="251"/>
      <c r="E28" s="252"/>
      <c r="F28" s="253"/>
      <c r="G28" s="99"/>
      <c r="H28" s="99"/>
      <c r="I28" s="99"/>
      <c r="J28" s="24"/>
    </row>
    <row r="29" spans="1:11" s="1" customFormat="1" ht="16.5" customHeight="1" thickBot="1" x14ac:dyDescent="0.4">
      <c r="B29" s="9"/>
      <c r="C29" s="58"/>
      <c r="D29" s="60"/>
      <c r="E29" s="60"/>
      <c r="F29" s="96"/>
      <c r="G29" s="99"/>
      <c r="I29" s="2"/>
      <c r="J29" s="24"/>
    </row>
    <row r="30" spans="1:11" s="13" customFormat="1" ht="16.5" customHeight="1" x14ac:dyDescent="0.35">
      <c r="A30" s="1"/>
      <c r="B30" s="1"/>
      <c r="C30" s="97"/>
      <c r="D30" s="97"/>
      <c r="E30" s="98"/>
      <c r="F30" s="98"/>
      <c r="G30" s="99"/>
      <c r="H30" s="1"/>
      <c r="I30" s="1"/>
      <c r="J30" s="24"/>
    </row>
    <row r="31" spans="1:11" s="13" customFormat="1" ht="16.5" customHeight="1" thickBot="1" x14ac:dyDescent="0.4">
      <c r="A31" s="1"/>
      <c r="B31" s="1"/>
      <c r="C31" s="97"/>
      <c r="D31" s="97"/>
      <c r="E31" s="98"/>
      <c r="F31" s="98"/>
      <c r="G31" s="99"/>
      <c r="H31" s="1"/>
      <c r="I31" s="1"/>
      <c r="J31" s="24"/>
    </row>
    <row r="32" spans="1:11" s="16" customFormat="1" ht="16.5" customHeight="1" thickBot="1" x14ac:dyDescent="0.4">
      <c r="A32" s="1"/>
      <c r="B32" s="1"/>
      <c r="C32" s="62" t="s">
        <v>197</v>
      </c>
      <c r="D32" s="100"/>
      <c r="E32" s="100"/>
      <c r="F32" s="101"/>
      <c r="G32" s="99"/>
      <c r="H32" s="1"/>
      <c r="I32" s="1"/>
      <c r="J32" s="24"/>
      <c r="K32" s="13"/>
    </row>
    <row r="33" spans="1:11" s="1" customFormat="1" ht="16.5" customHeight="1" thickBot="1" x14ac:dyDescent="0.4">
      <c r="C33" s="103"/>
      <c r="D33" s="104" t="s">
        <v>189</v>
      </c>
      <c r="E33" s="74"/>
      <c r="F33" s="74"/>
      <c r="G33" s="99"/>
      <c r="J33" s="24"/>
      <c r="K33" s="13"/>
    </row>
    <row r="34" spans="1:11" s="1" customFormat="1" ht="16.5" customHeight="1" thickBot="1" x14ac:dyDescent="0.4">
      <c r="C34" s="105"/>
      <c r="D34" s="77">
        <f>'Formulier logistiek'!$K$17</f>
        <v>800</v>
      </c>
      <c r="E34" s="77"/>
      <c r="F34" s="77"/>
      <c r="G34" s="99"/>
      <c r="J34" s="24"/>
      <c r="K34" s="13"/>
    </row>
    <row r="35" spans="1:11" s="14" customFormat="1" ht="16.5" customHeight="1" thickBot="1" x14ac:dyDescent="0.4">
      <c r="A35" s="1"/>
      <c r="B35" s="1"/>
      <c r="C35" s="106" t="s">
        <v>91</v>
      </c>
      <c r="D35" s="41"/>
      <c r="E35" s="107" t="s">
        <v>85</v>
      </c>
      <c r="F35" s="108">
        <f>$D$35*$D$34</f>
        <v>0</v>
      </c>
      <c r="G35" s="109"/>
      <c r="H35" s="20"/>
      <c r="I35" s="20"/>
      <c r="J35" s="24"/>
    </row>
    <row r="36" spans="1:11" s="14" customFormat="1" ht="16.5" customHeight="1" thickBot="1" x14ac:dyDescent="0.4">
      <c r="A36" s="1"/>
      <c r="B36" s="1"/>
      <c r="C36" s="106" t="s">
        <v>92</v>
      </c>
      <c r="D36" s="40" t="s">
        <v>1</v>
      </c>
      <c r="E36" s="107" t="s">
        <v>72</v>
      </c>
      <c r="F36" s="110">
        <f>VLOOKUP(D36,$D$130:$E$136,2,FALSE)</f>
        <v>0</v>
      </c>
      <c r="G36" s="109"/>
      <c r="H36" s="20"/>
      <c r="I36" s="20"/>
      <c r="J36" s="24"/>
    </row>
    <row r="37" spans="1:11" s="14" customFormat="1" ht="30.75" customHeight="1" thickBot="1" x14ac:dyDescent="0.4">
      <c r="A37" s="1"/>
      <c r="B37" s="1"/>
      <c r="C37" s="106" t="s">
        <v>141</v>
      </c>
      <c r="D37" s="40" t="s">
        <v>1</v>
      </c>
      <c r="E37" s="107" t="s">
        <v>73</v>
      </c>
      <c r="F37" s="111">
        <f>1-(VLOOKUP(D37,$D$139:$G$158,2,FALSE))</f>
        <v>1</v>
      </c>
      <c r="G37" s="20"/>
      <c r="H37" s="20"/>
      <c r="I37" s="20"/>
      <c r="J37" s="24"/>
    </row>
    <row r="38" spans="1:11" s="16" customFormat="1" ht="16.5" customHeight="1" thickBot="1" x14ac:dyDescent="0.4">
      <c r="A38" s="1"/>
      <c r="B38" s="1"/>
      <c r="C38" s="112" t="s">
        <v>149</v>
      </c>
      <c r="D38" s="113"/>
      <c r="E38" s="100"/>
      <c r="F38" s="114">
        <f>((F36-(F36*F37))*F35)/1000000</f>
        <v>0</v>
      </c>
      <c r="G38" s="109"/>
      <c r="H38" s="19"/>
      <c r="I38" s="19"/>
      <c r="J38" s="24"/>
    </row>
    <row r="39" spans="1:11" s="13" customFormat="1" ht="16.5" customHeight="1" thickBot="1" x14ac:dyDescent="0.4">
      <c r="A39" s="1"/>
      <c r="B39" s="1"/>
      <c r="C39" s="115" t="s">
        <v>150</v>
      </c>
      <c r="D39" s="116"/>
      <c r="E39" s="117"/>
      <c r="F39" s="118">
        <v>100</v>
      </c>
      <c r="G39" s="20"/>
      <c r="H39" s="1"/>
      <c r="I39" s="1"/>
      <c r="J39" s="24"/>
    </row>
    <row r="40" spans="1:11" s="14" customFormat="1" ht="16.5" customHeight="1" thickBot="1" x14ac:dyDescent="0.4">
      <c r="A40" s="1"/>
      <c r="B40" s="1"/>
      <c r="C40" s="119" t="s">
        <v>46</v>
      </c>
      <c r="D40" s="120"/>
      <c r="E40" s="120"/>
      <c r="F40" s="121">
        <f>$F$38*$F$39</f>
        <v>0</v>
      </c>
      <c r="G40" s="109"/>
      <c r="H40" s="109"/>
      <c r="I40" s="20"/>
      <c r="J40" s="24"/>
      <c r="K40" s="17"/>
    </row>
    <row r="41" spans="1:11" s="14" customFormat="1" ht="16.5" customHeight="1" thickBot="1" x14ac:dyDescent="0.4">
      <c r="A41" s="1"/>
      <c r="B41" s="1"/>
      <c r="C41" s="122" t="s">
        <v>45</v>
      </c>
      <c r="D41" s="123"/>
      <c r="E41" s="123"/>
      <c r="F41" s="124">
        <f>$F$40/$D$34</f>
        <v>0</v>
      </c>
      <c r="G41" s="109"/>
      <c r="H41" s="109"/>
      <c r="I41" s="20"/>
      <c r="J41" s="24"/>
      <c r="K41" s="17"/>
    </row>
    <row r="42" spans="1:11" s="14" customFormat="1" ht="16.5" customHeight="1" x14ac:dyDescent="0.35">
      <c r="A42" s="20"/>
      <c r="B42" s="20"/>
      <c r="C42" s="20"/>
      <c r="D42" s="20"/>
      <c r="E42" s="20"/>
      <c r="F42" s="125"/>
      <c r="G42" s="126"/>
      <c r="H42" s="109"/>
      <c r="I42" s="20"/>
      <c r="J42" s="24"/>
      <c r="K42" s="22"/>
    </row>
    <row r="43" spans="1:11" s="14" customFormat="1" ht="16.5" customHeight="1" thickBot="1" x14ac:dyDescent="0.4">
      <c r="A43" s="20"/>
      <c r="B43" s="20"/>
      <c r="C43" s="20"/>
      <c r="D43" s="20"/>
      <c r="E43" s="20"/>
      <c r="F43" s="125"/>
      <c r="G43" s="126"/>
      <c r="H43" s="109"/>
      <c r="I43" s="20"/>
      <c r="J43" s="24"/>
      <c r="K43" s="22"/>
    </row>
    <row r="44" spans="1:11" s="16" customFormat="1" ht="16.5" customHeight="1" thickBot="1" x14ac:dyDescent="0.4">
      <c r="A44" s="1"/>
      <c r="B44" s="1"/>
      <c r="C44" s="62" t="s">
        <v>198</v>
      </c>
      <c r="D44" s="100"/>
      <c r="E44" s="100"/>
      <c r="F44" s="101"/>
      <c r="G44" s="99"/>
      <c r="H44" s="1"/>
      <c r="I44" s="1"/>
      <c r="J44" s="24"/>
      <c r="K44" s="13"/>
    </row>
    <row r="45" spans="1:11" s="1" customFormat="1" ht="16.5" customHeight="1" thickBot="1" x14ac:dyDescent="0.4">
      <c r="C45" s="103"/>
      <c r="D45" s="104" t="s">
        <v>190</v>
      </c>
      <c r="E45" s="74"/>
      <c r="F45" s="74"/>
      <c r="G45" s="99"/>
      <c r="J45" s="24"/>
      <c r="K45" s="13"/>
    </row>
    <row r="46" spans="1:11" s="1" customFormat="1" ht="16.5" customHeight="1" thickBot="1" x14ac:dyDescent="0.4">
      <c r="C46" s="105"/>
      <c r="D46" s="77">
        <f>'Formulier logistiek'!$K$24</f>
        <v>34000</v>
      </c>
      <c r="E46" s="77"/>
      <c r="F46" s="77"/>
      <c r="G46" s="99"/>
      <c r="J46" s="24"/>
      <c r="K46" s="13"/>
    </row>
    <row r="47" spans="1:11" s="14" customFormat="1" ht="16.5" customHeight="1" thickBot="1" x14ac:dyDescent="0.4">
      <c r="A47" s="1"/>
      <c r="B47" s="1"/>
      <c r="C47" s="106" t="s">
        <v>91</v>
      </c>
      <c r="D47" s="41"/>
      <c r="E47" s="107" t="s">
        <v>85</v>
      </c>
      <c r="F47" s="108">
        <f>$D$47*$D$46</f>
        <v>0</v>
      </c>
      <c r="G47" s="109"/>
      <c r="H47" s="20"/>
      <c r="I47" s="20"/>
      <c r="J47" s="24"/>
    </row>
    <row r="48" spans="1:11" s="14" customFormat="1" ht="16.5" customHeight="1" thickBot="1" x14ac:dyDescent="0.4">
      <c r="A48" s="1"/>
      <c r="B48" s="1"/>
      <c r="C48" s="106" t="s">
        <v>92</v>
      </c>
      <c r="D48" s="40" t="s">
        <v>1</v>
      </c>
      <c r="E48" s="107" t="s">
        <v>72</v>
      </c>
      <c r="F48" s="110">
        <f>VLOOKUP(D48,$D$130:$E$136,2,FALSE)</f>
        <v>0</v>
      </c>
      <c r="G48" s="109"/>
      <c r="H48" s="20"/>
      <c r="I48" s="20"/>
      <c r="J48" s="24"/>
    </row>
    <row r="49" spans="1:11" s="14" customFormat="1" ht="30.75" customHeight="1" thickBot="1" x14ac:dyDescent="0.4">
      <c r="A49" s="1"/>
      <c r="B49" s="1"/>
      <c r="C49" s="106" t="s">
        <v>141</v>
      </c>
      <c r="D49" s="40" t="s">
        <v>1</v>
      </c>
      <c r="E49" s="107" t="s">
        <v>73</v>
      </c>
      <c r="F49" s="111">
        <f>1-(VLOOKUP(D49,$D$139:$G$158,2,FALSE))</f>
        <v>1</v>
      </c>
      <c r="G49" s="20"/>
      <c r="H49" s="20"/>
      <c r="I49" s="20"/>
      <c r="J49" s="24"/>
    </row>
    <row r="50" spans="1:11" s="16" customFormat="1" ht="16.5" customHeight="1" thickBot="1" x14ac:dyDescent="0.4">
      <c r="A50" s="1"/>
      <c r="B50" s="1"/>
      <c r="C50" s="112" t="s">
        <v>149</v>
      </c>
      <c r="D50" s="113"/>
      <c r="E50" s="100"/>
      <c r="F50" s="114">
        <f>((F48-(F48*F49))*F47)/1000000</f>
        <v>0</v>
      </c>
      <c r="G50" s="109"/>
      <c r="H50" s="19"/>
      <c r="I50" s="19"/>
      <c r="J50" s="24"/>
    </row>
    <row r="51" spans="1:11" s="13" customFormat="1" ht="16.5" customHeight="1" thickBot="1" x14ac:dyDescent="0.4">
      <c r="A51" s="1"/>
      <c r="B51" s="1"/>
      <c r="C51" s="115" t="s">
        <v>150</v>
      </c>
      <c r="D51" s="116"/>
      <c r="E51" s="117"/>
      <c r="F51" s="118">
        <v>100</v>
      </c>
      <c r="G51" s="20"/>
      <c r="H51" s="1"/>
      <c r="I51" s="1"/>
      <c r="J51" s="24"/>
    </row>
    <row r="52" spans="1:11" s="14" customFormat="1" ht="16.5" customHeight="1" thickBot="1" x14ac:dyDescent="0.4">
      <c r="A52" s="1"/>
      <c r="B52" s="1"/>
      <c r="C52" s="119" t="s">
        <v>46</v>
      </c>
      <c r="D52" s="120"/>
      <c r="E52" s="120"/>
      <c r="F52" s="121">
        <f>$F$50*$F$51</f>
        <v>0</v>
      </c>
      <c r="G52" s="109"/>
      <c r="H52" s="109"/>
      <c r="I52" s="20"/>
      <c r="J52" s="24"/>
      <c r="K52" s="17"/>
    </row>
    <row r="53" spans="1:11" s="14" customFormat="1" ht="16.5" customHeight="1" thickBot="1" x14ac:dyDescent="0.4">
      <c r="A53" s="1"/>
      <c r="B53" s="1"/>
      <c r="C53" s="122" t="s">
        <v>45</v>
      </c>
      <c r="D53" s="123"/>
      <c r="E53" s="123"/>
      <c r="F53" s="124">
        <f>$F$40/$D$34</f>
        <v>0</v>
      </c>
      <c r="G53" s="109"/>
      <c r="H53" s="109"/>
      <c r="I53" s="20"/>
      <c r="J53" s="24"/>
      <c r="K53" s="17"/>
    </row>
    <row r="54" spans="1:11" s="14" customFormat="1" ht="16.5" customHeight="1" x14ac:dyDescent="0.35">
      <c r="A54" s="20"/>
      <c r="B54" s="20"/>
      <c r="C54" s="20"/>
      <c r="D54" s="20"/>
      <c r="E54" s="127"/>
      <c r="F54" s="125"/>
      <c r="G54" s="126"/>
      <c r="H54" s="109"/>
      <c r="I54" s="20"/>
      <c r="J54" s="24"/>
      <c r="K54" s="22"/>
    </row>
    <row r="55" spans="1:11" s="14" customFormat="1" ht="16.5" customHeight="1" thickBot="1" x14ac:dyDescent="0.4">
      <c r="A55" s="20"/>
      <c r="B55" s="20"/>
      <c r="C55" s="20"/>
      <c r="D55" s="20"/>
      <c r="E55" s="127"/>
      <c r="F55" s="125"/>
      <c r="G55" s="126"/>
      <c r="H55" s="109"/>
      <c r="I55" s="20"/>
      <c r="J55" s="24"/>
      <c r="K55" s="22"/>
    </row>
    <row r="56" spans="1:11" s="16" customFormat="1" ht="16.5" customHeight="1" thickBot="1" x14ac:dyDescent="0.4">
      <c r="A56" s="19"/>
      <c r="B56" s="19"/>
      <c r="C56" s="62" t="s">
        <v>107</v>
      </c>
      <c r="D56" s="128"/>
      <c r="E56" s="128"/>
      <c r="F56" s="128"/>
      <c r="G56" s="129"/>
      <c r="H56" s="19"/>
      <c r="I56" s="19"/>
      <c r="J56" s="24"/>
    </row>
    <row r="57" spans="1:11" s="13" customFormat="1" ht="16.5" customHeight="1" thickBot="1" x14ac:dyDescent="0.4">
      <c r="A57" s="1"/>
      <c r="B57" s="1"/>
      <c r="C57" s="130" t="s">
        <v>196</v>
      </c>
      <c r="D57" s="131"/>
      <c r="E57" s="131"/>
      <c r="F57" s="132"/>
      <c r="G57" s="133" t="s">
        <v>51</v>
      </c>
      <c r="H57" s="1"/>
      <c r="I57" s="1"/>
      <c r="J57" s="24"/>
    </row>
    <row r="58" spans="1:11" s="13" customFormat="1" ht="30.75" customHeight="1" thickBot="1" x14ac:dyDescent="0.4">
      <c r="A58" s="1"/>
      <c r="B58" s="1"/>
      <c r="C58" s="134" t="s">
        <v>49</v>
      </c>
      <c r="D58" s="135" t="s">
        <v>142</v>
      </c>
      <c r="E58" s="249" t="s">
        <v>76</v>
      </c>
      <c r="F58" s="249"/>
      <c r="G58" s="136"/>
      <c r="H58" s="1"/>
      <c r="I58" s="1"/>
      <c r="J58" s="24"/>
    </row>
    <row r="59" spans="1:11" s="13" customFormat="1" ht="16.5" customHeight="1" thickBot="1" x14ac:dyDescent="0.4">
      <c r="A59" s="1"/>
      <c r="B59" s="1"/>
      <c r="C59" s="137" t="s">
        <v>50</v>
      </c>
      <c r="D59" s="30"/>
      <c r="E59" s="138" t="s">
        <v>20</v>
      </c>
      <c r="F59" s="139" t="s">
        <v>159</v>
      </c>
      <c r="G59" s="140">
        <f>(D59*450-340)</f>
        <v>-340</v>
      </c>
      <c r="H59" s="1"/>
      <c r="I59" s="1"/>
      <c r="J59" s="24"/>
    </row>
    <row r="60" spans="1:11" s="13" customFormat="1" ht="30.6" thickBot="1" x14ac:dyDescent="0.4">
      <c r="A60" s="1"/>
      <c r="B60" s="1"/>
      <c r="C60" s="141" t="s">
        <v>16</v>
      </c>
      <c r="D60" s="142" t="s">
        <v>143</v>
      </c>
      <c r="E60" s="249" t="s">
        <v>74</v>
      </c>
      <c r="F60" s="249"/>
      <c r="G60" s="143"/>
      <c r="H60" s="1"/>
      <c r="I60" s="1"/>
      <c r="J60" s="24"/>
    </row>
    <row r="61" spans="1:11" s="43" customFormat="1" ht="16.5" customHeight="1" thickBot="1" x14ac:dyDescent="0.4">
      <c r="A61" s="33"/>
      <c r="B61" s="33"/>
      <c r="C61" s="144" t="s">
        <v>17</v>
      </c>
      <c r="D61" s="30"/>
      <c r="E61" s="138" t="s">
        <v>75</v>
      </c>
      <c r="F61" s="145">
        <v>1.8</v>
      </c>
      <c r="G61" s="140">
        <f>D61*F61</f>
        <v>0</v>
      </c>
      <c r="H61" s="33"/>
      <c r="I61" s="33"/>
      <c r="J61" s="44"/>
    </row>
    <row r="62" spans="1:11" s="43" customFormat="1" ht="16.5" customHeight="1" thickBot="1" x14ac:dyDescent="0.4">
      <c r="A62" s="33"/>
      <c r="B62" s="33"/>
      <c r="C62" s="144" t="s">
        <v>18</v>
      </c>
      <c r="D62" s="30"/>
      <c r="E62" s="138" t="s">
        <v>75</v>
      </c>
      <c r="F62" s="146">
        <v>2</v>
      </c>
      <c r="G62" s="140">
        <f>D62*F62</f>
        <v>0</v>
      </c>
      <c r="H62" s="33"/>
      <c r="I62" s="33"/>
      <c r="J62" s="44"/>
    </row>
    <row r="63" spans="1:11" s="13" customFormat="1" ht="30.6" thickBot="1" x14ac:dyDescent="0.4">
      <c r="A63" s="1"/>
      <c r="B63" s="1"/>
      <c r="C63" s="147" t="s">
        <v>19</v>
      </c>
      <c r="D63" s="142" t="s">
        <v>144</v>
      </c>
      <c r="E63" s="249" t="s">
        <v>76</v>
      </c>
      <c r="F63" s="249"/>
      <c r="G63" s="143"/>
      <c r="H63" s="1"/>
      <c r="I63" s="1"/>
      <c r="J63" s="24"/>
    </row>
    <row r="64" spans="1:11" s="13" customFormat="1" ht="16.5" customHeight="1" thickBot="1" x14ac:dyDescent="0.4">
      <c r="A64" s="1"/>
      <c r="B64" s="1"/>
      <c r="C64" s="137" t="s">
        <v>52</v>
      </c>
      <c r="D64" s="30"/>
      <c r="E64" s="138" t="s">
        <v>20</v>
      </c>
      <c r="F64" s="148">
        <v>1.5</v>
      </c>
      <c r="G64" s="140">
        <f>D64*F64</f>
        <v>0</v>
      </c>
      <c r="H64" s="1"/>
      <c r="I64" s="1"/>
      <c r="J64" s="24"/>
    </row>
    <row r="65" spans="1:10" s="13" customFormat="1" ht="16.5" customHeight="1" thickBot="1" x14ac:dyDescent="0.4">
      <c r="A65" s="1"/>
      <c r="B65" s="1"/>
      <c r="C65" s="137" t="s">
        <v>21</v>
      </c>
      <c r="D65" s="30"/>
      <c r="E65" s="138" t="s">
        <v>20</v>
      </c>
      <c r="F65" s="145">
        <v>0.1</v>
      </c>
      <c r="G65" s="140">
        <f t="shared" ref="G65:G80" si="0">D65*F65</f>
        <v>0</v>
      </c>
      <c r="H65" s="1"/>
      <c r="I65" s="1"/>
      <c r="J65" s="24"/>
    </row>
    <row r="66" spans="1:10" s="13" customFormat="1" ht="16.5" customHeight="1" thickBot="1" x14ac:dyDescent="0.4">
      <c r="A66" s="1"/>
      <c r="B66" s="1"/>
      <c r="C66" s="137" t="s">
        <v>22</v>
      </c>
      <c r="D66" s="30"/>
      <c r="E66" s="138" t="s">
        <v>20</v>
      </c>
      <c r="F66" s="145">
        <v>0.5</v>
      </c>
      <c r="G66" s="140">
        <f t="shared" si="0"/>
        <v>0</v>
      </c>
      <c r="H66" s="1"/>
      <c r="I66" s="1"/>
      <c r="J66" s="24"/>
    </row>
    <row r="67" spans="1:10" s="13" customFormat="1" ht="16.5" customHeight="1" thickBot="1" x14ac:dyDescent="0.4">
      <c r="A67" s="1"/>
      <c r="B67" s="1"/>
      <c r="C67" s="137" t="s">
        <v>23</v>
      </c>
      <c r="D67" s="30"/>
      <c r="E67" s="138" t="s">
        <v>20</v>
      </c>
      <c r="F67" s="145">
        <v>6.6</v>
      </c>
      <c r="G67" s="140">
        <f t="shared" si="0"/>
        <v>0</v>
      </c>
      <c r="H67" s="1"/>
      <c r="I67" s="1"/>
      <c r="J67" s="24"/>
    </row>
    <row r="68" spans="1:10" s="13" customFormat="1" ht="16.5" customHeight="1" thickBot="1" x14ac:dyDescent="0.4">
      <c r="A68" s="1"/>
      <c r="B68" s="1"/>
      <c r="C68" s="137" t="s">
        <v>24</v>
      </c>
      <c r="D68" s="30"/>
      <c r="E68" s="138" t="s">
        <v>20</v>
      </c>
      <c r="F68" s="145">
        <v>0.3</v>
      </c>
      <c r="G68" s="140">
        <f t="shared" si="0"/>
        <v>0</v>
      </c>
      <c r="H68" s="1"/>
      <c r="I68" s="1"/>
      <c r="J68" s="24"/>
    </row>
    <row r="69" spans="1:10" s="13" customFormat="1" ht="16.5" customHeight="1" thickBot="1" x14ac:dyDescent="0.4">
      <c r="A69" s="1"/>
      <c r="B69" s="1"/>
      <c r="C69" s="137" t="s">
        <v>25</v>
      </c>
      <c r="D69" s="30"/>
      <c r="E69" s="138" t="s">
        <v>20</v>
      </c>
      <c r="F69" s="145">
        <v>0</v>
      </c>
      <c r="G69" s="140">
        <f t="shared" si="0"/>
        <v>0</v>
      </c>
      <c r="H69" s="1"/>
      <c r="I69" s="1"/>
      <c r="J69" s="24"/>
    </row>
    <row r="70" spans="1:10" s="13" customFormat="1" ht="16.5" customHeight="1" thickBot="1" x14ac:dyDescent="0.4">
      <c r="A70" s="1"/>
      <c r="B70" s="1"/>
      <c r="C70" s="137" t="s">
        <v>26</v>
      </c>
      <c r="D70" s="30"/>
      <c r="E70" s="138" t="s">
        <v>20</v>
      </c>
      <c r="F70" s="146">
        <v>2</v>
      </c>
      <c r="G70" s="140">
        <f t="shared" si="0"/>
        <v>0</v>
      </c>
      <c r="H70" s="1"/>
      <c r="I70" s="1"/>
      <c r="J70" s="24"/>
    </row>
    <row r="71" spans="1:10" s="13" customFormat="1" ht="16.5" customHeight="1" thickBot="1" x14ac:dyDescent="0.4">
      <c r="A71" s="1"/>
      <c r="B71" s="1"/>
      <c r="C71" s="137" t="s">
        <v>27</v>
      </c>
      <c r="D71" s="30"/>
      <c r="E71" s="138" t="s">
        <v>20</v>
      </c>
      <c r="F71" s="146">
        <v>1</v>
      </c>
      <c r="G71" s="140">
        <f t="shared" si="0"/>
        <v>0</v>
      </c>
      <c r="H71" s="1"/>
      <c r="I71" s="1"/>
      <c r="J71" s="24"/>
    </row>
    <row r="72" spans="1:10" s="13" customFormat="1" ht="16.5" customHeight="1" thickBot="1" x14ac:dyDescent="0.4">
      <c r="A72" s="1"/>
      <c r="B72" s="1"/>
      <c r="C72" s="137" t="s">
        <v>28</v>
      </c>
      <c r="D72" s="30"/>
      <c r="E72" s="138" t="s">
        <v>20</v>
      </c>
      <c r="F72" s="145">
        <v>0.5</v>
      </c>
      <c r="G72" s="140">
        <f t="shared" si="0"/>
        <v>0</v>
      </c>
      <c r="H72" s="1"/>
      <c r="I72" s="1"/>
      <c r="J72" s="24"/>
    </row>
    <row r="73" spans="1:10" s="13" customFormat="1" ht="16.5" customHeight="1" thickBot="1" x14ac:dyDescent="0.4">
      <c r="A73" s="1"/>
      <c r="B73" s="1"/>
      <c r="C73" s="137" t="s">
        <v>29</v>
      </c>
      <c r="D73" s="30"/>
      <c r="E73" s="138" t="s">
        <v>20</v>
      </c>
      <c r="F73" s="145">
        <v>0</v>
      </c>
      <c r="G73" s="140">
        <f t="shared" si="0"/>
        <v>0</v>
      </c>
      <c r="H73" s="1"/>
      <c r="I73" s="1"/>
      <c r="J73" s="24"/>
    </row>
    <row r="74" spans="1:10" s="13" customFormat="1" ht="16.5" customHeight="1" thickBot="1" x14ac:dyDescent="0.4">
      <c r="A74" s="1"/>
      <c r="B74" s="1"/>
      <c r="C74" s="137" t="s">
        <v>30</v>
      </c>
      <c r="D74" s="30"/>
      <c r="E74" s="138" t="s">
        <v>20</v>
      </c>
      <c r="F74" s="145">
        <v>0</v>
      </c>
      <c r="G74" s="140">
        <f t="shared" si="0"/>
        <v>0</v>
      </c>
      <c r="H74" s="1"/>
      <c r="I74" s="1"/>
      <c r="J74" s="24"/>
    </row>
    <row r="75" spans="1:10" s="13" customFormat="1" ht="16.5" customHeight="1" thickBot="1" x14ac:dyDescent="0.4">
      <c r="A75" s="1"/>
      <c r="B75" s="1"/>
      <c r="C75" s="137" t="s">
        <v>31</v>
      </c>
      <c r="D75" s="30"/>
      <c r="E75" s="138" t="s">
        <v>20</v>
      </c>
      <c r="F75" s="145">
        <v>0</v>
      </c>
      <c r="G75" s="140">
        <f t="shared" si="0"/>
        <v>0</v>
      </c>
      <c r="H75" s="1"/>
      <c r="I75" s="1"/>
      <c r="J75" s="24"/>
    </row>
    <row r="76" spans="1:10" s="13" customFormat="1" ht="16.5" customHeight="1" thickBot="1" x14ac:dyDescent="0.4">
      <c r="A76" s="1"/>
      <c r="B76" s="1"/>
      <c r="C76" s="137" t="s">
        <v>188</v>
      </c>
      <c r="D76" s="30"/>
      <c r="E76" s="138" t="s">
        <v>20</v>
      </c>
      <c r="F76" s="145">
        <v>0</v>
      </c>
      <c r="G76" s="140">
        <f t="shared" si="0"/>
        <v>0</v>
      </c>
      <c r="H76" s="1"/>
      <c r="I76" s="1"/>
      <c r="J76" s="24"/>
    </row>
    <row r="77" spans="1:10" s="13" customFormat="1" ht="16.5" customHeight="1" thickBot="1" x14ac:dyDescent="0.4">
      <c r="A77" s="1"/>
      <c r="B77" s="1"/>
      <c r="C77" s="137" t="s">
        <v>32</v>
      </c>
      <c r="D77" s="30"/>
      <c r="E77" s="138" t="s">
        <v>20</v>
      </c>
      <c r="F77" s="145">
        <v>0.2</v>
      </c>
      <c r="G77" s="140">
        <f t="shared" si="0"/>
        <v>0</v>
      </c>
      <c r="H77" s="1"/>
      <c r="I77" s="1"/>
      <c r="J77" s="24"/>
    </row>
    <row r="78" spans="1:10" s="13" customFormat="1" ht="16.5" customHeight="1" thickBot="1" x14ac:dyDescent="0.4">
      <c r="A78" s="1"/>
      <c r="B78" s="1"/>
      <c r="C78" s="137" t="s">
        <v>33</v>
      </c>
      <c r="D78" s="30"/>
      <c r="E78" s="138" t="s">
        <v>20</v>
      </c>
      <c r="F78" s="145">
        <v>0.1</v>
      </c>
      <c r="G78" s="140">
        <f t="shared" si="0"/>
        <v>0</v>
      </c>
      <c r="H78" s="1"/>
      <c r="I78" s="1"/>
      <c r="J78" s="24"/>
    </row>
    <row r="79" spans="1:10" s="13" customFormat="1" ht="30.75" customHeight="1" thickBot="1" x14ac:dyDescent="0.4">
      <c r="A79" s="1"/>
      <c r="B79" s="1"/>
      <c r="C79" s="149" t="s">
        <v>34</v>
      </c>
      <c r="D79" s="142" t="s">
        <v>144</v>
      </c>
      <c r="E79" s="249" t="s">
        <v>76</v>
      </c>
      <c r="F79" s="249"/>
      <c r="G79" s="143"/>
      <c r="H79" s="1"/>
      <c r="I79" s="1"/>
      <c r="J79" s="24"/>
    </row>
    <row r="80" spans="1:10" s="13" customFormat="1" ht="16.5" customHeight="1" thickBot="1" x14ac:dyDescent="0.4">
      <c r="A80" s="1"/>
      <c r="B80" s="1"/>
      <c r="C80" s="137" t="s">
        <v>145</v>
      </c>
      <c r="D80" s="30"/>
      <c r="E80" s="138" t="s">
        <v>20</v>
      </c>
      <c r="F80" s="146">
        <v>0.5</v>
      </c>
      <c r="G80" s="140">
        <f t="shared" si="0"/>
        <v>0</v>
      </c>
      <c r="H80" s="1"/>
      <c r="I80" s="1"/>
      <c r="J80" s="24"/>
    </row>
    <row r="81" spans="1:11" s="13" customFormat="1" ht="16.5" customHeight="1" thickBot="1" x14ac:dyDescent="0.4">
      <c r="A81" s="1"/>
      <c r="B81" s="1"/>
      <c r="C81" s="150" t="s">
        <v>156</v>
      </c>
      <c r="D81" s="151"/>
      <c r="E81" s="152"/>
      <c r="F81" s="153"/>
      <c r="G81" s="154">
        <f>SUM($G$59:$G$80)*$D$34</f>
        <v>-272000</v>
      </c>
      <c r="H81" s="1"/>
      <c r="I81" s="1"/>
      <c r="J81" s="24"/>
    </row>
    <row r="82" spans="1:11" s="13" customFormat="1" ht="16.5" customHeight="1" thickBot="1" x14ac:dyDescent="0.4">
      <c r="A82" s="1"/>
      <c r="B82" s="1"/>
      <c r="C82" s="115" t="s">
        <v>150</v>
      </c>
      <c r="D82" s="116"/>
      <c r="E82" s="117"/>
      <c r="F82" s="155"/>
      <c r="G82" s="118">
        <v>200</v>
      </c>
      <c r="H82" s="1"/>
      <c r="I82" s="1"/>
      <c r="J82" s="24"/>
    </row>
    <row r="83" spans="1:11" s="13" customFormat="1" ht="16.5" customHeight="1" thickBot="1" x14ac:dyDescent="0.4">
      <c r="A83" s="1"/>
      <c r="B83" s="1"/>
      <c r="C83" s="156" t="s">
        <v>147</v>
      </c>
      <c r="D83" s="157"/>
      <c r="E83" s="158"/>
      <c r="F83" s="159"/>
      <c r="G83" s="160">
        <f>$G$81*$G$82/1000</f>
        <v>-54400</v>
      </c>
      <c r="H83" s="1"/>
      <c r="I83" s="1"/>
      <c r="J83" s="24"/>
    </row>
    <row r="84" spans="1:11" s="16" customFormat="1" ht="16.5" customHeight="1" thickBot="1" x14ac:dyDescent="0.4">
      <c r="A84" s="19"/>
      <c r="B84" s="19"/>
      <c r="C84" s="122" t="s">
        <v>45</v>
      </c>
      <c r="D84" s="161"/>
      <c r="E84" s="161"/>
      <c r="F84" s="162"/>
      <c r="G84" s="124">
        <f>$G$83/$D$34</f>
        <v>-68</v>
      </c>
      <c r="H84" s="19"/>
      <c r="I84" s="19"/>
      <c r="J84" s="24"/>
    </row>
    <row r="85" spans="1:11" s="14" customFormat="1" ht="75" customHeight="1" x14ac:dyDescent="0.35">
      <c r="A85" s="20"/>
      <c r="B85" s="20"/>
      <c r="C85" s="250" t="s">
        <v>146</v>
      </c>
      <c r="D85" s="250"/>
      <c r="E85" s="250"/>
      <c r="F85" s="250"/>
      <c r="G85" s="250"/>
      <c r="H85" s="109"/>
      <c r="I85" s="20"/>
      <c r="J85" s="24"/>
      <c r="K85" s="22"/>
    </row>
    <row r="86" spans="1:11" s="14" customFormat="1" ht="16.5" customHeight="1" x14ac:dyDescent="0.35">
      <c r="A86" s="20"/>
      <c r="B86" s="20"/>
      <c r="C86" s="20"/>
      <c r="D86" s="20"/>
      <c r="E86" s="20"/>
      <c r="F86" s="125"/>
      <c r="G86" s="126"/>
      <c r="H86" s="109"/>
      <c r="I86" s="20"/>
      <c r="J86" s="24"/>
      <c r="K86" s="22"/>
    </row>
    <row r="87" spans="1:11" s="14" customFormat="1" ht="16.5" customHeight="1" thickBot="1" x14ac:dyDescent="0.4">
      <c r="A87" s="20"/>
      <c r="B87" s="20"/>
      <c r="C87" s="20"/>
      <c r="D87" s="20"/>
      <c r="E87" s="127"/>
      <c r="F87" s="125"/>
      <c r="G87" s="126"/>
      <c r="H87" s="109"/>
      <c r="I87" s="20"/>
      <c r="J87" s="24"/>
      <c r="K87" s="22"/>
    </row>
    <row r="88" spans="1:11" s="16" customFormat="1" ht="16.5" customHeight="1" thickBot="1" x14ac:dyDescent="0.4">
      <c r="A88" s="19"/>
      <c r="B88" s="19"/>
      <c r="C88" s="62" t="s">
        <v>107</v>
      </c>
      <c r="D88" s="128"/>
      <c r="E88" s="128"/>
      <c r="F88" s="128"/>
      <c r="G88" s="129"/>
      <c r="H88" s="19"/>
      <c r="I88" s="19"/>
      <c r="J88" s="24"/>
    </row>
    <row r="89" spans="1:11" s="13" customFormat="1" ht="16.5" customHeight="1" thickBot="1" x14ac:dyDescent="0.4">
      <c r="A89" s="1"/>
      <c r="B89" s="1"/>
      <c r="C89" s="130" t="s">
        <v>201</v>
      </c>
      <c r="D89" s="131"/>
      <c r="E89" s="131"/>
      <c r="F89" s="132"/>
      <c r="G89" s="133" t="s">
        <v>51</v>
      </c>
      <c r="H89" s="1"/>
      <c r="I89" s="1"/>
      <c r="J89" s="24"/>
    </row>
    <row r="90" spans="1:11" s="13" customFormat="1" ht="30.75" customHeight="1" thickBot="1" x14ac:dyDescent="0.4">
      <c r="A90" s="1"/>
      <c r="B90" s="1"/>
      <c r="C90" s="134" t="s">
        <v>49</v>
      </c>
      <c r="D90" s="135" t="s">
        <v>142</v>
      </c>
      <c r="E90" s="249" t="s">
        <v>76</v>
      </c>
      <c r="F90" s="249"/>
      <c r="G90" s="136"/>
      <c r="H90" s="1"/>
      <c r="I90" s="1"/>
      <c r="J90" s="24"/>
    </row>
    <row r="91" spans="1:11" s="13" customFormat="1" ht="16.5" customHeight="1" thickBot="1" x14ac:dyDescent="0.4">
      <c r="A91" s="1"/>
      <c r="B91" s="1"/>
      <c r="C91" s="137" t="s">
        <v>50</v>
      </c>
      <c r="D91" s="30"/>
      <c r="E91" s="138" t="s">
        <v>20</v>
      </c>
      <c r="F91" s="163" t="s">
        <v>159</v>
      </c>
      <c r="G91" s="140">
        <f>(D91*450-340)</f>
        <v>-340</v>
      </c>
      <c r="H91" s="1"/>
      <c r="I91" s="1"/>
      <c r="J91" s="24"/>
    </row>
    <row r="92" spans="1:11" s="13" customFormat="1" ht="30.6" thickBot="1" x14ac:dyDescent="0.4">
      <c r="A92" s="1"/>
      <c r="B92" s="1"/>
      <c r="C92" s="164" t="s">
        <v>16</v>
      </c>
      <c r="D92" s="142" t="s">
        <v>143</v>
      </c>
      <c r="E92" s="249" t="s">
        <v>74</v>
      </c>
      <c r="F92" s="249"/>
      <c r="G92" s="143"/>
      <c r="H92" s="1"/>
      <c r="I92" s="1"/>
      <c r="J92" s="24"/>
    </row>
    <row r="93" spans="1:11" s="13" customFormat="1" ht="16.5" customHeight="1" thickBot="1" x14ac:dyDescent="0.4">
      <c r="A93" s="1"/>
      <c r="B93" s="1"/>
      <c r="C93" s="137" t="s">
        <v>17</v>
      </c>
      <c r="D93" s="30"/>
      <c r="E93" s="138" t="s">
        <v>75</v>
      </c>
      <c r="F93" s="145">
        <v>1.8</v>
      </c>
      <c r="G93" s="140">
        <f>D93*F93</f>
        <v>0</v>
      </c>
      <c r="H93" s="1"/>
      <c r="I93" s="1"/>
      <c r="J93" s="24"/>
    </row>
    <row r="94" spans="1:11" s="13" customFormat="1" ht="16.5" customHeight="1" thickBot="1" x14ac:dyDescent="0.4">
      <c r="A94" s="1"/>
      <c r="B94" s="1"/>
      <c r="C94" s="137" t="s">
        <v>18</v>
      </c>
      <c r="D94" s="30"/>
      <c r="E94" s="138" t="s">
        <v>75</v>
      </c>
      <c r="F94" s="146">
        <v>2</v>
      </c>
      <c r="G94" s="140">
        <f>D94*F94</f>
        <v>0</v>
      </c>
      <c r="H94" s="1"/>
      <c r="I94" s="1"/>
      <c r="J94" s="24"/>
    </row>
    <row r="95" spans="1:11" s="13" customFormat="1" ht="30.6" thickBot="1" x14ac:dyDescent="0.4">
      <c r="A95" s="1"/>
      <c r="B95" s="1"/>
      <c r="C95" s="165" t="s">
        <v>19</v>
      </c>
      <c r="D95" s="142" t="s">
        <v>144</v>
      </c>
      <c r="E95" s="249" t="s">
        <v>76</v>
      </c>
      <c r="F95" s="249"/>
      <c r="G95" s="143"/>
      <c r="H95" s="1"/>
      <c r="I95" s="1"/>
      <c r="J95" s="24"/>
    </row>
    <row r="96" spans="1:11" s="13" customFormat="1" ht="16.5" customHeight="1" thickBot="1" x14ac:dyDescent="0.4">
      <c r="A96" s="1"/>
      <c r="B96" s="1"/>
      <c r="C96" s="137" t="s">
        <v>52</v>
      </c>
      <c r="D96" s="30"/>
      <c r="E96" s="138" t="s">
        <v>20</v>
      </c>
      <c r="F96" s="148">
        <v>1.5</v>
      </c>
      <c r="G96" s="140">
        <f>D96*F96</f>
        <v>0</v>
      </c>
      <c r="H96" s="1"/>
      <c r="I96" s="1"/>
      <c r="J96" s="24"/>
    </row>
    <row r="97" spans="1:10" s="13" customFormat="1" ht="16.5" customHeight="1" thickBot="1" x14ac:dyDescent="0.4">
      <c r="A97" s="1"/>
      <c r="B97" s="1"/>
      <c r="C97" s="137" t="s">
        <v>21</v>
      </c>
      <c r="D97" s="30"/>
      <c r="E97" s="138" t="s">
        <v>20</v>
      </c>
      <c r="F97" s="145">
        <v>0.1</v>
      </c>
      <c r="G97" s="140">
        <f t="shared" ref="G97:G110" si="1">D97*F97</f>
        <v>0</v>
      </c>
      <c r="H97" s="1"/>
      <c r="I97" s="1"/>
      <c r="J97" s="24"/>
    </row>
    <row r="98" spans="1:10" s="13" customFormat="1" ht="16.5" customHeight="1" thickBot="1" x14ac:dyDescent="0.4">
      <c r="A98" s="1"/>
      <c r="B98" s="1"/>
      <c r="C98" s="137" t="s">
        <v>22</v>
      </c>
      <c r="D98" s="30"/>
      <c r="E98" s="138" t="s">
        <v>20</v>
      </c>
      <c r="F98" s="145">
        <v>0.5</v>
      </c>
      <c r="G98" s="140">
        <f t="shared" si="1"/>
        <v>0</v>
      </c>
      <c r="H98" s="1"/>
      <c r="I98" s="1"/>
      <c r="J98" s="24"/>
    </row>
    <row r="99" spans="1:10" s="13" customFormat="1" ht="16.5" customHeight="1" thickBot="1" x14ac:dyDescent="0.4">
      <c r="A99" s="1"/>
      <c r="B99" s="1"/>
      <c r="C99" s="137" t="s">
        <v>23</v>
      </c>
      <c r="D99" s="30"/>
      <c r="E99" s="138" t="s">
        <v>20</v>
      </c>
      <c r="F99" s="145">
        <v>6.6</v>
      </c>
      <c r="G99" s="140">
        <f t="shared" si="1"/>
        <v>0</v>
      </c>
      <c r="H99" s="1"/>
      <c r="I99" s="1"/>
      <c r="J99" s="24"/>
    </row>
    <row r="100" spans="1:10" s="13" customFormat="1" ht="16.5" customHeight="1" thickBot="1" x14ac:dyDescent="0.4">
      <c r="A100" s="1"/>
      <c r="B100" s="1"/>
      <c r="C100" s="137" t="s">
        <v>24</v>
      </c>
      <c r="D100" s="30"/>
      <c r="E100" s="138" t="s">
        <v>20</v>
      </c>
      <c r="F100" s="145">
        <v>0.3</v>
      </c>
      <c r="G100" s="140">
        <f t="shared" si="1"/>
        <v>0</v>
      </c>
      <c r="H100" s="1"/>
      <c r="I100" s="1"/>
      <c r="J100" s="24"/>
    </row>
    <row r="101" spans="1:10" s="13" customFormat="1" ht="16.5" customHeight="1" thickBot="1" x14ac:dyDescent="0.4">
      <c r="A101" s="1"/>
      <c r="B101" s="1"/>
      <c r="C101" s="137" t="s">
        <v>25</v>
      </c>
      <c r="D101" s="30"/>
      <c r="E101" s="138" t="s">
        <v>20</v>
      </c>
      <c r="F101" s="145">
        <v>0</v>
      </c>
      <c r="G101" s="140">
        <f t="shared" si="1"/>
        <v>0</v>
      </c>
      <c r="H101" s="1"/>
      <c r="I101" s="1"/>
      <c r="J101" s="24"/>
    </row>
    <row r="102" spans="1:10" s="13" customFormat="1" ht="16.5" customHeight="1" thickBot="1" x14ac:dyDescent="0.4">
      <c r="A102" s="1"/>
      <c r="B102" s="1"/>
      <c r="C102" s="137" t="s">
        <v>26</v>
      </c>
      <c r="D102" s="30"/>
      <c r="E102" s="138" t="s">
        <v>20</v>
      </c>
      <c r="F102" s="146">
        <v>2</v>
      </c>
      <c r="G102" s="140">
        <f t="shared" si="1"/>
        <v>0</v>
      </c>
      <c r="H102" s="1"/>
      <c r="I102" s="1"/>
      <c r="J102" s="24"/>
    </row>
    <row r="103" spans="1:10" s="13" customFormat="1" ht="16.5" customHeight="1" thickBot="1" x14ac:dyDescent="0.4">
      <c r="A103" s="1"/>
      <c r="B103" s="1"/>
      <c r="C103" s="137" t="s">
        <v>27</v>
      </c>
      <c r="D103" s="30"/>
      <c r="E103" s="138" t="s">
        <v>20</v>
      </c>
      <c r="F103" s="146">
        <v>1</v>
      </c>
      <c r="G103" s="140">
        <f t="shared" si="1"/>
        <v>0</v>
      </c>
      <c r="H103" s="1"/>
      <c r="I103" s="1"/>
      <c r="J103" s="24"/>
    </row>
    <row r="104" spans="1:10" s="13" customFormat="1" ht="16.5" customHeight="1" thickBot="1" x14ac:dyDescent="0.4">
      <c r="A104" s="1"/>
      <c r="B104" s="1"/>
      <c r="C104" s="137" t="s">
        <v>28</v>
      </c>
      <c r="D104" s="30"/>
      <c r="E104" s="138" t="s">
        <v>20</v>
      </c>
      <c r="F104" s="145">
        <v>0.5</v>
      </c>
      <c r="G104" s="140">
        <f t="shared" si="1"/>
        <v>0</v>
      </c>
      <c r="H104" s="1"/>
      <c r="I104" s="1"/>
      <c r="J104" s="24"/>
    </row>
    <row r="105" spans="1:10" s="13" customFormat="1" ht="16.5" customHeight="1" thickBot="1" x14ac:dyDescent="0.4">
      <c r="A105" s="1"/>
      <c r="B105" s="1"/>
      <c r="C105" s="137" t="s">
        <v>29</v>
      </c>
      <c r="D105" s="30"/>
      <c r="E105" s="138" t="s">
        <v>20</v>
      </c>
      <c r="F105" s="145">
        <v>0</v>
      </c>
      <c r="G105" s="140">
        <f t="shared" si="1"/>
        <v>0</v>
      </c>
      <c r="H105" s="1"/>
      <c r="I105" s="1"/>
      <c r="J105" s="24"/>
    </row>
    <row r="106" spans="1:10" s="13" customFormat="1" ht="16.5" customHeight="1" thickBot="1" x14ac:dyDescent="0.4">
      <c r="A106" s="1"/>
      <c r="B106" s="1"/>
      <c r="C106" s="137" t="s">
        <v>30</v>
      </c>
      <c r="D106" s="30"/>
      <c r="E106" s="138" t="s">
        <v>20</v>
      </c>
      <c r="F106" s="145">
        <v>0</v>
      </c>
      <c r="G106" s="140">
        <f t="shared" si="1"/>
        <v>0</v>
      </c>
      <c r="H106" s="1"/>
      <c r="I106" s="1"/>
      <c r="J106" s="24"/>
    </row>
    <row r="107" spans="1:10" s="13" customFormat="1" ht="16.5" customHeight="1" thickBot="1" x14ac:dyDescent="0.4">
      <c r="A107" s="1"/>
      <c r="B107" s="1"/>
      <c r="C107" s="137" t="s">
        <v>31</v>
      </c>
      <c r="D107" s="30"/>
      <c r="E107" s="138" t="s">
        <v>20</v>
      </c>
      <c r="F107" s="145">
        <v>0</v>
      </c>
      <c r="G107" s="140">
        <f t="shared" si="1"/>
        <v>0</v>
      </c>
      <c r="H107" s="1"/>
      <c r="I107" s="1"/>
      <c r="J107" s="24"/>
    </row>
    <row r="108" spans="1:10" s="13" customFormat="1" ht="16.5" customHeight="1" thickBot="1" x14ac:dyDescent="0.4">
      <c r="A108" s="1"/>
      <c r="B108" s="1"/>
      <c r="C108" s="137" t="s">
        <v>188</v>
      </c>
      <c r="D108" s="30"/>
      <c r="E108" s="138" t="s">
        <v>20</v>
      </c>
      <c r="F108" s="145">
        <v>0</v>
      </c>
      <c r="G108" s="140">
        <f t="shared" si="1"/>
        <v>0</v>
      </c>
      <c r="H108" s="1"/>
      <c r="I108" s="1"/>
      <c r="J108" s="24"/>
    </row>
    <row r="109" spans="1:10" s="13" customFormat="1" ht="16.5" customHeight="1" thickBot="1" x14ac:dyDescent="0.4">
      <c r="A109" s="1"/>
      <c r="B109" s="1"/>
      <c r="C109" s="137" t="s">
        <v>32</v>
      </c>
      <c r="D109" s="30"/>
      <c r="E109" s="138" t="s">
        <v>20</v>
      </c>
      <c r="F109" s="145">
        <v>0.2</v>
      </c>
      <c r="G109" s="140">
        <f t="shared" si="1"/>
        <v>0</v>
      </c>
      <c r="H109" s="1"/>
      <c r="I109" s="1"/>
      <c r="J109" s="24"/>
    </row>
    <row r="110" spans="1:10" s="13" customFormat="1" ht="16.5" customHeight="1" thickBot="1" x14ac:dyDescent="0.4">
      <c r="A110" s="1"/>
      <c r="B110" s="1"/>
      <c r="C110" s="137" t="s">
        <v>33</v>
      </c>
      <c r="D110" s="30"/>
      <c r="E110" s="138" t="s">
        <v>20</v>
      </c>
      <c r="F110" s="145">
        <v>0.1</v>
      </c>
      <c r="G110" s="140">
        <f t="shared" si="1"/>
        <v>0</v>
      </c>
      <c r="H110" s="1"/>
      <c r="I110" s="1"/>
      <c r="J110" s="24"/>
    </row>
    <row r="111" spans="1:10" s="13" customFormat="1" ht="30.75" customHeight="1" thickBot="1" x14ac:dyDescent="0.4">
      <c r="A111" s="1"/>
      <c r="B111" s="1"/>
      <c r="C111" s="149" t="s">
        <v>34</v>
      </c>
      <c r="D111" s="142" t="s">
        <v>144</v>
      </c>
      <c r="E111" s="249" t="s">
        <v>76</v>
      </c>
      <c r="F111" s="249"/>
      <c r="G111" s="143"/>
      <c r="H111" s="1"/>
      <c r="I111" s="1"/>
      <c r="J111" s="24"/>
    </row>
    <row r="112" spans="1:10" s="13" customFormat="1" ht="16.5" customHeight="1" thickBot="1" x14ac:dyDescent="0.4">
      <c r="A112" s="1"/>
      <c r="B112" s="1"/>
      <c r="C112" s="137" t="s">
        <v>145</v>
      </c>
      <c r="D112" s="30"/>
      <c r="E112" s="138" t="s">
        <v>20</v>
      </c>
      <c r="F112" s="146">
        <v>0.5</v>
      </c>
      <c r="G112" s="140">
        <f>D112*$F$80</f>
        <v>0</v>
      </c>
      <c r="H112" s="1"/>
      <c r="I112" s="1"/>
      <c r="J112" s="24"/>
    </row>
    <row r="113" spans="1:11" s="13" customFormat="1" ht="16.5" customHeight="1" thickBot="1" x14ac:dyDescent="0.4">
      <c r="A113" s="1"/>
      <c r="B113" s="1"/>
      <c r="C113" s="150" t="s">
        <v>156</v>
      </c>
      <c r="D113" s="151"/>
      <c r="E113" s="152"/>
      <c r="F113" s="153"/>
      <c r="G113" s="154">
        <f>SUM($G$91:$G$112)*$D$46</f>
        <v>-11560000</v>
      </c>
      <c r="H113" s="1"/>
      <c r="I113" s="1"/>
      <c r="J113" s="24"/>
    </row>
    <row r="114" spans="1:11" s="13" customFormat="1" ht="16.5" customHeight="1" thickBot="1" x14ac:dyDescent="0.4">
      <c r="A114" s="1"/>
      <c r="B114" s="1"/>
      <c r="C114" s="115" t="s">
        <v>150</v>
      </c>
      <c r="D114" s="116"/>
      <c r="E114" s="117"/>
      <c r="F114" s="155"/>
      <c r="G114" s="118">
        <v>200</v>
      </c>
      <c r="H114" s="1"/>
      <c r="I114" s="1"/>
      <c r="J114" s="24"/>
    </row>
    <row r="115" spans="1:11" s="13" customFormat="1" ht="16.5" customHeight="1" thickBot="1" x14ac:dyDescent="0.4">
      <c r="A115" s="1"/>
      <c r="B115" s="1"/>
      <c r="C115" s="156" t="s">
        <v>147</v>
      </c>
      <c r="D115" s="157"/>
      <c r="E115" s="158"/>
      <c r="F115" s="159"/>
      <c r="G115" s="160">
        <f>$G$113*$G$114/1000</f>
        <v>-2312000</v>
      </c>
      <c r="H115" s="1"/>
      <c r="I115" s="1"/>
      <c r="J115" s="24"/>
    </row>
    <row r="116" spans="1:11" s="16" customFormat="1" ht="16.5" customHeight="1" thickBot="1" x14ac:dyDescent="0.4">
      <c r="A116" s="19"/>
      <c r="B116" s="19"/>
      <c r="C116" s="122" t="s">
        <v>45</v>
      </c>
      <c r="D116" s="161"/>
      <c r="E116" s="161"/>
      <c r="F116" s="162"/>
      <c r="G116" s="124">
        <f>$G$115/$D$46</f>
        <v>-68</v>
      </c>
      <c r="H116" s="19"/>
      <c r="I116" s="19"/>
      <c r="J116" s="24"/>
    </row>
    <row r="117" spans="1:11" s="14" customFormat="1" ht="75" customHeight="1" x14ac:dyDescent="0.35">
      <c r="A117" s="20"/>
      <c r="B117" s="20"/>
      <c r="C117" s="250" t="s">
        <v>146</v>
      </c>
      <c r="D117" s="250"/>
      <c r="E117" s="250"/>
      <c r="F117" s="250"/>
      <c r="G117" s="250"/>
      <c r="H117" s="109"/>
      <c r="I117" s="20"/>
      <c r="J117" s="24"/>
      <c r="K117" s="22"/>
    </row>
    <row r="118" spans="1:11" s="14" customFormat="1" ht="16.5" customHeight="1" x14ac:dyDescent="0.35">
      <c r="A118" s="20"/>
      <c r="B118" s="20"/>
      <c r="C118" s="20"/>
      <c r="D118" s="20"/>
      <c r="E118" s="20"/>
      <c r="F118" s="125"/>
      <c r="G118" s="126"/>
      <c r="H118" s="109"/>
      <c r="I118" s="20"/>
      <c r="J118" s="24"/>
      <c r="K118" s="22"/>
    </row>
    <row r="119" spans="1:11" s="14" customFormat="1" ht="16.5" customHeight="1" thickBot="1" x14ac:dyDescent="0.4">
      <c r="A119" s="20"/>
      <c r="B119" s="20"/>
      <c r="C119" s="20"/>
      <c r="D119" s="20"/>
      <c r="E119" s="20"/>
      <c r="F119" s="125"/>
      <c r="G119" s="126"/>
      <c r="H119" s="109"/>
      <c r="I119" s="20"/>
      <c r="J119" s="24"/>
      <c r="K119" s="22"/>
    </row>
    <row r="120" spans="1:11" s="14" customFormat="1" ht="16.5" customHeight="1" thickBot="1" x14ac:dyDescent="0.4">
      <c r="A120" s="1"/>
      <c r="B120" s="1"/>
      <c r="C120" s="119" t="s">
        <v>47</v>
      </c>
      <c r="D120" s="120"/>
      <c r="E120" s="120"/>
      <c r="F120" s="120"/>
      <c r="G120" s="39">
        <f>-SUM($G$83,$G$115)</f>
        <v>2366400</v>
      </c>
      <c r="H120" s="109"/>
      <c r="I120" s="20"/>
      <c r="J120" s="24"/>
      <c r="K120" s="17"/>
    </row>
    <row r="121" spans="1:11" s="16" customFormat="1" ht="16.5" customHeight="1" thickBot="1" x14ac:dyDescent="0.4">
      <c r="A121" s="19"/>
      <c r="B121" s="19"/>
      <c r="C121" s="166"/>
      <c r="D121" s="126"/>
      <c r="E121" s="126"/>
      <c r="F121" s="126"/>
      <c r="G121" s="167"/>
      <c r="H121" s="19"/>
      <c r="I121" s="19"/>
      <c r="J121" s="24"/>
    </row>
    <row r="122" spans="1:11" s="16" customFormat="1" ht="16.5" customHeight="1" thickBot="1" x14ac:dyDescent="0.4">
      <c r="A122" s="19"/>
      <c r="B122" s="19"/>
      <c r="C122" s="119" t="s">
        <v>183</v>
      </c>
      <c r="D122" s="120"/>
      <c r="E122" s="120"/>
      <c r="F122" s="120"/>
      <c r="G122" s="39">
        <f>SUM($F$40,$F$52,$G$120)</f>
        <v>2366400</v>
      </c>
      <c r="H122" s="19"/>
      <c r="I122" s="19"/>
      <c r="J122" s="24"/>
    </row>
    <row r="123" spans="1:11" ht="15" customHeight="1" x14ac:dyDescent="0.35">
      <c r="A123" s="9"/>
      <c r="B123" s="9"/>
      <c r="C123" s="9"/>
      <c r="D123" s="9"/>
      <c r="E123" s="9"/>
      <c r="F123" s="9"/>
      <c r="G123" s="168"/>
      <c r="H123" s="9"/>
      <c r="I123" s="9"/>
      <c r="J123" s="24"/>
    </row>
    <row r="124" spans="1:11" ht="15" customHeight="1" x14ac:dyDescent="0.35">
      <c r="A124" s="9"/>
      <c r="B124" s="9"/>
      <c r="C124" s="9"/>
      <c r="D124" s="9"/>
      <c r="E124" s="9"/>
      <c r="F124" s="9"/>
      <c r="G124" s="169"/>
      <c r="H124" s="9"/>
      <c r="I124" s="9"/>
      <c r="J124" s="24"/>
    </row>
    <row r="125" spans="1:11" ht="15" customHeight="1" x14ac:dyDescent="0.35">
      <c r="A125" s="24"/>
      <c r="B125" s="24"/>
      <c r="C125" s="24"/>
      <c r="D125" s="24"/>
      <c r="E125" s="24"/>
      <c r="F125" s="24"/>
      <c r="G125" s="24"/>
      <c r="H125" s="24"/>
      <c r="I125" s="24"/>
      <c r="J125" s="24"/>
    </row>
    <row r="126" spans="1:11" hidden="1" x14ac:dyDescent="0.3">
      <c r="A126" s="9"/>
      <c r="B126" s="9"/>
      <c r="C126" s="9"/>
      <c r="D126" s="10"/>
      <c r="E126" s="10"/>
      <c r="F126" s="10"/>
      <c r="G126" s="10"/>
      <c r="H126" s="9"/>
      <c r="I126" s="9"/>
    </row>
    <row r="127" spans="1:11" hidden="1" x14ac:dyDescent="0.3">
      <c r="A127" s="9"/>
      <c r="B127" s="20"/>
      <c r="C127" s="20"/>
      <c r="D127" s="10"/>
      <c r="E127" s="10"/>
      <c r="F127" s="10"/>
      <c r="G127" s="10"/>
      <c r="H127" s="9"/>
      <c r="I127" s="9"/>
    </row>
    <row r="128" spans="1:11" ht="15" hidden="1" customHeight="1" x14ac:dyDescent="0.3">
      <c r="A128" s="9"/>
      <c r="B128" s="20"/>
      <c r="C128" s="20"/>
      <c r="D128" s="240" t="s">
        <v>4</v>
      </c>
      <c r="E128" s="240"/>
      <c r="F128" s="240"/>
      <c r="G128" s="240"/>
      <c r="H128" s="9"/>
      <c r="I128" s="9"/>
    </row>
    <row r="129" spans="1:9" hidden="1" x14ac:dyDescent="0.3">
      <c r="A129" s="9"/>
      <c r="B129" s="20"/>
      <c r="C129" s="20"/>
      <c r="D129" s="170" t="s">
        <v>5</v>
      </c>
      <c r="E129" s="170" t="s">
        <v>86</v>
      </c>
      <c r="F129" s="171"/>
      <c r="G129" s="20"/>
      <c r="H129" s="9"/>
      <c r="I129" s="9"/>
    </row>
    <row r="130" spans="1:9" hidden="1" x14ac:dyDescent="0.3">
      <c r="A130" s="9"/>
      <c r="B130" s="20"/>
      <c r="C130" s="20"/>
      <c r="D130" s="172" t="s">
        <v>6</v>
      </c>
      <c r="E130" s="173">
        <v>0</v>
      </c>
      <c r="F130" s="171"/>
      <c r="G130" s="20"/>
      <c r="H130" s="9"/>
      <c r="I130" s="9"/>
    </row>
    <row r="131" spans="1:9" hidden="1" x14ac:dyDescent="0.3">
      <c r="A131" s="9"/>
      <c r="B131" s="20"/>
      <c r="C131" s="20"/>
      <c r="D131" s="172" t="s">
        <v>1</v>
      </c>
      <c r="E131" s="173">
        <v>0</v>
      </c>
      <c r="F131" s="171"/>
      <c r="G131" s="20"/>
      <c r="H131" s="9"/>
      <c r="I131" s="9"/>
    </row>
    <row r="132" spans="1:9" ht="30" hidden="1" x14ac:dyDescent="0.3">
      <c r="A132" s="9"/>
      <c r="B132" s="9"/>
      <c r="C132" s="20"/>
      <c r="D132" s="174" t="s">
        <v>63</v>
      </c>
      <c r="E132" s="172">
        <v>117</v>
      </c>
      <c r="F132" s="109"/>
      <c r="G132" s="20"/>
      <c r="H132" s="9"/>
      <c r="I132" s="9"/>
    </row>
    <row r="133" spans="1:9" hidden="1" x14ac:dyDescent="0.3">
      <c r="A133" s="9"/>
      <c r="B133" s="9"/>
      <c r="C133" s="20"/>
      <c r="D133" s="175" t="s">
        <v>2</v>
      </c>
      <c r="E133" s="172">
        <v>102</v>
      </c>
      <c r="F133" s="176"/>
      <c r="G133" s="20"/>
      <c r="H133" s="9"/>
      <c r="I133" s="9"/>
    </row>
    <row r="134" spans="1:9" hidden="1" x14ac:dyDescent="0.3">
      <c r="A134" s="9"/>
      <c r="B134" s="9"/>
      <c r="C134" s="20"/>
      <c r="D134" s="175" t="s">
        <v>64</v>
      </c>
      <c r="E134" s="172">
        <v>93</v>
      </c>
      <c r="F134" s="176"/>
      <c r="G134" s="20"/>
      <c r="H134" s="9"/>
      <c r="I134" s="9"/>
    </row>
    <row r="135" spans="1:9" hidden="1" x14ac:dyDescent="0.3">
      <c r="A135" s="9"/>
      <c r="B135" s="9"/>
      <c r="C135" s="20"/>
      <c r="D135" s="175" t="s">
        <v>65</v>
      </c>
      <c r="E135" s="172">
        <v>30</v>
      </c>
      <c r="F135" s="176"/>
      <c r="G135" s="20"/>
      <c r="H135" s="9"/>
      <c r="I135" s="9"/>
    </row>
    <row r="136" spans="1:9" hidden="1" x14ac:dyDescent="0.3">
      <c r="A136" s="9"/>
      <c r="B136" s="9"/>
      <c r="C136" s="20"/>
      <c r="D136" s="175" t="s">
        <v>66</v>
      </c>
      <c r="E136" s="172">
        <v>30</v>
      </c>
      <c r="F136" s="176"/>
      <c r="G136" s="20"/>
      <c r="H136" s="9"/>
      <c r="I136" s="9"/>
    </row>
    <row r="137" spans="1:9" hidden="1" x14ac:dyDescent="0.3">
      <c r="A137" s="9"/>
      <c r="B137" s="9"/>
      <c r="C137" s="20"/>
      <c r="D137" s="177"/>
      <c r="E137" s="177"/>
      <c r="F137" s="176"/>
      <c r="G137" s="20"/>
      <c r="H137" s="9"/>
      <c r="I137" s="9"/>
    </row>
    <row r="138" spans="1:9" hidden="1" x14ac:dyDescent="0.3">
      <c r="A138" s="9"/>
      <c r="B138" s="9"/>
      <c r="C138" s="20"/>
      <c r="D138" s="170" t="s">
        <v>7</v>
      </c>
      <c r="E138" s="178" t="s">
        <v>8</v>
      </c>
      <c r="F138" s="178" t="s">
        <v>9</v>
      </c>
      <c r="G138" s="178" t="s">
        <v>54</v>
      </c>
      <c r="H138" s="9"/>
      <c r="I138" s="9"/>
    </row>
    <row r="139" spans="1:9" hidden="1" x14ac:dyDescent="0.3">
      <c r="A139" s="9"/>
      <c r="B139" s="9"/>
      <c r="C139" s="20"/>
      <c r="D139" s="172" t="s">
        <v>10</v>
      </c>
      <c r="E139" s="179">
        <v>0</v>
      </c>
      <c r="F139" s="179">
        <v>0</v>
      </c>
      <c r="G139" s="179">
        <v>0</v>
      </c>
      <c r="H139" s="9"/>
      <c r="I139" s="9"/>
    </row>
    <row r="140" spans="1:9" hidden="1" x14ac:dyDescent="0.3">
      <c r="A140" s="9"/>
      <c r="B140" s="9"/>
      <c r="C140" s="20"/>
      <c r="D140" s="172" t="s">
        <v>1</v>
      </c>
      <c r="E140" s="179">
        <v>0</v>
      </c>
      <c r="F140" s="179">
        <v>0</v>
      </c>
      <c r="G140" s="179">
        <v>0</v>
      </c>
      <c r="H140" s="9"/>
      <c r="I140" s="9"/>
    </row>
    <row r="141" spans="1:9" hidden="1" x14ac:dyDescent="0.3">
      <c r="A141" s="9"/>
      <c r="B141" s="9"/>
      <c r="C141" s="20"/>
      <c r="D141" s="174" t="s">
        <v>11</v>
      </c>
      <c r="E141" s="179">
        <v>1</v>
      </c>
      <c r="F141" s="179">
        <v>1</v>
      </c>
      <c r="G141" s="179">
        <v>1</v>
      </c>
      <c r="H141" s="9"/>
      <c r="I141" s="9"/>
    </row>
    <row r="142" spans="1:9" hidden="1" x14ac:dyDescent="0.3">
      <c r="A142" s="9"/>
      <c r="B142" s="9"/>
      <c r="C142" s="20"/>
      <c r="D142" s="174" t="s">
        <v>53</v>
      </c>
      <c r="E142" s="180">
        <v>0.95726</v>
      </c>
      <c r="F142" s="180">
        <v>0.96077999999999997</v>
      </c>
      <c r="G142" s="180">
        <v>0.95699000000000001</v>
      </c>
      <c r="H142" s="9"/>
      <c r="I142" s="9"/>
    </row>
    <row r="143" spans="1:9" hidden="1" x14ac:dyDescent="0.3">
      <c r="A143" s="9"/>
      <c r="B143" s="9"/>
      <c r="C143" s="20"/>
      <c r="D143" s="174" t="s">
        <v>13</v>
      </c>
      <c r="E143" s="180">
        <f>0.102/0.117</f>
        <v>0.8717948717948717</v>
      </c>
      <c r="F143" s="180">
        <f>0.089/0.102</f>
        <v>0.87254901960784315</v>
      </c>
      <c r="G143" s="180">
        <f>0.081/0.093</f>
        <v>0.87096774193548387</v>
      </c>
      <c r="H143" s="9"/>
      <c r="I143" s="9"/>
    </row>
    <row r="144" spans="1:9" hidden="1" x14ac:dyDescent="0.3">
      <c r="A144" s="9"/>
      <c r="B144" s="9"/>
      <c r="C144" s="20"/>
      <c r="D144" s="174" t="s">
        <v>3</v>
      </c>
      <c r="E144" s="180">
        <f>0.095/0.117</f>
        <v>0.81196581196581197</v>
      </c>
      <c r="F144" s="180">
        <f>0.083/0.102</f>
        <v>0.81372549019607854</v>
      </c>
      <c r="G144" s="180">
        <v>0.80645</v>
      </c>
      <c r="H144" s="9"/>
      <c r="I144" s="9"/>
    </row>
    <row r="145" spans="1:9" hidden="1" x14ac:dyDescent="0.3">
      <c r="A145" s="9"/>
      <c r="B145" s="9"/>
      <c r="C145" s="20"/>
      <c r="D145" s="174" t="s">
        <v>15</v>
      </c>
      <c r="E145" s="180">
        <v>0.78632000000000002</v>
      </c>
      <c r="F145" s="180">
        <v>0.79412000000000005</v>
      </c>
      <c r="G145" s="180">
        <v>0.78495000000000004</v>
      </c>
      <c r="H145" s="9"/>
      <c r="I145" s="9"/>
    </row>
    <row r="146" spans="1:9" hidden="1" x14ac:dyDescent="0.3">
      <c r="A146" s="9"/>
      <c r="B146" s="9"/>
      <c r="C146" s="20"/>
      <c r="D146" s="174" t="s">
        <v>55</v>
      </c>
      <c r="E146" s="180">
        <v>0.76922999999999997</v>
      </c>
      <c r="F146" s="180">
        <v>0.77451000000000003</v>
      </c>
      <c r="G146" s="180">
        <v>0.77419000000000004</v>
      </c>
      <c r="H146" s="9"/>
      <c r="I146" s="9"/>
    </row>
    <row r="147" spans="1:9" hidden="1" x14ac:dyDescent="0.3">
      <c r="A147" s="9"/>
      <c r="B147" s="9"/>
      <c r="C147" s="20"/>
      <c r="D147" s="174" t="s">
        <v>57</v>
      </c>
      <c r="E147" s="180">
        <v>0.63248000000000004</v>
      </c>
      <c r="F147" s="180">
        <f>0.065/0.102</f>
        <v>0.63725490196078438</v>
      </c>
      <c r="G147" s="180">
        <f>0.059/0.093</f>
        <v>0.63440860215053763</v>
      </c>
      <c r="H147" s="9"/>
      <c r="I147" s="9"/>
    </row>
    <row r="148" spans="1:9" hidden="1" x14ac:dyDescent="0.3">
      <c r="A148" s="9"/>
      <c r="B148" s="9"/>
      <c r="C148" s="20"/>
      <c r="D148" s="174" t="s">
        <v>14</v>
      </c>
      <c r="E148" s="180">
        <f>0.035/0.117</f>
        <v>0.29914529914529914</v>
      </c>
      <c r="F148" s="180">
        <f>0.031/0.102</f>
        <v>0.30392156862745101</v>
      </c>
      <c r="G148" s="180">
        <f>0.028/0.093</f>
        <v>0.30107526881720431</v>
      </c>
      <c r="H148" s="9"/>
      <c r="I148" s="9"/>
    </row>
    <row r="149" spans="1:9" hidden="1" x14ac:dyDescent="0.3">
      <c r="A149" s="9"/>
      <c r="B149" s="9"/>
      <c r="C149" s="20"/>
      <c r="D149" s="174" t="s">
        <v>56</v>
      </c>
      <c r="E149" s="180">
        <f>0.035/0.117</f>
        <v>0.29914529914529914</v>
      </c>
      <c r="F149" s="180">
        <f>0.031/0.102</f>
        <v>0.30392156862745101</v>
      </c>
      <c r="G149" s="180">
        <f>0.028/0.093</f>
        <v>0.30107526881720431</v>
      </c>
      <c r="H149" s="9"/>
      <c r="I149" s="9"/>
    </row>
    <row r="150" spans="1:9" ht="30" hidden="1" x14ac:dyDescent="0.3">
      <c r="A150" s="9"/>
      <c r="B150" s="9"/>
      <c r="C150" s="20"/>
      <c r="D150" s="174" t="s">
        <v>58</v>
      </c>
      <c r="E150" s="180">
        <f>0.034/0.117</f>
        <v>0.29059829059829062</v>
      </c>
      <c r="F150" s="180">
        <f>0.03/0.102</f>
        <v>0.29411764705882354</v>
      </c>
      <c r="G150" s="180">
        <f>0.027/0.093</f>
        <v>0.29032258064516131</v>
      </c>
      <c r="H150" s="9"/>
      <c r="I150" s="9"/>
    </row>
    <row r="151" spans="1:9" ht="30" hidden="1" x14ac:dyDescent="0.3">
      <c r="A151" s="9"/>
      <c r="B151" s="9"/>
      <c r="C151" s="20"/>
      <c r="D151" s="174" t="s">
        <v>59</v>
      </c>
      <c r="E151" s="180">
        <f>0.031/0.117</f>
        <v>0.26495726495726496</v>
      </c>
      <c r="F151" s="180">
        <f>0.027/0.102</f>
        <v>0.26470588235294118</v>
      </c>
      <c r="G151" s="180">
        <f>0.024/0.093</f>
        <v>0.25806451612903225</v>
      </c>
      <c r="H151" s="9"/>
      <c r="I151" s="9"/>
    </row>
    <row r="152" spans="1:9" hidden="1" x14ac:dyDescent="0.3">
      <c r="A152" s="9"/>
      <c r="B152" s="9"/>
      <c r="C152" s="20"/>
      <c r="D152" s="174" t="s">
        <v>12</v>
      </c>
      <c r="E152" s="180">
        <f>0.026/0.117</f>
        <v>0.22222222222222221</v>
      </c>
      <c r="F152" s="180">
        <f>0.022/0.102</f>
        <v>0.21568627450980393</v>
      </c>
      <c r="G152" s="180">
        <f>0.02/0.093</f>
        <v>0.21505376344086022</v>
      </c>
      <c r="H152" s="9"/>
      <c r="I152" s="9"/>
    </row>
    <row r="153" spans="1:9" ht="30" hidden="1" x14ac:dyDescent="0.3">
      <c r="A153" s="9"/>
      <c r="B153" s="9"/>
      <c r="C153" s="20"/>
      <c r="D153" s="174" t="s">
        <v>60</v>
      </c>
      <c r="E153" s="180">
        <f>0.01/0.117</f>
        <v>8.5470085470085472E-2</v>
      </c>
      <c r="F153" s="180">
        <f>0.008/0.102</f>
        <v>7.8431372549019621E-2</v>
      </c>
      <c r="G153" s="180">
        <f>0.008/0.093</f>
        <v>8.6021505376344093E-2</v>
      </c>
      <c r="H153" s="9"/>
      <c r="I153" s="9"/>
    </row>
    <row r="154" spans="1:9" hidden="1" x14ac:dyDescent="0.3">
      <c r="A154" s="9"/>
      <c r="B154" s="9"/>
      <c r="C154" s="20"/>
      <c r="D154" s="174" t="s">
        <v>61</v>
      </c>
      <c r="E154" s="180">
        <f>0.004/0.117</f>
        <v>3.4188034188034185E-2</v>
      </c>
      <c r="F154" s="180">
        <f>0.004/0.102</f>
        <v>3.921568627450981E-2</v>
      </c>
      <c r="G154" s="180">
        <f>0.003/0.093</f>
        <v>3.2258064516129031E-2</v>
      </c>
      <c r="H154" s="9"/>
      <c r="I154" s="9"/>
    </row>
    <row r="155" spans="1:9" hidden="1" x14ac:dyDescent="0.3">
      <c r="A155" s="9"/>
      <c r="B155" s="9"/>
      <c r="C155" s="20"/>
      <c r="D155" s="174" t="s">
        <v>62</v>
      </c>
      <c r="E155" s="180">
        <v>0</v>
      </c>
      <c r="F155" s="180">
        <v>0</v>
      </c>
      <c r="G155" s="180">
        <v>0</v>
      </c>
      <c r="H155" s="9"/>
      <c r="I155" s="9"/>
    </row>
    <row r="156" spans="1:9" hidden="1" x14ac:dyDescent="0.3">
      <c r="A156" s="9"/>
      <c r="B156" s="9"/>
      <c r="C156" s="20"/>
      <c r="D156" s="174" t="s">
        <v>65</v>
      </c>
      <c r="E156" s="179">
        <v>1</v>
      </c>
      <c r="F156" s="179"/>
      <c r="G156" s="179"/>
      <c r="H156" s="9"/>
      <c r="I156" s="9"/>
    </row>
    <row r="157" spans="1:9" hidden="1" x14ac:dyDescent="0.3">
      <c r="A157" s="9"/>
      <c r="B157" s="9"/>
      <c r="C157" s="20"/>
      <c r="D157" s="174" t="s">
        <v>68</v>
      </c>
      <c r="E157" s="180">
        <f>0.0294/0.03</f>
        <v>0.98</v>
      </c>
      <c r="F157" s="179"/>
      <c r="G157" s="179"/>
      <c r="H157" s="9"/>
      <c r="I157" s="9"/>
    </row>
    <row r="158" spans="1:9" hidden="1" x14ac:dyDescent="0.3">
      <c r="A158" s="9"/>
      <c r="B158" s="9"/>
      <c r="C158" s="20"/>
      <c r="D158" s="174" t="s">
        <v>67</v>
      </c>
      <c r="E158" s="180">
        <f>0.0285/0.03</f>
        <v>0.95000000000000007</v>
      </c>
      <c r="F158" s="179"/>
      <c r="G158" s="179"/>
      <c r="H158" s="9"/>
      <c r="I158" s="9"/>
    </row>
    <row r="159" spans="1:9" hidden="1" x14ac:dyDescent="0.3">
      <c r="A159" s="9"/>
      <c r="B159" s="9"/>
      <c r="C159" s="20"/>
      <c r="D159" s="20"/>
      <c r="E159" s="20"/>
      <c r="F159" s="20"/>
      <c r="G159" s="20"/>
      <c r="H159" s="9"/>
      <c r="I159" s="9"/>
    </row>
    <row r="160" spans="1:9" hidden="1" x14ac:dyDescent="0.3">
      <c r="A160" s="9"/>
      <c r="B160" s="9"/>
      <c r="C160" s="9"/>
      <c r="D160" s="10"/>
      <c r="E160" s="10"/>
      <c r="F160" s="10"/>
      <c r="G160" s="10"/>
      <c r="H160" s="9"/>
      <c r="I160" s="9"/>
    </row>
    <row r="161" spans="1:9" hidden="1" x14ac:dyDescent="0.3">
      <c r="A161" s="9"/>
      <c r="B161" s="9"/>
      <c r="C161" s="9"/>
      <c r="D161" s="9"/>
      <c r="E161" s="9"/>
      <c r="F161" s="9"/>
      <c r="G161" s="9"/>
      <c r="H161" s="9"/>
      <c r="I161" s="9"/>
    </row>
    <row r="162" spans="1:9" hidden="1" x14ac:dyDescent="0.3">
      <c r="A162" s="9"/>
      <c r="B162" s="9"/>
      <c r="C162" s="9"/>
      <c r="D162" s="9"/>
      <c r="E162" s="9"/>
      <c r="F162" s="9"/>
      <c r="G162" s="9"/>
      <c r="H162" s="9"/>
      <c r="I162" s="9"/>
    </row>
    <row r="163" spans="1:9" hidden="1" x14ac:dyDescent="0.3">
      <c r="A163" s="9"/>
      <c r="B163" s="9"/>
      <c r="C163" s="9"/>
      <c r="D163" s="9"/>
      <c r="E163" s="9"/>
      <c r="F163" s="9"/>
      <c r="G163" s="9"/>
      <c r="H163" s="9"/>
      <c r="I163" s="9"/>
    </row>
    <row r="164" spans="1:9" hidden="1" x14ac:dyDescent="0.3">
      <c r="A164" s="9"/>
      <c r="B164" s="9"/>
      <c r="C164" s="9"/>
      <c r="D164" s="9"/>
      <c r="E164" s="9"/>
      <c r="F164" s="9"/>
      <c r="G164" s="9"/>
      <c r="H164" s="9"/>
      <c r="I164" s="9"/>
    </row>
    <row r="165" spans="1:9" hidden="1" x14ac:dyDescent="0.3">
      <c r="A165" s="9"/>
      <c r="B165" s="9"/>
      <c r="C165" s="9"/>
      <c r="D165" s="9"/>
      <c r="E165" s="9"/>
      <c r="F165" s="9"/>
      <c r="G165" s="9"/>
      <c r="H165" s="9"/>
      <c r="I165" s="9"/>
    </row>
    <row r="166" spans="1:9" hidden="1" x14ac:dyDescent="0.3">
      <c r="A166" s="9"/>
      <c r="B166" s="9"/>
      <c r="C166" s="9"/>
      <c r="D166" s="9"/>
      <c r="E166" s="9"/>
      <c r="F166" s="9"/>
      <c r="G166" s="9"/>
      <c r="H166" s="9"/>
      <c r="I166" s="9"/>
    </row>
    <row r="167" spans="1:9" hidden="1" x14ac:dyDescent="0.3">
      <c r="A167" s="9"/>
      <c r="B167" s="9"/>
      <c r="C167" s="9"/>
      <c r="D167" s="9"/>
      <c r="E167" s="9"/>
      <c r="F167" s="9"/>
      <c r="G167" s="9"/>
      <c r="H167" s="9"/>
      <c r="I167" s="9"/>
    </row>
    <row r="168" spans="1:9" x14ac:dyDescent="0.3">
      <c r="A168" s="9"/>
      <c r="B168" s="9"/>
      <c r="C168" s="9"/>
      <c r="D168" s="9"/>
      <c r="E168" s="9"/>
      <c r="F168" s="9"/>
      <c r="G168" s="9"/>
      <c r="H168" s="9"/>
      <c r="I168" s="9"/>
    </row>
    <row r="169" spans="1:9" x14ac:dyDescent="0.3">
      <c r="A169" s="9"/>
      <c r="B169" s="9"/>
      <c r="C169" s="9"/>
      <c r="D169" s="9"/>
      <c r="E169" s="9"/>
      <c r="F169" s="9"/>
      <c r="G169" s="9"/>
      <c r="H169" s="9"/>
      <c r="I169" s="9"/>
    </row>
    <row r="170" spans="1:9" x14ac:dyDescent="0.3">
      <c r="D170" s="15"/>
      <c r="E170" s="15"/>
      <c r="F170" s="15"/>
      <c r="G170" s="15"/>
    </row>
    <row r="171" spans="1:9" x14ac:dyDescent="0.3">
      <c r="D171" s="15"/>
      <c r="E171" s="15"/>
      <c r="F171" s="15"/>
      <c r="G171" s="15"/>
    </row>
    <row r="172" spans="1:9" x14ac:dyDescent="0.3">
      <c r="D172" s="15"/>
      <c r="E172" s="15"/>
      <c r="F172" s="15"/>
      <c r="G172" s="15"/>
    </row>
    <row r="173" spans="1:9" x14ac:dyDescent="0.3">
      <c r="D173" s="15"/>
      <c r="E173" s="15"/>
      <c r="F173" s="15"/>
      <c r="G173" s="15"/>
    </row>
    <row r="174" spans="1:9" x14ac:dyDescent="0.3">
      <c r="D174" s="15"/>
      <c r="E174" s="15"/>
      <c r="F174" s="15"/>
      <c r="G174" s="15"/>
    </row>
    <row r="175" spans="1:9" x14ac:dyDescent="0.3">
      <c r="D175" s="15"/>
      <c r="E175" s="15"/>
      <c r="F175" s="15"/>
      <c r="G175" s="15"/>
    </row>
    <row r="176" spans="1:9" ht="15" customHeight="1" x14ac:dyDescent="0.3">
      <c r="D176" s="15"/>
      <c r="E176" s="15"/>
      <c r="F176" s="15"/>
      <c r="G176" s="15"/>
    </row>
    <row r="177" s="15" customFormat="1" x14ac:dyDescent="0.3"/>
    <row r="178" s="15" customFormat="1" x14ac:dyDescent="0.3"/>
    <row r="179" s="15" customFormat="1" x14ac:dyDescent="0.3"/>
    <row r="180" s="15" customFormat="1" x14ac:dyDescent="0.3"/>
    <row r="181" s="15" customFormat="1" x14ac:dyDescent="0.3"/>
    <row r="182" s="15" customFormat="1" x14ac:dyDescent="0.3"/>
    <row r="183" s="15" customFormat="1" x14ac:dyDescent="0.3"/>
    <row r="184" s="15" customFormat="1" ht="15" customHeight="1" x14ac:dyDescent="0.3"/>
    <row r="185" s="15" customFormat="1" ht="15" customHeight="1" x14ac:dyDescent="0.3"/>
    <row r="186" s="15" customFormat="1" ht="15" customHeight="1" x14ac:dyDescent="0.3"/>
    <row r="187" s="15" customFormat="1" x14ac:dyDescent="0.3"/>
    <row r="188" s="15" customFormat="1" x14ac:dyDescent="0.3"/>
    <row r="189" s="15" customFormat="1" x14ac:dyDescent="0.3"/>
    <row r="190" s="15" customFormat="1" x14ac:dyDescent="0.3"/>
    <row r="191" s="15" customFormat="1" x14ac:dyDescent="0.3"/>
    <row r="192" s="15" customFormat="1" x14ac:dyDescent="0.3"/>
    <row r="193" s="15" customFormat="1" x14ac:dyDescent="0.3"/>
    <row r="194" s="15" customFormat="1" x14ac:dyDescent="0.3"/>
    <row r="195" s="15" customFormat="1" x14ac:dyDescent="0.3"/>
    <row r="196" s="15" customFormat="1" x14ac:dyDescent="0.3"/>
    <row r="197" s="15" customFormat="1" x14ac:dyDescent="0.3"/>
    <row r="198" s="15" customFormat="1" x14ac:dyDescent="0.3"/>
    <row r="199" s="15" customFormat="1" x14ac:dyDescent="0.3"/>
    <row r="200" s="15" customFormat="1" x14ac:dyDescent="0.3"/>
  </sheetData>
  <sheetProtection algorithmName="SHA-512" hashValue="MCvB6ttZURVtbzfirlYq8e0X+CSXboSPsPBHv+C1p+j0MU9/IDg3h/yPLhffv+WwhewX31xBPAEIDeqBYq+a7Q==" saltValue="t02U/4VE0Coavwc7odMiGg==" spinCount="100000" sheet="1" objects="1" scenarios="1"/>
  <protectedRanges>
    <protectedRange sqref="D20 D7:D11 D29" name="gegevens_1_2_1_1_1"/>
  </protectedRanges>
  <mergeCells count="25">
    <mergeCell ref="D16:F16"/>
    <mergeCell ref="D17:F17"/>
    <mergeCell ref="D18:F18"/>
    <mergeCell ref="D19:F19"/>
    <mergeCell ref="E58:F58"/>
    <mergeCell ref="D24:F24"/>
    <mergeCell ref="D7:G7"/>
    <mergeCell ref="D8:G8"/>
    <mergeCell ref="D9:G9"/>
    <mergeCell ref="D10:G10"/>
    <mergeCell ref="D15:F15"/>
    <mergeCell ref="D128:G128"/>
    <mergeCell ref="E79:F79"/>
    <mergeCell ref="C85:G85"/>
    <mergeCell ref="E92:F92"/>
    <mergeCell ref="D25:F25"/>
    <mergeCell ref="D26:F26"/>
    <mergeCell ref="D27:F27"/>
    <mergeCell ref="D28:F28"/>
    <mergeCell ref="C117:G117"/>
    <mergeCell ref="E95:F95"/>
    <mergeCell ref="E111:F111"/>
    <mergeCell ref="E90:F90"/>
    <mergeCell ref="E63:F63"/>
    <mergeCell ref="E60:F60"/>
  </mergeCells>
  <dataValidations count="4">
    <dataValidation type="list" allowBlank="1" showInputMessage="1" showErrorMessage="1" sqref="D36 D48" xr:uid="{9A84373D-A75F-45BD-BCA3-74CFFB63C77A}">
      <formula1>$D$130:$D$136</formula1>
    </dataValidation>
    <dataValidation type="list" allowBlank="1" showInputMessage="1" showErrorMessage="1" sqref="D37 D42:D43 D54:D55 D49" xr:uid="{90218A83-016B-4F68-84BD-A72987DD6F2D}">
      <formula1>$D$139:$D$158</formula1>
    </dataValidation>
    <dataValidation operator="lessThanOrEqual" allowBlank="1" showInputMessage="1" showErrorMessage="1" sqref="G122:G124 G42:G43 G54:G55" xr:uid="{60151D2A-69D7-47ED-960C-6EAFD5AB5CEF}"/>
    <dataValidation type="whole" operator="lessThan" allowBlank="1" showInputMessage="1" showErrorMessage="1" sqref="D35 D47" xr:uid="{8CB7CB8A-7922-418D-8466-EA56E8F5D6F8}">
      <formula1>1000</formula1>
    </dataValidation>
  </dataValidations>
  <pageMargins left="0.70866141732283472" right="0.70866141732283472" top="0.74803149606299213" bottom="0.74803149606299213" header="0.31496062992125984" footer="0.31496062992125984"/>
  <pageSetup paperSize="8" scale="53" orientation="portrait" r:id="rId1"/>
  <headerFooter>
    <oddHeader>&amp;L&amp;"Open Sans,Vet"&amp;12&amp;F</oddHeader>
    <oddFooter>&amp;L&amp;"Open Sans,Vet"&amp;12&amp;A&amp;R&amp;"Open Sans,Vet"&amp;12&amp;P van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79E832-96EE-4CEB-A3A4-CFC4D04A6733}">
  <sheetPr>
    <pageSetUpPr fitToPage="1"/>
  </sheetPr>
  <dimension ref="A1:K200"/>
  <sheetViews>
    <sheetView showGridLines="0" zoomScale="85" zoomScaleNormal="85" workbookViewId="0">
      <selection activeCell="G21" sqref="G21"/>
    </sheetView>
  </sheetViews>
  <sheetFormatPr defaultColWidth="9.109375" defaultRowHeight="15" x14ac:dyDescent="0.3"/>
  <cols>
    <col min="1" max="2" width="2.6640625" style="15" customWidth="1"/>
    <col min="3" max="3" width="68.5546875" style="15" customWidth="1"/>
    <col min="4" max="4" width="38.33203125" style="18" customWidth="1"/>
    <col min="5" max="5" width="38.44140625" style="18" customWidth="1"/>
    <col min="6" max="6" width="25.6640625" style="18" customWidth="1"/>
    <col min="7" max="7" width="52.5546875" style="18" customWidth="1"/>
    <col min="8" max="12" width="2.6640625" style="15" customWidth="1"/>
    <col min="13" max="16384" width="9.109375" style="15"/>
  </cols>
  <sheetData>
    <row r="1" spans="1:11" s="1" customFormat="1" x14ac:dyDescent="0.35">
      <c r="I1" s="2"/>
      <c r="J1" s="24"/>
    </row>
    <row r="2" spans="1:11" s="1" customFormat="1" ht="15.6" thickBot="1" x14ac:dyDescent="0.4">
      <c r="I2" s="2"/>
      <c r="J2" s="24"/>
    </row>
    <row r="3" spans="1:11" s="25" customFormat="1" ht="75" customHeight="1" thickBot="1" x14ac:dyDescent="0.4">
      <c r="C3" s="91" t="s">
        <v>207</v>
      </c>
      <c r="D3" s="92"/>
      <c r="E3" s="92"/>
      <c r="F3" s="92"/>
      <c r="G3" s="92"/>
      <c r="J3" s="24"/>
    </row>
    <row r="4" spans="1:11" ht="16.5" customHeight="1" x14ac:dyDescent="0.35">
      <c r="A4" s="9"/>
      <c r="B4" s="9"/>
      <c r="C4" s="9"/>
      <c r="D4" s="10"/>
      <c r="E4" s="10"/>
      <c r="F4" s="10"/>
      <c r="G4" s="10"/>
      <c r="H4" s="9"/>
      <c r="I4" s="9"/>
      <c r="J4" s="24"/>
    </row>
    <row r="5" spans="1:11" ht="16.5" customHeight="1" thickBot="1" x14ac:dyDescent="0.4">
      <c r="A5" s="9"/>
      <c r="B5" s="9"/>
      <c r="C5" s="9"/>
      <c r="D5" s="10"/>
      <c r="E5" s="10"/>
      <c r="F5" s="10"/>
      <c r="G5" s="10"/>
      <c r="H5" s="9"/>
      <c r="I5" s="9"/>
      <c r="J5" s="24"/>
    </row>
    <row r="6" spans="1:11" s="1" customFormat="1" ht="16.5" customHeight="1" thickBot="1" x14ac:dyDescent="0.4">
      <c r="B6" s="9"/>
      <c r="C6" s="93" t="s">
        <v>35</v>
      </c>
      <c r="D6" s="57"/>
      <c r="E6" s="57"/>
      <c r="F6" s="57"/>
      <c r="G6" s="94"/>
      <c r="I6" s="2"/>
      <c r="J6" s="24"/>
    </row>
    <row r="7" spans="1:11" s="1" customFormat="1" ht="16.5" customHeight="1" thickBot="1" x14ac:dyDescent="0.4">
      <c r="B7" s="9"/>
      <c r="C7" s="95" t="s">
        <v>36</v>
      </c>
      <c r="D7" s="246" t="s">
        <v>37</v>
      </c>
      <c r="E7" s="247"/>
      <c r="F7" s="247"/>
      <c r="G7" s="248"/>
      <c r="I7" s="2"/>
      <c r="J7" s="24"/>
    </row>
    <row r="8" spans="1:11" s="1" customFormat="1" ht="16.5" customHeight="1" thickBot="1" x14ac:dyDescent="0.4">
      <c r="B8" s="9"/>
      <c r="C8" s="95" t="s">
        <v>38</v>
      </c>
      <c r="D8" s="246" t="s">
        <v>39</v>
      </c>
      <c r="E8" s="247"/>
      <c r="F8" s="247"/>
      <c r="G8" s="248"/>
      <c r="I8" s="2"/>
      <c r="J8" s="24"/>
    </row>
    <row r="9" spans="1:11" s="1" customFormat="1" ht="16.5" customHeight="1" thickBot="1" x14ac:dyDescent="0.4">
      <c r="B9" s="9"/>
      <c r="C9" s="95" t="s">
        <v>40</v>
      </c>
      <c r="D9" s="246" t="s">
        <v>41</v>
      </c>
      <c r="E9" s="247"/>
      <c r="F9" s="247"/>
      <c r="G9" s="248"/>
      <c r="I9" s="2"/>
      <c r="J9" s="24"/>
    </row>
    <row r="10" spans="1:11" s="1" customFormat="1" ht="16.5" customHeight="1" thickBot="1" x14ac:dyDescent="0.4">
      <c r="B10" s="9"/>
      <c r="C10" s="95" t="s">
        <v>42</v>
      </c>
      <c r="D10" s="246" t="s">
        <v>43</v>
      </c>
      <c r="E10" s="247"/>
      <c r="F10" s="247"/>
      <c r="G10" s="248"/>
      <c r="I10" s="2"/>
      <c r="J10" s="24"/>
    </row>
    <row r="11" spans="1:11" s="1" customFormat="1" ht="16.5" customHeight="1" thickBot="1" x14ac:dyDescent="0.4">
      <c r="B11" s="9"/>
      <c r="C11" s="58"/>
      <c r="D11" s="60"/>
      <c r="E11" s="60"/>
      <c r="F11" s="60"/>
      <c r="G11" s="96"/>
      <c r="I11" s="2"/>
      <c r="J11" s="24"/>
    </row>
    <row r="12" spans="1:11" s="13" customFormat="1" ht="16.5" customHeight="1" x14ac:dyDescent="0.35">
      <c r="A12" s="1"/>
      <c r="B12" s="9"/>
      <c r="C12" s="97"/>
      <c r="D12" s="97"/>
      <c r="E12" s="98"/>
      <c r="F12" s="98"/>
      <c r="G12" s="98"/>
      <c r="H12" s="1"/>
      <c r="I12" s="1"/>
      <c r="J12" s="24"/>
    </row>
    <row r="13" spans="1:11" s="13" customFormat="1" ht="16.5" customHeight="1" thickBot="1" x14ac:dyDescent="0.4">
      <c r="A13" s="1"/>
      <c r="B13" s="9"/>
      <c r="C13" s="97"/>
      <c r="D13" s="97"/>
      <c r="E13" s="98"/>
      <c r="F13" s="98"/>
      <c r="G13" s="99"/>
      <c r="H13" s="1"/>
      <c r="I13" s="1"/>
      <c r="J13" s="24"/>
    </row>
    <row r="14" spans="1:11" s="16" customFormat="1" ht="16.5" customHeight="1" thickBot="1" x14ac:dyDescent="0.4">
      <c r="A14" s="1"/>
      <c r="B14" s="9"/>
      <c r="C14" s="62" t="s">
        <v>200</v>
      </c>
      <c r="D14" s="100"/>
      <c r="E14" s="100"/>
      <c r="F14" s="101"/>
      <c r="G14" s="99"/>
      <c r="H14" s="1"/>
      <c r="I14" s="1"/>
      <c r="J14" s="24"/>
      <c r="K14" s="13"/>
    </row>
    <row r="15" spans="1:11" s="23" customFormat="1" ht="16.5" customHeight="1" thickBot="1" x14ac:dyDescent="0.4">
      <c r="A15" s="1"/>
      <c r="B15" s="9"/>
      <c r="C15" s="102" t="s">
        <v>78</v>
      </c>
      <c r="D15" s="251"/>
      <c r="E15" s="252"/>
      <c r="F15" s="253"/>
      <c r="G15" s="99"/>
      <c r="H15" s="99"/>
      <c r="I15" s="99"/>
      <c r="J15" s="24"/>
    </row>
    <row r="16" spans="1:11" s="23" customFormat="1" ht="16.5" customHeight="1" thickBot="1" x14ac:dyDescent="0.4">
      <c r="A16" s="1"/>
      <c r="B16" s="9"/>
      <c r="C16" s="102" t="s">
        <v>88</v>
      </c>
      <c r="D16" s="251"/>
      <c r="E16" s="252"/>
      <c r="F16" s="253"/>
      <c r="G16" s="99"/>
      <c r="H16" s="99"/>
      <c r="I16" s="99"/>
      <c r="J16" s="24"/>
    </row>
    <row r="17" spans="1:11" s="23" customFormat="1" ht="16.5" customHeight="1" thickBot="1" x14ac:dyDescent="0.4">
      <c r="A17" s="1"/>
      <c r="B17" s="9"/>
      <c r="C17" s="102" t="s">
        <v>79</v>
      </c>
      <c r="D17" s="251"/>
      <c r="E17" s="252"/>
      <c r="F17" s="253"/>
      <c r="G17" s="99"/>
      <c r="H17" s="99"/>
      <c r="I17" s="99"/>
      <c r="J17" s="24"/>
    </row>
    <row r="18" spans="1:11" s="23" customFormat="1" ht="16.5" customHeight="1" thickBot="1" x14ac:dyDescent="0.4">
      <c r="A18" s="1"/>
      <c r="B18" s="9"/>
      <c r="C18" s="102" t="s">
        <v>80</v>
      </c>
      <c r="D18" s="251"/>
      <c r="E18" s="252"/>
      <c r="F18" s="253"/>
      <c r="G18" s="99"/>
      <c r="H18" s="99"/>
      <c r="I18" s="99"/>
      <c r="J18" s="24"/>
    </row>
    <row r="19" spans="1:11" s="23" customFormat="1" ht="16.5" customHeight="1" thickBot="1" x14ac:dyDescent="0.4">
      <c r="A19" s="1"/>
      <c r="B19" s="9"/>
      <c r="C19" s="102" t="s">
        <v>81</v>
      </c>
      <c r="D19" s="251"/>
      <c r="E19" s="252"/>
      <c r="F19" s="253"/>
      <c r="G19" s="99"/>
      <c r="H19" s="99"/>
      <c r="I19" s="99"/>
      <c r="J19" s="24"/>
    </row>
    <row r="20" spans="1:11" s="1" customFormat="1" ht="16.5" customHeight="1" thickBot="1" x14ac:dyDescent="0.4">
      <c r="B20" s="9"/>
      <c r="C20" s="58"/>
      <c r="D20" s="60"/>
      <c r="E20" s="60"/>
      <c r="F20" s="96"/>
      <c r="G20" s="99"/>
      <c r="I20" s="2"/>
      <c r="J20" s="24"/>
    </row>
    <row r="21" spans="1:11" s="13" customFormat="1" ht="16.5" customHeight="1" x14ac:dyDescent="0.35">
      <c r="A21" s="1"/>
      <c r="B21" s="1"/>
      <c r="C21" s="97"/>
      <c r="D21" s="97"/>
      <c r="E21" s="98"/>
      <c r="F21" s="98"/>
      <c r="G21" s="99"/>
      <c r="H21" s="1"/>
      <c r="I21" s="1"/>
      <c r="J21" s="24"/>
    </row>
    <row r="22" spans="1:11" s="13" customFormat="1" ht="16.5" customHeight="1" thickBot="1" x14ac:dyDescent="0.4">
      <c r="A22" s="1"/>
      <c r="B22" s="1"/>
      <c r="C22" s="97"/>
      <c r="D22" s="97"/>
      <c r="E22" s="98"/>
      <c r="F22" s="98"/>
      <c r="G22" s="99"/>
      <c r="H22" s="1"/>
      <c r="I22" s="1"/>
      <c r="J22" s="24"/>
    </row>
    <row r="23" spans="1:11" s="16" customFormat="1" ht="16.5" customHeight="1" thickBot="1" x14ac:dyDescent="0.4">
      <c r="A23" s="1"/>
      <c r="B23" s="9"/>
      <c r="C23" s="62" t="s">
        <v>199</v>
      </c>
      <c r="D23" s="100"/>
      <c r="E23" s="100"/>
      <c r="F23" s="101"/>
      <c r="G23" s="99"/>
      <c r="H23" s="1"/>
      <c r="I23" s="1"/>
      <c r="J23" s="24"/>
      <c r="K23" s="13"/>
    </row>
    <row r="24" spans="1:11" s="23" customFormat="1" ht="16.5" customHeight="1" thickBot="1" x14ac:dyDescent="0.4">
      <c r="A24" s="1"/>
      <c r="B24" s="9"/>
      <c r="C24" s="102" t="s">
        <v>78</v>
      </c>
      <c r="D24" s="251"/>
      <c r="E24" s="252"/>
      <c r="F24" s="253"/>
      <c r="G24" s="99"/>
      <c r="H24" s="99"/>
      <c r="I24" s="99"/>
      <c r="J24" s="24"/>
    </row>
    <row r="25" spans="1:11" s="23" customFormat="1" ht="16.5" customHeight="1" thickBot="1" x14ac:dyDescent="0.4">
      <c r="A25" s="1"/>
      <c r="B25" s="9"/>
      <c r="C25" s="102" t="s">
        <v>88</v>
      </c>
      <c r="D25" s="251"/>
      <c r="E25" s="252"/>
      <c r="F25" s="253"/>
      <c r="G25" s="99"/>
      <c r="H25" s="99"/>
      <c r="I25" s="99"/>
      <c r="J25" s="24"/>
    </row>
    <row r="26" spans="1:11" s="23" customFormat="1" ht="16.5" customHeight="1" thickBot="1" x14ac:dyDescent="0.4">
      <c r="A26" s="1"/>
      <c r="B26" s="9"/>
      <c r="C26" s="102" t="s">
        <v>79</v>
      </c>
      <c r="D26" s="251"/>
      <c r="E26" s="252"/>
      <c r="F26" s="253"/>
      <c r="G26" s="99"/>
      <c r="H26" s="99"/>
      <c r="I26" s="99"/>
      <c r="J26" s="24"/>
    </row>
    <row r="27" spans="1:11" s="23" customFormat="1" ht="16.5" customHeight="1" thickBot="1" x14ac:dyDescent="0.4">
      <c r="A27" s="1"/>
      <c r="B27" s="9"/>
      <c r="C27" s="102" t="s">
        <v>80</v>
      </c>
      <c r="D27" s="251"/>
      <c r="E27" s="252"/>
      <c r="F27" s="253"/>
      <c r="G27" s="99"/>
      <c r="H27" s="99"/>
      <c r="I27" s="99"/>
      <c r="J27" s="24"/>
    </row>
    <row r="28" spans="1:11" s="23" customFormat="1" ht="16.5" customHeight="1" thickBot="1" x14ac:dyDescent="0.4">
      <c r="A28" s="1"/>
      <c r="B28" s="9"/>
      <c r="C28" s="102" t="s">
        <v>81</v>
      </c>
      <c r="D28" s="251"/>
      <c r="E28" s="252"/>
      <c r="F28" s="253"/>
      <c r="G28" s="99"/>
      <c r="H28" s="99"/>
      <c r="I28" s="99"/>
      <c r="J28" s="24"/>
    </row>
    <row r="29" spans="1:11" s="1" customFormat="1" ht="16.5" customHeight="1" thickBot="1" x14ac:dyDescent="0.4">
      <c r="B29" s="9"/>
      <c r="C29" s="58"/>
      <c r="D29" s="60"/>
      <c r="E29" s="60"/>
      <c r="F29" s="96"/>
      <c r="G29" s="99"/>
      <c r="I29" s="2"/>
      <c r="J29" s="24"/>
    </row>
    <row r="30" spans="1:11" s="13" customFormat="1" ht="16.5" customHeight="1" x14ac:dyDescent="0.35">
      <c r="A30" s="1"/>
      <c r="B30" s="1"/>
      <c r="C30" s="97"/>
      <c r="D30" s="97"/>
      <c r="E30" s="98"/>
      <c r="F30" s="98"/>
      <c r="G30" s="99"/>
      <c r="H30" s="1"/>
      <c r="I30" s="1"/>
      <c r="J30" s="24"/>
    </row>
    <row r="31" spans="1:11" s="13" customFormat="1" ht="16.5" customHeight="1" thickBot="1" x14ac:dyDescent="0.4">
      <c r="A31" s="1"/>
      <c r="B31" s="1"/>
      <c r="C31" s="97"/>
      <c r="D31" s="97"/>
      <c r="E31" s="98"/>
      <c r="F31" s="98"/>
      <c r="G31" s="99"/>
      <c r="H31" s="1"/>
      <c r="I31" s="1"/>
      <c r="J31" s="24"/>
    </row>
    <row r="32" spans="1:11" s="16" customFormat="1" ht="16.5" customHeight="1" thickBot="1" x14ac:dyDescent="0.4">
      <c r="A32" s="1"/>
      <c r="B32" s="1"/>
      <c r="C32" s="62" t="s">
        <v>197</v>
      </c>
      <c r="D32" s="100"/>
      <c r="E32" s="100"/>
      <c r="F32" s="101"/>
      <c r="G32" s="99"/>
      <c r="H32" s="1"/>
      <c r="I32" s="1"/>
      <c r="J32" s="24"/>
      <c r="K32" s="13"/>
    </row>
    <row r="33" spans="1:11" s="1" customFormat="1" ht="16.5" customHeight="1" thickBot="1" x14ac:dyDescent="0.4">
      <c r="C33" s="103"/>
      <c r="D33" s="104" t="s">
        <v>189</v>
      </c>
      <c r="E33" s="74"/>
      <c r="F33" s="74"/>
      <c r="G33" s="99"/>
      <c r="J33" s="24"/>
      <c r="K33" s="13"/>
    </row>
    <row r="34" spans="1:11" s="1" customFormat="1" ht="16.5" customHeight="1" thickBot="1" x14ac:dyDescent="0.4">
      <c r="C34" s="105"/>
      <c r="D34" s="77">
        <f>'Formulier logistiek'!$K$17</f>
        <v>800</v>
      </c>
      <c r="E34" s="77"/>
      <c r="F34" s="77"/>
      <c r="G34" s="99"/>
      <c r="J34" s="24"/>
      <c r="K34" s="13"/>
    </row>
    <row r="35" spans="1:11" s="14" customFormat="1" ht="16.5" customHeight="1" thickBot="1" x14ac:dyDescent="0.4">
      <c r="A35" s="1"/>
      <c r="B35" s="1"/>
      <c r="C35" s="106" t="s">
        <v>91</v>
      </c>
      <c r="D35" s="41"/>
      <c r="E35" s="107" t="s">
        <v>85</v>
      </c>
      <c r="F35" s="108">
        <f>$D$35*$D$34</f>
        <v>0</v>
      </c>
      <c r="G35" s="109"/>
      <c r="H35" s="20"/>
      <c r="I35" s="20"/>
      <c r="J35" s="24"/>
    </row>
    <row r="36" spans="1:11" s="14" customFormat="1" ht="16.5" customHeight="1" thickBot="1" x14ac:dyDescent="0.4">
      <c r="A36" s="1"/>
      <c r="B36" s="1"/>
      <c r="C36" s="106" t="s">
        <v>92</v>
      </c>
      <c r="D36" s="40" t="s">
        <v>1</v>
      </c>
      <c r="E36" s="107" t="s">
        <v>72</v>
      </c>
      <c r="F36" s="110">
        <f>VLOOKUP(D36,$D$130:$E$136,2,FALSE)</f>
        <v>0</v>
      </c>
      <c r="G36" s="109"/>
      <c r="H36" s="20"/>
      <c r="I36" s="20"/>
      <c r="J36" s="24"/>
    </row>
    <row r="37" spans="1:11" s="14" customFormat="1" ht="30.75" customHeight="1" thickBot="1" x14ac:dyDescent="0.4">
      <c r="A37" s="1"/>
      <c r="B37" s="1"/>
      <c r="C37" s="106" t="s">
        <v>141</v>
      </c>
      <c r="D37" s="40" t="s">
        <v>1</v>
      </c>
      <c r="E37" s="107" t="s">
        <v>73</v>
      </c>
      <c r="F37" s="111">
        <f>1-(VLOOKUP(D37,$D$139:$G$158,2,FALSE))</f>
        <v>1</v>
      </c>
      <c r="G37" s="20"/>
      <c r="H37" s="20"/>
      <c r="I37" s="20"/>
      <c r="J37" s="24"/>
    </row>
    <row r="38" spans="1:11" s="16" customFormat="1" ht="16.5" customHeight="1" thickBot="1" x14ac:dyDescent="0.4">
      <c r="A38" s="1"/>
      <c r="B38" s="1"/>
      <c r="C38" s="112" t="s">
        <v>149</v>
      </c>
      <c r="D38" s="113"/>
      <c r="E38" s="100"/>
      <c r="F38" s="114">
        <f>((F36-(F36*F37))*F35)/1000000</f>
        <v>0</v>
      </c>
      <c r="G38" s="109"/>
      <c r="H38" s="19"/>
      <c r="I38" s="19"/>
      <c r="J38" s="24"/>
    </row>
    <row r="39" spans="1:11" s="13" customFormat="1" ht="16.5" customHeight="1" thickBot="1" x14ac:dyDescent="0.4">
      <c r="A39" s="1"/>
      <c r="B39" s="1"/>
      <c r="C39" s="115" t="s">
        <v>150</v>
      </c>
      <c r="D39" s="116"/>
      <c r="E39" s="117"/>
      <c r="F39" s="118">
        <v>100</v>
      </c>
      <c r="G39" s="20"/>
      <c r="H39" s="1"/>
      <c r="I39" s="1"/>
      <c r="J39" s="24"/>
    </row>
    <row r="40" spans="1:11" s="14" customFormat="1" ht="16.5" customHeight="1" thickBot="1" x14ac:dyDescent="0.4">
      <c r="A40" s="1"/>
      <c r="B40" s="1"/>
      <c r="C40" s="119" t="s">
        <v>46</v>
      </c>
      <c r="D40" s="120"/>
      <c r="E40" s="120"/>
      <c r="F40" s="121">
        <f>$F$38*$F$39</f>
        <v>0</v>
      </c>
      <c r="G40" s="109"/>
      <c r="H40" s="109"/>
      <c r="I40" s="20"/>
      <c r="J40" s="24"/>
      <c r="K40" s="17"/>
    </row>
    <row r="41" spans="1:11" s="14" customFormat="1" ht="16.5" customHeight="1" thickBot="1" x14ac:dyDescent="0.4">
      <c r="A41" s="1"/>
      <c r="B41" s="1"/>
      <c r="C41" s="122" t="s">
        <v>45</v>
      </c>
      <c r="D41" s="123"/>
      <c r="E41" s="123"/>
      <c r="F41" s="124">
        <f>$F$40/$D$34</f>
        <v>0</v>
      </c>
      <c r="G41" s="109"/>
      <c r="H41" s="109"/>
      <c r="I41" s="20"/>
      <c r="J41" s="24"/>
      <c r="K41" s="17"/>
    </row>
    <row r="42" spans="1:11" s="14" customFormat="1" ht="16.5" customHeight="1" x14ac:dyDescent="0.35">
      <c r="A42" s="20"/>
      <c r="B42" s="20"/>
      <c r="C42" s="20"/>
      <c r="D42" s="20"/>
      <c r="E42" s="20"/>
      <c r="F42" s="125"/>
      <c r="G42" s="126"/>
      <c r="H42" s="109"/>
      <c r="I42" s="20"/>
      <c r="J42" s="24"/>
      <c r="K42" s="22"/>
    </row>
    <row r="43" spans="1:11" s="14" customFormat="1" ht="16.5" customHeight="1" thickBot="1" x14ac:dyDescent="0.4">
      <c r="A43" s="20"/>
      <c r="B43" s="20"/>
      <c r="C43" s="20"/>
      <c r="D43" s="20"/>
      <c r="E43" s="20"/>
      <c r="F43" s="125"/>
      <c r="G43" s="126"/>
      <c r="H43" s="109"/>
      <c r="I43" s="20"/>
      <c r="J43" s="24"/>
      <c r="K43" s="22"/>
    </row>
    <row r="44" spans="1:11" s="16" customFormat="1" ht="16.5" customHeight="1" thickBot="1" x14ac:dyDescent="0.4">
      <c r="A44" s="1"/>
      <c r="B44" s="1"/>
      <c r="C44" s="62" t="s">
        <v>198</v>
      </c>
      <c r="D44" s="100"/>
      <c r="E44" s="100"/>
      <c r="F44" s="101"/>
      <c r="G44" s="99"/>
      <c r="H44" s="1"/>
      <c r="I44" s="1"/>
      <c r="J44" s="24"/>
      <c r="K44" s="13"/>
    </row>
    <row r="45" spans="1:11" s="1" customFormat="1" ht="16.5" customHeight="1" thickBot="1" x14ac:dyDescent="0.4">
      <c r="C45" s="103"/>
      <c r="D45" s="104" t="s">
        <v>190</v>
      </c>
      <c r="E45" s="74"/>
      <c r="F45" s="74"/>
      <c r="G45" s="99"/>
      <c r="J45" s="24"/>
      <c r="K45" s="13"/>
    </row>
    <row r="46" spans="1:11" s="1" customFormat="1" ht="16.5" customHeight="1" thickBot="1" x14ac:dyDescent="0.4">
      <c r="C46" s="105"/>
      <c r="D46" s="77">
        <f>'Formulier logistiek'!$K$24</f>
        <v>34000</v>
      </c>
      <c r="E46" s="77"/>
      <c r="F46" s="77"/>
      <c r="G46" s="99"/>
      <c r="J46" s="24"/>
      <c r="K46" s="13"/>
    </row>
    <row r="47" spans="1:11" s="14" customFormat="1" ht="16.5" customHeight="1" thickBot="1" x14ac:dyDescent="0.4">
      <c r="A47" s="1"/>
      <c r="B47" s="1"/>
      <c r="C47" s="106" t="s">
        <v>91</v>
      </c>
      <c r="D47" s="41"/>
      <c r="E47" s="107" t="s">
        <v>85</v>
      </c>
      <c r="F47" s="108">
        <f>$D$47*$D$46</f>
        <v>0</v>
      </c>
      <c r="G47" s="109"/>
      <c r="H47" s="20"/>
      <c r="I47" s="20"/>
      <c r="J47" s="24"/>
    </row>
    <row r="48" spans="1:11" s="14" customFormat="1" ht="16.5" customHeight="1" thickBot="1" x14ac:dyDescent="0.4">
      <c r="A48" s="1"/>
      <c r="B48" s="1"/>
      <c r="C48" s="106" t="s">
        <v>92</v>
      </c>
      <c r="D48" s="40" t="s">
        <v>1</v>
      </c>
      <c r="E48" s="107" t="s">
        <v>72</v>
      </c>
      <c r="F48" s="110">
        <f>VLOOKUP(D48,$D$130:$E$136,2,FALSE)</f>
        <v>0</v>
      </c>
      <c r="G48" s="109"/>
      <c r="H48" s="20"/>
      <c r="I48" s="20"/>
      <c r="J48" s="24"/>
    </row>
    <row r="49" spans="1:11" s="14" customFormat="1" ht="30.75" customHeight="1" thickBot="1" x14ac:dyDescent="0.4">
      <c r="A49" s="1"/>
      <c r="B49" s="1"/>
      <c r="C49" s="106" t="s">
        <v>141</v>
      </c>
      <c r="D49" s="40" t="s">
        <v>1</v>
      </c>
      <c r="E49" s="107" t="s">
        <v>73</v>
      </c>
      <c r="F49" s="111">
        <f>1-(VLOOKUP(D49,$D$139:$G$158,2,FALSE))</f>
        <v>1</v>
      </c>
      <c r="G49" s="20"/>
      <c r="H49" s="20"/>
      <c r="I49" s="20"/>
      <c r="J49" s="24"/>
    </row>
    <row r="50" spans="1:11" s="16" customFormat="1" ht="16.5" customHeight="1" thickBot="1" x14ac:dyDescent="0.4">
      <c r="A50" s="1"/>
      <c r="B50" s="1"/>
      <c r="C50" s="112" t="s">
        <v>149</v>
      </c>
      <c r="D50" s="113"/>
      <c r="E50" s="100"/>
      <c r="F50" s="114">
        <f>((F48-(F48*F49))*F47)/1000000</f>
        <v>0</v>
      </c>
      <c r="G50" s="109"/>
      <c r="H50" s="19"/>
      <c r="I50" s="19"/>
      <c r="J50" s="24"/>
    </row>
    <row r="51" spans="1:11" s="13" customFormat="1" ht="16.5" customHeight="1" thickBot="1" x14ac:dyDescent="0.4">
      <c r="A51" s="1"/>
      <c r="B51" s="1"/>
      <c r="C51" s="115" t="s">
        <v>150</v>
      </c>
      <c r="D51" s="116"/>
      <c r="E51" s="117"/>
      <c r="F51" s="118">
        <v>100</v>
      </c>
      <c r="G51" s="20"/>
      <c r="H51" s="1"/>
      <c r="I51" s="1"/>
      <c r="J51" s="24"/>
    </row>
    <row r="52" spans="1:11" s="14" customFormat="1" ht="16.5" customHeight="1" thickBot="1" x14ac:dyDescent="0.4">
      <c r="A52" s="1"/>
      <c r="B52" s="1"/>
      <c r="C52" s="119" t="s">
        <v>46</v>
      </c>
      <c r="D52" s="120"/>
      <c r="E52" s="120"/>
      <c r="F52" s="121">
        <f>$F$50*$F$51</f>
        <v>0</v>
      </c>
      <c r="G52" s="109"/>
      <c r="H52" s="109"/>
      <c r="I52" s="20"/>
      <c r="J52" s="24"/>
      <c r="K52" s="17"/>
    </row>
    <row r="53" spans="1:11" s="14" customFormat="1" ht="16.5" customHeight="1" thickBot="1" x14ac:dyDescent="0.4">
      <c r="A53" s="1"/>
      <c r="B53" s="1"/>
      <c r="C53" s="122" t="s">
        <v>45</v>
      </c>
      <c r="D53" s="123"/>
      <c r="E53" s="123"/>
      <c r="F53" s="124">
        <f>$F$40/$D$34</f>
        <v>0</v>
      </c>
      <c r="G53" s="109"/>
      <c r="H53" s="109"/>
      <c r="I53" s="20"/>
      <c r="J53" s="24"/>
      <c r="K53" s="17"/>
    </row>
    <row r="54" spans="1:11" s="14" customFormat="1" ht="16.5" customHeight="1" x14ac:dyDescent="0.35">
      <c r="A54" s="20"/>
      <c r="B54" s="20"/>
      <c r="C54" s="20"/>
      <c r="D54" s="20"/>
      <c r="E54" s="127"/>
      <c r="F54" s="125"/>
      <c r="G54" s="126"/>
      <c r="H54" s="109"/>
      <c r="I54" s="20"/>
      <c r="J54" s="24"/>
      <c r="K54" s="22"/>
    </row>
    <row r="55" spans="1:11" s="14" customFormat="1" ht="16.5" customHeight="1" thickBot="1" x14ac:dyDescent="0.4">
      <c r="A55" s="20"/>
      <c r="B55" s="20"/>
      <c r="C55" s="20"/>
      <c r="D55" s="20"/>
      <c r="E55" s="127"/>
      <c r="F55" s="125"/>
      <c r="G55" s="126"/>
      <c r="H55" s="109"/>
      <c r="I55" s="20"/>
      <c r="J55" s="24"/>
      <c r="K55" s="22"/>
    </row>
    <row r="56" spans="1:11" s="16" customFormat="1" ht="16.5" customHeight="1" thickBot="1" x14ac:dyDescent="0.4">
      <c r="A56" s="19"/>
      <c r="B56" s="19"/>
      <c r="C56" s="62" t="s">
        <v>107</v>
      </c>
      <c r="D56" s="128"/>
      <c r="E56" s="128"/>
      <c r="F56" s="128"/>
      <c r="G56" s="129"/>
      <c r="H56" s="19"/>
      <c r="I56" s="19"/>
      <c r="J56" s="24"/>
    </row>
    <row r="57" spans="1:11" s="13" customFormat="1" ht="16.5" customHeight="1" thickBot="1" x14ac:dyDescent="0.4">
      <c r="A57" s="1"/>
      <c r="B57" s="1"/>
      <c r="C57" s="130" t="s">
        <v>196</v>
      </c>
      <c r="D57" s="131"/>
      <c r="E57" s="131"/>
      <c r="F57" s="132"/>
      <c r="G57" s="133" t="s">
        <v>51</v>
      </c>
      <c r="H57" s="1"/>
      <c r="I57" s="1"/>
      <c r="J57" s="24"/>
    </row>
    <row r="58" spans="1:11" s="13" customFormat="1" ht="30.75" customHeight="1" thickBot="1" x14ac:dyDescent="0.4">
      <c r="A58" s="1"/>
      <c r="B58" s="1"/>
      <c r="C58" s="134" t="s">
        <v>49</v>
      </c>
      <c r="D58" s="135" t="s">
        <v>210</v>
      </c>
      <c r="E58" s="249" t="s">
        <v>76</v>
      </c>
      <c r="F58" s="249"/>
      <c r="G58" s="136"/>
      <c r="H58" s="1"/>
      <c r="I58" s="1"/>
      <c r="J58" s="24"/>
    </row>
    <row r="59" spans="1:11" s="13" customFormat="1" ht="16.5" customHeight="1" thickBot="1" x14ac:dyDescent="0.4">
      <c r="A59" s="1"/>
      <c r="B59" s="1"/>
      <c r="C59" s="137" t="s">
        <v>50</v>
      </c>
      <c r="D59" s="30"/>
      <c r="E59" s="138" t="s">
        <v>20</v>
      </c>
      <c r="F59" s="139" t="s">
        <v>159</v>
      </c>
      <c r="G59" s="140">
        <f>(D59*450-340)</f>
        <v>-340</v>
      </c>
      <c r="H59" s="1"/>
      <c r="I59" s="1"/>
      <c r="J59" s="24"/>
    </row>
    <row r="60" spans="1:11" s="13" customFormat="1" ht="30.6" thickBot="1" x14ac:dyDescent="0.4">
      <c r="A60" s="1"/>
      <c r="B60" s="1"/>
      <c r="C60" s="141" t="s">
        <v>16</v>
      </c>
      <c r="D60" s="142" t="s">
        <v>143</v>
      </c>
      <c r="E60" s="249" t="s">
        <v>74</v>
      </c>
      <c r="F60" s="249"/>
      <c r="G60" s="143"/>
      <c r="H60" s="1"/>
      <c r="I60" s="1"/>
      <c r="J60" s="24"/>
    </row>
    <row r="61" spans="1:11" s="43" customFormat="1" ht="16.5" customHeight="1" thickBot="1" x14ac:dyDescent="0.4">
      <c r="A61" s="33"/>
      <c r="B61" s="33"/>
      <c r="C61" s="144" t="s">
        <v>17</v>
      </c>
      <c r="D61" s="30"/>
      <c r="E61" s="138" t="s">
        <v>75</v>
      </c>
      <c r="F61" s="145">
        <v>1.8</v>
      </c>
      <c r="G61" s="140">
        <f>D61*F61</f>
        <v>0</v>
      </c>
      <c r="H61" s="33"/>
      <c r="I61" s="33"/>
      <c r="J61" s="44"/>
    </row>
    <row r="62" spans="1:11" s="43" customFormat="1" ht="16.5" customHeight="1" thickBot="1" x14ac:dyDescent="0.4">
      <c r="A62" s="33"/>
      <c r="B62" s="33"/>
      <c r="C62" s="144" t="s">
        <v>18</v>
      </c>
      <c r="D62" s="30"/>
      <c r="E62" s="138" t="s">
        <v>75</v>
      </c>
      <c r="F62" s="146">
        <v>2</v>
      </c>
      <c r="G62" s="140">
        <f>D62*F62</f>
        <v>0</v>
      </c>
      <c r="H62" s="33"/>
      <c r="I62" s="33"/>
      <c r="J62" s="44"/>
    </row>
    <row r="63" spans="1:11" s="13" customFormat="1" ht="30.6" thickBot="1" x14ac:dyDescent="0.4">
      <c r="A63" s="1"/>
      <c r="B63" s="1"/>
      <c r="C63" s="147" t="s">
        <v>19</v>
      </c>
      <c r="D63" s="142" t="s">
        <v>144</v>
      </c>
      <c r="E63" s="249" t="s">
        <v>76</v>
      </c>
      <c r="F63" s="249"/>
      <c r="G63" s="143"/>
      <c r="H63" s="1"/>
      <c r="I63" s="1"/>
      <c r="J63" s="24"/>
    </row>
    <row r="64" spans="1:11" s="13" customFormat="1" ht="16.5" customHeight="1" thickBot="1" x14ac:dyDescent="0.4">
      <c r="A64" s="1"/>
      <c r="B64" s="1"/>
      <c r="C64" s="137" t="s">
        <v>52</v>
      </c>
      <c r="D64" s="30"/>
      <c r="E64" s="138" t="s">
        <v>20</v>
      </c>
      <c r="F64" s="148">
        <v>1.5</v>
      </c>
      <c r="G64" s="140">
        <f>D64*F64</f>
        <v>0</v>
      </c>
      <c r="H64" s="1"/>
      <c r="I64" s="1"/>
      <c r="J64" s="24"/>
    </row>
    <row r="65" spans="1:10" s="13" customFormat="1" ht="16.5" customHeight="1" thickBot="1" x14ac:dyDescent="0.4">
      <c r="A65" s="1"/>
      <c r="B65" s="1"/>
      <c r="C65" s="137" t="s">
        <v>21</v>
      </c>
      <c r="D65" s="30"/>
      <c r="E65" s="138" t="s">
        <v>20</v>
      </c>
      <c r="F65" s="145">
        <v>0.1</v>
      </c>
      <c r="G65" s="140">
        <f t="shared" ref="G65:G80" si="0">D65*F65</f>
        <v>0</v>
      </c>
      <c r="H65" s="1"/>
      <c r="I65" s="1"/>
      <c r="J65" s="24"/>
    </row>
    <row r="66" spans="1:10" s="13" customFormat="1" ht="16.5" customHeight="1" thickBot="1" x14ac:dyDescent="0.4">
      <c r="A66" s="1"/>
      <c r="B66" s="1"/>
      <c r="C66" s="137" t="s">
        <v>22</v>
      </c>
      <c r="D66" s="30"/>
      <c r="E66" s="138" t="s">
        <v>20</v>
      </c>
      <c r="F66" s="145">
        <v>0.5</v>
      </c>
      <c r="G66" s="140">
        <f t="shared" si="0"/>
        <v>0</v>
      </c>
      <c r="H66" s="1"/>
      <c r="I66" s="1"/>
      <c r="J66" s="24"/>
    </row>
    <row r="67" spans="1:10" s="13" customFormat="1" ht="16.5" customHeight="1" thickBot="1" x14ac:dyDescent="0.4">
      <c r="A67" s="1"/>
      <c r="B67" s="1"/>
      <c r="C67" s="137" t="s">
        <v>23</v>
      </c>
      <c r="D67" s="30"/>
      <c r="E67" s="138" t="s">
        <v>20</v>
      </c>
      <c r="F67" s="145">
        <v>6.6</v>
      </c>
      <c r="G67" s="140">
        <f t="shared" si="0"/>
        <v>0</v>
      </c>
      <c r="H67" s="1"/>
      <c r="I67" s="1"/>
      <c r="J67" s="24"/>
    </row>
    <row r="68" spans="1:10" s="13" customFormat="1" ht="16.5" customHeight="1" thickBot="1" x14ac:dyDescent="0.4">
      <c r="A68" s="1"/>
      <c r="B68" s="1"/>
      <c r="C68" s="137" t="s">
        <v>24</v>
      </c>
      <c r="D68" s="30"/>
      <c r="E68" s="138" t="s">
        <v>20</v>
      </c>
      <c r="F68" s="145">
        <v>0.3</v>
      </c>
      <c r="G68" s="140">
        <f t="shared" si="0"/>
        <v>0</v>
      </c>
      <c r="H68" s="1"/>
      <c r="I68" s="1"/>
      <c r="J68" s="24"/>
    </row>
    <row r="69" spans="1:10" s="13" customFormat="1" ht="16.5" customHeight="1" thickBot="1" x14ac:dyDescent="0.4">
      <c r="A69" s="1"/>
      <c r="B69" s="1"/>
      <c r="C69" s="137" t="s">
        <v>25</v>
      </c>
      <c r="D69" s="30"/>
      <c r="E69" s="138" t="s">
        <v>20</v>
      </c>
      <c r="F69" s="145">
        <v>0</v>
      </c>
      <c r="G69" s="140">
        <f t="shared" si="0"/>
        <v>0</v>
      </c>
      <c r="H69" s="1"/>
      <c r="I69" s="1"/>
      <c r="J69" s="24"/>
    </row>
    <row r="70" spans="1:10" s="13" customFormat="1" ht="16.5" customHeight="1" thickBot="1" x14ac:dyDescent="0.4">
      <c r="A70" s="1"/>
      <c r="B70" s="1"/>
      <c r="C70" s="137" t="s">
        <v>26</v>
      </c>
      <c r="D70" s="30"/>
      <c r="E70" s="138" t="s">
        <v>20</v>
      </c>
      <c r="F70" s="146">
        <v>2</v>
      </c>
      <c r="G70" s="140">
        <f t="shared" si="0"/>
        <v>0</v>
      </c>
      <c r="H70" s="1"/>
      <c r="I70" s="1"/>
      <c r="J70" s="24"/>
    </row>
    <row r="71" spans="1:10" s="13" customFormat="1" ht="16.5" customHeight="1" thickBot="1" x14ac:dyDescent="0.4">
      <c r="A71" s="1"/>
      <c r="B71" s="1"/>
      <c r="C71" s="137" t="s">
        <v>27</v>
      </c>
      <c r="D71" s="30"/>
      <c r="E71" s="138" t="s">
        <v>20</v>
      </c>
      <c r="F71" s="146">
        <v>1</v>
      </c>
      <c r="G71" s="140">
        <f t="shared" si="0"/>
        <v>0</v>
      </c>
      <c r="H71" s="1"/>
      <c r="I71" s="1"/>
      <c r="J71" s="24"/>
    </row>
    <row r="72" spans="1:10" s="13" customFormat="1" ht="16.5" customHeight="1" thickBot="1" x14ac:dyDescent="0.4">
      <c r="A72" s="1"/>
      <c r="B72" s="1"/>
      <c r="C72" s="137" t="s">
        <v>28</v>
      </c>
      <c r="D72" s="30"/>
      <c r="E72" s="138" t="s">
        <v>20</v>
      </c>
      <c r="F72" s="145">
        <v>0.5</v>
      </c>
      <c r="G72" s="140">
        <f t="shared" si="0"/>
        <v>0</v>
      </c>
      <c r="H72" s="1"/>
      <c r="I72" s="1"/>
      <c r="J72" s="24"/>
    </row>
    <row r="73" spans="1:10" s="13" customFormat="1" ht="16.5" customHeight="1" thickBot="1" x14ac:dyDescent="0.4">
      <c r="A73" s="1"/>
      <c r="B73" s="1"/>
      <c r="C73" s="137" t="s">
        <v>29</v>
      </c>
      <c r="D73" s="30"/>
      <c r="E73" s="138" t="s">
        <v>20</v>
      </c>
      <c r="F73" s="145">
        <v>0</v>
      </c>
      <c r="G73" s="140">
        <f t="shared" si="0"/>
        <v>0</v>
      </c>
      <c r="H73" s="1"/>
      <c r="I73" s="1"/>
      <c r="J73" s="24"/>
    </row>
    <row r="74" spans="1:10" s="13" customFormat="1" ht="16.5" customHeight="1" thickBot="1" x14ac:dyDescent="0.4">
      <c r="A74" s="1"/>
      <c r="B74" s="1"/>
      <c r="C74" s="137" t="s">
        <v>30</v>
      </c>
      <c r="D74" s="30"/>
      <c r="E74" s="138" t="s">
        <v>20</v>
      </c>
      <c r="F74" s="145">
        <v>0</v>
      </c>
      <c r="G74" s="140">
        <f t="shared" si="0"/>
        <v>0</v>
      </c>
      <c r="H74" s="1"/>
      <c r="I74" s="1"/>
      <c r="J74" s="24"/>
    </row>
    <row r="75" spans="1:10" s="13" customFormat="1" ht="16.5" customHeight="1" thickBot="1" x14ac:dyDescent="0.4">
      <c r="A75" s="1"/>
      <c r="B75" s="1"/>
      <c r="C75" s="137" t="s">
        <v>31</v>
      </c>
      <c r="D75" s="30"/>
      <c r="E75" s="138" t="s">
        <v>20</v>
      </c>
      <c r="F75" s="145">
        <v>0</v>
      </c>
      <c r="G75" s="140">
        <f t="shared" si="0"/>
        <v>0</v>
      </c>
      <c r="H75" s="1"/>
      <c r="I75" s="1"/>
      <c r="J75" s="24"/>
    </row>
    <row r="76" spans="1:10" s="13" customFormat="1" ht="16.5" customHeight="1" thickBot="1" x14ac:dyDescent="0.4">
      <c r="A76" s="1"/>
      <c r="B76" s="1"/>
      <c r="C76" s="137" t="s">
        <v>188</v>
      </c>
      <c r="D76" s="30"/>
      <c r="E76" s="138" t="s">
        <v>20</v>
      </c>
      <c r="F76" s="145">
        <v>0</v>
      </c>
      <c r="G76" s="140">
        <f t="shared" si="0"/>
        <v>0</v>
      </c>
      <c r="H76" s="1"/>
      <c r="I76" s="1"/>
      <c r="J76" s="24"/>
    </row>
    <row r="77" spans="1:10" s="13" customFormat="1" ht="16.5" customHeight="1" thickBot="1" x14ac:dyDescent="0.4">
      <c r="A77" s="1"/>
      <c r="B77" s="1"/>
      <c r="C77" s="137" t="s">
        <v>32</v>
      </c>
      <c r="D77" s="30"/>
      <c r="E77" s="138" t="s">
        <v>20</v>
      </c>
      <c r="F77" s="145">
        <v>0.2</v>
      </c>
      <c r="G77" s="140">
        <f t="shared" si="0"/>
        <v>0</v>
      </c>
      <c r="H77" s="1"/>
      <c r="I77" s="1"/>
      <c r="J77" s="24"/>
    </row>
    <row r="78" spans="1:10" s="13" customFormat="1" ht="16.5" customHeight="1" thickBot="1" x14ac:dyDescent="0.4">
      <c r="A78" s="1"/>
      <c r="B78" s="1"/>
      <c r="C78" s="137" t="s">
        <v>33</v>
      </c>
      <c r="D78" s="30"/>
      <c r="E78" s="138" t="s">
        <v>20</v>
      </c>
      <c r="F78" s="145">
        <v>0.1</v>
      </c>
      <c r="G78" s="140">
        <f t="shared" si="0"/>
        <v>0</v>
      </c>
      <c r="H78" s="1"/>
      <c r="I78" s="1"/>
      <c r="J78" s="24"/>
    </row>
    <row r="79" spans="1:10" s="13" customFormat="1" ht="30.75" customHeight="1" thickBot="1" x14ac:dyDescent="0.4">
      <c r="A79" s="1"/>
      <c r="B79" s="1"/>
      <c r="C79" s="149" t="s">
        <v>34</v>
      </c>
      <c r="D79" s="142" t="s">
        <v>144</v>
      </c>
      <c r="E79" s="249" t="s">
        <v>76</v>
      </c>
      <c r="F79" s="249"/>
      <c r="G79" s="143"/>
      <c r="H79" s="1"/>
      <c r="I79" s="1"/>
      <c r="J79" s="24"/>
    </row>
    <row r="80" spans="1:10" s="13" customFormat="1" ht="16.5" customHeight="1" thickBot="1" x14ac:dyDescent="0.4">
      <c r="A80" s="1"/>
      <c r="B80" s="1"/>
      <c r="C80" s="137" t="s">
        <v>145</v>
      </c>
      <c r="D80" s="30"/>
      <c r="E80" s="138" t="s">
        <v>20</v>
      </c>
      <c r="F80" s="146">
        <v>0.5</v>
      </c>
      <c r="G80" s="140">
        <f t="shared" si="0"/>
        <v>0</v>
      </c>
      <c r="H80" s="1"/>
      <c r="I80" s="1"/>
      <c r="J80" s="24"/>
    </row>
    <row r="81" spans="1:11" s="13" customFormat="1" ht="16.5" customHeight="1" thickBot="1" x14ac:dyDescent="0.4">
      <c r="A81" s="1"/>
      <c r="B81" s="1"/>
      <c r="C81" s="150" t="s">
        <v>156</v>
      </c>
      <c r="D81" s="151"/>
      <c r="E81" s="152"/>
      <c r="F81" s="153"/>
      <c r="G81" s="154">
        <f>SUM($G$59:$G$80)*$D$34</f>
        <v>-272000</v>
      </c>
      <c r="H81" s="1"/>
      <c r="I81" s="1"/>
      <c r="J81" s="24"/>
    </row>
    <row r="82" spans="1:11" s="13" customFormat="1" ht="16.5" customHeight="1" thickBot="1" x14ac:dyDescent="0.4">
      <c r="A82" s="1"/>
      <c r="B82" s="1"/>
      <c r="C82" s="115" t="s">
        <v>150</v>
      </c>
      <c r="D82" s="116"/>
      <c r="E82" s="117"/>
      <c r="F82" s="155"/>
      <c r="G82" s="118">
        <v>200</v>
      </c>
      <c r="H82" s="1"/>
      <c r="I82" s="1"/>
      <c r="J82" s="24"/>
    </row>
    <row r="83" spans="1:11" s="13" customFormat="1" ht="16.5" customHeight="1" thickBot="1" x14ac:dyDescent="0.4">
      <c r="A83" s="1"/>
      <c r="B83" s="1"/>
      <c r="C83" s="156" t="s">
        <v>147</v>
      </c>
      <c r="D83" s="157"/>
      <c r="E83" s="158"/>
      <c r="F83" s="159"/>
      <c r="G83" s="160">
        <f>$G$81*$G$82/1000</f>
        <v>-54400</v>
      </c>
      <c r="H83" s="1"/>
      <c r="I83" s="1"/>
      <c r="J83" s="24"/>
    </row>
    <row r="84" spans="1:11" s="16" customFormat="1" ht="16.5" customHeight="1" thickBot="1" x14ac:dyDescent="0.4">
      <c r="A84" s="19"/>
      <c r="B84" s="19"/>
      <c r="C84" s="122" t="s">
        <v>45</v>
      </c>
      <c r="D84" s="161"/>
      <c r="E84" s="161"/>
      <c r="F84" s="162"/>
      <c r="G84" s="124">
        <f>$G$83/$D$34</f>
        <v>-68</v>
      </c>
      <c r="H84" s="19"/>
      <c r="I84" s="19"/>
      <c r="J84" s="24"/>
    </row>
    <row r="85" spans="1:11" s="14" customFormat="1" ht="75" customHeight="1" x14ac:dyDescent="0.35">
      <c r="A85" s="20"/>
      <c r="B85" s="20"/>
      <c r="C85" s="250" t="s">
        <v>146</v>
      </c>
      <c r="D85" s="250"/>
      <c r="E85" s="250"/>
      <c r="F85" s="250"/>
      <c r="G85" s="250"/>
      <c r="H85" s="109"/>
      <c r="I85" s="20"/>
      <c r="J85" s="24"/>
      <c r="K85" s="22"/>
    </row>
    <row r="86" spans="1:11" s="14" customFormat="1" ht="16.5" customHeight="1" x14ac:dyDescent="0.35">
      <c r="A86" s="20"/>
      <c r="B86" s="20"/>
      <c r="C86" s="20"/>
      <c r="D86" s="20"/>
      <c r="E86" s="20"/>
      <c r="F86" s="125"/>
      <c r="G86" s="126"/>
      <c r="H86" s="109"/>
      <c r="I86" s="20"/>
      <c r="J86" s="24"/>
      <c r="K86" s="22"/>
    </row>
    <row r="87" spans="1:11" s="14" customFormat="1" ht="16.5" customHeight="1" thickBot="1" x14ac:dyDescent="0.4">
      <c r="A87" s="20"/>
      <c r="B87" s="20"/>
      <c r="C87" s="20"/>
      <c r="D87" s="20"/>
      <c r="E87" s="127"/>
      <c r="F87" s="125"/>
      <c r="G87" s="126"/>
      <c r="H87" s="109"/>
      <c r="I87" s="20"/>
      <c r="J87" s="24"/>
      <c r="K87" s="22"/>
    </row>
    <row r="88" spans="1:11" s="16" customFormat="1" ht="16.5" customHeight="1" thickBot="1" x14ac:dyDescent="0.4">
      <c r="A88" s="19"/>
      <c r="B88" s="19"/>
      <c r="C88" s="62" t="s">
        <v>107</v>
      </c>
      <c r="D88" s="128"/>
      <c r="E88" s="128"/>
      <c r="F88" s="128"/>
      <c r="G88" s="129"/>
      <c r="H88" s="19"/>
      <c r="I88" s="19"/>
      <c r="J88" s="24"/>
    </row>
    <row r="89" spans="1:11" s="13" customFormat="1" ht="16.5" customHeight="1" thickBot="1" x14ac:dyDescent="0.4">
      <c r="A89" s="1"/>
      <c r="B89" s="1"/>
      <c r="C89" s="130" t="s">
        <v>201</v>
      </c>
      <c r="D89" s="131"/>
      <c r="E89" s="131"/>
      <c r="F89" s="132"/>
      <c r="G89" s="133" t="s">
        <v>51</v>
      </c>
      <c r="H89" s="1"/>
      <c r="I89" s="1"/>
      <c r="J89" s="24"/>
    </row>
    <row r="90" spans="1:11" s="13" customFormat="1" ht="30.75" customHeight="1" thickBot="1" x14ac:dyDescent="0.4">
      <c r="A90" s="1"/>
      <c r="B90" s="1"/>
      <c r="C90" s="134" t="s">
        <v>49</v>
      </c>
      <c r="D90" s="135" t="s">
        <v>210</v>
      </c>
      <c r="E90" s="249" t="s">
        <v>76</v>
      </c>
      <c r="F90" s="249"/>
      <c r="G90" s="136"/>
      <c r="H90" s="1"/>
      <c r="I90" s="1"/>
      <c r="J90" s="24"/>
    </row>
    <row r="91" spans="1:11" s="13" customFormat="1" ht="16.5" customHeight="1" thickBot="1" x14ac:dyDescent="0.4">
      <c r="A91" s="1"/>
      <c r="B91" s="1"/>
      <c r="C91" s="137" t="s">
        <v>50</v>
      </c>
      <c r="D91" s="30"/>
      <c r="E91" s="138" t="s">
        <v>20</v>
      </c>
      <c r="F91" s="163" t="s">
        <v>159</v>
      </c>
      <c r="G91" s="140">
        <f>(D91*450-340)</f>
        <v>-340</v>
      </c>
      <c r="H91" s="1"/>
      <c r="I91" s="1"/>
      <c r="J91" s="24"/>
    </row>
    <row r="92" spans="1:11" s="13" customFormat="1" ht="30.6" thickBot="1" x14ac:dyDescent="0.4">
      <c r="A92" s="1"/>
      <c r="B92" s="1"/>
      <c r="C92" s="164" t="s">
        <v>16</v>
      </c>
      <c r="D92" s="142" t="s">
        <v>143</v>
      </c>
      <c r="E92" s="249" t="s">
        <v>74</v>
      </c>
      <c r="F92" s="249"/>
      <c r="G92" s="143"/>
      <c r="H92" s="1"/>
      <c r="I92" s="1"/>
      <c r="J92" s="24"/>
    </row>
    <row r="93" spans="1:11" s="13" customFormat="1" ht="16.5" customHeight="1" thickBot="1" x14ac:dyDescent="0.4">
      <c r="A93" s="1"/>
      <c r="B93" s="1"/>
      <c r="C93" s="137" t="s">
        <v>17</v>
      </c>
      <c r="D93" s="30"/>
      <c r="E93" s="138" t="s">
        <v>75</v>
      </c>
      <c r="F93" s="145">
        <v>1.8</v>
      </c>
      <c r="G93" s="140">
        <f>D93*F93</f>
        <v>0</v>
      </c>
      <c r="H93" s="1"/>
      <c r="I93" s="1"/>
      <c r="J93" s="24"/>
    </row>
    <row r="94" spans="1:11" s="13" customFormat="1" ht="16.5" customHeight="1" thickBot="1" x14ac:dyDescent="0.4">
      <c r="A94" s="1"/>
      <c r="B94" s="1"/>
      <c r="C94" s="137" t="s">
        <v>18</v>
      </c>
      <c r="D94" s="30"/>
      <c r="E94" s="138" t="s">
        <v>75</v>
      </c>
      <c r="F94" s="146">
        <v>2</v>
      </c>
      <c r="G94" s="140">
        <f>D94*F94</f>
        <v>0</v>
      </c>
      <c r="H94" s="1"/>
      <c r="I94" s="1"/>
      <c r="J94" s="24"/>
    </row>
    <row r="95" spans="1:11" s="13" customFormat="1" ht="30.6" thickBot="1" x14ac:dyDescent="0.4">
      <c r="A95" s="1"/>
      <c r="B95" s="1"/>
      <c r="C95" s="165" t="s">
        <v>19</v>
      </c>
      <c r="D95" s="142" t="s">
        <v>144</v>
      </c>
      <c r="E95" s="249" t="s">
        <v>76</v>
      </c>
      <c r="F95" s="249"/>
      <c r="G95" s="143"/>
      <c r="H95" s="1"/>
      <c r="I95" s="1"/>
      <c r="J95" s="24"/>
    </row>
    <row r="96" spans="1:11" s="13" customFormat="1" ht="16.5" customHeight="1" thickBot="1" x14ac:dyDescent="0.4">
      <c r="A96" s="1"/>
      <c r="B96" s="1"/>
      <c r="C96" s="137" t="s">
        <v>52</v>
      </c>
      <c r="D96" s="30"/>
      <c r="E96" s="138" t="s">
        <v>20</v>
      </c>
      <c r="F96" s="148">
        <v>1.5</v>
      </c>
      <c r="G96" s="140">
        <f>D96*F96</f>
        <v>0</v>
      </c>
      <c r="H96" s="1"/>
      <c r="I96" s="1"/>
      <c r="J96" s="24"/>
    </row>
    <row r="97" spans="1:10" s="13" customFormat="1" ht="16.5" customHeight="1" thickBot="1" x14ac:dyDescent="0.4">
      <c r="A97" s="1"/>
      <c r="B97" s="1"/>
      <c r="C97" s="137" t="s">
        <v>21</v>
      </c>
      <c r="D97" s="30"/>
      <c r="E97" s="138" t="s">
        <v>20</v>
      </c>
      <c r="F97" s="145">
        <v>0.1</v>
      </c>
      <c r="G97" s="140">
        <f t="shared" ref="G97:G110" si="1">D97*F97</f>
        <v>0</v>
      </c>
      <c r="H97" s="1"/>
      <c r="I97" s="1"/>
      <c r="J97" s="24"/>
    </row>
    <row r="98" spans="1:10" s="13" customFormat="1" ht="16.5" customHeight="1" thickBot="1" x14ac:dyDescent="0.4">
      <c r="A98" s="1"/>
      <c r="B98" s="1"/>
      <c r="C98" s="137" t="s">
        <v>22</v>
      </c>
      <c r="D98" s="30"/>
      <c r="E98" s="138" t="s">
        <v>20</v>
      </c>
      <c r="F98" s="145">
        <v>0.5</v>
      </c>
      <c r="G98" s="140">
        <f t="shared" si="1"/>
        <v>0</v>
      </c>
      <c r="H98" s="1"/>
      <c r="I98" s="1"/>
      <c r="J98" s="24"/>
    </row>
    <row r="99" spans="1:10" s="13" customFormat="1" ht="16.5" customHeight="1" thickBot="1" x14ac:dyDescent="0.4">
      <c r="A99" s="1"/>
      <c r="B99" s="1"/>
      <c r="C99" s="137" t="s">
        <v>23</v>
      </c>
      <c r="D99" s="30"/>
      <c r="E99" s="138" t="s">
        <v>20</v>
      </c>
      <c r="F99" s="145">
        <v>6.6</v>
      </c>
      <c r="G99" s="140">
        <f t="shared" si="1"/>
        <v>0</v>
      </c>
      <c r="H99" s="1"/>
      <c r="I99" s="1"/>
      <c r="J99" s="24"/>
    </row>
    <row r="100" spans="1:10" s="13" customFormat="1" ht="16.5" customHeight="1" thickBot="1" x14ac:dyDescent="0.4">
      <c r="A100" s="1"/>
      <c r="B100" s="1"/>
      <c r="C100" s="137" t="s">
        <v>24</v>
      </c>
      <c r="D100" s="30"/>
      <c r="E100" s="138" t="s">
        <v>20</v>
      </c>
      <c r="F100" s="145">
        <v>0.3</v>
      </c>
      <c r="G100" s="140">
        <f t="shared" si="1"/>
        <v>0</v>
      </c>
      <c r="H100" s="1"/>
      <c r="I100" s="1"/>
      <c r="J100" s="24"/>
    </row>
    <row r="101" spans="1:10" s="13" customFormat="1" ht="16.5" customHeight="1" thickBot="1" x14ac:dyDescent="0.4">
      <c r="A101" s="1"/>
      <c r="B101" s="1"/>
      <c r="C101" s="137" t="s">
        <v>25</v>
      </c>
      <c r="D101" s="30"/>
      <c r="E101" s="138" t="s">
        <v>20</v>
      </c>
      <c r="F101" s="145">
        <v>0</v>
      </c>
      <c r="G101" s="140">
        <f t="shared" si="1"/>
        <v>0</v>
      </c>
      <c r="H101" s="1"/>
      <c r="I101" s="1"/>
      <c r="J101" s="24"/>
    </row>
    <row r="102" spans="1:10" s="13" customFormat="1" ht="16.5" customHeight="1" thickBot="1" x14ac:dyDescent="0.4">
      <c r="A102" s="1"/>
      <c r="B102" s="1"/>
      <c r="C102" s="137" t="s">
        <v>26</v>
      </c>
      <c r="D102" s="30"/>
      <c r="E102" s="138" t="s">
        <v>20</v>
      </c>
      <c r="F102" s="146">
        <v>2</v>
      </c>
      <c r="G102" s="140">
        <f t="shared" si="1"/>
        <v>0</v>
      </c>
      <c r="H102" s="1"/>
      <c r="I102" s="1"/>
      <c r="J102" s="24"/>
    </row>
    <row r="103" spans="1:10" s="13" customFormat="1" ht="16.5" customHeight="1" thickBot="1" x14ac:dyDescent="0.4">
      <c r="A103" s="1"/>
      <c r="B103" s="1"/>
      <c r="C103" s="137" t="s">
        <v>27</v>
      </c>
      <c r="D103" s="30"/>
      <c r="E103" s="138" t="s">
        <v>20</v>
      </c>
      <c r="F103" s="146">
        <v>1</v>
      </c>
      <c r="G103" s="140">
        <f t="shared" si="1"/>
        <v>0</v>
      </c>
      <c r="H103" s="1"/>
      <c r="I103" s="1"/>
      <c r="J103" s="24"/>
    </row>
    <row r="104" spans="1:10" s="13" customFormat="1" ht="16.5" customHeight="1" thickBot="1" x14ac:dyDescent="0.4">
      <c r="A104" s="1"/>
      <c r="B104" s="1"/>
      <c r="C104" s="137" t="s">
        <v>28</v>
      </c>
      <c r="D104" s="30"/>
      <c r="E104" s="138" t="s">
        <v>20</v>
      </c>
      <c r="F104" s="145">
        <v>0.5</v>
      </c>
      <c r="G104" s="140">
        <f t="shared" si="1"/>
        <v>0</v>
      </c>
      <c r="H104" s="1"/>
      <c r="I104" s="1"/>
      <c r="J104" s="24"/>
    </row>
    <row r="105" spans="1:10" s="13" customFormat="1" ht="16.5" customHeight="1" thickBot="1" x14ac:dyDescent="0.4">
      <c r="A105" s="1"/>
      <c r="B105" s="1"/>
      <c r="C105" s="137" t="s">
        <v>29</v>
      </c>
      <c r="D105" s="30"/>
      <c r="E105" s="138" t="s">
        <v>20</v>
      </c>
      <c r="F105" s="145">
        <v>0</v>
      </c>
      <c r="G105" s="140">
        <f t="shared" si="1"/>
        <v>0</v>
      </c>
      <c r="H105" s="1"/>
      <c r="I105" s="1"/>
      <c r="J105" s="24"/>
    </row>
    <row r="106" spans="1:10" s="13" customFormat="1" ht="16.5" customHeight="1" thickBot="1" x14ac:dyDescent="0.4">
      <c r="A106" s="1"/>
      <c r="B106" s="1"/>
      <c r="C106" s="137" t="s">
        <v>30</v>
      </c>
      <c r="D106" s="30"/>
      <c r="E106" s="138" t="s">
        <v>20</v>
      </c>
      <c r="F106" s="145">
        <v>0</v>
      </c>
      <c r="G106" s="140">
        <f t="shared" si="1"/>
        <v>0</v>
      </c>
      <c r="H106" s="1"/>
      <c r="I106" s="1"/>
      <c r="J106" s="24"/>
    </row>
    <row r="107" spans="1:10" s="13" customFormat="1" ht="16.5" customHeight="1" thickBot="1" x14ac:dyDescent="0.4">
      <c r="A107" s="1"/>
      <c r="B107" s="1"/>
      <c r="C107" s="137" t="s">
        <v>31</v>
      </c>
      <c r="D107" s="30"/>
      <c r="E107" s="138" t="s">
        <v>20</v>
      </c>
      <c r="F107" s="145">
        <v>0</v>
      </c>
      <c r="G107" s="140">
        <f t="shared" si="1"/>
        <v>0</v>
      </c>
      <c r="H107" s="1"/>
      <c r="I107" s="1"/>
      <c r="J107" s="24"/>
    </row>
    <row r="108" spans="1:10" s="13" customFormat="1" ht="16.5" customHeight="1" thickBot="1" x14ac:dyDescent="0.4">
      <c r="A108" s="1"/>
      <c r="B108" s="1"/>
      <c r="C108" s="137" t="s">
        <v>188</v>
      </c>
      <c r="D108" s="30"/>
      <c r="E108" s="138" t="s">
        <v>20</v>
      </c>
      <c r="F108" s="145">
        <v>0</v>
      </c>
      <c r="G108" s="140">
        <f t="shared" si="1"/>
        <v>0</v>
      </c>
      <c r="H108" s="1"/>
      <c r="I108" s="1"/>
      <c r="J108" s="24"/>
    </row>
    <row r="109" spans="1:10" s="13" customFormat="1" ht="16.5" customHeight="1" thickBot="1" x14ac:dyDescent="0.4">
      <c r="A109" s="1"/>
      <c r="B109" s="1"/>
      <c r="C109" s="137" t="s">
        <v>32</v>
      </c>
      <c r="D109" s="30"/>
      <c r="E109" s="138" t="s">
        <v>20</v>
      </c>
      <c r="F109" s="145">
        <v>0.2</v>
      </c>
      <c r="G109" s="140">
        <f t="shared" si="1"/>
        <v>0</v>
      </c>
      <c r="H109" s="1"/>
      <c r="I109" s="1"/>
      <c r="J109" s="24"/>
    </row>
    <row r="110" spans="1:10" s="13" customFormat="1" ht="16.5" customHeight="1" thickBot="1" x14ac:dyDescent="0.4">
      <c r="A110" s="1"/>
      <c r="B110" s="1"/>
      <c r="C110" s="137" t="s">
        <v>33</v>
      </c>
      <c r="D110" s="30"/>
      <c r="E110" s="138" t="s">
        <v>20</v>
      </c>
      <c r="F110" s="145">
        <v>0.1</v>
      </c>
      <c r="G110" s="140">
        <f t="shared" si="1"/>
        <v>0</v>
      </c>
      <c r="H110" s="1"/>
      <c r="I110" s="1"/>
      <c r="J110" s="24"/>
    </row>
    <row r="111" spans="1:10" s="13" customFormat="1" ht="30.75" customHeight="1" thickBot="1" x14ac:dyDescent="0.4">
      <c r="A111" s="1"/>
      <c r="B111" s="1"/>
      <c r="C111" s="149" t="s">
        <v>34</v>
      </c>
      <c r="D111" s="142" t="s">
        <v>144</v>
      </c>
      <c r="E111" s="249" t="s">
        <v>76</v>
      </c>
      <c r="F111" s="249"/>
      <c r="G111" s="143"/>
      <c r="H111" s="1"/>
      <c r="I111" s="1"/>
      <c r="J111" s="24"/>
    </row>
    <row r="112" spans="1:10" s="13" customFormat="1" ht="16.5" customHeight="1" thickBot="1" x14ac:dyDescent="0.4">
      <c r="A112" s="1"/>
      <c r="B112" s="1"/>
      <c r="C112" s="137" t="s">
        <v>145</v>
      </c>
      <c r="D112" s="30"/>
      <c r="E112" s="138" t="s">
        <v>20</v>
      </c>
      <c r="F112" s="146">
        <v>0.5</v>
      </c>
      <c r="G112" s="140">
        <f>D112*$F$80</f>
        <v>0</v>
      </c>
      <c r="H112" s="1"/>
      <c r="I112" s="1"/>
      <c r="J112" s="24"/>
    </row>
    <row r="113" spans="1:11" s="13" customFormat="1" ht="16.5" customHeight="1" thickBot="1" x14ac:dyDescent="0.4">
      <c r="A113" s="1"/>
      <c r="B113" s="1"/>
      <c r="C113" s="150" t="s">
        <v>156</v>
      </c>
      <c r="D113" s="151"/>
      <c r="E113" s="152"/>
      <c r="F113" s="153"/>
      <c r="G113" s="154">
        <f>SUM($G$91:$G$112)*$D$46</f>
        <v>-11560000</v>
      </c>
      <c r="H113" s="1"/>
      <c r="I113" s="1"/>
      <c r="J113" s="24"/>
    </row>
    <row r="114" spans="1:11" s="13" customFormat="1" ht="16.5" customHeight="1" thickBot="1" x14ac:dyDescent="0.4">
      <c r="A114" s="1"/>
      <c r="B114" s="1"/>
      <c r="C114" s="115" t="s">
        <v>150</v>
      </c>
      <c r="D114" s="116"/>
      <c r="E114" s="117"/>
      <c r="F114" s="155"/>
      <c r="G114" s="118">
        <v>200</v>
      </c>
      <c r="H114" s="1"/>
      <c r="I114" s="1"/>
      <c r="J114" s="24"/>
    </row>
    <row r="115" spans="1:11" s="13" customFormat="1" ht="16.5" customHeight="1" thickBot="1" x14ac:dyDescent="0.4">
      <c r="A115" s="1"/>
      <c r="B115" s="1"/>
      <c r="C115" s="156" t="s">
        <v>147</v>
      </c>
      <c r="D115" s="157"/>
      <c r="E115" s="158"/>
      <c r="F115" s="159"/>
      <c r="G115" s="160">
        <f>$G$113*$G$114/1000</f>
        <v>-2312000</v>
      </c>
      <c r="H115" s="1"/>
      <c r="I115" s="1"/>
      <c r="J115" s="24"/>
    </row>
    <row r="116" spans="1:11" s="16" customFormat="1" ht="16.5" customHeight="1" thickBot="1" x14ac:dyDescent="0.4">
      <c r="A116" s="19"/>
      <c r="B116" s="19"/>
      <c r="C116" s="122" t="s">
        <v>45</v>
      </c>
      <c r="D116" s="161"/>
      <c r="E116" s="161"/>
      <c r="F116" s="162"/>
      <c r="G116" s="124">
        <f>$G$115/$D$46</f>
        <v>-68</v>
      </c>
      <c r="H116" s="19"/>
      <c r="I116" s="19"/>
      <c r="J116" s="24"/>
    </row>
    <row r="117" spans="1:11" s="14" customFormat="1" ht="75" customHeight="1" x14ac:dyDescent="0.35">
      <c r="A117" s="20"/>
      <c r="B117" s="20"/>
      <c r="C117" s="250" t="s">
        <v>146</v>
      </c>
      <c r="D117" s="250"/>
      <c r="E117" s="250"/>
      <c r="F117" s="250"/>
      <c r="G117" s="250"/>
      <c r="H117" s="109"/>
      <c r="I117" s="20"/>
      <c r="J117" s="24"/>
      <c r="K117" s="22"/>
    </row>
    <row r="118" spans="1:11" s="14" customFormat="1" ht="16.5" customHeight="1" x14ac:dyDescent="0.35">
      <c r="A118" s="20"/>
      <c r="B118" s="20"/>
      <c r="C118" s="20"/>
      <c r="D118" s="20"/>
      <c r="E118" s="20"/>
      <c r="F118" s="125"/>
      <c r="G118" s="126"/>
      <c r="H118" s="109"/>
      <c r="I118" s="20"/>
      <c r="J118" s="24"/>
      <c r="K118" s="22"/>
    </row>
    <row r="119" spans="1:11" s="14" customFormat="1" ht="16.5" customHeight="1" thickBot="1" x14ac:dyDescent="0.4">
      <c r="A119" s="20"/>
      <c r="B119" s="20"/>
      <c r="C119" s="20"/>
      <c r="D119" s="20"/>
      <c r="E119" s="20"/>
      <c r="F119" s="125"/>
      <c r="G119" s="126"/>
      <c r="H119" s="109"/>
      <c r="I119" s="20"/>
      <c r="J119" s="24"/>
      <c r="K119" s="22"/>
    </row>
    <row r="120" spans="1:11" s="14" customFormat="1" ht="16.5" customHeight="1" thickBot="1" x14ac:dyDescent="0.4">
      <c r="A120" s="1"/>
      <c r="B120" s="1"/>
      <c r="C120" s="119" t="s">
        <v>47</v>
      </c>
      <c r="D120" s="120"/>
      <c r="E120" s="120"/>
      <c r="F120" s="120"/>
      <c r="G120" s="39">
        <f>-SUM($G$83,$G$115)</f>
        <v>2366400</v>
      </c>
      <c r="H120" s="109"/>
      <c r="I120" s="20"/>
      <c r="J120" s="24"/>
      <c r="K120" s="17"/>
    </row>
    <row r="121" spans="1:11" s="16" customFormat="1" ht="16.5" customHeight="1" thickBot="1" x14ac:dyDescent="0.4">
      <c r="A121" s="19"/>
      <c r="B121" s="19"/>
      <c r="C121" s="166"/>
      <c r="D121" s="126"/>
      <c r="E121" s="126"/>
      <c r="F121" s="126"/>
      <c r="G121" s="167"/>
      <c r="H121" s="19"/>
      <c r="I121" s="19"/>
      <c r="J121" s="24"/>
    </row>
    <row r="122" spans="1:11" s="16" customFormat="1" ht="16.5" customHeight="1" thickBot="1" x14ac:dyDescent="0.4">
      <c r="A122" s="19"/>
      <c r="B122" s="19"/>
      <c r="C122" s="119" t="s">
        <v>184</v>
      </c>
      <c r="D122" s="120"/>
      <c r="E122" s="120"/>
      <c r="F122" s="120"/>
      <c r="G122" s="39">
        <f>SUM($F$40,$F$52,$G$120)</f>
        <v>2366400</v>
      </c>
      <c r="H122" s="19"/>
      <c r="I122" s="19"/>
      <c r="J122" s="24"/>
    </row>
    <row r="123" spans="1:11" ht="15" customHeight="1" x14ac:dyDescent="0.35">
      <c r="A123" s="9"/>
      <c r="B123" s="9"/>
      <c r="C123" s="9"/>
      <c r="D123" s="9"/>
      <c r="E123" s="9"/>
      <c r="F123" s="9"/>
      <c r="G123" s="168"/>
      <c r="H123" s="9"/>
      <c r="I123" s="9"/>
      <c r="J123" s="24"/>
    </row>
    <row r="124" spans="1:11" ht="15" customHeight="1" x14ac:dyDescent="0.35">
      <c r="A124" s="9"/>
      <c r="B124" s="9"/>
      <c r="C124" s="9"/>
      <c r="D124" s="9"/>
      <c r="E124" s="9"/>
      <c r="F124" s="9"/>
      <c r="G124" s="169"/>
      <c r="H124" s="9"/>
      <c r="I124" s="9"/>
      <c r="J124" s="24"/>
    </row>
    <row r="125" spans="1:11" ht="15" customHeight="1" x14ac:dyDescent="0.35">
      <c r="A125" s="24"/>
      <c r="B125" s="24"/>
      <c r="C125" s="24"/>
      <c r="D125" s="24"/>
      <c r="E125" s="24"/>
      <c r="F125" s="24"/>
      <c r="G125" s="24"/>
      <c r="H125" s="24"/>
      <c r="I125" s="24"/>
      <c r="J125" s="24"/>
    </row>
    <row r="126" spans="1:11" hidden="1" x14ac:dyDescent="0.3">
      <c r="A126" s="9"/>
      <c r="B126" s="9"/>
      <c r="C126" s="9"/>
      <c r="D126" s="10"/>
      <c r="E126" s="10"/>
      <c r="F126" s="10"/>
      <c r="G126" s="10"/>
      <c r="H126" s="9"/>
      <c r="I126" s="9"/>
    </row>
    <row r="127" spans="1:11" hidden="1" x14ac:dyDescent="0.3">
      <c r="A127" s="9"/>
      <c r="B127" s="20"/>
      <c r="C127" s="20"/>
      <c r="D127" s="10"/>
      <c r="E127" s="10"/>
      <c r="F127" s="10"/>
      <c r="G127" s="10"/>
      <c r="H127" s="9"/>
      <c r="I127" s="9"/>
    </row>
    <row r="128" spans="1:11" ht="15" hidden="1" customHeight="1" x14ac:dyDescent="0.3">
      <c r="A128" s="9"/>
      <c r="B128" s="20"/>
      <c r="C128" s="20"/>
      <c r="D128" s="240" t="s">
        <v>4</v>
      </c>
      <c r="E128" s="240"/>
      <c r="F128" s="240"/>
      <c r="G128" s="240"/>
      <c r="H128" s="9"/>
      <c r="I128" s="9"/>
    </row>
    <row r="129" spans="1:9" hidden="1" x14ac:dyDescent="0.3">
      <c r="A129" s="9"/>
      <c r="B129" s="20"/>
      <c r="C129" s="20"/>
      <c r="D129" s="170" t="s">
        <v>5</v>
      </c>
      <c r="E129" s="170" t="s">
        <v>86</v>
      </c>
      <c r="F129" s="171"/>
      <c r="G129" s="20"/>
      <c r="H129" s="9"/>
      <c r="I129" s="9"/>
    </row>
    <row r="130" spans="1:9" hidden="1" x14ac:dyDescent="0.3">
      <c r="A130" s="9"/>
      <c r="B130" s="20"/>
      <c r="C130" s="20"/>
      <c r="D130" s="172" t="s">
        <v>6</v>
      </c>
      <c r="E130" s="173">
        <v>0</v>
      </c>
      <c r="F130" s="171"/>
      <c r="G130" s="20"/>
      <c r="H130" s="9"/>
      <c r="I130" s="9"/>
    </row>
    <row r="131" spans="1:9" hidden="1" x14ac:dyDescent="0.3">
      <c r="A131" s="9"/>
      <c r="B131" s="20"/>
      <c r="C131" s="20"/>
      <c r="D131" s="172" t="s">
        <v>1</v>
      </c>
      <c r="E131" s="173">
        <v>0</v>
      </c>
      <c r="F131" s="171"/>
      <c r="G131" s="20"/>
      <c r="H131" s="9"/>
      <c r="I131" s="9"/>
    </row>
    <row r="132" spans="1:9" ht="30" hidden="1" x14ac:dyDescent="0.3">
      <c r="A132" s="9"/>
      <c r="B132" s="9"/>
      <c r="C132" s="20"/>
      <c r="D132" s="174" t="s">
        <v>63</v>
      </c>
      <c r="E132" s="172">
        <v>117</v>
      </c>
      <c r="F132" s="109"/>
      <c r="G132" s="20"/>
      <c r="H132" s="9"/>
      <c r="I132" s="9"/>
    </row>
    <row r="133" spans="1:9" hidden="1" x14ac:dyDescent="0.3">
      <c r="A133" s="9"/>
      <c r="B133" s="9"/>
      <c r="C133" s="20"/>
      <c r="D133" s="175" t="s">
        <v>2</v>
      </c>
      <c r="E133" s="172">
        <v>102</v>
      </c>
      <c r="F133" s="176"/>
      <c r="G133" s="20"/>
      <c r="H133" s="9"/>
      <c r="I133" s="9"/>
    </row>
    <row r="134" spans="1:9" hidden="1" x14ac:dyDescent="0.3">
      <c r="A134" s="9"/>
      <c r="B134" s="9"/>
      <c r="C134" s="20"/>
      <c r="D134" s="175" t="s">
        <v>64</v>
      </c>
      <c r="E134" s="172">
        <v>93</v>
      </c>
      <c r="F134" s="176"/>
      <c r="G134" s="20"/>
      <c r="H134" s="9"/>
      <c r="I134" s="9"/>
    </row>
    <row r="135" spans="1:9" hidden="1" x14ac:dyDescent="0.3">
      <c r="A135" s="9"/>
      <c r="B135" s="9"/>
      <c r="C135" s="20"/>
      <c r="D135" s="175" t="s">
        <v>65</v>
      </c>
      <c r="E135" s="172">
        <v>30</v>
      </c>
      <c r="F135" s="176"/>
      <c r="G135" s="20"/>
      <c r="H135" s="9"/>
      <c r="I135" s="9"/>
    </row>
    <row r="136" spans="1:9" hidden="1" x14ac:dyDescent="0.3">
      <c r="A136" s="9"/>
      <c r="B136" s="9"/>
      <c r="C136" s="20"/>
      <c r="D136" s="175" t="s">
        <v>66</v>
      </c>
      <c r="E136" s="172">
        <v>30</v>
      </c>
      <c r="F136" s="176"/>
      <c r="G136" s="20"/>
      <c r="H136" s="9"/>
      <c r="I136" s="9"/>
    </row>
    <row r="137" spans="1:9" hidden="1" x14ac:dyDescent="0.3">
      <c r="A137" s="9"/>
      <c r="B137" s="9"/>
      <c r="C137" s="20"/>
      <c r="D137" s="177"/>
      <c r="E137" s="177"/>
      <c r="F137" s="176"/>
      <c r="G137" s="20"/>
      <c r="H137" s="9"/>
      <c r="I137" s="9"/>
    </row>
    <row r="138" spans="1:9" hidden="1" x14ac:dyDescent="0.3">
      <c r="A138" s="9"/>
      <c r="B138" s="9"/>
      <c r="C138" s="20"/>
      <c r="D138" s="170" t="s">
        <v>7</v>
      </c>
      <c r="E138" s="178" t="s">
        <v>8</v>
      </c>
      <c r="F138" s="178" t="s">
        <v>9</v>
      </c>
      <c r="G138" s="178" t="s">
        <v>54</v>
      </c>
      <c r="H138" s="9"/>
      <c r="I138" s="9"/>
    </row>
    <row r="139" spans="1:9" hidden="1" x14ac:dyDescent="0.3">
      <c r="A139" s="9"/>
      <c r="B139" s="9"/>
      <c r="C139" s="20"/>
      <c r="D139" s="172" t="s">
        <v>10</v>
      </c>
      <c r="E139" s="179">
        <v>0</v>
      </c>
      <c r="F139" s="179">
        <v>0</v>
      </c>
      <c r="G139" s="179">
        <v>0</v>
      </c>
      <c r="H139" s="9"/>
      <c r="I139" s="9"/>
    </row>
    <row r="140" spans="1:9" hidden="1" x14ac:dyDescent="0.3">
      <c r="A140" s="9"/>
      <c r="B140" s="9"/>
      <c r="C140" s="20"/>
      <c r="D140" s="172" t="s">
        <v>1</v>
      </c>
      <c r="E140" s="179">
        <v>0</v>
      </c>
      <c r="F140" s="179">
        <v>0</v>
      </c>
      <c r="G140" s="179">
        <v>0</v>
      </c>
      <c r="H140" s="9"/>
      <c r="I140" s="9"/>
    </row>
    <row r="141" spans="1:9" hidden="1" x14ac:dyDescent="0.3">
      <c r="A141" s="9"/>
      <c r="B141" s="9"/>
      <c r="C141" s="20"/>
      <c r="D141" s="174" t="s">
        <v>11</v>
      </c>
      <c r="E141" s="179">
        <v>1</v>
      </c>
      <c r="F141" s="179">
        <v>1</v>
      </c>
      <c r="G141" s="179">
        <v>1</v>
      </c>
      <c r="H141" s="9"/>
      <c r="I141" s="9"/>
    </row>
    <row r="142" spans="1:9" hidden="1" x14ac:dyDescent="0.3">
      <c r="A142" s="9"/>
      <c r="B142" s="9"/>
      <c r="C142" s="20"/>
      <c r="D142" s="174" t="s">
        <v>53</v>
      </c>
      <c r="E142" s="180">
        <v>0.95726</v>
      </c>
      <c r="F142" s="180">
        <v>0.96077999999999997</v>
      </c>
      <c r="G142" s="180">
        <v>0.95699000000000001</v>
      </c>
      <c r="H142" s="9"/>
      <c r="I142" s="9"/>
    </row>
    <row r="143" spans="1:9" hidden="1" x14ac:dyDescent="0.3">
      <c r="A143" s="9"/>
      <c r="B143" s="9"/>
      <c r="C143" s="20"/>
      <c r="D143" s="174" t="s">
        <v>13</v>
      </c>
      <c r="E143" s="180">
        <f>0.102/0.117</f>
        <v>0.8717948717948717</v>
      </c>
      <c r="F143" s="180">
        <f>0.089/0.102</f>
        <v>0.87254901960784315</v>
      </c>
      <c r="G143" s="180">
        <f>0.081/0.093</f>
        <v>0.87096774193548387</v>
      </c>
      <c r="H143" s="9"/>
      <c r="I143" s="9"/>
    </row>
    <row r="144" spans="1:9" hidden="1" x14ac:dyDescent="0.3">
      <c r="A144" s="9"/>
      <c r="B144" s="9"/>
      <c r="C144" s="20"/>
      <c r="D144" s="174" t="s">
        <v>3</v>
      </c>
      <c r="E144" s="180">
        <f>0.095/0.117</f>
        <v>0.81196581196581197</v>
      </c>
      <c r="F144" s="180">
        <f>0.083/0.102</f>
        <v>0.81372549019607854</v>
      </c>
      <c r="G144" s="180">
        <v>0.80645</v>
      </c>
      <c r="H144" s="9"/>
      <c r="I144" s="9"/>
    </row>
    <row r="145" spans="1:9" hidden="1" x14ac:dyDescent="0.3">
      <c r="A145" s="9"/>
      <c r="B145" s="9"/>
      <c r="C145" s="20"/>
      <c r="D145" s="174" t="s">
        <v>15</v>
      </c>
      <c r="E145" s="180">
        <v>0.78632000000000002</v>
      </c>
      <c r="F145" s="180">
        <v>0.79412000000000005</v>
      </c>
      <c r="G145" s="180">
        <v>0.78495000000000004</v>
      </c>
      <c r="H145" s="9"/>
      <c r="I145" s="9"/>
    </row>
    <row r="146" spans="1:9" hidden="1" x14ac:dyDescent="0.3">
      <c r="A146" s="9"/>
      <c r="B146" s="9"/>
      <c r="C146" s="20"/>
      <c r="D146" s="174" t="s">
        <v>55</v>
      </c>
      <c r="E146" s="180">
        <v>0.76922999999999997</v>
      </c>
      <c r="F146" s="180">
        <v>0.77451000000000003</v>
      </c>
      <c r="G146" s="180">
        <v>0.77419000000000004</v>
      </c>
      <c r="H146" s="9"/>
      <c r="I146" s="9"/>
    </row>
    <row r="147" spans="1:9" hidden="1" x14ac:dyDescent="0.3">
      <c r="A147" s="9"/>
      <c r="B147" s="9"/>
      <c r="C147" s="20"/>
      <c r="D147" s="174" t="s">
        <v>57</v>
      </c>
      <c r="E147" s="180">
        <v>0.63248000000000004</v>
      </c>
      <c r="F147" s="180">
        <f>0.065/0.102</f>
        <v>0.63725490196078438</v>
      </c>
      <c r="G147" s="180">
        <f>0.059/0.093</f>
        <v>0.63440860215053763</v>
      </c>
      <c r="H147" s="9"/>
      <c r="I147" s="9"/>
    </row>
    <row r="148" spans="1:9" hidden="1" x14ac:dyDescent="0.3">
      <c r="A148" s="9"/>
      <c r="B148" s="9"/>
      <c r="C148" s="20"/>
      <c r="D148" s="174" t="s">
        <v>14</v>
      </c>
      <c r="E148" s="180">
        <f>0.035/0.117</f>
        <v>0.29914529914529914</v>
      </c>
      <c r="F148" s="180">
        <f>0.031/0.102</f>
        <v>0.30392156862745101</v>
      </c>
      <c r="G148" s="180">
        <f>0.028/0.093</f>
        <v>0.30107526881720431</v>
      </c>
      <c r="H148" s="9"/>
      <c r="I148" s="9"/>
    </row>
    <row r="149" spans="1:9" hidden="1" x14ac:dyDescent="0.3">
      <c r="A149" s="9"/>
      <c r="B149" s="9"/>
      <c r="C149" s="20"/>
      <c r="D149" s="174" t="s">
        <v>56</v>
      </c>
      <c r="E149" s="180">
        <f>0.035/0.117</f>
        <v>0.29914529914529914</v>
      </c>
      <c r="F149" s="180">
        <f>0.031/0.102</f>
        <v>0.30392156862745101</v>
      </c>
      <c r="G149" s="180">
        <f>0.028/0.093</f>
        <v>0.30107526881720431</v>
      </c>
      <c r="H149" s="9"/>
      <c r="I149" s="9"/>
    </row>
    <row r="150" spans="1:9" ht="30" hidden="1" x14ac:dyDescent="0.3">
      <c r="A150" s="9"/>
      <c r="B150" s="9"/>
      <c r="C150" s="20"/>
      <c r="D150" s="174" t="s">
        <v>58</v>
      </c>
      <c r="E150" s="180">
        <f>0.034/0.117</f>
        <v>0.29059829059829062</v>
      </c>
      <c r="F150" s="180">
        <f>0.03/0.102</f>
        <v>0.29411764705882354</v>
      </c>
      <c r="G150" s="180">
        <f>0.027/0.093</f>
        <v>0.29032258064516131</v>
      </c>
      <c r="H150" s="9"/>
      <c r="I150" s="9"/>
    </row>
    <row r="151" spans="1:9" ht="30" hidden="1" x14ac:dyDescent="0.3">
      <c r="A151" s="9"/>
      <c r="B151" s="9"/>
      <c r="C151" s="20"/>
      <c r="D151" s="174" t="s">
        <v>59</v>
      </c>
      <c r="E151" s="180">
        <f>0.031/0.117</f>
        <v>0.26495726495726496</v>
      </c>
      <c r="F151" s="180">
        <f>0.027/0.102</f>
        <v>0.26470588235294118</v>
      </c>
      <c r="G151" s="180">
        <f>0.024/0.093</f>
        <v>0.25806451612903225</v>
      </c>
      <c r="H151" s="9"/>
      <c r="I151" s="9"/>
    </row>
    <row r="152" spans="1:9" hidden="1" x14ac:dyDescent="0.3">
      <c r="A152" s="9"/>
      <c r="B152" s="9"/>
      <c r="C152" s="20"/>
      <c r="D152" s="174" t="s">
        <v>12</v>
      </c>
      <c r="E152" s="180">
        <f>0.026/0.117</f>
        <v>0.22222222222222221</v>
      </c>
      <c r="F152" s="180">
        <f>0.022/0.102</f>
        <v>0.21568627450980393</v>
      </c>
      <c r="G152" s="180">
        <f>0.02/0.093</f>
        <v>0.21505376344086022</v>
      </c>
      <c r="H152" s="9"/>
      <c r="I152" s="9"/>
    </row>
    <row r="153" spans="1:9" ht="30" hidden="1" x14ac:dyDescent="0.3">
      <c r="A153" s="9"/>
      <c r="B153" s="9"/>
      <c r="C153" s="20"/>
      <c r="D153" s="174" t="s">
        <v>60</v>
      </c>
      <c r="E153" s="180">
        <f>0.01/0.117</f>
        <v>8.5470085470085472E-2</v>
      </c>
      <c r="F153" s="180">
        <f>0.008/0.102</f>
        <v>7.8431372549019621E-2</v>
      </c>
      <c r="G153" s="180">
        <f>0.008/0.093</f>
        <v>8.6021505376344093E-2</v>
      </c>
      <c r="H153" s="9"/>
      <c r="I153" s="9"/>
    </row>
    <row r="154" spans="1:9" hidden="1" x14ac:dyDescent="0.3">
      <c r="A154" s="9"/>
      <c r="B154" s="9"/>
      <c r="C154" s="20"/>
      <c r="D154" s="174" t="s">
        <v>61</v>
      </c>
      <c r="E154" s="180">
        <f>0.004/0.117</f>
        <v>3.4188034188034185E-2</v>
      </c>
      <c r="F154" s="180">
        <f>0.004/0.102</f>
        <v>3.921568627450981E-2</v>
      </c>
      <c r="G154" s="180">
        <f>0.003/0.093</f>
        <v>3.2258064516129031E-2</v>
      </c>
      <c r="H154" s="9"/>
      <c r="I154" s="9"/>
    </row>
    <row r="155" spans="1:9" hidden="1" x14ac:dyDescent="0.3">
      <c r="A155" s="9"/>
      <c r="B155" s="9"/>
      <c r="C155" s="20"/>
      <c r="D155" s="174" t="s">
        <v>62</v>
      </c>
      <c r="E155" s="180">
        <v>0</v>
      </c>
      <c r="F155" s="180">
        <v>0</v>
      </c>
      <c r="G155" s="180">
        <v>0</v>
      </c>
      <c r="H155" s="9"/>
      <c r="I155" s="9"/>
    </row>
    <row r="156" spans="1:9" hidden="1" x14ac:dyDescent="0.3">
      <c r="A156" s="9"/>
      <c r="B156" s="9"/>
      <c r="C156" s="20"/>
      <c r="D156" s="174" t="s">
        <v>65</v>
      </c>
      <c r="E156" s="179">
        <v>1</v>
      </c>
      <c r="F156" s="179"/>
      <c r="G156" s="179"/>
      <c r="H156" s="9"/>
      <c r="I156" s="9"/>
    </row>
    <row r="157" spans="1:9" hidden="1" x14ac:dyDescent="0.3">
      <c r="A157" s="9"/>
      <c r="B157" s="9"/>
      <c r="C157" s="20"/>
      <c r="D157" s="174" t="s">
        <v>68</v>
      </c>
      <c r="E157" s="180">
        <f>0.0294/0.03</f>
        <v>0.98</v>
      </c>
      <c r="F157" s="179"/>
      <c r="G157" s="179"/>
      <c r="H157" s="9"/>
      <c r="I157" s="9"/>
    </row>
    <row r="158" spans="1:9" hidden="1" x14ac:dyDescent="0.3">
      <c r="A158" s="9"/>
      <c r="B158" s="9"/>
      <c r="C158" s="20"/>
      <c r="D158" s="174" t="s">
        <v>67</v>
      </c>
      <c r="E158" s="180">
        <f>0.0285/0.03</f>
        <v>0.95000000000000007</v>
      </c>
      <c r="F158" s="179"/>
      <c r="G158" s="179"/>
      <c r="H158" s="9"/>
      <c r="I158" s="9"/>
    </row>
    <row r="159" spans="1:9" hidden="1" x14ac:dyDescent="0.3">
      <c r="A159" s="9"/>
      <c r="B159" s="9"/>
      <c r="C159" s="20"/>
      <c r="D159" s="20"/>
      <c r="E159" s="20"/>
      <c r="F159" s="20"/>
      <c r="G159" s="20"/>
      <c r="H159" s="9"/>
      <c r="I159" s="9"/>
    </row>
    <row r="160" spans="1:9" hidden="1" x14ac:dyDescent="0.3">
      <c r="A160" s="9"/>
      <c r="B160" s="9"/>
      <c r="C160" s="9"/>
      <c r="D160" s="10"/>
      <c r="E160" s="10"/>
      <c r="F160" s="10"/>
      <c r="G160" s="10"/>
      <c r="H160" s="9"/>
      <c r="I160" s="9"/>
    </row>
    <row r="161" spans="1:9" hidden="1" x14ac:dyDescent="0.3">
      <c r="A161" s="9"/>
      <c r="B161" s="9"/>
      <c r="C161" s="9"/>
      <c r="D161" s="9"/>
      <c r="E161" s="9"/>
      <c r="F161" s="9"/>
      <c r="G161" s="9"/>
      <c r="H161" s="9"/>
      <c r="I161" s="9"/>
    </row>
    <row r="162" spans="1:9" hidden="1" x14ac:dyDescent="0.3">
      <c r="A162" s="9"/>
      <c r="B162" s="9"/>
      <c r="C162" s="9"/>
      <c r="D162" s="9"/>
      <c r="E162" s="9"/>
      <c r="F162" s="9"/>
      <c r="G162" s="9"/>
      <c r="H162" s="9"/>
      <c r="I162" s="9"/>
    </row>
    <row r="163" spans="1:9" hidden="1" x14ac:dyDescent="0.3">
      <c r="A163" s="9"/>
      <c r="B163" s="9"/>
      <c r="C163" s="9"/>
      <c r="D163" s="9"/>
      <c r="E163" s="9"/>
      <c r="F163" s="9"/>
      <c r="G163" s="9"/>
      <c r="H163" s="9"/>
      <c r="I163" s="9"/>
    </row>
    <row r="164" spans="1:9" hidden="1" x14ac:dyDescent="0.3">
      <c r="A164" s="9"/>
      <c r="B164" s="9"/>
      <c r="C164" s="9"/>
      <c r="D164" s="9"/>
      <c r="E164" s="9"/>
      <c r="F164" s="9"/>
      <c r="G164" s="9"/>
      <c r="H164" s="9"/>
      <c r="I164" s="9"/>
    </row>
    <row r="165" spans="1:9" hidden="1" x14ac:dyDescent="0.3">
      <c r="A165" s="9"/>
      <c r="B165" s="9"/>
      <c r="C165" s="9"/>
      <c r="D165" s="9"/>
      <c r="E165" s="9"/>
      <c r="F165" s="9"/>
      <c r="G165" s="9"/>
      <c r="H165" s="9"/>
      <c r="I165" s="9"/>
    </row>
    <row r="166" spans="1:9" hidden="1" x14ac:dyDescent="0.3">
      <c r="A166" s="9"/>
      <c r="B166" s="9"/>
      <c r="C166" s="9"/>
      <c r="D166" s="9"/>
      <c r="E166" s="9"/>
      <c r="F166" s="9"/>
      <c r="G166" s="9"/>
      <c r="H166" s="9"/>
      <c r="I166" s="9"/>
    </row>
    <row r="167" spans="1:9" hidden="1" x14ac:dyDescent="0.3">
      <c r="A167" s="9"/>
      <c r="B167" s="9"/>
      <c r="C167" s="9"/>
      <c r="D167" s="9"/>
      <c r="E167" s="9"/>
      <c r="F167" s="9"/>
      <c r="G167" s="9"/>
      <c r="H167" s="9"/>
      <c r="I167" s="9"/>
    </row>
    <row r="168" spans="1:9" x14ac:dyDescent="0.3">
      <c r="A168" s="9"/>
      <c r="B168" s="9"/>
      <c r="C168" s="9"/>
      <c r="D168" s="9"/>
      <c r="E168" s="9"/>
      <c r="F168" s="9"/>
      <c r="G168" s="9"/>
      <c r="H168" s="9"/>
      <c r="I168" s="9"/>
    </row>
    <row r="169" spans="1:9" x14ac:dyDescent="0.3">
      <c r="A169" s="9"/>
      <c r="B169" s="9"/>
      <c r="C169" s="9"/>
      <c r="D169" s="9"/>
      <c r="E169" s="9"/>
      <c r="F169" s="9"/>
      <c r="G169" s="9"/>
      <c r="H169" s="9"/>
      <c r="I169" s="9"/>
    </row>
    <row r="170" spans="1:9" x14ac:dyDescent="0.3">
      <c r="A170" s="9"/>
      <c r="B170" s="9"/>
      <c r="C170" s="9"/>
      <c r="D170" s="9"/>
      <c r="E170" s="9"/>
      <c r="F170" s="9"/>
      <c r="G170" s="9"/>
      <c r="H170" s="9"/>
      <c r="I170" s="9"/>
    </row>
    <row r="171" spans="1:9" x14ac:dyDescent="0.3">
      <c r="A171" s="9"/>
      <c r="B171" s="9"/>
      <c r="C171" s="9"/>
      <c r="D171" s="9"/>
      <c r="E171" s="9"/>
      <c r="F171" s="9"/>
      <c r="G171" s="9"/>
      <c r="H171" s="9"/>
      <c r="I171" s="9"/>
    </row>
    <row r="172" spans="1:9" x14ac:dyDescent="0.3">
      <c r="A172" s="9"/>
      <c r="B172" s="9"/>
      <c r="C172" s="9"/>
      <c r="D172" s="9"/>
      <c r="E172" s="9"/>
      <c r="F172" s="9"/>
      <c r="G172" s="9"/>
      <c r="H172" s="9"/>
      <c r="I172" s="9"/>
    </row>
    <row r="173" spans="1:9" x14ac:dyDescent="0.3">
      <c r="A173" s="9"/>
      <c r="B173" s="9"/>
      <c r="C173" s="9"/>
      <c r="D173" s="9"/>
      <c r="E173" s="9"/>
      <c r="F173" s="9"/>
      <c r="G173" s="9"/>
      <c r="H173" s="9"/>
      <c r="I173" s="9"/>
    </row>
    <row r="174" spans="1:9" x14ac:dyDescent="0.3">
      <c r="D174" s="15"/>
      <c r="E174" s="15"/>
      <c r="F174" s="15"/>
      <c r="G174" s="15"/>
    </row>
    <row r="175" spans="1:9" x14ac:dyDescent="0.3">
      <c r="D175" s="15"/>
      <c r="E175" s="15"/>
      <c r="F175" s="15"/>
      <c r="G175" s="15"/>
    </row>
    <row r="176" spans="1:9" ht="15" customHeight="1" x14ac:dyDescent="0.3">
      <c r="D176" s="15"/>
      <c r="E176" s="15"/>
      <c r="F176" s="15"/>
      <c r="G176" s="15"/>
    </row>
    <row r="177" s="15" customFormat="1" x14ac:dyDescent="0.3"/>
    <row r="178" s="15" customFormat="1" x14ac:dyDescent="0.3"/>
    <row r="179" s="15" customFormat="1" x14ac:dyDescent="0.3"/>
    <row r="180" s="15" customFormat="1" x14ac:dyDescent="0.3"/>
    <row r="181" s="15" customFormat="1" x14ac:dyDescent="0.3"/>
    <row r="182" s="15" customFormat="1" x14ac:dyDescent="0.3"/>
    <row r="183" s="15" customFormat="1" x14ac:dyDescent="0.3"/>
    <row r="184" s="15" customFormat="1" ht="15" customHeight="1" x14ac:dyDescent="0.3"/>
    <row r="185" s="15" customFormat="1" ht="15" customHeight="1" x14ac:dyDescent="0.3"/>
    <row r="186" s="15" customFormat="1" ht="15" customHeight="1" x14ac:dyDescent="0.3"/>
    <row r="187" s="15" customFormat="1" x14ac:dyDescent="0.3"/>
    <row r="188" s="15" customFormat="1" x14ac:dyDescent="0.3"/>
    <row r="189" s="15" customFormat="1" x14ac:dyDescent="0.3"/>
    <row r="190" s="15" customFormat="1" x14ac:dyDescent="0.3"/>
    <row r="191" s="15" customFormat="1" x14ac:dyDescent="0.3"/>
    <row r="192" s="15" customFormat="1" x14ac:dyDescent="0.3"/>
    <row r="193" s="15" customFormat="1" x14ac:dyDescent="0.3"/>
    <row r="194" s="15" customFormat="1" x14ac:dyDescent="0.3"/>
    <row r="195" s="15" customFormat="1" x14ac:dyDescent="0.3"/>
    <row r="196" s="15" customFormat="1" x14ac:dyDescent="0.3"/>
    <row r="197" s="15" customFormat="1" x14ac:dyDescent="0.3"/>
    <row r="198" s="15" customFormat="1" x14ac:dyDescent="0.3"/>
    <row r="199" s="15" customFormat="1" x14ac:dyDescent="0.3"/>
    <row r="200" s="15" customFormat="1" x14ac:dyDescent="0.3"/>
  </sheetData>
  <sheetProtection algorithmName="SHA-512" hashValue="cwipw0UymVHPIsrYXykNr/8ht4BNPevxBVTEpttRIyIFl50OkTccw8JtP/HOykfT62Ei24eKkBgqlaYnQ4p8vQ==" saltValue="KerQlJxFaAgNJEXYknE9Ng==" spinCount="100000" sheet="1" objects="1" scenarios="1"/>
  <protectedRanges>
    <protectedRange sqref="D20 D7:D11 D29" name="gegevens_1_2_1_1_1"/>
  </protectedRanges>
  <mergeCells count="25">
    <mergeCell ref="D16:F16"/>
    <mergeCell ref="D7:G7"/>
    <mergeCell ref="D8:G8"/>
    <mergeCell ref="D9:G9"/>
    <mergeCell ref="D10:G10"/>
    <mergeCell ref="D15:F15"/>
    <mergeCell ref="E79:F79"/>
    <mergeCell ref="D17:F17"/>
    <mergeCell ref="D18:F18"/>
    <mergeCell ref="D19:F19"/>
    <mergeCell ref="D24:F24"/>
    <mergeCell ref="D25:F25"/>
    <mergeCell ref="D26:F26"/>
    <mergeCell ref="D27:F27"/>
    <mergeCell ref="D28:F28"/>
    <mergeCell ref="E58:F58"/>
    <mergeCell ref="E60:F60"/>
    <mergeCell ref="E63:F63"/>
    <mergeCell ref="C117:G117"/>
    <mergeCell ref="D128:G128"/>
    <mergeCell ref="C85:G85"/>
    <mergeCell ref="E90:F90"/>
    <mergeCell ref="E92:F92"/>
    <mergeCell ref="E95:F95"/>
    <mergeCell ref="E111:F111"/>
  </mergeCells>
  <dataValidations count="4">
    <dataValidation type="whole" operator="lessThan" allowBlank="1" showInputMessage="1" showErrorMessage="1" sqref="D35 D47" xr:uid="{EE1AF6B0-96C4-42AE-B872-A521C2971EC2}">
      <formula1>1000</formula1>
    </dataValidation>
    <dataValidation operator="lessThanOrEqual" allowBlank="1" showInputMessage="1" showErrorMessage="1" sqref="G122:G124 G42:G43 G54:G55" xr:uid="{74DEE1E0-D748-44D8-AE3F-AF49F9F11406}"/>
    <dataValidation type="list" allowBlank="1" showInputMessage="1" showErrorMessage="1" sqref="D37 D42:D43 D54:D55 D49" xr:uid="{11BF1FFA-A85C-40D3-85E2-5C994F9F4CC0}">
      <formula1>$D$139:$D$158</formula1>
    </dataValidation>
    <dataValidation type="list" allowBlank="1" showInputMessage="1" showErrorMessage="1" sqref="D36 D48" xr:uid="{38F7DD41-FB19-496B-A132-D57881E4B68F}">
      <formula1>$D$130:$D$136</formula1>
    </dataValidation>
  </dataValidations>
  <pageMargins left="0.70866141732283472" right="0.70866141732283472" top="0.74803149606299213" bottom="0.74803149606299213" header="0.31496062992125984" footer="0.31496062992125984"/>
  <pageSetup paperSize="8" scale="47" orientation="portrait" r:id="rId1"/>
  <headerFooter>
    <oddHeader>&amp;L&amp;"Open Sans,Vet"&amp;12&amp;F</oddHeader>
    <oddFooter>&amp;L&amp;"Open Sans,Vet"&amp;12&amp;A&amp;R&amp;"Open Sans,Vet"&amp;12&amp;P van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1D8E7C-794D-4EDF-96B4-9A8F0A17AC9B}">
  <sheetPr>
    <pageSetUpPr fitToPage="1"/>
  </sheetPr>
  <dimension ref="A1:K200"/>
  <sheetViews>
    <sheetView showGridLines="0" topLeftCell="A11" zoomScale="85" zoomScaleNormal="85" workbookViewId="0">
      <selection activeCell="D36" sqref="D36"/>
    </sheetView>
  </sheetViews>
  <sheetFormatPr defaultColWidth="9.109375" defaultRowHeight="15" x14ac:dyDescent="0.3"/>
  <cols>
    <col min="1" max="2" width="2.6640625" style="15" customWidth="1"/>
    <col min="3" max="3" width="68.5546875" style="15" customWidth="1"/>
    <col min="4" max="4" width="38.33203125" style="18" customWidth="1"/>
    <col min="5" max="5" width="38.44140625" style="18" customWidth="1"/>
    <col min="6" max="6" width="25.6640625" style="18" customWidth="1"/>
    <col min="7" max="7" width="52.5546875" style="18" customWidth="1"/>
    <col min="8" max="12" width="2.6640625" style="15" customWidth="1"/>
    <col min="13" max="16384" width="9.109375" style="15"/>
  </cols>
  <sheetData>
    <row r="1" spans="1:11" s="1" customFormat="1" x14ac:dyDescent="0.35">
      <c r="I1" s="2"/>
      <c r="J1" s="24"/>
    </row>
    <row r="2" spans="1:11" s="1" customFormat="1" ht="15.6" thickBot="1" x14ac:dyDescent="0.4">
      <c r="I2" s="2"/>
      <c r="J2" s="24"/>
    </row>
    <row r="3" spans="1:11" s="25" customFormat="1" ht="75" customHeight="1" thickBot="1" x14ac:dyDescent="0.4">
      <c r="C3" s="91" t="s">
        <v>206</v>
      </c>
      <c r="D3" s="92"/>
      <c r="E3" s="92"/>
      <c r="F3" s="92"/>
      <c r="G3" s="92"/>
      <c r="J3" s="24"/>
    </row>
    <row r="4" spans="1:11" ht="16.5" customHeight="1" x14ac:dyDescent="0.35">
      <c r="A4" s="9"/>
      <c r="B4" s="9"/>
      <c r="C4" s="9"/>
      <c r="D4" s="10"/>
      <c r="E4" s="10"/>
      <c r="F4" s="10"/>
      <c r="G4" s="10"/>
      <c r="H4" s="9"/>
      <c r="I4" s="9"/>
      <c r="J4" s="24"/>
    </row>
    <row r="5" spans="1:11" ht="16.5" customHeight="1" thickBot="1" x14ac:dyDescent="0.4">
      <c r="A5" s="9"/>
      <c r="B5" s="9"/>
      <c r="C5" s="9"/>
      <c r="D5" s="10"/>
      <c r="E5" s="10"/>
      <c r="F5" s="10"/>
      <c r="G5" s="10"/>
      <c r="H5" s="9"/>
      <c r="I5" s="9"/>
      <c r="J5" s="24"/>
    </row>
    <row r="6" spans="1:11" s="1" customFormat="1" ht="16.5" customHeight="1" thickBot="1" x14ac:dyDescent="0.4">
      <c r="B6" s="9"/>
      <c r="C6" s="93" t="s">
        <v>35</v>
      </c>
      <c r="D6" s="57"/>
      <c r="E6" s="57"/>
      <c r="F6" s="57"/>
      <c r="G6" s="94"/>
      <c r="I6" s="2"/>
      <c r="J6" s="24"/>
    </row>
    <row r="7" spans="1:11" s="1" customFormat="1" ht="16.5" customHeight="1" thickBot="1" x14ac:dyDescent="0.4">
      <c r="B7" s="9"/>
      <c r="C7" s="95" t="s">
        <v>36</v>
      </c>
      <c r="D7" s="246" t="s">
        <v>37</v>
      </c>
      <c r="E7" s="247"/>
      <c r="F7" s="247"/>
      <c r="G7" s="248"/>
      <c r="I7" s="2"/>
      <c r="J7" s="24"/>
    </row>
    <row r="8" spans="1:11" s="1" customFormat="1" ht="16.5" customHeight="1" thickBot="1" x14ac:dyDescent="0.4">
      <c r="B8" s="9"/>
      <c r="C8" s="95" t="s">
        <v>38</v>
      </c>
      <c r="D8" s="246" t="s">
        <v>39</v>
      </c>
      <c r="E8" s="247"/>
      <c r="F8" s="247"/>
      <c r="G8" s="248"/>
      <c r="I8" s="2"/>
      <c r="J8" s="24"/>
    </row>
    <row r="9" spans="1:11" s="1" customFormat="1" ht="16.5" customHeight="1" thickBot="1" x14ac:dyDescent="0.4">
      <c r="B9" s="9"/>
      <c r="C9" s="95" t="s">
        <v>40</v>
      </c>
      <c r="D9" s="246" t="s">
        <v>41</v>
      </c>
      <c r="E9" s="247"/>
      <c r="F9" s="247"/>
      <c r="G9" s="248"/>
      <c r="I9" s="2"/>
      <c r="J9" s="24"/>
    </row>
    <row r="10" spans="1:11" s="1" customFormat="1" ht="16.5" customHeight="1" thickBot="1" x14ac:dyDescent="0.4">
      <c r="B10" s="9"/>
      <c r="C10" s="95" t="s">
        <v>42</v>
      </c>
      <c r="D10" s="246" t="s">
        <v>43</v>
      </c>
      <c r="E10" s="247"/>
      <c r="F10" s="247"/>
      <c r="G10" s="248"/>
      <c r="I10" s="2"/>
      <c r="J10" s="24"/>
    </row>
    <row r="11" spans="1:11" s="1" customFormat="1" ht="16.5" customHeight="1" thickBot="1" x14ac:dyDescent="0.4">
      <c r="B11" s="9"/>
      <c r="C11" s="58"/>
      <c r="D11" s="60"/>
      <c r="E11" s="60"/>
      <c r="F11" s="60"/>
      <c r="G11" s="96"/>
      <c r="I11" s="2"/>
      <c r="J11" s="24"/>
    </row>
    <row r="12" spans="1:11" s="13" customFormat="1" ht="16.5" customHeight="1" x14ac:dyDescent="0.35">
      <c r="A12" s="1"/>
      <c r="B12" s="9"/>
      <c r="C12" s="97"/>
      <c r="D12" s="97"/>
      <c r="E12" s="98"/>
      <c r="F12" s="98"/>
      <c r="G12" s="98"/>
      <c r="H12" s="1"/>
      <c r="I12" s="1"/>
      <c r="J12" s="24"/>
    </row>
    <row r="13" spans="1:11" s="13" customFormat="1" ht="16.5" customHeight="1" thickBot="1" x14ac:dyDescent="0.4">
      <c r="A13" s="1"/>
      <c r="B13" s="9"/>
      <c r="C13" s="97"/>
      <c r="D13" s="97"/>
      <c r="E13" s="98"/>
      <c r="F13" s="98"/>
      <c r="G13" s="99"/>
      <c r="H13" s="1"/>
      <c r="I13" s="1"/>
      <c r="J13" s="24"/>
    </row>
    <row r="14" spans="1:11" s="16" customFormat="1" ht="16.5" customHeight="1" thickBot="1" x14ac:dyDescent="0.4">
      <c r="A14" s="1"/>
      <c r="B14" s="9"/>
      <c r="C14" s="62" t="s">
        <v>200</v>
      </c>
      <c r="D14" s="100"/>
      <c r="E14" s="100"/>
      <c r="F14" s="101"/>
      <c r="G14" s="99"/>
      <c r="H14" s="1"/>
      <c r="I14" s="1"/>
      <c r="J14" s="24"/>
      <c r="K14" s="13"/>
    </row>
    <row r="15" spans="1:11" s="23" customFormat="1" ht="16.5" customHeight="1" thickBot="1" x14ac:dyDescent="0.4">
      <c r="A15" s="1"/>
      <c r="B15" s="9"/>
      <c r="C15" s="102" t="s">
        <v>78</v>
      </c>
      <c r="D15" s="251"/>
      <c r="E15" s="252"/>
      <c r="F15" s="253"/>
      <c r="G15" s="99"/>
      <c r="H15" s="99"/>
      <c r="I15" s="99"/>
      <c r="J15" s="24"/>
    </row>
    <row r="16" spans="1:11" s="23" customFormat="1" ht="16.5" customHeight="1" thickBot="1" x14ac:dyDescent="0.4">
      <c r="A16" s="1"/>
      <c r="B16" s="9"/>
      <c r="C16" s="102" t="s">
        <v>88</v>
      </c>
      <c r="D16" s="251"/>
      <c r="E16" s="252"/>
      <c r="F16" s="253"/>
      <c r="G16" s="99"/>
      <c r="H16" s="99"/>
      <c r="I16" s="99"/>
      <c r="J16" s="24"/>
    </row>
    <row r="17" spans="1:11" s="23" customFormat="1" ht="16.5" customHeight="1" thickBot="1" x14ac:dyDescent="0.4">
      <c r="A17" s="1"/>
      <c r="B17" s="9"/>
      <c r="C17" s="102" t="s">
        <v>79</v>
      </c>
      <c r="D17" s="251"/>
      <c r="E17" s="252"/>
      <c r="F17" s="253"/>
      <c r="G17" s="99"/>
      <c r="H17" s="99"/>
      <c r="I17" s="99"/>
      <c r="J17" s="24"/>
    </row>
    <row r="18" spans="1:11" s="23" customFormat="1" ht="16.5" customHeight="1" thickBot="1" x14ac:dyDescent="0.4">
      <c r="A18" s="1"/>
      <c r="B18" s="9"/>
      <c r="C18" s="102" t="s">
        <v>80</v>
      </c>
      <c r="D18" s="251"/>
      <c r="E18" s="252"/>
      <c r="F18" s="253"/>
      <c r="G18" s="99"/>
      <c r="H18" s="99"/>
      <c r="I18" s="99"/>
      <c r="J18" s="24"/>
    </row>
    <row r="19" spans="1:11" s="23" customFormat="1" ht="16.5" customHeight="1" thickBot="1" x14ac:dyDescent="0.4">
      <c r="A19" s="1"/>
      <c r="B19" s="9"/>
      <c r="C19" s="102" t="s">
        <v>81</v>
      </c>
      <c r="D19" s="251"/>
      <c r="E19" s="252"/>
      <c r="F19" s="253"/>
      <c r="G19" s="99"/>
      <c r="H19" s="99"/>
      <c r="I19" s="99"/>
      <c r="J19" s="24"/>
    </row>
    <row r="20" spans="1:11" s="1" customFormat="1" ht="16.5" customHeight="1" thickBot="1" x14ac:dyDescent="0.4">
      <c r="B20" s="9"/>
      <c r="C20" s="58"/>
      <c r="D20" s="60"/>
      <c r="E20" s="60"/>
      <c r="F20" s="96"/>
      <c r="G20" s="99"/>
      <c r="I20" s="2"/>
      <c r="J20" s="24"/>
    </row>
    <row r="21" spans="1:11" s="13" customFormat="1" ht="16.5" customHeight="1" x14ac:dyDescent="0.35">
      <c r="A21" s="1"/>
      <c r="B21" s="1"/>
      <c r="C21" s="97"/>
      <c r="D21" s="97"/>
      <c r="E21" s="98"/>
      <c r="F21" s="98"/>
      <c r="G21" s="99"/>
      <c r="H21" s="1"/>
      <c r="I21" s="1"/>
      <c r="J21" s="24"/>
    </row>
    <row r="22" spans="1:11" s="13" customFormat="1" ht="16.5" customHeight="1" thickBot="1" x14ac:dyDescent="0.4">
      <c r="A22" s="1"/>
      <c r="B22" s="1"/>
      <c r="C22" s="97"/>
      <c r="D22" s="97"/>
      <c r="E22" s="98"/>
      <c r="F22" s="98"/>
      <c r="G22" s="99"/>
      <c r="H22" s="1"/>
      <c r="I22" s="1"/>
      <c r="J22" s="24"/>
    </row>
    <row r="23" spans="1:11" s="16" customFormat="1" ht="16.5" customHeight="1" thickBot="1" x14ac:dyDescent="0.4">
      <c r="A23" s="1"/>
      <c r="B23" s="9"/>
      <c r="C23" s="62" t="s">
        <v>199</v>
      </c>
      <c r="D23" s="100"/>
      <c r="E23" s="100"/>
      <c r="F23" s="101"/>
      <c r="G23" s="99"/>
      <c r="H23" s="1"/>
      <c r="I23" s="1"/>
      <c r="J23" s="24"/>
      <c r="K23" s="13"/>
    </row>
    <row r="24" spans="1:11" s="23" customFormat="1" ht="16.5" customHeight="1" thickBot="1" x14ac:dyDescent="0.4">
      <c r="A24" s="1"/>
      <c r="B24" s="9"/>
      <c r="C24" s="102" t="s">
        <v>78</v>
      </c>
      <c r="D24" s="251"/>
      <c r="E24" s="252"/>
      <c r="F24" s="253"/>
      <c r="G24" s="99"/>
      <c r="H24" s="99"/>
      <c r="I24" s="99"/>
      <c r="J24" s="24"/>
    </row>
    <row r="25" spans="1:11" s="23" customFormat="1" ht="16.5" customHeight="1" thickBot="1" x14ac:dyDescent="0.4">
      <c r="A25" s="1"/>
      <c r="B25" s="9"/>
      <c r="C25" s="102" t="s">
        <v>88</v>
      </c>
      <c r="D25" s="251"/>
      <c r="E25" s="252"/>
      <c r="F25" s="253"/>
      <c r="G25" s="99"/>
      <c r="H25" s="99"/>
      <c r="I25" s="99"/>
      <c r="J25" s="24"/>
    </row>
    <row r="26" spans="1:11" s="23" customFormat="1" ht="16.5" customHeight="1" thickBot="1" x14ac:dyDescent="0.4">
      <c r="A26" s="1"/>
      <c r="B26" s="9"/>
      <c r="C26" s="102" t="s">
        <v>79</v>
      </c>
      <c r="D26" s="251"/>
      <c r="E26" s="252"/>
      <c r="F26" s="253"/>
      <c r="G26" s="99"/>
      <c r="H26" s="99"/>
      <c r="I26" s="99"/>
      <c r="J26" s="24"/>
    </row>
    <row r="27" spans="1:11" s="23" customFormat="1" ht="16.5" customHeight="1" thickBot="1" x14ac:dyDescent="0.4">
      <c r="A27" s="1"/>
      <c r="B27" s="9"/>
      <c r="C27" s="102" t="s">
        <v>80</v>
      </c>
      <c r="D27" s="251"/>
      <c r="E27" s="252"/>
      <c r="F27" s="253"/>
      <c r="G27" s="99"/>
      <c r="H27" s="99"/>
      <c r="I27" s="99"/>
      <c r="J27" s="24"/>
    </row>
    <row r="28" spans="1:11" s="23" customFormat="1" ht="16.5" customHeight="1" thickBot="1" x14ac:dyDescent="0.4">
      <c r="A28" s="1"/>
      <c r="B28" s="9"/>
      <c r="C28" s="102" t="s">
        <v>81</v>
      </c>
      <c r="D28" s="251"/>
      <c r="E28" s="252"/>
      <c r="F28" s="253"/>
      <c r="G28" s="99"/>
      <c r="H28" s="99"/>
      <c r="I28" s="99"/>
      <c r="J28" s="24"/>
    </row>
    <row r="29" spans="1:11" s="1" customFormat="1" ht="16.5" customHeight="1" thickBot="1" x14ac:dyDescent="0.4">
      <c r="B29" s="9"/>
      <c r="C29" s="58"/>
      <c r="D29" s="60"/>
      <c r="E29" s="60"/>
      <c r="F29" s="96"/>
      <c r="G29" s="99"/>
      <c r="I29" s="2"/>
      <c r="J29" s="24"/>
    </row>
    <row r="30" spans="1:11" s="13" customFormat="1" ht="16.5" customHeight="1" x14ac:dyDescent="0.35">
      <c r="A30" s="1"/>
      <c r="B30" s="1"/>
      <c r="C30" s="97"/>
      <c r="D30" s="97"/>
      <c r="E30" s="98"/>
      <c r="F30" s="98"/>
      <c r="G30" s="99"/>
      <c r="H30" s="1"/>
      <c r="I30" s="1"/>
      <c r="J30" s="24"/>
    </row>
    <row r="31" spans="1:11" s="13" customFormat="1" ht="16.5" customHeight="1" thickBot="1" x14ac:dyDescent="0.4">
      <c r="A31" s="1"/>
      <c r="B31" s="1"/>
      <c r="C31" s="97"/>
      <c r="D31" s="97"/>
      <c r="E31" s="98"/>
      <c r="F31" s="98"/>
      <c r="G31" s="99"/>
      <c r="H31" s="1"/>
      <c r="I31" s="1"/>
      <c r="J31" s="24"/>
    </row>
    <row r="32" spans="1:11" s="16" customFormat="1" ht="16.5" customHeight="1" thickBot="1" x14ac:dyDescent="0.4">
      <c r="A32" s="1"/>
      <c r="B32" s="1"/>
      <c r="C32" s="62" t="s">
        <v>197</v>
      </c>
      <c r="D32" s="100"/>
      <c r="E32" s="100"/>
      <c r="F32" s="101"/>
      <c r="G32" s="99"/>
      <c r="H32" s="1"/>
      <c r="I32" s="1"/>
      <c r="J32" s="24"/>
      <c r="K32" s="13"/>
    </row>
    <row r="33" spans="1:11" s="1" customFormat="1" ht="16.5" customHeight="1" thickBot="1" x14ac:dyDescent="0.4">
      <c r="C33" s="103"/>
      <c r="D33" s="104" t="s">
        <v>189</v>
      </c>
      <c r="E33" s="74"/>
      <c r="F33" s="74"/>
      <c r="G33" s="99"/>
      <c r="J33" s="24"/>
      <c r="K33" s="13"/>
    </row>
    <row r="34" spans="1:11" s="1" customFormat="1" ht="16.5" customHeight="1" thickBot="1" x14ac:dyDescent="0.4">
      <c r="C34" s="105"/>
      <c r="D34" s="77">
        <f>'Formulier logistiek'!$K$17</f>
        <v>800</v>
      </c>
      <c r="E34" s="77"/>
      <c r="F34" s="77"/>
      <c r="G34" s="99"/>
      <c r="J34" s="24"/>
      <c r="K34" s="13"/>
    </row>
    <row r="35" spans="1:11" s="14" customFormat="1" ht="16.5" customHeight="1" thickBot="1" x14ac:dyDescent="0.4">
      <c r="A35" s="1"/>
      <c r="B35" s="1"/>
      <c r="C35" s="106" t="s">
        <v>91</v>
      </c>
      <c r="D35" s="41"/>
      <c r="E35" s="107" t="s">
        <v>85</v>
      </c>
      <c r="F35" s="108">
        <f>$D$35*$D$34</f>
        <v>0</v>
      </c>
      <c r="G35" s="109"/>
      <c r="H35" s="20"/>
      <c r="I35" s="20"/>
      <c r="J35" s="24"/>
    </row>
    <row r="36" spans="1:11" s="14" customFormat="1" ht="16.5" customHeight="1" thickBot="1" x14ac:dyDescent="0.4">
      <c r="A36" s="1"/>
      <c r="B36" s="1"/>
      <c r="C36" s="106" t="s">
        <v>92</v>
      </c>
      <c r="D36" s="40" t="s">
        <v>1</v>
      </c>
      <c r="E36" s="107" t="s">
        <v>72</v>
      </c>
      <c r="F36" s="110">
        <f>VLOOKUP(D36,$D$130:$E$136,2,FALSE)</f>
        <v>0</v>
      </c>
      <c r="G36" s="109"/>
      <c r="H36" s="20"/>
      <c r="I36" s="20"/>
      <c r="J36" s="24"/>
    </row>
    <row r="37" spans="1:11" s="14" customFormat="1" ht="30.75" customHeight="1" thickBot="1" x14ac:dyDescent="0.4">
      <c r="A37" s="1"/>
      <c r="B37" s="1"/>
      <c r="C37" s="106" t="s">
        <v>141</v>
      </c>
      <c r="D37" s="40" t="s">
        <v>1</v>
      </c>
      <c r="E37" s="107" t="s">
        <v>73</v>
      </c>
      <c r="F37" s="111">
        <f>1-(VLOOKUP(D37,$D$139:$G$158,2,FALSE))</f>
        <v>1</v>
      </c>
      <c r="G37" s="20"/>
      <c r="H37" s="20"/>
      <c r="I37" s="20"/>
      <c r="J37" s="24"/>
    </row>
    <row r="38" spans="1:11" s="16" customFormat="1" ht="16.5" customHeight="1" thickBot="1" x14ac:dyDescent="0.4">
      <c r="A38" s="1"/>
      <c r="B38" s="1"/>
      <c r="C38" s="112" t="s">
        <v>149</v>
      </c>
      <c r="D38" s="113"/>
      <c r="E38" s="100"/>
      <c r="F38" s="114">
        <f>((F36-(F36*F37))*F35)/1000000</f>
        <v>0</v>
      </c>
      <c r="G38" s="109"/>
      <c r="H38" s="19"/>
      <c r="I38" s="19"/>
      <c r="J38" s="24"/>
    </row>
    <row r="39" spans="1:11" s="13" customFormat="1" ht="16.5" customHeight="1" thickBot="1" x14ac:dyDescent="0.4">
      <c r="A39" s="1"/>
      <c r="B39" s="1"/>
      <c r="C39" s="115" t="s">
        <v>150</v>
      </c>
      <c r="D39" s="116"/>
      <c r="E39" s="117"/>
      <c r="F39" s="118">
        <v>100</v>
      </c>
      <c r="G39" s="20"/>
      <c r="H39" s="1"/>
      <c r="I39" s="1"/>
      <c r="J39" s="24"/>
    </row>
    <row r="40" spans="1:11" s="14" customFormat="1" ht="16.5" customHeight="1" thickBot="1" x14ac:dyDescent="0.4">
      <c r="A40" s="1"/>
      <c r="B40" s="1"/>
      <c r="C40" s="119" t="s">
        <v>46</v>
      </c>
      <c r="D40" s="120"/>
      <c r="E40" s="120"/>
      <c r="F40" s="121">
        <f>$F$38*$F$39</f>
        <v>0</v>
      </c>
      <c r="G40" s="109"/>
      <c r="H40" s="109"/>
      <c r="I40" s="20"/>
      <c r="J40" s="24"/>
      <c r="K40" s="17"/>
    </row>
    <row r="41" spans="1:11" s="14" customFormat="1" ht="16.5" customHeight="1" thickBot="1" x14ac:dyDescent="0.4">
      <c r="A41" s="1"/>
      <c r="B41" s="1"/>
      <c r="C41" s="122" t="s">
        <v>45</v>
      </c>
      <c r="D41" s="123"/>
      <c r="E41" s="123"/>
      <c r="F41" s="124">
        <f>$F$40/$D$34</f>
        <v>0</v>
      </c>
      <c r="G41" s="109"/>
      <c r="H41" s="109"/>
      <c r="I41" s="20"/>
      <c r="J41" s="24"/>
      <c r="K41" s="17"/>
    </row>
    <row r="42" spans="1:11" s="14" customFormat="1" ht="16.5" customHeight="1" x14ac:dyDescent="0.35">
      <c r="A42" s="20"/>
      <c r="B42" s="20"/>
      <c r="C42" s="20"/>
      <c r="D42" s="20"/>
      <c r="E42" s="20"/>
      <c r="F42" s="125"/>
      <c r="G42" s="126"/>
      <c r="H42" s="109"/>
      <c r="I42" s="20"/>
      <c r="J42" s="24"/>
      <c r="K42" s="22"/>
    </row>
    <row r="43" spans="1:11" s="14" customFormat="1" ht="16.5" customHeight="1" thickBot="1" x14ac:dyDescent="0.4">
      <c r="A43" s="20"/>
      <c r="B43" s="20"/>
      <c r="C43" s="20"/>
      <c r="D43" s="20"/>
      <c r="E43" s="20"/>
      <c r="F43" s="125"/>
      <c r="G43" s="126"/>
      <c r="H43" s="109"/>
      <c r="I43" s="20"/>
      <c r="J43" s="24"/>
      <c r="K43" s="22"/>
    </row>
    <row r="44" spans="1:11" s="16" customFormat="1" ht="16.5" customHeight="1" thickBot="1" x14ac:dyDescent="0.4">
      <c r="A44" s="1"/>
      <c r="B44" s="1"/>
      <c r="C44" s="62" t="s">
        <v>198</v>
      </c>
      <c r="D44" s="100"/>
      <c r="E44" s="100"/>
      <c r="F44" s="101"/>
      <c r="G44" s="99"/>
      <c r="H44" s="1"/>
      <c r="I44" s="1"/>
      <c r="J44" s="24"/>
      <c r="K44" s="13"/>
    </row>
    <row r="45" spans="1:11" s="1" customFormat="1" ht="16.5" customHeight="1" thickBot="1" x14ac:dyDescent="0.4">
      <c r="C45" s="103"/>
      <c r="D45" s="104" t="s">
        <v>190</v>
      </c>
      <c r="E45" s="74"/>
      <c r="F45" s="74"/>
      <c r="G45" s="99"/>
      <c r="J45" s="24"/>
      <c r="K45" s="13"/>
    </row>
    <row r="46" spans="1:11" s="1" customFormat="1" ht="16.5" customHeight="1" thickBot="1" x14ac:dyDescent="0.4">
      <c r="C46" s="105"/>
      <c r="D46" s="77">
        <f>'Formulier logistiek'!$K$24</f>
        <v>34000</v>
      </c>
      <c r="E46" s="77"/>
      <c r="F46" s="77"/>
      <c r="G46" s="99"/>
      <c r="J46" s="24"/>
      <c r="K46" s="13"/>
    </row>
    <row r="47" spans="1:11" s="14" customFormat="1" ht="16.5" customHeight="1" thickBot="1" x14ac:dyDescent="0.4">
      <c r="A47" s="1"/>
      <c r="B47" s="1"/>
      <c r="C47" s="106" t="s">
        <v>91</v>
      </c>
      <c r="D47" s="41"/>
      <c r="E47" s="107" t="s">
        <v>85</v>
      </c>
      <c r="F47" s="108">
        <f>$D$47*$D$46</f>
        <v>0</v>
      </c>
      <c r="G47" s="109"/>
      <c r="H47" s="20"/>
      <c r="I47" s="20"/>
      <c r="J47" s="24"/>
    </row>
    <row r="48" spans="1:11" s="14" customFormat="1" ht="16.5" customHeight="1" thickBot="1" x14ac:dyDescent="0.4">
      <c r="A48" s="1"/>
      <c r="B48" s="1"/>
      <c r="C48" s="106" t="s">
        <v>92</v>
      </c>
      <c r="D48" s="40" t="s">
        <v>1</v>
      </c>
      <c r="E48" s="107" t="s">
        <v>72</v>
      </c>
      <c r="F48" s="110">
        <f>VLOOKUP(D48,$D$130:$E$136,2,FALSE)</f>
        <v>0</v>
      </c>
      <c r="G48" s="109"/>
      <c r="H48" s="20"/>
      <c r="I48" s="20"/>
      <c r="J48" s="24"/>
    </row>
    <row r="49" spans="1:11" s="14" customFormat="1" ht="30.75" customHeight="1" thickBot="1" x14ac:dyDescent="0.4">
      <c r="A49" s="1"/>
      <c r="B49" s="1"/>
      <c r="C49" s="106" t="s">
        <v>141</v>
      </c>
      <c r="D49" s="40" t="s">
        <v>1</v>
      </c>
      <c r="E49" s="107" t="s">
        <v>73</v>
      </c>
      <c r="F49" s="111">
        <f>1-(VLOOKUP(D49,$D$139:$G$158,2,FALSE))</f>
        <v>1</v>
      </c>
      <c r="G49" s="20"/>
      <c r="H49" s="20"/>
      <c r="I49" s="20"/>
      <c r="J49" s="24"/>
    </row>
    <row r="50" spans="1:11" s="16" customFormat="1" ht="16.5" customHeight="1" thickBot="1" x14ac:dyDescent="0.4">
      <c r="A50" s="1"/>
      <c r="B50" s="1"/>
      <c r="C50" s="112" t="s">
        <v>149</v>
      </c>
      <c r="D50" s="113"/>
      <c r="E50" s="100"/>
      <c r="F50" s="114">
        <f>((F48-(F48*F49))*F47)/1000000</f>
        <v>0</v>
      </c>
      <c r="G50" s="109"/>
      <c r="H50" s="19"/>
      <c r="I50" s="19"/>
      <c r="J50" s="24"/>
    </row>
    <row r="51" spans="1:11" s="13" customFormat="1" ht="16.5" customHeight="1" thickBot="1" x14ac:dyDescent="0.4">
      <c r="A51" s="1"/>
      <c r="B51" s="1"/>
      <c r="C51" s="115" t="s">
        <v>150</v>
      </c>
      <c r="D51" s="116"/>
      <c r="E51" s="117"/>
      <c r="F51" s="118">
        <v>100</v>
      </c>
      <c r="G51" s="20"/>
      <c r="H51" s="1"/>
      <c r="I51" s="1"/>
      <c r="J51" s="24"/>
    </row>
    <row r="52" spans="1:11" s="14" customFormat="1" ht="16.5" customHeight="1" thickBot="1" x14ac:dyDescent="0.4">
      <c r="A52" s="1"/>
      <c r="B52" s="1"/>
      <c r="C52" s="119" t="s">
        <v>46</v>
      </c>
      <c r="D52" s="120"/>
      <c r="E52" s="120"/>
      <c r="F52" s="121">
        <f>$F$50*$F$51</f>
        <v>0</v>
      </c>
      <c r="G52" s="109"/>
      <c r="H52" s="109"/>
      <c r="I52" s="20"/>
      <c r="J52" s="24"/>
      <c r="K52" s="17"/>
    </row>
    <row r="53" spans="1:11" s="14" customFormat="1" ht="16.5" customHeight="1" thickBot="1" x14ac:dyDescent="0.4">
      <c r="A53" s="1"/>
      <c r="B53" s="1"/>
      <c r="C53" s="122" t="s">
        <v>45</v>
      </c>
      <c r="D53" s="123"/>
      <c r="E53" s="123"/>
      <c r="F53" s="124">
        <f>$F$40/$D$34</f>
        <v>0</v>
      </c>
      <c r="G53" s="109"/>
      <c r="H53" s="109"/>
      <c r="I53" s="20"/>
      <c r="J53" s="24"/>
      <c r="K53" s="17"/>
    </row>
    <row r="54" spans="1:11" s="14" customFormat="1" ht="16.5" customHeight="1" x14ac:dyDescent="0.35">
      <c r="A54" s="20"/>
      <c r="B54" s="20"/>
      <c r="C54" s="20"/>
      <c r="D54" s="20"/>
      <c r="E54" s="127"/>
      <c r="F54" s="125"/>
      <c r="G54" s="126"/>
      <c r="H54" s="109"/>
      <c r="I54" s="20"/>
      <c r="J54" s="24"/>
      <c r="K54" s="22"/>
    </row>
    <row r="55" spans="1:11" s="14" customFormat="1" ht="16.5" customHeight="1" thickBot="1" x14ac:dyDescent="0.4">
      <c r="A55" s="20"/>
      <c r="B55" s="20"/>
      <c r="C55" s="20"/>
      <c r="D55" s="20"/>
      <c r="E55" s="127"/>
      <c r="F55" s="125"/>
      <c r="G55" s="126"/>
      <c r="H55" s="109"/>
      <c r="I55" s="20"/>
      <c r="J55" s="24"/>
      <c r="K55" s="22"/>
    </row>
    <row r="56" spans="1:11" s="16" customFormat="1" ht="16.5" customHeight="1" thickBot="1" x14ac:dyDescent="0.4">
      <c r="A56" s="19"/>
      <c r="B56" s="19"/>
      <c r="C56" s="62" t="s">
        <v>107</v>
      </c>
      <c r="D56" s="128"/>
      <c r="E56" s="128"/>
      <c r="F56" s="128"/>
      <c r="G56" s="129"/>
      <c r="H56" s="19"/>
      <c r="I56" s="19"/>
      <c r="J56" s="24"/>
    </row>
    <row r="57" spans="1:11" s="13" customFormat="1" ht="16.5" customHeight="1" thickBot="1" x14ac:dyDescent="0.4">
      <c r="A57" s="1"/>
      <c r="B57" s="1"/>
      <c r="C57" s="130" t="s">
        <v>196</v>
      </c>
      <c r="D57" s="131"/>
      <c r="E57" s="131"/>
      <c r="F57" s="132"/>
      <c r="G57" s="133" t="s">
        <v>51</v>
      </c>
      <c r="H57" s="1"/>
      <c r="I57" s="1"/>
      <c r="J57" s="24"/>
    </row>
    <row r="58" spans="1:11" s="13" customFormat="1" ht="30.75" customHeight="1" thickBot="1" x14ac:dyDescent="0.4">
      <c r="A58" s="1"/>
      <c r="B58" s="1"/>
      <c r="C58" s="134" t="s">
        <v>49</v>
      </c>
      <c r="D58" s="135" t="s">
        <v>211</v>
      </c>
      <c r="E58" s="249" t="s">
        <v>76</v>
      </c>
      <c r="F58" s="249"/>
      <c r="G58" s="136"/>
      <c r="H58" s="1"/>
      <c r="I58" s="1"/>
      <c r="J58" s="24"/>
    </row>
    <row r="59" spans="1:11" s="13" customFormat="1" ht="16.5" customHeight="1" thickBot="1" x14ac:dyDescent="0.4">
      <c r="A59" s="1"/>
      <c r="B59" s="1"/>
      <c r="C59" s="137" t="s">
        <v>50</v>
      </c>
      <c r="D59" s="30"/>
      <c r="E59" s="138" t="s">
        <v>20</v>
      </c>
      <c r="F59" s="139" t="s">
        <v>159</v>
      </c>
      <c r="G59" s="140">
        <f>(D59*450-340)</f>
        <v>-340</v>
      </c>
      <c r="H59" s="1"/>
      <c r="I59" s="1"/>
      <c r="J59" s="24"/>
    </row>
    <row r="60" spans="1:11" s="13" customFormat="1" ht="30.6" thickBot="1" x14ac:dyDescent="0.4">
      <c r="A60" s="1"/>
      <c r="B60" s="1"/>
      <c r="C60" s="141" t="s">
        <v>16</v>
      </c>
      <c r="D60" s="142" t="s">
        <v>143</v>
      </c>
      <c r="E60" s="249" t="s">
        <v>74</v>
      </c>
      <c r="F60" s="249"/>
      <c r="G60" s="143"/>
      <c r="H60" s="1"/>
      <c r="I60" s="1"/>
      <c r="J60" s="24"/>
    </row>
    <row r="61" spans="1:11" s="43" customFormat="1" ht="16.5" customHeight="1" thickBot="1" x14ac:dyDescent="0.4">
      <c r="A61" s="33"/>
      <c r="B61" s="33"/>
      <c r="C61" s="144" t="s">
        <v>17</v>
      </c>
      <c r="D61" s="30"/>
      <c r="E61" s="138" t="s">
        <v>75</v>
      </c>
      <c r="F61" s="145">
        <v>1.8</v>
      </c>
      <c r="G61" s="140">
        <f>D61*F61</f>
        <v>0</v>
      </c>
      <c r="H61" s="33"/>
      <c r="I61" s="33"/>
      <c r="J61" s="44"/>
    </row>
    <row r="62" spans="1:11" s="43" customFormat="1" ht="16.5" customHeight="1" thickBot="1" x14ac:dyDescent="0.4">
      <c r="A62" s="33"/>
      <c r="B62" s="33"/>
      <c r="C62" s="144" t="s">
        <v>18</v>
      </c>
      <c r="D62" s="30"/>
      <c r="E62" s="138" t="s">
        <v>75</v>
      </c>
      <c r="F62" s="146">
        <v>2</v>
      </c>
      <c r="G62" s="140">
        <f>D62*F62</f>
        <v>0</v>
      </c>
      <c r="H62" s="33"/>
      <c r="I62" s="33"/>
      <c r="J62" s="44"/>
    </row>
    <row r="63" spans="1:11" s="13" customFormat="1" ht="30.6" thickBot="1" x14ac:dyDescent="0.4">
      <c r="A63" s="1"/>
      <c r="B63" s="1"/>
      <c r="C63" s="147" t="s">
        <v>19</v>
      </c>
      <c r="D63" s="142" t="s">
        <v>144</v>
      </c>
      <c r="E63" s="249" t="s">
        <v>76</v>
      </c>
      <c r="F63" s="249"/>
      <c r="G63" s="143"/>
      <c r="H63" s="1"/>
      <c r="I63" s="1"/>
      <c r="J63" s="24"/>
    </row>
    <row r="64" spans="1:11" s="13" customFormat="1" ht="16.5" customHeight="1" thickBot="1" x14ac:dyDescent="0.4">
      <c r="A64" s="1"/>
      <c r="B64" s="1"/>
      <c r="C64" s="137" t="s">
        <v>52</v>
      </c>
      <c r="D64" s="30"/>
      <c r="E64" s="138" t="s">
        <v>20</v>
      </c>
      <c r="F64" s="148">
        <v>1.5</v>
      </c>
      <c r="G64" s="140">
        <f>D64*F64</f>
        <v>0</v>
      </c>
      <c r="H64" s="1"/>
      <c r="I64" s="1"/>
      <c r="J64" s="24"/>
    </row>
    <row r="65" spans="1:10" s="13" customFormat="1" ht="16.5" customHeight="1" thickBot="1" x14ac:dyDescent="0.4">
      <c r="A65" s="1"/>
      <c r="B65" s="1"/>
      <c r="C65" s="137" t="s">
        <v>21</v>
      </c>
      <c r="D65" s="30"/>
      <c r="E65" s="138" t="s">
        <v>20</v>
      </c>
      <c r="F65" s="145">
        <v>0.1</v>
      </c>
      <c r="G65" s="140">
        <f t="shared" ref="G65:G80" si="0">D65*F65</f>
        <v>0</v>
      </c>
      <c r="H65" s="1"/>
      <c r="I65" s="1"/>
      <c r="J65" s="24"/>
    </row>
    <row r="66" spans="1:10" s="13" customFormat="1" ht="16.5" customHeight="1" thickBot="1" x14ac:dyDescent="0.4">
      <c r="A66" s="1"/>
      <c r="B66" s="1"/>
      <c r="C66" s="137" t="s">
        <v>22</v>
      </c>
      <c r="D66" s="30"/>
      <c r="E66" s="138" t="s">
        <v>20</v>
      </c>
      <c r="F66" s="145">
        <v>0.5</v>
      </c>
      <c r="G66" s="140">
        <f t="shared" si="0"/>
        <v>0</v>
      </c>
      <c r="H66" s="1"/>
      <c r="I66" s="1"/>
      <c r="J66" s="24"/>
    </row>
    <row r="67" spans="1:10" s="13" customFormat="1" ht="16.5" customHeight="1" thickBot="1" x14ac:dyDescent="0.4">
      <c r="A67" s="1"/>
      <c r="B67" s="1"/>
      <c r="C67" s="137" t="s">
        <v>23</v>
      </c>
      <c r="D67" s="30"/>
      <c r="E67" s="138" t="s">
        <v>20</v>
      </c>
      <c r="F67" s="145">
        <v>6.6</v>
      </c>
      <c r="G67" s="140">
        <f t="shared" si="0"/>
        <v>0</v>
      </c>
      <c r="H67" s="1"/>
      <c r="I67" s="1"/>
      <c r="J67" s="24"/>
    </row>
    <row r="68" spans="1:10" s="13" customFormat="1" ht="16.5" customHeight="1" thickBot="1" x14ac:dyDescent="0.4">
      <c r="A68" s="1"/>
      <c r="B68" s="1"/>
      <c r="C68" s="137" t="s">
        <v>24</v>
      </c>
      <c r="D68" s="30"/>
      <c r="E68" s="138" t="s">
        <v>20</v>
      </c>
      <c r="F68" s="145">
        <v>0.3</v>
      </c>
      <c r="G68" s="140">
        <f t="shared" si="0"/>
        <v>0</v>
      </c>
      <c r="H68" s="1"/>
      <c r="I68" s="1"/>
      <c r="J68" s="24"/>
    </row>
    <row r="69" spans="1:10" s="13" customFormat="1" ht="16.5" customHeight="1" thickBot="1" x14ac:dyDescent="0.4">
      <c r="A69" s="1"/>
      <c r="B69" s="1"/>
      <c r="C69" s="137" t="s">
        <v>25</v>
      </c>
      <c r="D69" s="30"/>
      <c r="E69" s="138" t="s">
        <v>20</v>
      </c>
      <c r="F69" s="145">
        <v>0</v>
      </c>
      <c r="G69" s="140">
        <f t="shared" si="0"/>
        <v>0</v>
      </c>
      <c r="H69" s="1"/>
      <c r="I69" s="1"/>
      <c r="J69" s="24"/>
    </row>
    <row r="70" spans="1:10" s="13" customFormat="1" ht="16.5" customHeight="1" thickBot="1" x14ac:dyDescent="0.4">
      <c r="A70" s="1"/>
      <c r="B70" s="1"/>
      <c r="C70" s="137" t="s">
        <v>26</v>
      </c>
      <c r="D70" s="30"/>
      <c r="E70" s="138" t="s">
        <v>20</v>
      </c>
      <c r="F70" s="146">
        <v>2</v>
      </c>
      <c r="G70" s="140">
        <f t="shared" si="0"/>
        <v>0</v>
      </c>
      <c r="H70" s="1"/>
      <c r="I70" s="1"/>
      <c r="J70" s="24"/>
    </row>
    <row r="71" spans="1:10" s="13" customFormat="1" ht="16.5" customHeight="1" thickBot="1" x14ac:dyDescent="0.4">
      <c r="A71" s="1"/>
      <c r="B71" s="1"/>
      <c r="C71" s="137" t="s">
        <v>27</v>
      </c>
      <c r="D71" s="30"/>
      <c r="E71" s="138" t="s">
        <v>20</v>
      </c>
      <c r="F71" s="146">
        <v>1</v>
      </c>
      <c r="G71" s="140">
        <f t="shared" si="0"/>
        <v>0</v>
      </c>
      <c r="H71" s="1"/>
      <c r="I71" s="1"/>
      <c r="J71" s="24"/>
    </row>
    <row r="72" spans="1:10" s="13" customFormat="1" ht="16.5" customHeight="1" thickBot="1" x14ac:dyDescent="0.4">
      <c r="A72" s="1"/>
      <c r="B72" s="1"/>
      <c r="C72" s="137" t="s">
        <v>28</v>
      </c>
      <c r="D72" s="30"/>
      <c r="E72" s="138" t="s">
        <v>20</v>
      </c>
      <c r="F72" s="145">
        <v>0.5</v>
      </c>
      <c r="G72" s="140">
        <f t="shared" si="0"/>
        <v>0</v>
      </c>
      <c r="H72" s="1"/>
      <c r="I72" s="1"/>
      <c r="J72" s="24"/>
    </row>
    <row r="73" spans="1:10" s="13" customFormat="1" ht="16.5" customHeight="1" thickBot="1" x14ac:dyDescent="0.4">
      <c r="A73" s="1"/>
      <c r="B73" s="1"/>
      <c r="C73" s="137" t="s">
        <v>29</v>
      </c>
      <c r="D73" s="30"/>
      <c r="E73" s="138" t="s">
        <v>20</v>
      </c>
      <c r="F73" s="145">
        <v>0</v>
      </c>
      <c r="G73" s="140">
        <f t="shared" si="0"/>
        <v>0</v>
      </c>
      <c r="H73" s="1"/>
      <c r="I73" s="1"/>
      <c r="J73" s="24"/>
    </row>
    <row r="74" spans="1:10" s="13" customFormat="1" ht="16.5" customHeight="1" thickBot="1" x14ac:dyDescent="0.4">
      <c r="A74" s="1"/>
      <c r="B74" s="1"/>
      <c r="C74" s="137" t="s">
        <v>30</v>
      </c>
      <c r="D74" s="30"/>
      <c r="E74" s="138" t="s">
        <v>20</v>
      </c>
      <c r="F74" s="145">
        <v>0</v>
      </c>
      <c r="G74" s="140">
        <f t="shared" si="0"/>
        <v>0</v>
      </c>
      <c r="H74" s="1"/>
      <c r="I74" s="1"/>
      <c r="J74" s="24"/>
    </row>
    <row r="75" spans="1:10" s="13" customFormat="1" ht="16.5" customHeight="1" thickBot="1" x14ac:dyDescent="0.4">
      <c r="A75" s="1"/>
      <c r="B75" s="1"/>
      <c r="C75" s="137" t="s">
        <v>31</v>
      </c>
      <c r="D75" s="30"/>
      <c r="E75" s="138" t="s">
        <v>20</v>
      </c>
      <c r="F75" s="145">
        <v>0</v>
      </c>
      <c r="G75" s="140">
        <f t="shared" si="0"/>
        <v>0</v>
      </c>
      <c r="H75" s="1"/>
      <c r="I75" s="1"/>
      <c r="J75" s="24"/>
    </row>
    <row r="76" spans="1:10" s="13" customFormat="1" ht="16.5" customHeight="1" thickBot="1" x14ac:dyDescent="0.4">
      <c r="A76" s="1"/>
      <c r="B76" s="1"/>
      <c r="C76" s="137" t="s">
        <v>188</v>
      </c>
      <c r="D76" s="30"/>
      <c r="E76" s="138" t="s">
        <v>20</v>
      </c>
      <c r="F76" s="145">
        <v>0</v>
      </c>
      <c r="G76" s="140">
        <f t="shared" si="0"/>
        <v>0</v>
      </c>
      <c r="H76" s="1"/>
      <c r="I76" s="1"/>
      <c r="J76" s="24"/>
    </row>
    <row r="77" spans="1:10" s="13" customFormat="1" ht="16.5" customHeight="1" thickBot="1" x14ac:dyDescent="0.4">
      <c r="A77" s="1"/>
      <c r="B77" s="1"/>
      <c r="C77" s="137" t="s">
        <v>32</v>
      </c>
      <c r="D77" s="30"/>
      <c r="E77" s="138" t="s">
        <v>20</v>
      </c>
      <c r="F77" s="145">
        <v>0.2</v>
      </c>
      <c r="G77" s="140">
        <f t="shared" si="0"/>
        <v>0</v>
      </c>
      <c r="H77" s="1"/>
      <c r="I77" s="1"/>
      <c r="J77" s="24"/>
    </row>
    <row r="78" spans="1:10" s="13" customFormat="1" ht="16.5" customHeight="1" thickBot="1" x14ac:dyDescent="0.4">
      <c r="A78" s="1"/>
      <c r="B78" s="1"/>
      <c r="C78" s="137" t="s">
        <v>33</v>
      </c>
      <c r="D78" s="30"/>
      <c r="E78" s="138" t="s">
        <v>20</v>
      </c>
      <c r="F78" s="145">
        <v>0.1</v>
      </c>
      <c r="G78" s="140">
        <f t="shared" si="0"/>
        <v>0</v>
      </c>
      <c r="H78" s="1"/>
      <c r="I78" s="1"/>
      <c r="J78" s="24"/>
    </row>
    <row r="79" spans="1:10" s="13" customFormat="1" ht="30.75" customHeight="1" thickBot="1" x14ac:dyDescent="0.4">
      <c r="A79" s="1"/>
      <c r="B79" s="1"/>
      <c r="C79" s="149" t="s">
        <v>34</v>
      </c>
      <c r="D79" s="142" t="s">
        <v>144</v>
      </c>
      <c r="E79" s="249" t="s">
        <v>76</v>
      </c>
      <c r="F79" s="249"/>
      <c r="G79" s="143"/>
      <c r="H79" s="1"/>
      <c r="I79" s="1"/>
      <c r="J79" s="24"/>
    </row>
    <row r="80" spans="1:10" s="13" customFormat="1" ht="16.5" customHeight="1" thickBot="1" x14ac:dyDescent="0.4">
      <c r="A80" s="1"/>
      <c r="B80" s="1"/>
      <c r="C80" s="137" t="s">
        <v>145</v>
      </c>
      <c r="D80" s="30"/>
      <c r="E80" s="138" t="s">
        <v>20</v>
      </c>
      <c r="F80" s="146">
        <v>0.5</v>
      </c>
      <c r="G80" s="140">
        <f t="shared" si="0"/>
        <v>0</v>
      </c>
      <c r="H80" s="1"/>
      <c r="I80" s="1"/>
      <c r="J80" s="24"/>
    </row>
    <row r="81" spans="1:11" s="13" customFormat="1" ht="16.5" customHeight="1" thickBot="1" x14ac:dyDescent="0.4">
      <c r="A81" s="1"/>
      <c r="B81" s="1"/>
      <c r="C81" s="150" t="s">
        <v>156</v>
      </c>
      <c r="D81" s="151"/>
      <c r="E81" s="152"/>
      <c r="F81" s="153"/>
      <c r="G81" s="154">
        <f>SUM($G$59:$G$80)*$D$34</f>
        <v>-272000</v>
      </c>
      <c r="H81" s="1"/>
      <c r="I81" s="1"/>
      <c r="J81" s="24"/>
    </row>
    <row r="82" spans="1:11" s="13" customFormat="1" ht="16.5" customHeight="1" thickBot="1" x14ac:dyDescent="0.4">
      <c r="A82" s="1"/>
      <c r="B82" s="1"/>
      <c r="C82" s="115" t="s">
        <v>150</v>
      </c>
      <c r="D82" s="116"/>
      <c r="E82" s="117"/>
      <c r="F82" s="155"/>
      <c r="G82" s="118">
        <v>200</v>
      </c>
      <c r="H82" s="1"/>
      <c r="I82" s="1"/>
      <c r="J82" s="24"/>
    </row>
    <row r="83" spans="1:11" s="13" customFormat="1" ht="16.5" customHeight="1" thickBot="1" x14ac:dyDescent="0.4">
      <c r="A83" s="1"/>
      <c r="B83" s="1"/>
      <c r="C83" s="156" t="s">
        <v>147</v>
      </c>
      <c r="D83" s="157"/>
      <c r="E83" s="158"/>
      <c r="F83" s="159"/>
      <c r="G83" s="160">
        <f>$G$81*$G$82/1000</f>
        <v>-54400</v>
      </c>
      <c r="H83" s="1"/>
      <c r="I83" s="1"/>
      <c r="J83" s="24"/>
    </row>
    <row r="84" spans="1:11" s="16" customFormat="1" ht="16.5" customHeight="1" thickBot="1" x14ac:dyDescent="0.4">
      <c r="A84" s="19"/>
      <c r="B84" s="19"/>
      <c r="C84" s="122" t="s">
        <v>45</v>
      </c>
      <c r="D84" s="161"/>
      <c r="E84" s="161"/>
      <c r="F84" s="162"/>
      <c r="G84" s="124">
        <f>$G$83/$D$34</f>
        <v>-68</v>
      </c>
      <c r="H84" s="19"/>
      <c r="I84" s="19"/>
      <c r="J84" s="24"/>
    </row>
    <row r="85" spans="1:11" s="14" customFormat="1" ht="75" customHeight="1" x14ac:dyDescent="0.35">
      <c r="A85" s="20"/>
      <c r="B85" s="20"/>
      <c r="C85" s="250" t="s">
        <v>146</v>
      </c>
      <c r="D85" s="250"/>
      <c r="E85" s="250"/>
      <c r="F85" s="250"/>
      <c r="G85" s="250"/>
      <c r="H85" s="109"/>
      <c r="I85" s="20"/>
      <c r="J85" s="24"/>
      <c r="K85" s="22"/>
    </row>
    <row r="86" spans="1:11" s="14" customFormat="1" ht="16.5" customHeight="1" x14ac:dyDescent="0.35">
      <c r="A86" s="20"/>
      <c r="B86" s="20"/>
      <c r="C86" s="20"/>
      <c r="D86" s="20"/>
      <c r="E86" s="20"/>
      <c r="F86" s="125"/>
      <c r="G86" s="126"/>
      <c r="H86" s="109"/>
      <c r="I86" s="20"/>
      <c r="J86" s="24"/>
      <c r="K86" s="22"/>
    </row>
    <row r="87" spans="1:11" s="14" customFormat="1" ht="16.5" customHeight="1" thickBot="1" x14ac:dyDescent="0.4">
      <c r="A87" s="20"/>
      <c r="B87" s="20"/>
      <c r="C87" s="20"/>
      <c r="D87" s="20"/>
      <c r="E87" s="127"/>
      <c r="F87" s="125"/>
      <c r="G87" s="126"/>
      <c r="H87" s="109"/>
      <c r="I87" s="20"/>
      <c r="J87" s="24"/>
      <c r="K87" s="22"/>
    </row>
    <row r="88" spans="1:11" s="16" customFormat="1" ht="16.5" customHeight="1" thickBot="1" x14ac:dyDescent="0.4">
      <c r="A88" s="19"/>
      <c r="B88" s="19"/>
      <c r="C88" s="62" t="s">
        <v>107</v>
      </c>
      <c r="D88" s="128"/>
      <c r="E88" s="128"/>
      <c r="F88" s="128"/>
      <c r="G88" s="129"/>
      <c r="H88" s="19"/>
      <c r="I88" s="19"/>
      <c r="J88" s="24"/>
    </row>
    <row r="89" spans="1:11" s="13" customFormat="1" ht="16.5" customHeight="1" thickBot="1" x14ac:dyDescent="0.4">
      <c r="A89" s="1"/>
      <c r="B89" s="1"/>
      <c r="C89" s="130" t="s">
        <v>201</v>
      </c>
      <c r="D89" s="131"/>
      <c r="E89" s="131"/>
      <c r="F89" s="132"/>
      <c r="G89" s="133" t="s">
        <v>51</v>
      </c>
      <c r="H89" s="1"/>
      <c r="I89" s="1"/>
      <c r="J89" s="24"/>
    </row>
    <row r="90" spans="1:11" s="13" customFormat="1" ht="30.75" customHeight="1" thickBot="1" x14ac:dyDescent="0.4">
      <c r="A90" s="1"/>
      <c r="B90" s="1"/>
      <c r="C90" s="134" t="s">
        <v>49</v>
      </c>
      <c r="D90" s="135" t="s">
        <v>211</v>
      </c>
      <c r="E90" s="249" t="s">
        <v>76</v>
      </c>
      <c r="F90" s="249"/>
      <c r="G90" s="136"/>
      <c r="H90" s="1"/>
      <c r="I90" s="1"/>
      <c r="J90" s="24"/>
    </row>
    <row r="91" spans="1:11" s="13" customFormat="1" ht="16.5" customHeight="1" thickBot="1" x14ac:dyDescent="0.4">
      <c r="A91" s="1"/>
      <c r="B91" s="1"/>
      <c r="C91" s="137" t="s">
        <v>50</v>
      </c>
      <c r="D91" s="30"/>
      <c r="E91" s="138" t="s">
        <v>20</v>
      </c>
      <c r="F91" s="163" t="s">
        <v>159</v>
      </c>
      <c r="G91" s="140">
        <f>(D91*450-340)</f>
        <v>-340</v>
      </c>
      <c r="H91" s="1"/>
      <c r="I91" s="1"/>
      <c r="J91" s="24"/>
    </row>
    <row r="92" spans="1:11" s="13" customFormat="1" ht="30.6" thickBot="1" x14ac:dyDescent="0.4">
      <c r="A92" s="1"/>
      <c r="B92" s="1"/>
      <c r="C92" s="164" t="s">
        <v>16</v>
      </c>
      <c r="D92" s="142" t="s">
        <v>143</v>
      </c>
      <c r="E92" s="249" t="s">
        <v>74</v>
      </c>
      <c r="F92" s="249"/>
      <c r="G92" s="143"/>
      <c r="H92" s="1"/>
      <c r="I92" s="1"/>
      <c r="J92" s="24"/>
    </row>
    <row r="93" spans="1:11" s="13" customFormat="1" ht="16.5" customHeight="1" thickBot="1" x14ac:dyDescent="0.4">
      <c r="A93" s="1"/>
      <c r="B93" s="1"/>
      <c r="C93" s="137" t="s">
        <v>17</v>
      </c>
      <c r="D93" s="30"/>
      <c r="E93" s="138" t="s">
        <v>75</v>
      </c>
      <c r="F93" s="145">
        <v>1.8</v>
      </c>
      <c r="G93" s="140">
        <f>D93*F93</f>
        <v>0</v>
      </c>
      <c r="H93" s="1"/>
      <c r="I93" s="1"/>
      <c r="J93" s="24"/>
    </row>
    <row r="94" spans="1:11" s="13" customFormat="1" ht="16.5" customHeight="1" thickBot="1" x14ac:dyDescent="0.4">
      <c r="A94" s="1"/>
      <c r="B94" s="1"/>
      <c r="C94" s="137" t="s">
        <v>18</v>
      </c>
      <c r="D94" s="30"/>
      <c r="E94" s="138" t="s">
        <v>75</v>
      </c>
      <c r="F94" s="146">
        <v>2</v>
      </c>
      <c r="G94" s="140">
        <f>D94*F94</f>
        <v>0</v>
      </c>
      <c r="H94" s="1"/>
      <c r="I94" s="1"/>
      <c r="J94" s="24"/>
    </row>
    <row r="95" spans="1:11" s="13" customFormat="1" ht="30.6" thickBot="1" x14ac:dyDescent="0.4">
      <c r="A95" s="1"/>
      <c r="B95" s="1"/>
      <c r="C95" s="165" t="s">
        <v>19</v>
      </c>
      <c r="D95" s="142" t="s">
        <v>144</v>
      </c>
      <c r="E95" s="249" t="s">
        <v>76</v>
      </c>
      <c r="F95" s="249"/>
      <c r="G95" s="143"/>
      <c r="H95" s="1"/>
      <c r="I95" s="1"/>
      <c r="J95" s="24"/>
    </row>
    <row r="96" spans="1:11" s="13" customFormat="1" ht="16.5" customHeight="1" thickBot="1" x14ac:dyDescent="0.4">
      <c r="A96" s="1"/>
      <c r="B96" s="1"/>
      <c r="C96" s="137" t="s">
        <v>52</v>
      </c>
      <c r="D96" s="30"/>
      <c r="E96" s="138" t="s">
        <v>20</v>
      </c>
      <c r="F96" s="148">
        <v>1.5</v>
      </c>
      <c r="G96" s="140">
        <f>D96*F96</f>
        <v>0</v>
      </c>
      <c r="H96" s="1"/>
      <c r="I96" s="1"/>
      <c r="J96" s="24"/>
    </row>
    <row r="97" spans="1:10" s="13" customFormat="1" ht="16.5" customHeight="1" thickBot="1" x14ac:dyDescent="0.4">
      <c r="A97" s="1"/>
      <c r="B97" s="1"/>
      <c r="C97" s="137" t="s">
        <v>21</v>
      </c>
      <c r="D97" s="30"/>
      <c r="E97" s="138" t="s">
        <v>20</v>
      </c>
      <c r="F97" s="145">
        <v>0.1</v>
      </c>
      <c r="G97" s="140">
        <f t="shared" ref="G97:G110" si="1">D97*F97</f>
        <v>0</v>
      </c>
      <c r="H97" s="1"/>
      <c r="I97" s="1"/>
      <c r="J97" s="24"/>
    </row>
    <row r="98" spans="1:10" s="13" customFormat="1" ht="16.5" customHeight="1" thickBot="1" x14ac:dyDescent="0.4">
      <c r="A98" s="1"/>
      <c r="B98" s="1"/>
      <c r="C98" s="137" t="s">
        <v>22</v>
      </c>
      <c r="D98" s="30"/>
      <c r="E98" s="138" t="s">
        <v>20</v>
      </c>
      <c r="F98" s="145">
        <v>0.5</v>
      </c>
      <c r="G98" s="140">
        <f t="shared" si="1"/>
        <v>0</v>
      </c>
      <c r="H98" s="1"/>
      <c r="I98" s="1"/>
      <c r="J98" s="24"/>
    </row>
    <row r="99" spans="1:10" s="13" customFormat="1" ht="16.5" customHeight="1" thickBot="1" x14ac:dyDescent="0.4">
      <c r="A99" s="1"/>
      <c r="B99" s="1"/>
      <c r="C99" s="137" t="s">
        <v>23</v>
      </c>
      <c r="D99" s="30"/>
      <c r="E99" s="138" t="s">
        <v>20</v>
      </c>
      <c r="F99" s="145">
        <v>6.6</v>
      </c>
      <c r="G99" s="140">
        <f t="shared" si="1"/>
        <v>0</v>
      </c>
      <c r="H99" s="1"/>
      <c r="I99" s="1"/>
      <c r="J99" s="24"/>
    </row>
    <row r="100" spans="1:10" s="13" customFormat="1" ht="16.5" customHeight="1" thickBot="1" x14ac:dyDescent="0.4">
      <c r="A100" s="1"/>
      <c r="B100" s="1"/>
      <c r="C100" s="137" t="s">
        <v>24</v>
      </c>
      <c r="D100" s="30"/>
      <c r="E100" s="138" t="s">
        <v>20</v>
      </c>
      <c r="F100" s="145">
        <v>0.3</v>
      </c>
      <c r="G100" s="140">
        <f t="shared" si="1"/>
        <v>0</v>
      </c>
      <c r="H100" s="1"/>
      <c r="I100" s="1"/>
      <c r="J100" s="24"/>
    </row>
    <row r="101" spans="1:10" s="13" customFormat="1" ht="16.5" customHeight="1" thickBot="1" x14ac:dyDescent="0.4">
      <c r="A101" s="1"/>
      <c r="B101" s="1"/>
      <c r="C101" s="137" t="s">
        <v>25</v>
      </c>
      <c r="D101" s="30"/>
      <c r="E101" s="138" t="s">
        <v>20</v>
      </c>
      <c r="F101" s="145">
        <v>0</v>
      </c>
      <c r="G101" s="140">
        <f t="shared" si="1"/>
        <v>0</v>
      </c>
      <c r="H101" s="1"/>
      <c r="I101" s="1"/>
      <c r="J101" s="24"/>
    </row>
    <row r="102" spans="1:10" s="13" customFormat="1" ht="16.5" customHeight="1" thickBot="1" x14ac:dyDescent="0.4">
      <c r="A102" s="1"/>
      <c r="B102" s="1"/>
      <c r="C102" s="137" t="s">
        <v>26</v>
      </c>
      <c r="D102" s="30"/>
      <c r="E102" s="138" t="s">
        <v>20</v>
      </c>
      <c r="F102" s="146">
        <v>2</v>
      </c>
      <c r="G102" s="140">
        <f t="shared" si="1"/>
        <v>0</v>
      </c>
      <c r="H102" s="1"/>
      <c r="I102" s="1"/>
      <c r="J102" s="24"/>
    </row>
    <row r="103" spans="1:10" s="13" customFormat="1" ht="16.5" customHeight="1" thickBot="1" x14ac:dyDescent="0.4">
      <c r="A103" s="1"/>
      <c r="B103" s="1"/>
      <c r="C103" s="137" t="s">
        <v>27</v>
      </c>
      <c r="D103" s="30"/>
      <c r="E103" s="138" t="s">
        <v>20</v>
      </c>
      <c r="F103" s="146">
        <v>1</v>
      </c>
      <c r="G103" s="140">
        <f t="shared" si="1"/>
        <v>0</v>
      </c>
      <c r="H103" s="1"/>
      <c r="I103" s="1"/>
      <c r="J103" s="24"/>
    </row>
    <row r="104" spans="1:10" s="13" customFormat="1" ht="16.5" customHeight="1" thickBot="1" x14ac:dyDescent="0.4">
      <c r="A104" s="1"/>
      <c r="B104" s="1"/>
      <c r="C104" s="137" t="s">
        <v>28</v>
      </c>
      <c r="D104" s="30"/>
      <c r="E104" s="138" t="s">
        <v>20</v>
      </c>
      <c r="F104" s="145">
        <v>0.5</v>
      </c>
      <c r="G104" s="140">
        <f t="shared" si="1"/>
        <v>0</v>
      </c>
      <c r="H104" s="1"/>
      <c r="I104" s="1"/>
      <c r="J104" s="24"/>
    </row>
    <row r="105" spans="1:10" s="13" customFormat="1" ht="16.5" customHeight="1" thickBot="1" x14ac:dyDescent="0.4">
      <c r="A105" s="1"/>
      <c r="B105" s="1"/>
      <c r="C105" s="137" t="s">
        <v>29</v>
      </c>
      <c r="D105" s="30"/>
      <c r="E105" s="138" t="s">
        <v>20</v>
      </c>
      <c r="F105" s="145">
        <v>0</v>
      </c>
      <c r="G105" s="140">
        <f t="shared" si="1"/>
        <v>0</v>
      </c>
      <c r="H105" s="1"/>
      <c r="I105" s="1"/>
      <c r="J105" s="24"/>
    </row>
    <row r="106" spans="1:10" s="13" customFormat="1" ht="16.5" customHeight="1" thickBot="1" x14ac:dyDescent="0.4">
      <c r="A106" s="1"/>
      <c r="B106" s="1"/>
      <c r="C106" s="137" t="s">
        <v>30</v>
      </c>
      <c r="D106" s="30"/>
      <c r="E106" s="138" t="s">
        <v>20</v>
      </c>
      <c r="F106" s="145">
        <v>0</v>
      </c>
      <c r="G106" s="140">
        <f t="shared" si="1"/>
        <v>0</v>
      </c>
      <c r="H106" s="1"/>
      <c r="I106" s="1"/>
      <c r="J106" s="24"/>
    </row>
    <row r="107" spans="1:10" s="13" customFormat="1" ht="16.5" customHeight="1" thickBot="1" x14ac:dyDescent="0.4">
      <c r="A107" s="1"/>
      <c r="B107" s="1"/>
      <c r="C107" s="137" t="s">
        <v>31</v>
      </c>
      <c r="D107" s="30"/>
      <c r="E107" s="138" t="s">
        <v>20</v>
      </c>
      <c r="F107" s="145">
        <v>0</v>
      </c>
      <c r="G107" s="140">
        <f t="shared" si="1"/>
        <v>0</v>
      </c>
      <c r="H107" s="1"/>
      <c r="I107" s="1"/>
      <c r="J107" s="24"/>
    </row>
    <row r="108" spans="1:10" s="13" customFormat="1" ht="16.5" customHeight="1" thickBot="1" x14ac:dyDescent="0.4">
      <c r="A108" s="1"/>
      <c r="B108" s="1"/>
      <c r="C108" s="137" t="s">
        <v>188</v>
      </c>
      <c r="D108" s="30"/>
      <c r="E108" s="138" t="s">
        <v>20</v>
      </c>
      <c r="F108" s="145">
        <v>0</v>
      </c>
      <c r="G108" s="140">
        <f t="shared" si="1"/>
        <v>0</v>
      </c>
      <c r="H108" s="1"/>
      <c r="I108" s="1"/>
      <c r="J108" s="24"/>
    </row>
    <row r="109" spans="1:10" s="13" customFormat="1" ht="16.5" customHeight="1" thickBot="1" x14ac:dyDescent="0.4">
      <c r="A109" s="1"/>
      <c r="B109" s="1"/>
      <c r="C109" s="137" t="s">
        <v>32</v>
      </c>
      <c r="D109" s="30"/>
      <c r="E109" s="138" t="s">
        <v>20</v>
      </c>
      <c r="F109" s="145">
        <v>0.2</v>
      </c>
      <c r="G109" s="140">
        <f t="shared" si="1"/>
        <v>0</v>
      </c>
      <c r="H109" s="1"/>
      <c r="I109" s="1"/>
      <c r="J109" s="24"/>
    </row>
    <row r="110" spans="1:10" s="13" customFormat="1" ht="16.5" customHeight="1" thickBot="1" x14ac:dyDescent="0.4">
      <c r="A110" s="1"/>
      <c r="B110" s="1"/>
      <c r="C110" s="137" t="s">
        <v>33</v>
      </c>
      <c r="D110" s="30"/>
      <c r="E110" s="138" t="s">
        <v>20</v>
      </c>
      <c r="F110" s="145">
        <v>0.1</v>
      </c>
      <c r="G110" s="140">
        <f t="shared" si="1"/>
        <v>0</v>
      </c>
      <c r="H110" s="1"/>
      <c r="I110" s="1"/>
      <c r="J110" s="24"/>
    </row>
    <row r="111" spans="1:10" s="13" customFormat="1" ht="30.75" customHeight="1" thickBot="1" x14ac:dyDescent="0.4">
      <c r="A111" s="1"/>
      <c r="B111" s="1"/>
      <c r="C111" s="149" t="s">
        <v>34</v>
      </c>
      <c r="D111" s="142" t="s">
        <v>144</v>
      </c>
      <c r="E111" s="249" t="s">
        <v>76</v>
      </c>
      <c r="F111" s="249"/>
      <c r="G111" s="143"/>
      <c r="H111" s="1"/>
      <c r="I111" s="1"/>
      <c r="J111" s="24"/>
    </row>
    <row r="112" spans="1:10" s="13" customFormat="1" ht="16.5" customHeight="1" thickBot="1" x14ac:dyDescent="0.4">
      <c r="A112" s="1"/>
      <c r="B112" s="1"/>
      <c r="C112" s="137" t="s">
        <v>145</v>
      </c>
      <c r="D112" s="30"/>
      <c r="E112" s="138" t="s">
        <v>20</v>
      </c>
      <c r="F112" s="146">
        <v>0.5</v>
      </c>
      <c r="G112" s="140">
        <f>D112*$F$80</f>
        <v>0</v>
      </c>
      <c r="H112" s="1"/>
      <c r="I112" s="1"/>
      <c r="J112" s="24"/>
    </row>
    <row r="113" spans="1:11" s="13" customFormat="1" ht="16.5" customHeight="1" thickBot="1" x14ac:dyDescent="0.4">
      <c r="A113" s="1"/>
      <c r="B113" s="1"/>
      <c r="C113" s="150" t="s">
        <v>156</v>
      </c>
      <c r="D113" s="151"/>
      <c r="E113" s="152"/>
      <c r="F113" s="153"/>
      <c r="G113" s="154">
        <f>SUM($G$91:$G$112)*$D$46</f>
        <v>-11560000</v>
      </c>
      <c r="H113" s="1"/>
      <c r="I113" s="1"/>
      <c r="J113" s="24"/>
    </row>
    <row r="114" spans="1:11" s="13" customFormat="1" ht="16.5" customHeight="1" thickBot="1" x14ac:dyDescent="0.4">
      <c r="A114" s="1"/>
      <c r="B114" s="1"/>
      <c r="C114" s="115" t="s">
        <v>150</v>
      </c>
      <c r="D114" s="116"/>
      <c r="E114" s="117"/>
      <c r="F114" s="155"/>
      <c r="G114" s="118">
        <v>200</v>
      </c>
      <c r="H114" s="1"/>
      <c r="I114" s="1"/>
      <c r="J114" s="24"/>
    </row>
    <row r="115" spans="1:11" s="13" customFormat="1" ht="16.5" customHeight="1" thickBot="1" x14ac:dyDescent="0.4">
      <c r="A115" s="1"/>
      <c r="B115" s="1"/>
      <c r="C115" s="156" t="s">
        <v>147</v>
      </c>
      <c r="D115" s="157"/>
      <c r="E115" s="158"/>
      <c r="F115" s="159"/>
      <c r="G115" s="160">
        <f>$G$113*$G$114/1000</f>
        <v>-2312000</v>
      </c>
      <c r="H115" s="1"/>
      <c r="I115" s="1"/>
      <c r="J115" s="24"/>
    </row>
    <row r="116" spans="1:11" s="16" customFormat="1" ht="16.5" customHeight="1" thickBot="1" x14ac:dyDescent="0.4">
      <c r="A116" s="19"/>
      <c r="B116" s="19"/>
      <c r="C116" s="122" t="s">
        <v>45</v>
      </c>
      <c r="D116" s="161"/>
      <c r="E116" s="161"/>
      <c r="F116" s="162"/>
      <c r="G116" s="124">
        <f>$G$115/$D$46</f>
        <v>-68</v>
      </c>
      <c r="H116" s="19"/>
      <c r="I116" s="19"/>
      <c r="J116" s="24"/>
    </row>
    <row r="117" spans="1:11" s="14" customFormat="1" ht="75" customHeight="1" x14ac:dyDescent="0.35">
      <c r="A117" s="20"/>
      <c r="B117" s="20"/>
      <c r="C117" s="250" t="s">
        <v>146</v>
      </c>
      <c r="D117" s="250"/>
      <c r="E117" s="250"/>
      <c r="F117" s="250"/>
      <c r="G117" s="250"/>
      <c r="H117" s="109"/>
      <c r="I117" s="20"/>
      <c r="J117" s="24"/>
      <c r="K117" s="22"/>
    </row>
    <row r="118" spans="1:11" s="14" customFormat="1" ht="16.5" customHeight="1" x14ac:dyDescent="0.35">
      <c r="A118" s="20"/>
      <c r="B118" s="20"/>
      <c r="C118" s="20"/>
      <c r="D118" s="20"/>
      <c r="E118" s="20"/>
      <c r="F118" s="125"/>
      <c r="G118" s="126"/>
      <c r="H118" s="109"/>
      <c r="I118" s="20"/>
      <c r="J118" s="24"/>
      <c r="K118" s="22"/>
    </row>
    <row r="119" spans="1:11" s="14" customFormat="1" ht="16.5" customHeight="1" thickBot="1" x14ac:dyDescent="0.4">
      <c r="A119" s="20"/>
      <c r="B119" s="20"/>
      <c r="C119" s="20"/>
      <c r="D119" s="20"/>
      <c r="E119" s="20"/>
      <c r="F119" s="125"/>
      <c r="G119" s="126"/>
      <c r="H119" s="109"/>
      <c r="I119" s="20"/>
      <c r="J119" s="24"/>
      <c r="K119" s="22"/>
    </row>
    <row r="120" spans="1:11" s="14" customFormat="1" ht="16.5" customHeight="1" thickBot="1" x14ac:dyDescent="0.4">
      <c r="A120" s="1"/>
      <c r="B120" s="1"/>
      <c r="C120" s="119" t="s">
        <v>47</v>
      </c>
      <c r="D120" s="120"/>
      <c r="E120" s="120"/>
      <c r="F120" s="120"/>
      <c r="G120" s="39">
        <f>-SUM($G$83,$G$115)</f>
        <v>2366400</v>
      </c>
      <c r="H120" s="109"/>
      <c r="I120" s="20"/>
      <c r="J120" s="24"/>
      <c r="K120" s="17"/>
    </row>
    <row r="121" spans="1:11" s="16" customFormat="1" ht="16.5" customHeight="1" thickBot="1" x14ac:dyDescent="0.4">
      <c r="A121" s="19"/>
      <c r="B121" s="19"/>
      <c r="C121" s="166"/>
      <c r="D121" s="126"/>
      <c r="E121" s="126"/>
      <c r="F121" s="126"/>
      <c r="G121" s="167"/>
      <c r="H121" s="19"/>
      <c r="I121" s="19"/>
      <c r="J121" s="24"/>
    </row>
    <row r="122" spans="1:11" s="16" customFormat="1" ht="16.5" customHeight="1" thickBot="1" x14ac:dyDescent="0.4">
      <c r="A122" s="19"/>
      <c r="B122" s="19"/>
      <c r="C122" s="119" t="s">
        <v>185</v>
      </c>
      <c r="D122" s="120"/>
      <c r="E122" s="120"/>
      <c r="F122" s="120"/>
      <c r="G122" s="39">
        <f>SUM($F$40,$F$52,$G$120)</f>
        <v>2366400</v>
      </c>
      <c r="H122" s="19"/>
      <c r="I122" s="19"/>
      <c r="J122" s="24"/>
    </row>
    <row r="123" spans="1:11" ht="15" customHeight="1" x14ac:dyDescent="0.35">
      <c r="A123" s="9"/>
      <c r="B123" s="9"/>
      <c r="C123" s="9"/>
      <c r="D123" s="9"/>
      <c r="E123" s="9"/>
      <c r="F123" s="9"/>
      <c r="G123" s="168"/>
      <c r="H123" s="9"/>
      <c r="I123" s="9"/>
      <c r="J123" s="24"/>
    </row>
    <row r="124" spans="1:11" ht="15" customHeight="1" x14ac:dyDescent="0.35">
      <c r="A124" s="9"/>
      <c r="B124" s="9"/>
      <c r="C124" s="9"/>
      <c r="D124" s="9"/>
      <c r="E124" s="9"/>
      <c r="F124" s="9"/>
      <c r="G124" s="169"/>
      <c r="H124" s="9"/>
      <c r="I124" s="9"/>
      <c r="J124" s="24"/>
    </row>
    <row r="125" spans="1:11" ht="15" customHeight="1" x14ac:dyDescent="0.35">
      <c r="A125" s="24"/>
      <c r="B125" s="24"/>
      <c r="C125" s="24"/>
      <c r="D125" s="24"/>
      <c r="E125" s="24"/>
      <c r="F125" s="24"/>
      <c r="G125" s="24"/>
      <c r="H125" s="24"/>
      <c r="I125" s="24"/>
      <c r="J125" s="24"/>
    </row>
    <row r="126" spans="1:11" hidden="1" x14ac:dyDescent="0.3">
      <c r="A126" s="9"/>
      <c r="B126" s="9"/>
      <c r="C126" s="9"/>
      <c r="D126" s="10"/>
      <c r="E126" s="10"/>
      <c r="F126" s="10"/>
      <c r="G126" s="10"/>
      <c r="H126" s="9"/>
      <c r="I126" s="9"/>
    </row>
    <row r="127" spans="1:11" hidden="1" x14ac:dyDescent="0.3">
      <c r="A127" s="9"/>
      <c r="B127" s="20"/>
      <c r="C127" s="20"/>
      <c r="D127" s="10"/>
      <c r="E127" s="10"/>
      <c r="F127" s="10"/>
      <c r="G127" s="10"/>
      <c r="H127" s="9"/>
      <c r="I127" s="9"/>
    </row>
    <row r="128" spans="1:11" ht="15" hidden="1" customHeight="1" x14ac:dyDescent="0.3">
      <c r="A128" s="9"/>
      <c r="B128" s="20"/>
      <c r="C128" s="20"/>
      <c r="D128" s="240" t="s">
        <v>4</v>
      </c>
      <c r="E128" s="240"/>
      <c r="F128" s="240"/>
      <c r="G128" s="240"/>
      <c r="H128" s="9"/>
      <c r="I128" s="9"/>
    </row>
    <row r="129" spans="1:9" hidden="1" x14ac:dyDescent="0.3">
      <c r="A129" s="9"/>
      <c r="B129" s="20"/>
      <c r="C129" s="20"/>
      <c r="D129" s="170" t="s">
        <v>5</v>
      </c>
      <c r="E129" s="170" t="s">
        <v>86</v>
      </c>
      <c r="F129" s="171"/>
      <c r="G129" s="20"/>
      <c r="H129" s="9"/>
      <c r="I129" s="9"/>
    </row>
    <row r="130" spans="1:9" hidden="1" x14ac:dyDescent="0.3">
      <c r="A130" s="9"/>
      <c r="B130" s="20"/>
      <c r="C130" s="20"/>
      <c r="D130" s="172" t="s">
        <v>6</v>
      </c>
      <c r="E130" s="173">
        <v>0</v>
      </c>
      <c r="F130" s="171"/>
      <c r="G130" s="20"/>
      <c r="H130" s="9"/>
      <c r="I130" s="9"/>
    </row>
    <row r="131" spans="1:9" hidden="1" x14ac:dyDescent="0.3">
      <c r="A131" s="9"/>
      <c r="B131" s="20"/>
      <c r="C131" s="20"/>
      <c r="D131" s="172" t="s">
        <v>1</v>
      </c>
      <c r="E131" s="173">
        <v>0</v>
      </c>
      <c r="F131" s="171"/>
      <c r="G131" s="20"/>
      <c r="H131" s="9"/>
      <c r="I131" s="9"/>
    </row>
    <row r="132" spans="1:9" ht="30" hidden="1" x14ac:dyDescent="0.3">
      <c r="A132" s="9"/>
      <c r="B132" s="9"/>
      <c r="C132" s="20"/>
      <c r="D132" s="174" t="s">
        <v>63</v>
      </c>
      <c r="E132" s="172">
        <v>117</v>
      </c>
      <c r="F132" s="109"/>
      <c r="G132" s="20"/>
      <c r="H132" s="9"/>
      <c r="I132" s="9"/>
    </row>
    <row r="133" spans="1:9" hidden="1" x14ac:dyDescent="0.3">
      <c r="A133" s="9"/>
      <c r="B133" s="9"/>
      <c r="C133" s="20"/>
      <c r="D133" s="175" t="s">
        <v>2</v>
      </c>
      <c r="E133" s="172">
        <v>102</v>
      </c>
      <c r="F133" s="176"/>
      <c r="G133" s="20"/>
      <c r="H133" s="9"/>
      <c r="I133" s="9"/>
    </row>
    <row r="134" spans="1:9" hidden="1" x14ac:dyDescent="0.3">
      <c r="A134" s="9"/>
      <c r="B134" s="9"/>
      <c r="C134" s="20"/>
      <c r="D134" s="175" t="s">
        <v>64</v>
      </c>
      <c r="E134" s="172">
        <v>93</v>
      </c>
      <c r="F134" s="176"/>
      <c r="G134" s="20"/>
      <c r="H134" s="9"/>
      <c r="I134" s="9"/>
    </row>
    <row r="135" spans="1:9" hidden="1" x14ac:dyDescent="0.3">
      <c r="A135" s="9"/>
      <c r="B135" s="9"/>
      <c r="C135" s="20"/>
      <c r="D135" s="175" t="s">
        <v>65</v>
      </c>
      <c r="E135" s="172">
        <v>30</v>
      </c>
      <c r="F135" s="176"/>
      <c r="G135" s="20"/>
      <c r="H135" s="9"/>
      <c r="I135" s="9"/>
    </row>
    <row r="136" spans="1:9" hidden="1" x14ac:dyDescent="0.3">
      <c r="A136" s="9"/>
      <c r="B136" s="9"/>
      <c r="C136" s="20"/>
      <c r="D136" s="175" t="s">
        <v>66</v>
      </c>
      <c r="E136" s="172">
        <v>30</v>
      </c>
      <c r="F136" s="176"/>
      <c r="G136" s="20"/>
      <c r="H136" s="9"/>
      <c r="I136" s="9"/>
    </row>
    <row r="137" spans="1:9" hidden="1" x14ac:dyDescent="0.3">
      <c r="A137" s="9"/>
      <c r="B137" s="9"/>
      <c r="C137" s="20"/>
      <c r="D137" s="177"/>
      <c r="E137" s="177"/>
      <c r="F137" s="176"/>
      <c r="G137" s="20"/>
      <c r="H137" s="9"/>
      <c r="I137" s="9"/>
    </row>
    <row r="138" spans="1:9" hidden="1" x14ac:dyDescent="0.3">
      <c r="A138" s="9"/>
      <c r="B138" s="9"/>
      <c r="C138" s="20"/>
      <c r="D138" s="170" t="s">
        <v>7</v>
      </c>
      <c r="E138" s="178" t="s">
        <v>8</v>
      </c>
      <c r="F138" s="178" t="s">
        <v>9</v>
      </c>
      <c r="G138" s="178" t="s">
        <v>54</v>
      </c>
      <c r="H138" s="9"/>
      <c r="I138" s="9"/>
    </row>
    <row r="139" spans="1:9" hidden="1" x14ac:dyDescent="0.3">
      <c r="A139" s="9"/>
      <c r="B139" s="9"/>
      <c r="C139" s="20"/>
      <c r="D139" s="172" t="s">
        <v>10</v>
      </c>
      <c r="E139" s="179">
        <v>0</v>
      </c>
      <c r="F139" s="179">
        <v>0</v>
      </c>
      <c r="G139" s="179">
        <v>0</v>
      </c>
      <c r="H139" s="9"/>
      <c r="I139" s="9"/>
    </row>
    <row r="140" spans="1:9" hidden="1" x14ac:dyDescent="0.3">
      <c r="A140" s="9"/>
      <c r="B140" s="9"/>
      <c r="C140" s="20"/>
      <c r="D140" s="172" t="s">
        <v>1</v>
      </c>
      <c r="E140" s="179">
        <v>0</v>
      </c>
      <c r="F140" s="179">
        <v>0</v>
      </c>
      <c r="G140" s="179">
        <v>0</v>
      </c>
      <c r="H140" s="9"/>
      <c r="I140" s="9"/>
    </row>
    <row r="141" spans="1:9" hidden="1" x14ac:dyDescent="0.3">
      <c r="A141" s="9"/>
      <c r="B141" s="9"/>
      <c r="C141" s="20"/>
      <c r="D141" s="174" t="s">
        <v>11</v>
      </c>
      <c r="E141" s="179">
        <v>1</v>
      </c>
      <c r="F141" s="179">
        <v>1</v>
      </c>
      <c r="G141" s="179">
        <v>1</v>
      </c>
      <c r="H141" s="9"/>
      <c r="I141" s="9"/>
    </row>
    <row r="142" spans="1:9" hidden="1" x14ac:dyDescent="0.3">
      <c r="A142" s="9"/>
      <c r="B142" s="9"/>
      <c r="C142" s="20"/>
      <c r="D142" s="174" t="s">
        <v>53</v>
      </c>
      <c r="E142" s="180">
        <v>0.95726</v>
      </c>
      <c r="F142" s="180">
        <v>0.96077999999999997</v>
      </c>
      <c r="G142" s="180">
        <v>0.95699000000000001</v>
      </c>
      <c r="H142" s="9"/>
      <c r="I142" s="9"/>
    </row>
    <row r="143" spans="1:9" hidden="1" x14ac:dyDescent="0.3">
      <c r="A143" s="9"/>
      <c r="B143" s="9"/>
      <c r="C143" s="20"/>
      <c r="D143" s="174" t="s">
        <v>13</v>
      </c>
      <c r="E143" s="180">
        <f>0.102/0.117</f>
        <v>0.8717948717948717</v>
      </c>
      <c r="F143" s="180">
        <f>0.089/0.102</f>
        <v>0.87254901960784315</v>
      </c>
      <c r="G143" s="180">
        <f>0.081/0.093</f>
        <v>0.87096774193548387</v>
      </c>
      <c r="H143" s="9"/>
      <c r="I143" s="9"/>
    </row>
    <row r="144" spans="1:9" hidden="1" x14ac:dyDescent="0.3">
      <c r="A144" s="9"/>
      <c r="B144" s="9"/>
      <c r="C144" s="20"/>
      <c r="D144" s="174" t="s">
        <v>3</v>
      </c>
      <c r="E144" s="180">
        <f>0.095/0.117</f>
        <v>0.81196581196581197</v>
      </c>
      <c r="F144" s="180">
        <f>0.083/0.102</f>
        <v>0.81372549019607854</v>
      </c>
      <c r="G144" s="180">
        <v>0.80645</v>
      </c>
      <c r="H144" s="9"/>
      <c r="I144" s="9"/>
    </row>
    <row r="145" spans="1:9" hidden="1" x14ac:dyDescent="0.3">
      <c r="A145" s="9"/>
      <c r="B145" s="9"/>
      <c r="C145" s="20"/>
      <c r="D145" s="174" t="s">
        <v>15</v>
      </c>
      <c r="E145" s="180">
        <v>0.78632000000000002</v>
      </c>
      <c r="F145" s="180">
        <v>0.79412000000000005</v>
      </c>
      <c r="G145" s="180">
        <v>0.78495000000000004</v>
      </c>
      <c r="H145" s="9"/>
      <c r="I145" s="9"/>
    </row>
    <row r="146" spans="1:9" hidden="1" x14ac:dyDescent="0.3">
      <c r="A146" s="9"/>
      <c r="B146" s="9"/>
      <c r="C146" s="20"/>
      <c r="D146" s="174" t="s">
        <v>55</v>
      </c>
      <c r="E146" s="180">
        <v>0.76922999999999997</v>
      </c>
      <c r="F146" s="180">
        <v>0.77451000000000003</v>
      </c>
      <c r="G146" s="180">
        <v>0.77419000000000004</v>
      </c>
      <c r="H146" s="9"/>
      <c r="I146" s="9"/>
    </row>
    <row r="147" spans="1:9" hidden="1" x14ac:dyDescent="0.3">
      <c r="A147" s="9"/>
      <c r="B147" s="9"/>
      <c r="C147" s="20"/>
      <c r="D147" s="174" t="s">
        <v>57</v>
      </c>
      <c r="E147" s="180">
        <v>0.63248000000000004</v>
      </c>
      <c r="F147" s="180">
        <f>0.065/0.102</f>
        <v>0.63725490196078438</v>
      </c>
      <c r="G147" s="180">
        <f>0.059/0.093</f>
        <v>0.63440860215053763</v>
      </c>
      <c r="H147" s="9"/>
      <c r="I147" s="9"/>
    </row>
    <row r="148" spans="1:9" hidden="1" x14ac:dyDescent="0.3">
      <c r="A148" s="9"/>
      <c r="B148" s="9"/>
      <c r="C148" s="20"/>
      <c r="D148" s="174" t="s">
        <v>14</v>
      </c>
      <c r="E148" s="180">
        <f>0.035/0.117</f>
        <v>0.29914529914529914</v>
      </c>
      <c r="F148" s="180">
        <f>0.031/0.102</f>
        <v>0.30392156862745101</v>
      </c>
      <c r="G148" s="180">
        <f>0.028/0.093</f>
        <v>0.30107526881720431</v>
      </c>
      <c r="H148" s="9"/>
      <c r="I148" s="9"/>
    </row>
    <row r="149" spans="1:9" hidden="1" x14ac:dyDescent="0.3">
      <c r="A149" s="9"/>
      <c r="B149" s="9"/>
      <c r="C149" s="20"/>
      <c r="D149" s="174" t="s">
        <v>56</v>
      </c>
      <c r="E149" s="180">
        <f>0.035/0.117</f>
        <v>0.29914529914529914</v>
      </c>
      <c r="F149" s="180">
        <f>0.031/0.102</f>
        <v>0.30392156862745101</v>
      </c>
      <c r="G149" s="180">
        <f>0.028/0.093</f>
        <v>0.30107526881720431</v>
      </c>
      <c r="H149" s="9"/>
      <c r="I149" s="9"/>
    </row>
    <row r="150" spans="1:9" ht="30" hidden="1" x14ac:dyDescent="0.3">
      <c r="A150" s="9"/>
      <c r="B150" s="9"/>
      <c r="C150" s="20"/>
      <c r="D150" s="174" t="s">
        <v>58</v>
      </c>
      <c r="E150" s="180">
        <f>0.034/0.117</f>
        <v>0.29059829059829062</v>
      </c>
      <c r="F150" s="180">
        <f>0.03/0.102</f>
        <v>0.29411764705882354</v>
      </c>
      <c r="G150" s="180">
        <f>0.027/0.093</f>
        <v>0.29032258064516131</v>
      </c>
      <c r="H150" s="9"/>
      <c r="I150" s="9"/>
    </row>
    <row r="151" spans="1:9" ht="30" hidden="1" x14ac:dyDescent="0.3">
      <c r="A151" s="9"/>
      <c r="B151" s="9"/>
      <c r="C151" s="20"/>
      <c r="D151" s="174" t="s">
        <v>59</v>
      </c>
      <c r="E151" s="180">
        <f>0.031/0.117</f>
        <v>0.26495726495726496</v>
      </c>
      <c r="F151" s="180">
        <f>0.027/0.102</f>
        <v>0.26470588235294118</v>
      </c>
      <c r="G151" s="180">
        <f>0.024/0.093</f>
        <v>0.25806451612903225</v>
      </c>
      <c r="H151" s="9"/>
      <c r="I151" s="9"/>
    </row>
    <row r="152" spans="1:9" hidden="1" x14ac:dyDescent="0.3">
      <c r="A152" s="9"/>
      <c r="B152" s="9"/>
      <c r="C152" s="20"/>
      <c r="D152" s="174" t="s">
        <v>12</v>
      </c>
      <c r="E152" s="180">
        <f>0.026/0.117</f>
        <v>0.22222222222222221</v>
      </c>
      <c r="F152" s="180">
        <f>0.022/0.102</f>
        <v>0.21568627450980393</v>
      </c>
      <c r="G152" s="180">
        <f>0.02/0.093</f>
        <v>0.21505376344086022</v>
      </c>
      <c r="H152" s="9"/>
      <c r="I152" s="9"/>
    </row>
    <row r="153" spans="1:9" ht="30" hidden="1" x14ac:dyDescent="0.3">
      <c r="A153" s="9"/>
      <c r="B153" s="9"/>
      <c r="C153" s="20"/>
      <c r="D153" s="174" t="s">
        <v>60</v>
      </c>
      <c r="E153" s="180">
        <f>0.01/0.117</f>
        <v>8.5470085470085472E-2</v>
      </c>
      <c r="F153" s="180">
        <f>0.008/0.102</f>
        <v>7.8431372549019621E-2</v>
      </c>
      <c r="G153" s="180">
        <f>0.008/0.093</f>
        <v>8.6021505376344093E-2</v>
      </c>
      <c r="H153" s="9"/>
      <c r="I153" s="9"/>
    </row>
    <row r="154" spans="1:9" hidden="1" x14ac:dyDescent="0.3">
      <c r="A154" s="9"/>
      <c r="B154" s="9"/>
      <c r="C154" s="20"/>
      <c r="D154" s="174" t="s">
        <v>61</v>
      </c>
      <c r="E154" s="180">
        <f>0.004/0.117</f>
        <v>3.4188034188034185E-2</v>
      </c>
      <c r="F154" s="180">
        <f>0.004/0.102</f>
        <v>3.921568627450981E-2</v>
      </c>
      <c r="G154" s="180">
        <f>0.003/0.093</f>
        <v>3.2258064516129031E-2</v>
      </c>
      <c r="H154" s="9"/>
      <c r="I154" s="9"/>
    </row>
    <row r="155" spans="1:9" hidden="1" x14ac:dyDescent="0.3">
      <c r="A155" s="9"/>
      <c r="B155" s="9"/>
      <c r="C155" s="20"/>
      <c r="D155" s="174" t="s">
        <v>62</v>
      </c>
      <c r="E155" s="180">
        <v>0</v>
      </c>
      <c r="F155" s="180">
        <v>0</v>
      </c>
      <c r="G155" s="180">
        <v>0</v>
      </c>
      <c r="H155" s="9"/>
      <c r="I155" s="9"/>
    </row>
    <row r="156" spans="1:9" hidden="1" x14ac:dyDescent="0.3">
      <c r="A156" s="9"/>
      <c r="B156" s="9"/>
      <c r="C156" s="20"/>
      <c r="D156" s="174" t="s">
        <v>65</v>
      </c>
      <c r="E156" s="179">
        <v>1</v>
      </c>
      <c r="F156" s="179"/>
      <c r="G156" s="179"/>
      <c r="H156" s="9"/>
      <c r="I156" s="9"/>
    </row>
    <row r="157" spans="1:9" hidden="1" x14ac:dyDescent="0.3">
      <c r="A157" s="9"/>
      <c r="B157" s="9"/>
      <c r="C157" s="20"/>
      <c r="D157" s="174" t="s">
        <v>68</v>
      </c>
      <c r="E157" s="180">
        <f>0.0294/0.03</f>
        <v>0.98</v>
      </c>
      <c r="F157" s="179"/>
      <c r="G157" s="179"/>
      <c r="H157" s="9"/>
      <c r="I157" s="9"/>
    </row>
    <row r="158" spans="1:9" hidden="1" x14ac:dyDescent="0.3">
      <c r="A158" s="9"/>
      <c r="B158" s="9"/>
      <c r="C158" s="20"/>
      <c r="D158" s="174" t="s">
        <v>67</v>
      </c>
      <c r="E158" s="180">
        <f>0.0285/0.03</f>
        <v>0.95000000000000007</v>
      </c>
      <c r="F158" s="179"/>
      <c r="G158" s="179"/>
      <c r="H158" s="9"/>
      <c r="I158" s="9"/>
    </row>
    <row r="159" spans="1:9" hidden="1" x14ac:dyDescent="0.3">
      <c r="A159" s="9"/>
      <c r="B159" s="9"/>
      <c r="C159" s="20"/>
      <c r="D159" s="20"/>
      <c r="E159" s="20"/>
      <c r="F159" s="20"/>
      <c r="G159" s="20"/>
      <c r="H159" s="9"/>
      <c r="I159" s="9"/>
    </row>
    <row r="160" spans="1:9" hidden="1" x14ac:dyDescent="0.3">
      <c r="A160" s="9"/>
      <c r="B160" s="9"/>
      <c r="C160" s="9"/>
      <c r="D160" s="10"/>
      <c r="E160" s="10"/>
      <c r="F160" s="10"/>
      <c r="G160" s="10"/>
      <c r="H160" s="9"/>
      <c r="I160" s="9"/>
    </row>
    <row r="161" spans="1:9" hidden="1" x14ac:dyDescent="0.3">
      <c r="A161" s="9"/>
      <c r="B161" s="9"/>
      <c r="C161" s="9"/>
      <c r="D161" s="9"/>
      <c r="E161" s="9"/>
      <c r="F161" s="9"/>
      <c r="G161" s="9"/>
      <c r="H161" s="9"/>
      <c r="I161" s="9"/>
    </row>
    <row r="162" spans="1:9" hidden="1" x14ac:dyDescent="0.3">
      <c r="A162" s="9"/>
      <c r="B162" s="9"/>
      <c r="C162" s="9"/>
      <c r="D162" s="9"/>
      <c r="E162" s="9"/>
      <c r="F162" s="9"/>
      <c r="G162" s="9"/>
      <c r="H162" s="9"/>
      <c r="I162" s="9"/>
    </row>
    <row r="163" spans="1:9" hidden="1" x14ac:dyDescent="0.3">
      <c r="A163" s="9"/>
      <c r="B163" s="9"/>
      <c r="C163" s="9"/>
      <c r="D163" s="9"/>
      <c r="E163" s="9"/>
      <c r="F163" s="9"/>
      <c r="G163" s="9"/>
      <c r="H163" s="9"/>
      <c r="I163" s="9"/>
    </row>
    <row r="164" spans="1:9" hidden="1" x14ac:dyDescent="0.3">
      <c r="A164" s="9"/>
      <c r="B164" s="9"/>
      <c r="C164" s="9"/>
      <c r="D164" s="9"/>
      <c r="E164" s="9"/>
      <c r="F164" s="9"/>
      <c r="G164" s="9"/>
      <c r="H164" s="9"/>
      <c r="I164" s="9"/>
    </row>
    <row r="165" spans="1:9" hidden="1" x14ac:dyDescent="0.3">
      <c r="A165" s="9"/>
      <c r="B165" s="9"/>
      <c r="C165" s="9"/>
      <c r="D165" s="9"/>
      <c r="E165" s="9"/>
      <c r="F165" s="9"/>
      <c r="G165" s="9"/>
      <c r="H165" s="9"/>
      <c r="I165" s="9"/>
    </row>
    <row r="166" spans="1:9" hidden="1" x14ac:dyDescent="0.3">
      <c r="A166" s="9"/>
      <c r="B166" s="9"/>
      <c r="C166" s="9"/>
      <c r="D166" s="9"/>
      <c r="E166" s="9"/>
      <c r="F166" s="9"/>
      <c r="G166" s="9"/>
      <c r="H166" s="9"/>
      <c r="I166" s="9"/>
    </row>
    <row r="167" spans="1:9" hidden="1" x14ac:dyDescent="0.3">
      <c r="A167" s="9"/>
      <c r="B167" s="9"/>
      <c r="C167" s="9"/>
      <c r="D167" s="9"/>
      <c r="E167" s="9"/>
      <c r="F167" s="9"/>
      <c r="G167" s="9"/>
      <c r="H167" s="9"/>
      <c r="I167" s="9"/>
    </row>
    <row r="168" spans="1:9" x14ac:dyDescent="0.3">
      <c r="A168" s="9"/>
      <c r="B168" s="9"/>
      <c r="C168" s="9"/>
      <c r="D168" s="9"/>
      <c r="E168" s="9"/>
      <c r="F168" s="9"/>
      <c r="G168" s="9"/>
      <c r="H168" s="9"/>
      <c r="I168" s="9"/>
    </row>
    <row r="169" spans="1:9" x14ac:dyDescent="0.3">
      <c r="A169" s="9"/>
      <c r="B169" s="9"/>
      <c r="C169" s="9"/>
      <c r="D169" s="9"/>
      <c r="E169" s="9"/>
      <c r="F169" s="9"/>
      <c r="G169" s="9"/>
      <c r="H169" s="9"/>
      <c r="I169" s="9"/>
    </row>
    <row r="170" spans="1:9" x14ac:dyDescent="0.3">
      <c r="A170" s="9"/>
      <c r="B170" s="9"/>
      <c r="C170" s="9"/>
      <c r="D170" s="9"/>
      <c r="E170" s="9"/>
      <c r="F170" s="9"/>
      <c r="G170" s="9"/>
      <c r="H170" s="9"/>
      <c r="I170" s="9"/>
    </row>
    <row r="171" spans="1:9" x14ac:dyDescent="0.3">
      <c r="A171" s="9"/>
      <c r="B171" s="9"/>
      <c r="C171" s="9"/>
      <c r="D171" s="9"/>
      <c r="E171" s="9"/>
      <c r="F171" s="9"/>
      <c r="G171" s="9"/>
      <c r="H171" s="9"/>
      <c r="I171" s="9"/>
    </row>
    <row r="172" spans="1:9" x14ac:dyDescent="0.3">
      <c r="A172" s="9"/>
      <c r="B172" s="9"/>
      <c r="C172" s="9"/>
      <c r="D172" s="9"/>
      <c r="E172" s="9"/>
      <c r="F172" s="9"/>
      <c r="G172" s="9"/>
      <c r="H172" s="9"/>
      <c r="I172" s="9"/>
    </row>
    <row r="173" spans="1:9" x14ac:dyDescent="0.3">
      <c r="A173" s="9"/>
      <c r="B173" s="9"/>
      <c r="C173" s="9"/>
      <c r="D173" s="9"/>
      <c r="E173" s="9"/>
      <c r="F173" s="9"/>
      <c r="G173" s="9"/>
      <c r="H173" s="9"/>
      <c r="I173" s="9"/>
    </row>
    <row r="174" spans="1:9" x14ac:dyDescent="0.3">
      <c r="D174" s="15"/>
      <c r="E174" s="15"/>
      <c r="F174" s="15"/>
      <c r="G174" s="15"/>
    </row>
    <row r="175" spans="1:9" x14ac:dyDescent="0.3">
      <c r="D175" s="15"/>
      <c r="E175" s="15"/>
      <c r="F175" s="15"/>
      <c r="G175" s="15"/>
    </row>
    <row r="176" spans="1:9" ht="15" customHeight="1" x14ac:dyDescent="0.3">
      <c r="D176" s="15"/>
      <c r="E176" s="15"/>
      <c r="F176" s="15"/>
      <c r="G176" s="15"/>
    </row>
    <row r="177" s="15" customFormat="1" x14ac:dyDescent="0.3"/>
    <row r="178" s="15" customFormat="1" x14ac:dyDescent="0.3"/>
    <row r="179" s="15" customFormat="1" x14ac:dyDescent="0.3"/>
    <row r="180" s="15" customFormat="1" x14ac:dyDescent="0.3"/>
    <row r="181" s="15" customFormat="1" x14ac:dyDescent="0.3"/>
    <row r="182" s="15" customFormat="1" x14ac:dyDescent="0.3"/>
    <row r="183" s="15" customFormat="1" x14ac:dyDescent="0.3"/>
    <row r="184" s="15" customFormat="1" ht="15" customHeight="1" x14ac:dyDescent="0.3"/>
    <row r="185" s="15" customFormat="1" ht="15" customHeight="1" x14ac:dyDescent="0.3"/>
    <row r="186" s="15" customFormat="1" ht="15" customHeight="1" x14ac:dyDescent="0.3"/>
    <row r="187" s="15" customFormat="1" x14ac:dyDescent="0.3"/>
    <row r="188" s="15" customFormat="1" x14ac:dyDescent="0.3"/>
    <row r="189" s="15" customFormat="1" x14ac:dyDescent="0.3"/>
    <row r="190" s="15" customFormat="1" x14ac:dyDescent="0.3"/>
    <row r="191" s="15" customFormat="1" x14ac:dyDescent="0.3"/>
    <row r="192" s="15" customFormat="1" x14ac:dyDescent="0.3"/>
    <row r="193" s="15" customFormat="1" x14ac:dyDescent="0.3"/>
    <row r="194" s="15" customFormat="1" x14ac:dyDescent="0.3"/>
    <row r="195" s="15" customFormat="1" x14ac:dyDescent="0.3"/>
    <row r="196" s="15" customFormat="1" x14ac:dyDescent="0.3"/>
    <row r="197" s="15" customFormat="1" x14ac:dyDescent="0.3"/>
    <row r="198" s="15" customFormat="1" x14ac:dyDescent="0.3"/>
    <row r="199" s="15" customFormat="1" x14ac:dyDescent="0.3"/>
    <row r="200" s="15" customFormat="1" x14ac:dyDescent="0.3"/>
  </sheetData>
  <sheetProtection algorithmName="SHA-512" hashValue="D7zLZZU+f6u6iPlF8o9Cenm/j10DJaZ5c+29mOBjSS3mFCepZvjQof2Jg/qPydabOJJ87cBsxlIAShFb1oUH5g==" saltValue="gnorp+BNP8XiDd2MORS+oQ==" spinCount="100000" sheet="1" objects="1" scenarios="1"/>
  <protectedRanges>
    <protectedRange sqref="D20 D7:D11 D29" name="gegevens_1_2_1_1_1"/>
  </protectedRanges>
  <mergeCells count="25">
    <mergeCell ref="D16:F16"/>
    <mergeCell ref="D7:G7"/>
    <mergeCell ref="D8:G8"/>
    <mergeCell ref="D9:G9"/>
    <mergeCell ref="D10:G10"/>
    <mergeCell ref="D15:F15"/>
    <mergeCell ref="E79:F79"/>
    <mergeCell ref="D17:F17"/>
    <mergeCell ref="D18:F18"/>
    <mergeCell ref="D19:F19"/>
    <mergeCell ref="D24:F24"/>
    <mergeCell ref="D25:F25"/>
    <mergeCell ref="D26:F26"/>
    <mergeCell ref="D27:F27"/>
    <mergeCell ref="D28:F28"/>
    <mergeCell ref="E58:F58"/>
    <mergeCell ref="E60:F60"/>
    <mergeCell ref="E63:F63"/>
    <mergeCell ref="C117:G117"/>
    <mergeCell ref="D128:G128"/>
    <mergeCell ref="C85:G85"/>
    <mergeCell ref="E90:F90"/>
    <mergeCell ref="E92:F92"/>
    <mergeCell ref="E95:F95"/>
    <mergeCell ref="E111:F111"/>
  </mergeCells>
  <dataValidations count="4">
    <dataValidation type="list" allowBlank="1" showInputMessage="1" showErrorMessage="1" sqref="D36 D48" xr:uid="{8D9BE04C-B0E3-4BBF-955C-BFFBF380017C}">
      <formula1>$D$130:$D$136</formula1>
    </dataValidation>
    <dataValidation type="list" allowBlank="1" showInputMessage="1" showErrorMessage="1" sqref="D37 D42:D43 D54:D55 D49" xr:uid="{412E12F8-0BD4-4D44-B68F-183D9D953965}">
      <formula1>$D$139:$D$158</formula1>
    </dataValidation>
    <dataValidation operator="lessThanOrEqual" allowBlank="1" showInputMessage="1" showErrorMessage="1" sqref="G122:G124 G42:G43 G54:G55" xr:uid="{20F518EC-9776-47BB-87A4-291905CC7B19}"/>
    <dataValidation type="whole" operator="lessThan" allowBlank="1" showInputMessage="1" showErrorMessage="1" sqref="D35 D47" xr:uid="{435876C3-FD01-4D7D-945B-06E4D5B7E8CE}">
      <formula1>1000</formula1>
    </dataValidation>
  </dataValidations>
  <pageMargins left="0.70866141732283472" right="0.70866141732283472" top="0.74803149606299213" bottom="0.74803149606299213" header="0.31496062992125984" footer="0.31496062992125984"/>
  <pageSetup paperSize="8" scale="47" orientation="portrait" r:id="rId1"/>
  <headerFooter>
    <oddHeader>&amp;L&amp;"Open Sans,Vet"&amp;12&amp;F</oddHeader>
    <oddFooter>&amp;L&amp;"Open Sans,Vet"&amp;12&amp;A&amp;R&amp;"Open Sans,Vet"&amp;12&amp;P van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86DCB6-5203-4F25-91DA-96C166FFFC4E}">
  <sheetPr>
    <pageSetUpPr fitToPage="1"/>
  </sheetPr>
  <dimension ref="A1:K200"/>
  <sheetViews>
    <sheetView showGridLines="0" zoomScale="85" zoomScaleNormal="85" workbookViewId="0">
      <selection activeCell="E182" sqref="E182"/>
    </sheetView>
  </sheetViews>
  <sheetFormatPr defaultColWidth="9.109375" defaultRowHeight="15" x14ac:dyDescent="0.3"/>
  <cols>
    <col min="1" max="2" width="2.6640625" style="15" customWidth="1"/>
    <col min="3" max="3" width="68.5546875" style="15" customWidth="1"/>
    <col min="4" max="4" width="38.33203125" style="18" customWidth="1"/>
    <col min="5" max="5" width="38.44140625" style="18" customWidth="1"/>
    <col min="6" max="6" width="25.6640625" style="18" customWidth="1"/>
    <col min="7" max="7" width="52.5546875" style="18" customWidth="1"/>
    <col min="8" max="12" width="2.6640625" style="15" customWidth="1"/>
    <col min="13" max="13" width="50.6640625" style="15" customWidth="1"/>
    <col min="14" max="16384" width="9.109375" style="15"/>
  </cols>
  <sheetData>
    <row r="1" spans="1:11" s="1" customFormat="1" x14ac:dyDescent="0.35">
      <c r="I1" s="2"/>
      <c r="J1" s="24"/>
    </row>
    <row r="2" spans="1:11" s="1" customFormat="1" ht="15.6" thickBot="1" x14ac:dyDescent="0.4">
      <c r="I2" s="2"/>
      <c r="J2" s="24"/>
    </row>
    <row r="3" spans="1:11" s="25" customFormat="1" ht="75" customHeight="1" thickBot="1" x14ac:dyDescent="0.4">
      <c r="C3" s="91" t="s">
        <v>205</v>
      </c>
      <c r="D3" s="92"/>
      <c r="E3" s="92"/>
      <c r="F3" s="92"/>
      <c r="G3" s="92"/>
      <c r="J3" s="24"/>
    </row>
    <row r="4" spans="1:11" ht="16.5" customHeight="1" x14ac:dyDescent="0.35">
      <c r="A4" s="9"/>
      <c r="B4" s="9"/>
      <c r="C4" s="9"/>
      <c r="D4" s="10"/>
      <c r="E4" s="10"/>
      <c r="F4" s="10"/>
      <c r="G4" s="10"/>
      <c r="H4" s="9"/>
      <c r="I4" s="9"/>
      <c r="J4" s="24"/>
    </row>
    <row r="5" spans="1:11" ht="16.5" customHeight="1" thickBot="1" x14ac:dyDescent="0.4">
      <c r="A5" s="9"/>
      <c r="B5" s="9"/>
      <c r="C5" s="9"/>
      <c r="D5" s="10"/>
      <c r="E5" s="10"/>
      <c r="F5" s="10"/>
      <c r="G5" s="10"/>
      <c r="H5" s="9"/>
      <c r="I5" s="9"/>
      <c r="J5" s="24"/>
    </row>
    <row r="6" spans="1:11" s="1" customFormat="1" ht="16.5" customHeight="1" thickBot="1" x14ac:dyDescent="0.4">
      <c r="B6" s="9"/>
      <c r="C6" s="93" t="s">
        <v>35</v>
      </c>
      <c r="D6" s="57"/>
      <c r="E6" s="57"/>
      <c r="F6" s="57"/>
      <c r="G6" s="94"/>
      <c r="I6" s="2"/>
      <c r="J6" s="24"/>
    </row>
    <row r="7" spans="1:11" s="1" customFormat="1" ht="16.5" customHeight="1" thickBot="1" x14ac:dyDescent="0.4">
      <c r="B7" s="9"/>
      <c r="C7" s="95" t="s">
        <v>36</v>
      </c>
      <c r="D7" s="246" t="s">
        <v>37</v>
      </c>
      <c r="E7" s="247"/>
      <c r="F7" s="247"/>
      <c r="G7" s="248"/>
      <c r="I7" s="2"/>
      <c r="J7" s="24"/>
    </row>
    <row r="8" spans="1:11" s="1" customFormat="1" ht="16.5" customHeight="1" thickBot="1" x14ac:dyDescent="0.4">
      <c r="B8" s="9"/>
      <c r="C8" s="95" t="s">
        <v>38</v>
      </c>
      <c r="D8" s="246" t="s">
        <v>39</v>
      </c>
      <c r="E8" s="247"/>
      <c r="F8" s="247"/>
      <c r="G8" s="248"/>
      <c r="I8" s="2"/>
      <c r="J8" s="24"/>
    </row>
    <row r="9" spans="1:11" s="1" customFormat="1" ht="16.5" customHeight="1" thickBot="1" x14ac:dyDescent="0.4">
      <c r="B9" s="9"/>
      <c r="C9" s="95" t="s">
        <v>40</v>
      </c>
      <c r="D9" s="246" t="s">
        <v>41</v>
      </c>
      <c r="E9" s="247"/>
      <c r="F9" s="247"/>
      <c r="G9" s="248"/>
      <c r="I9" s="2"/>
      <c r="J9" s="24"/>
    </row>
    <row r="10" spans="1:11" s="1" customFormat="1" ht="16.5" customHeight="1" thickBot="1" x14ac:dyDescent="0.4">
      <c r="B10" s="9"/>
      <c r="C10" s="95" t="s">
        <v>42</v>
      </c>
      <c r="D10" s="246" t="s">
        <v>43</v>
      </c>
      <c r="E10" s="247"/>
      <c r="F10" s="247"/>
      <c r="G10" s="248"/>
      <c r="I10" s="2"/>
      <c r="J10" s="24"/>
    </row>
    <row r="11" spans="1:11" s="1" customFormat="1" ht="16.5" customHeight="1" thickBot="1" x14ac:dyDescent="0.4">
      <c r="B11" s="9"/>
      <c r="C11" s="58"/>
      <c r="D11" s="60"/>
      <c r="E11" s="60"/>
      <c r="F11" s="60"/>
      <c r="G11" s="96"/>
      <c r="I11" s="2"/>
      <c r="J11" s="24"/>
    </row>
    <row r="12" spans="1:11" s="13" customFormat="1" ht="16.5" customHeight="1" x14ac:dyDescent="0.35">
      <c r="A12" s="1"/>
      <c r="B12" s="9"/>
      <c r="C12" s="97"/>
      <c r="D12" s="97"/>
      <c r="E12" s="98"/>
      <c r="F12" s="98"/>
      <c r="G12" s="98"/>
      <c r="H12" s="1"/>
      <c r="I12" s="1"/>
      <c r="J12" s="24"/>
    </row>
    <row r="13" spans="1:11" s="13" customFormat="1" ht="16.5" customHeight="1" thickBot="1" x14ac:dyDescent="0.4">
      <c r="A13" s="1"/>
      <c r="B13" s="9"/>
      <c r="C13" s="97"/>
      <c r="D13" s="97"/>
      <c r="E13" s="98"/>
      <c r="F13" s="98"/>
      <c r="G13" s="99"/>
      <c r="H13" s="1"/>
      <c r="I13" s="1"/>
      <c r="J13" s="24"/>
    </row>
    <row r="14" spans="1:11" s="16" customFormat="1" ht="16.5" customHeight="1" thickBot="1" x14ac:dyDescent="0.4">
      <c r="A14" s="1"/>
      <c r="B14" s="9"/>
      <c r="C14" s="62" t="s">
        <v>200</v>
      </c>
      <c r="D14" s="100"/>
      <c r="E14" s="100"/>
      <c r="F14" s="101"/>
      <c r="G14" s="99"/>
      <c r="H14" s="1"/>
      <c r="I14" s="1"/>
      <c r="J14" s="24"/>
      <c r="K14" s="13"/>
    </row>
    <row r="15" spans="1:11" s="23" customFormat="1" ht="16.5" customHeight="1" thickBot="1" x14ac:dyDescent="0.4">
      <c r="A15" s="1"/>
      <c r="B15" s="9"/>
      <c r="C15" s="102" t="s">
        <v>78</v>
      </c>
      <c r="D15" s="251"/>
      <c r="E15" s="252"/>
      <c r="F15" s="253"/>
      <c r="G15" s="99"/>
      <c r="H15" s="99"/>
      <c r="I15" s="99"/>
      <c r="J15" s="24"/>
    </row>
    <row r="16" spans="1:11" s="23" customFormat="1" ht="16.5" customHeight="1" thickBot="1" x14ac:dyDescent="0.4">
      <c r="A16" s="1"/>
      <c r="B16" s="9"/>
      <c r="C16" s="102" t="s">
        <v>88</v>
      </c>
      <c r="D16" s="251"/>
      <c r="E16" s="252"/>
      <c r="F16" s="253"/>
      <c r="G16" s="99"/>
      <c r="H16" s="99"/>
      <c r="I16" s="99"/>
      <c r="J16" s="24"/>
    </row>
    <row r="17" spans="1:11" s="23" customFormat="1" ht="16.5" customHeight="1" thickBot="1" x14ac:dyDescent="0.4">
      <c r="A17" s="1"/>
      <c r="B17" s="9"/>
      <c r="C17" s="102" t="s">
        <v>79</v>
      </c>
      <c r="D17" s="251"/>
      <c r="E17" s="252"/>
      <c r="F17" s="253"/>
      <c r="G17" s="99"/>
      <c r="H17" s="99"/>
      <c r="I17" s="99"/>
      <c r="J17" s="24"/>
    </row>
    <row r="18" spans="1:11" s="23" customFormat="1" ht="16.5" customHeight="1" thickBot="1" x14ac:dyDescent="0.4">
      <c r="A18" s="1"/>
      <c r="B18" s="9"/>
      <c r="C18" s="102" t="s">
        <v>80</v>
      </c>
      <c r="D18" s="251"/>
      <c r="E18" s="252"/>
      <c r="F18" s="253"/>
      <c r="G18" s="99"/>
      <c r="H18" s="99"/>
      <c r="I18" s="99"/>
      <c r="J18" s="24"/>
    </row>
    <row r="19" spans="1:11" s="23" customFormat="1" ht="16.5" customHeight="1" thickBot="1" x14ac:dyDescent="0.4">
      <c r="A19" s="1"/>
      <c r="B19" s="9"/>
      <c r="C19" s="102" t="s">
        <v>81</v>
      </c>
      <c r="D19" s="251"/>
      <c r="E19" s="252"/>
      <c r="F19" s="253"/>
      <c r="G19" s="99"/>
      <c r="H19" s="99"/>
      <c r="I19" s="99"/>
      <c r="J19" s="24"/>
    </row>
    <row r="20" spans="1:11" s="1" customFormat="1" ht="16.5" customHeight="1" thickBot="1" x14ac:dyDescent="0.4">
      <c r="B20" s="9"/>
      <c r="C20" s="58"/>
      <c r="D20" s="60"/>
      <c r="E20" s="60"/>
      <c r="F20" s="96"/>
      <c r="G20" s="99"/>
      <c r="I20" s="2"/>
      <c r="J20" s="24"/>
    </row>
    <row r="21" spans="1:11" s="13" customFormat="1" ht="16.5" customHeight="1" x14ac:dyDescent="0.35">
      <c r="A21" s="1"/>
      <c r="B21" s="1"/>
      <c r="C21" s="97"/>
      <c r="D21" s="97"/>
      <c r="E21" s="98"/>
      <c r="F21" s="98"/>
      <c r="G21" s="99"/>
      <c r="H21" s="1"/>
      <c r="I21" s="1"/>
      <c r="J21" s="24"/>
    </row>
    <row r="22" spans="1:11" s="13" customFormat="1" ht="16.5" customHeight="1" thickBot="1" x14ac:dyDescent="0.4">
      <c r="A22" s="1"/>
      <c r="B22" s="1"/>
      <c r="C22" s="97"/>
      <c r="D22" s="97"/>
      <c r="E22" s="98"/>
      <c r="F22" s="98"/>
      <c r="G22" s="99"/>
      <c r="H22" s="1"/>
      <c r="I22" s="1"/>
      <c r="J22" s="24"/>
    </row>
    <row r="23" spans="1:11" s="16" customFormat="1" ht="16.5" customHeight="1" thickBot="1" x14ac:dyDescent="0.4">
      <c r="A23" s="1"/>
      <c r="B23" s="9"/>
      <c r="C23" s="62" t="s">
        <v>199</v>
      </c>
      <c r="D23" s="100"/>
      <c r="E23" s="100"/>
      <c r="F23" s="101"/>
      <c r="G23" s="99"/>
      <c r="H23" s="1"/>
      <c r="I23" s="1"/>
      <c r="J23" s="24"/>
      <c r="K23" s="13"/>
    </row>
    <row r="24" spans="1:11" s="23" customFormat="1" ht="16.5" customHeight="1" thickBot="1" x14ac:dyDescent="0.4">
      <c r="A24" s="1"/>
      <c r="B24" s="9"/>
      <c r="C24" s="102" t="s">
        <v>78</v>
      </c>
      <c r="D24" s="251"/>
      <c r="E24" s="252"/>
      <c r="F24" s="253"/>
      <c r="G24" s="99"/>
      <c r="H24" s="99"/>
      <c r="I24" s="99"/>
      <c r="J24" s="24"/>
    </row>
    <row r="25" spans="1:11" s="23" customFormat="1" ht="16.5" customHeight="1" thickBot="1" x14ac:dyDescent="0.4">
      <c r="A25" s="1"/>
      <c r="B25" s="9"/>
      <c r="C25" s="102" t="s">
        <v>88</v>
      </c>
      <c r="D25" s="251"/>
      <c r="E25" s="252"/>
      <c r="F25" s="253"/>
      <c r="G25" s="99"/>
      <c r="H25" s="99"/>
      <c r="I25" s="99"/>
      <c r="J25" s="24"/>
    </row>
    <row r="26" spans="1:11" s="23" customFormat="1" ht="16.5" customHeight="1" thickBot="1" x14ac:dyDescent="0.4">
      <c r="A26" s="1"/>
      <c r="B26" s="9"/>
      <c r="C26" s="102" t="s">
        <v>79</v>
      </c>
      <c r="D26" s="251"/>
      <c r="E26" s="252"/>
      <c r="F26" s="253"/>
      <c r="G26" s="99"/>
      <c r="H26" s="99"/>
      <c r="I26" s="99"/>
      <c r="J26" s="24"/>
    </row>
    <row r="27" spans="1:11" s="23" customFormat="1" ht="16.5" customHeight="1" thickBot="1" x14ac:dyDescent="0.4">
      <c r="A27" s="1"/>
      <c r="B27" s="9"/>
      <c r="C27" s="102" t="s">
        <v>80</v>
      </c>
      <c r="D27" s="251"/>
      <c r="E27" s="252"/>
      <c r="F27" s="253"/>
      <c r="G27" s="99"/>
      <c r="H27" s="99"/>
      <c r="I27" s="99"/>
      <c r="J27" s="24"/>
    </row>
    <row r="28" spans="1:11" s="23" customFormat="1" ht="16.5" customHeight="1" thickBot="1" x14ac:dyDescent="0.4">
      <c r="A28" s="1"/>
      <c r="B28" s="9"/>
      <c r="C28" s="102" t="s">
        <v>81</v>
      </c>
      <c r="D28" s="251"/>
      <c r="E28" s="252"/>
      <c r="F28" s="253"/>
      <c r="G28" s="99"/>
      <c r="H28" s="99"/>
      <c r="I28" s="99"/>
      <c r="J28" s="24"/>
    </row>
    <row r="29" spans="1:11" s="1" customFormat="1" ht="16.5" customHeight="1" thickBot="1" x14ac:dyDescent="0.4">
      <c r="B29" s="9"/>
      <c r="C29" s="58"/>
      <c r="D29" s="60"/>
      <c r="E29" s="60"/>
      <c r="F29" s="96"/>
      <c r="G29" s="99"/>
      <c r="I29" s="2"/>
      <c r="J29" s="24"/>
    </row>
    <row r="30" spans="1:11" s="13" customFormat="1" ht="16.5" customHeight="1" x14ac:dyDescent="0.35">
      <c r="A30" s="1"/>
      <c r="B30" s="1"/>
      <c r="C30" s="97"/>
      <c r="D30" s="97"/>
      <c r="E30" s="98"/>
      <c r="F30" s="98"/>
      <c r="G30" s="99"/>
      <c r="H30" s="1"/>
      <c r="I30" s="1"/>
      <c r="J30" s="24"/>
    </row>
    <row r="31" spans="1:11" s="13" customFormat="1" ht="16.5" customHeight="1" thickBot="1" x14ac:dyDescent="0.4">
      <c r="A31" s="1"/>
      <c r="B31" s="1"/>
      <c r="C31" s="97"/>
      <c r="D31" s="97"/>
      <c r="E31" s="98"/>
      <c r="F31" s="98"/>
      <c r="G31" s="99"/>
      <c r="H31" s="1"/>
      <c r="I31" s="1"/>
      <c r="J31" s="24"/>
    </row>
    <row r="32" spans="1:11" s="16" customFormat="1" ht="16.5" customHeight="1" thickBot="1" x14ac:dyDescent="0.4">
      <c r="A32" s="1"/>
      <c r="B32" s="1"/>
      <c r="C32" s="62" t="s">
        <v>197</v>
      </c>
      <c r="D32" s="100"/>
      <c r="E32" s="100"/>
      <c r="F32" s="101"/>
      <c r="G32" s="99"/>
      <c r="H32" s="1"/>
      <c r="I32" s="1"/>
      <c r="J32" s="24"/>
      <c r="K32" s="13"/>
    </row>
    <row r="33" spans="1:11" s="1" customFormat="1" ht="16.5" customHeight="1" thickBot="1" x14ac:dyDescent="0.4">
      <c r="C33" s="103"/>
      <c r="D33" s="104" t="s">
        <v>189</v>
      </c>
      <c r="E33" s="74"/>
      <c r="F33" s="74"/>
      <c r="G33" s="99"/>
      <c r="J33" s="24"/>
      <c r="K33" s="13"/>
    </row>
    <row r="34" spans="1:11" s="1" customFormat="1" ht="16.5" customHeight="1" thickBot="1" x14ac:dyDescent="0.4">
      <c r="C34" s="105"/>
      <c r="D34" s="77">
        <f>'Formulier logistiek'!$K$17</f>
        <v>800</v>
      </c>
      <c r="E34" s="77"/>
      <c r="F34" s="77"/>
      <c r="G34" s="99"/>
      <c r="J34" s="24"/>
      <c r="K34" s="13"/>
    </row>
    <row r="35" spans="1:11" s="14" customFormat="1" ht="16.5" customHeight="1" thickBot="1" x14ac:dyDescent="0.4">
      <c r="A35" s="1"/>
      <c r="B35" s="1"/>
      <c r="C35" s="106" t="s">
        <v>91</v>
      </c>
      <c r="D35" s="41"/>
      <c r="E35" s="107" t="s">
        <v>85</v>
      </c>
      <c r="F35" s="108">
        <f>$D$35*$D$34</f>
        <v>0</v>
      </c>
      <c r="G35" s="109"/>
      <c r="H35" s="20"/>
      <c r="I35" s="20"/>
      <c r="J35" s="24"/>
    </row>
    <row r="36" spans="1:11" s="14" customFormat="1" ht="16.5" customHeight="1" thickBot="1" x14ac:dyDescent="0.4">
      <c r="A36" s="1"/>
      <c r="B36" s="1"/>
      <c r="C36" s="106" t="s">
        <v>92</v>
      </c>
      <c r="D36" s="40" t="s">
        <v>1</v>
      </c>
      <c r="E36" s="107" t="s">
        <v>72</v>
      </c>
      <c r="F36" s="110">
        <f>VLOOKUP(D36,$D$130:$E$136,2,FALSE)</f>
        <v>0</v>
      </c>
      <c r="G36" s="109"/>
      <c r="H36" s="20"/>
      <c r="I36" s="20"/>
      <c r="J36" s="24"/>
    </row>
    <row r="37" spans="1:11" s="14" customFormat="1" ht="30.75" customHeight="1" thickBot="1" x14ac:dyDescent="0.4">
      <c r="A37" s="1"/>
      <c r="B37" s="1"/>
      <c r="C37" s="106" t="s">
        <v>141</v>
      </c>
      <c r="D37" s="40" t="s">
        <v>1</v>
      </c>
      <c r="E37" s="107" t="s">
        <v>73</v>
      </c>
      <c r="F37" s="111">
        <f>1-(VLOOKUP(D37,$D$139:$G$158,2,FALSE))</f>
        <v>1</v>
      </c>
      <c r="G37" s="20"/>
      <c r="H37" s="20"/>
      <c r="I37" s="20"/>
      <c r="J37" s="24"/>
    </row>
    <row r="38" spans="1:11" s="16" customFormat="1" ht="16.5" customHeight="1" thickBot="1" x14ac:dyDescent="0.4">
      <c r="A38" s="1"/>
      <c r="B38" s="1"/>
      <c r="C38" s="112" t="s">
        <v>149</v>
      </c>
      <c r="D38" s="113"/>
      <c r="E38" s="100"/>
      <c r="F38" s="114">
        <f>((F36-(F36*F37))*F35)/1000000</f>
        <v>0</v>
      </c>
      <c r="G38" s="109"/>
      <c r="H38" s="19"/>
      <c r="I38" s="19"/>
      <c r="J38" s="24"/>
    </row>
    <row r="39" spans="1:11" s="13" customFormat="1" ht="16.5" customHeight="1" thickBot="1" x14ac:dyDescent="0.4">
      <c r="A39" s="1"/>
      <c r="B39" s="1"/>
      <c r="C39" s="115" t="s">
        <v>150</v>
      </c>
      <c r="D39" s="116"/>
      <c r="E39" s="117"/>
      <c r="F39" s="118">
        <v>100</v>
      </c>
      <c r="G39" s="20"/>
      <c r="H39" s="1"/>
      <c r="I39" s="1"/>
      <c r="J39" s="24"/>
    </row>
    <row r="40" spans="1:11" s="14" customFormat="1" ht="16.5" customHeight="1" thickBot="1" x14ac:dyDescent="0.4">
      <c r="A40" s="1"/>
      <c r="B40" s="1"/>
      <c r="C40" s="119" t="s">
        <v>46</v>
      </c>
      <c r="D40" s="120"/>
      <c r="E40" s="120"/>
      <c r="F40" s="121">
        <f>$F$38*$F$39</f>
        <v>0</v>
      </c>
      <c r="G40" s="109"/>
      <c r="H40" s="109"/>
      <c r="I40" s="20"/>
      <c r="J40" s="24"/>
      <c r="K40" s="17"/>
    </row>
    <row r="41" spans="1:11" s="14" customFormat="1" ht="16.5" customHeight="1" thickBot="1" x14ac:dyDescent="0.4">
      <c r="A41" s="1"/>
      <c r="B41" s="1"/>
      <c r="C41" s="122" t="s">
        <v>45</v>
      </c>
      <c r="D41" s="123"/>
      <c r="E41" s="123"/>
      <c r="F41" s="124">
        <f>$F$40/$D$34</f>
        <v>0</v>
      </c>
      <c r="G41" s="109"/>
      <c r="H41" s="109"/>
      <c r="I41" s="20"/>
      <c r="J41" s="24"/>
      <c r="K41" s="17"/>
    </row>
    <row r="42" spans="1:11" s="14" customFormat="1" ht="16.5" customHeight="1" x14ac:dyDescent="0.35">
      <c r="A42" s="20"/>
      <c r="B42" s="20"/>
      <c r="C42" s="20"/>
      <c r="D42" s="20"/>
      <c r="E42" s="20"/>
      <c r="F42" s="125"/>
      <c r="G42" s="126"/>
      <c r="H42" s="109"/>
      <c r="I42" s="20"/>
      <c r="J42" s="24"/>
      <c r="K42" s="22"/>
    </row>
    <row r="43" spans="1:11" s="14" customFormat="1" ht="16.5" customHeight="1" thickBot="1" x14ac:dyDescent="0.4">
      <c r="A43" s="20"/>
      <c r="B43" s="20"/>
      <c r="C43" s="20"/>
      <c r="D43" s="20"/>
      <c r="E43" s="20"/>
      <c r="F43" s="125"/>
      <c r="G43" s="126"/>
      <c r="H43" s="109"/>
      <c r="I43" s="20"/>
      <c r="J43" s="24"/>
      <c r="K43" s="22"/>
    </row>
    <row r="44" spans="1:11" s="16" customFormat="1" ht="16.5" customHeight="1" thickBot="1" x14ac:dyDescent="0.4">
      <c r="A44" s="1"/>
      <c r="B44" s="1"/>
      <c r="C44" s="62" t="s">
        <v>198</v>
      </c>
      <c r="D44" s="100"/>
      <c r="E44" s="100"/>
      <c r="F44" s="101"/>
      <c r="G44" s="99"/>
      <c r="H44" s="1"/>
      <c r="I44" s="1"/>
      <c r="J44" s="24"/>
      <c r="K44" s="13"/>
    </row>
    <row r="45" spans="1:11" s="1" customFormat="1" ht="16.5" customHeight="1" thickBot="1" x14ac:dyDescent="0.4">
      <c r="C45" s="103"/>
      <c r="D45" s="104" t="s">
        <v>190</v>
      </c>
      <c r="E45" s="74"/>
      <c r="F45" s="74"/>
      <c r="G45" s="99"/>
      <c r="J45" s="24"/>
      <c r="K45" s="13"/>
    </row>
    <row r="46" spans="1:11" s="1" customFormat="1" ht="16.5" customHeight="1" thickBot="1" x14ac:dyDescent="0.4">
      <c r="C46" s="105"/>
      <c r="D46" s="77">
        <f>'Formulier logistiek'!$K$24</f>
        <v>34000</v>
      </c>
      <c r="E46" s="77"/>
      <c r="F46" s="77"/>
      <c r="G46" s="99"/>
      <c r="J46" s="24"/>
      <c r="K46" s="13"/>
    </row>
    <row r="47" spans="1:11" s="14" customFormat="1" ht="16.5" customHeight="1" thickBot="1" x14ac:dyDescent="0.4">
      <c r="A47" s="1"/>
      <c r="B47" s="1"/>
      <c r="C47" s="106" t="s">
        <v>91</v>
      </c>
      <c r="D47" s="41"/>
      <c r="E47" s="107" t="s">
        <v>85</v>
      </c>
      <c r="F47" s="108">
        <f>$D$47*$D$46</f>
        <v>0</v>
      </c>
      <c r="G47" s="109"/>
      <c r="H47" s="20"/>
      <c r="I47" s="20"/>
      <c r="J47" s="24"/>
    </row>
    <row r="48" spans="1:11" s="14" customFormat="1" ht="16.5" customHeight="1" thickBot="1" x14ac:dyDescent="0.4">
      <c r="A48" s="1"/>
      <c r="B48" s="1"/>
      <c r="C48" s="106" t="s">
        <v>92</v>
      </c>
      <c r="D48" s="40" t="s">
        <v>1</v>
      </c>
      <c r="E48" s="107" t="s">
        <v>72</v>
      </c>
      <c r="F48" s="110">
        <f>VLOOKUP(D48,$D$130:$E$136,2,FALSE)</f>
        <v>0</v>
      </c>
      <c r="G48" s="109"/>
      <c r="H48" s="20"/>
      <c r="I48" s="20"/>
      <c r="J48" s="24"/>
    </row>
    <row r="49" spans="1:11" s="14" customFormat="1" ht="30.75" customHeight="1" thickBot="1" x14ac:dyDescent="0.4">
      <c r="A49" s="1"/>
      <c r="B49" s="1"/>
      <c r="C49" s="106" t="s">
        <v>141</v>
      </c>
      <c r="D49" s="40" t="s">
        <v>1</v>
      </c>
      <c r="E49" s="107" t="s">
        <v>73</v>
      </c>
      <c r="F49" s="111">
        <f>1-(VLOOKUP(D49,$D$139:$G$158,2,FALSE))</f>
        <v>1</v>
      </c>
      <c r="G49" s="20"/>
      <c r="H49" s="20"/>
      <c r="I49" s="20"/>
      <c r="J49" s="24"/>
    </row>
    <row r="50" spans="1:11" s="16" customFormat="1" ht="16.5" customHeight="1" thickBot="1" x14ac:dyDescent="0.4">
      <c r="A50" s="1"/>
      <c r="B50" s="1"/>
      <c r="C50" s="112" t="s">
        <v>149</v>
      </c>
      <c r="D50" s="113"/>
      <c r="E50" s="100"/>
      <c r="F50" s="114">
        <f>((F48-(F48*F49))*F47)/1000000</f>
        <v>0</v>
      </c>
      <c r="G50" s="109"/>
      <c r="H50" s="19"/>
      <c r="I50" s="19"/>
      <c r="J50" s="24"/>
    </row>
    <row r="51" spans="1:11" s="13" customFormat="1" ht="16.5" customHeight="1" thickBot="1" x14ac:dyDescent="0.4">
      <c r="A51" s="1"/>
      <c r="B51" s="1"/>
      <c r="C51" s="115" t="s">
        <v>150</v>
      </c>
      <c r="D51" s="116"/>
      <c r="E51" s="117"/>
      <c r="F51" s="118">
        <v>100</v>
      </c>
      <c r="G51" s="20"/>
      <c r="H51" s="1"/>
      <c r="I51" s="1"/>
      <c r="J51" s="24"/>
    </row>
    <row r="52" spans="1:11" s="14" customFormat="1" ht="16.5" customHeight="1" thickBot="1" x14ac:dyDescent="0.4">
      <c r="A52" s="1"/>
      <c r="B52" s="1"/>
      <c r="C52" s="119" t="s">
        <v>46</v>
      </c>
      <c r="D52" s="120"/>
      <c r="E52" s="120"/>
      <c r="F52" s="121">
        <f>$F$50*$F$51</f>
        <v>0</v>
      </c>
      <c r="G52" s="109"/>
      <c r="H52" s="109"/>
      <c r="I52" s="20"/>
      <c r="J52" s="24"/>
      <c r="K52" s="17"/>
    </row>
    <row r="53" spans="1:11" s="14" customFormat="1" ht="16.5" customHeight="1" thickBot="1" x14ac:dyDescent="0.4">
      <c r="A53" s="1"/>
      <c r="B53" s="1"/>
      <c r="C53" s="122" t="s">
        <v>45</v>
      </c>
      <c r="D53" s="123"/>
      <c r="E53" s="123"/>
      <c r="F53" s="124">
        <f>$F$40/$D$34</f>
        <v>0</v>
      </c>
      <c r="G53" s="109"/>
      <c r="H53" s="109"/>
      <c r="I53" s="20"/>
      <c r="J53" s="24"/>
      <c r="K53" s="17"/>
    </row>
    <row r="54" spans="1:11" s="14" customFormat="1" ht="16.5" customHeight="1" x14ac:dyDescent="0.35">
      <c r="A54" s="20"/>
      <c r="B54" s="20"/>
      <c r="C54" s="20"/>
      <c r="D54" s="20"/>
      <c r="E54" s="127"/>
      <c r="F54" s="125"/>
      <c r="G54" s="126"/>
      <c r="H54" s="109"/>
      <c r="I54" s="20"/>
      <c r="J54" s="24"/>
      <c r="K54" s="22"/>
    </row>
    <row r="55" spans="1:11" s="14" customFormat="1" ht="16.5" customHeight="1" thickBot="1" x14ac:dyDescent="0.4">
      <c r="A55" s="20"/>
      <c r="B55" s="20"/>
      <c r="C55" s="20"/>
      <c r="D55" s="20"/>
      <c r="E55" s="127"/>
      <c r="F55" s="125"/>
      <c r="G55" s="126"/>
      <c r="H55" s="109"/>
      <c r="I55" s="20"/>
      <c r="J55" s="24"/>
      <c r="K55" s="22"/>
    </row>
    <row r="56" spans="1:11" s="16" customFormat="1" ht="16.5" customHeight="1" thickBot="1" x14ac:dyDescent="0.4">
      <c r="A56" s="19"/>
      <c r="B56" s="19"/>
      <c r="C56" s="62" t="s">
        <v>107</v>
      </c>
      <c r="D56" s="128"/>
      <c r="E56" s="128"/>
      <c r="F56" s="128"/>
      <c r="G56" s="129"/>
      <c r="H56" s="19"/>
      <c r="I56" s="19"/>
      <c r="J56" s="24"/>
    </row>
    <row r="57" spans="1:11" s="13" customFormat="1" ht="16.5" customHeight="1" thickBot="1" x14ac:dyDescent="0.4">
      <c r="A57" s="1"/>
      <c r="B57" s="1"/>
      <c r="C57" s="130" t="s">
        <v>196</v>
      </c>
      <c r="D57" s="131"/>
      <c r="E57" s="131"/>
      <c r="F57" s="132"/>
      <c r="G57" s="133" t="s">
        <v>51</v>
      </c>
      <c r="H57" s="1"/>
      <c r="I57" s="1"/>
      <c r="J57" s="24"/>
    </row>
    <row r="58" spans="1:11" s="13" customFormat="1" ht="30.75" customHeight="1" thickBot="1" x14ac:dyDescent="0.4">
      <c r="A58" s="1"/>
      <c r="B58" s="1"/>
      <c r="C58" s="134" t="s">
        <v>49</v>
      </c>
      <c r="D58" s="135" t="s">
        <v>212</v>
      </c>
      <c r="E58" s="249" t="s">
        <v>76</v>
      </c>
      <c r="F58" s="249"/>
      <c r="G58" s="136"/>
      <c r="H58" s="1"/>
      <c r="I58" s="1"/>
      <c r="J58" s="24"/>
    </row>
    <row r="59" spans="1:11" s="13" customFormat="1" ht="16.5" customHeight="1" thickBot="1" x14ac:dyDescent="0.4">
      <c r="A59" s="1"/>
      <c r="B59" s="1"/>
      <c r="C59" s="137" t="s">
        <v>50</v>
      </c>
      <c r="D59" s="30"/>
      <c r="E59" s="138" t="s">
        <v>20</v>
      </c>
      <c r="F59" s="139" t="s">
        <v>159</v>
      </c>
      <c r="G59" s="140">
        <f>(D59*450-340)</f>
        <v>-340</v>
      </c>
      <c r="H59" s="1"/>
      <c r="I59" s="1"/>
      <c r="J59" s="24"/>
    </row>
    <row r="60" spans="1:11" s="13" customFormat="1" ht="30.6" thickBot="1" x14ac:dyDescent="0.4">
      <c r="A60" s="1"/>
      <c r="B60" s="1"/>
      <c r="C60" s="141" t="s">
        <v>16</v>
      </c>
      <c r="D60" s="142" t="s">
        <v>143</v>
      </c>
      <c r="E60" s="249" t="s">
        <v>74</v>
      </c>
      <c r="F60" s="249"/>
      <c r="G60" s="143"/>
      <c r="H60" s="1"/>
      <c r="I60" s="1"/>
      <c r="J60" s="24"/>
    </row>
    <row r="61" spans="1:11" s="43" customFormat="1" ht="16.5" customHeight="1" thickBot="1" x14ac:dyDescent="0.4">
      <c r="A61" s="33"/>
      <c r="B61" s="33"/>
      <c r="C61" s="144" t="s">
        <v>17</v>
      </c>
      <c r="D61" s="30"/>
      <c r="E61" s="138" t="s">
        <v>75</v>
      </c>
      <c r="F61" s="145">
        <v>1.8</v>
      </c>
      <c r="G61" s="140">
        <f>D61*F61</f>
        <v>0</v>
      </c>
      <c r="H61" s="33"/>
      <c r="I61" s="33"/>
      <c r="J61" s="44"/>
    </row>
    <row r="62" spans="1:11" s="43" customFormat="1" ht="16.5" customHeight="1" thickBot="1" x14ac:dyDescent="0.4">
      <c r="A62" s="33"/>
      <c r="B62" s="33"/>
      <c r="C62" s="144" t="s">
        <v>18</v>
      </c>
      <c r="D62" s="30"/>
      <c r="E62" s="138" t="s">
        <v>75</v>
      </c>
      <c r="F62" s="146">
        <v>2</v>
      </c>
      <c r="G62" s="140">
        <f>D62*F62</f>
        <v>0</v>
      </c>
      <c r="H62" s="33"/>
      <c r="I62" s="33"/>
      <c r="J62" s="44"/>
    </row>
    <row r="63" spans="1:11" s="13" customFormat="1" ht="30.6" thickBot="1" x14ac:dyDescent="0.4">
      <c r="A63" s="1"/>
      <c r="B63" s="1"/>
      <c r="C63" s="147" t="s">
        <v>19</v>
      </c>
      <c r="D63" s="142" t="s">
        <v>144</v>
      </c>
      <c r="E63" s="249" t="s">
        <v>76</v>
      </c>
      <c r="F63" s="249"/>
      <c r="G63" s="143"/>
      <c r="H63" s="1"/>
      <c r="I63" s="1"/>
      <c r="J63" s="24"/>
    </row>
    <row r="64" spans="1:11" s="13" customFormat="1" ht="16.5" customHeight="1" thickBot="1" x14ac:dyDescent="0.4">
      <c r="A64" s="1"/>
      <c r="B64" s="1"/>
      <c r="C64" s="137" t="s">
        <v>52</v>
      </c>
      <c r="D64" s="30"/>
      <c r="E64" s="138" t="s">
        <v>20</v>
      </c>
      <c r="F64" s="148">
        <v>1.5</v>
      </c>
      <c r="G64" s="140">
        <f>D64*F64</f>
        <v>0</v>
      </c>
      <c r="H64" s="1"/>
      <c r="I64" s="1"/>
      <c r="J64" s="24"/>
    </row>
    <row r="65" spans="1:10" s="13" customFormat="1" ht="16.5" customHeight="1" thickBot="1" x14ac:dyDescent="0.4">
      <c r="A65" s="1"/>
      <c r="B65" s="1"/>
      <c r="C65" s="137" t="s">
        <v>21</v>
      </c>
      <c r="D65" s="30"/>
      <c r="E65" s="138" t="s">
        <v>20</v>
      </c>
      <c r="F65" s="145">
        <v>0.1</v>
      </c>
      <c r="G65" s="140">
        <f t="shared" ref="G65:G80" si="0">D65*F65</f>
        <v>0</v>
      </c>
      <c r="H65" s="1"/>
      <c r="I65" s="1"/>
      <c r="J65" s="24"/>
    </row>
    <row r="66" spans="1:10" s="13" customFormat="1" ht="16.5" customHeight="1" thickBot="1" x14ac:dyDescent="0.4">
      <c r="A66" s="1"/>
      <c r="B66" s="1"/>
      <c r="C66" s="137" t="s">
        <v>22</v>
      </c>
      <c r="D66" s="30"/>
      <c r="E66" s="138" t="s">
        <v>20</v>
      </c>
      <c r="F66" s="145">
        <v>0.5</v>
      </c>
      <c r="G66" s="140">
        <f t="shared" si="0"/>
        <v>0</v>
      </c>
      <c r="H66" s="1"/>
      <c r="I66" s="1"/>
      <c r="J66" s="24"/>
    </row>
    <row r="67" spans="1:10" s="13" customFormat="1" ht="16.5" customHeight="1" thickBot="1" x14ac:dyDescent="0.4">
      <c r="A67" s="1"/>
      <c r="B67" s="1"/>
      <c r="C67" s="137" t="s">
        <v>23</v>
      </c>
      <c r="D67" s="30"/>
      <c r="E67" s="138" t="s">
        <v>20</v>
      </c>
      <c r="F67" s="145">
        <v>6.6</v>
      </c>
      <c r="G67" s="140">
        <f t="shared" si="0"/>
        <v>0</v>
      </c>
      <c r="H67" s="1"/>
      <c r="I67" s="1"/>
      <c r="J67" s="24"/>
    </row>
    <row r="68" spans="1:10" s="13" customFormat="1" ht="16.5" customHeight="1" thickBot="1" x14ac:dyDescent="0.4">
      <c r="A68" s="1"/>
      <c r="B68" s="1"/>
      <c r="C68" s="137" t="s">
        <v>24</v>
      </c>
      <c r="D68" s="30"/>
      <c r="E68" s="138" t="s">
        <v>20</v>
      </c>
      <c r="F68" s="145">
        <v>0.3</v>
      </c>
      <c r="G68" s="140">
        <f t="shared" si="0"/>
        <v>0</v>
      </c>
      <c r="H68" s="1"/>
      <c r="I68" s="1"/>
      <c r="J68" s="24"/>
    </row>
    <row r="69" spans="1:10" s="13" customFormat="1" ht="16.5" customHeight="1" thickBot="1" x14ac:dyDescent="0.4">
      <c r="A69" s="1"/>
      <c r="B69" s="1"/>
      <c r="C69" s="137" t="s">
        <v>25</v>
      </c>
      <c r="D69" s="30"/>
      <c r="E69" s="138" t="s">
        <v>20</v>
      </c>
      <c r="F69" s="145">
        <v>0</v>
      </c>
      <c r="G69" s="140">
        <f t="shared" si="0"/>
        <v>0</v>
      </c>
      <c r="H69" s="1"/>
      <c r="I69" s="1"/>
      <c r="J69" s="24"/>
    </row>
    <row r="70" spans="1:10" s="13" customFormat="1" ht="16.5" customHeight="1" thickBot="1" x14ac:dyDescent="0.4">
      <c r="A70" s="1"/>
      <c r="B70" s="1"/>
      <c r="C70" s="137" t="s">
        <v>26</v>
      </c>
      <c r="D70" s="30"/>
      <c r="E70" s="138" t="s">
        <v>20</v>
      </c>
      <c r="F70" s="146">
        <v>2</v>
      </c>
      <c r="G70" s="140">
        <f t="shared" si="0"/>
        <v>0</v>
      </c>
      <c r="H70" s="1"/>
      <c r="I70" s="1"/>
      <c r="J70" s="24"/>
    </row>
    <row r="71" spans="1:10" s="13" customFormat="1" ht="16.5" customHeight="1" thickBot="1" x14ac:dyDescent="0.4">
      <c r="A71" s="1"/>
      <c r="B71" s="1"/>
      <c r="C71" s="137" t="s">
        <v>27</v>
      </c>
      <c r="D71" s="30"/>
      <c r="E71" s="138" t="s">
        <v>20</v>
      </c>
      <c r="F71" s="146">
        <v>1</v>
      </c>
      <c r="G71" s="140">
        <f t="shared" si="0"/>
        <v>0</v>
      </c>
      <c r="H71" s="1"/>
      <c r="I71" s="1"/>
      <c r="J71" s="24"/>
    </row>
    <row r="72" spans="1:10" s="13" customFormat="1" ht="16.5" customHeight="1" thickBot="1" x14ac:dyDescent="0.4">
      <c r="A72" s="1"/>
      <c r="B72" s="1"/>
      <c r="C72" s="137" t="s">
        <v>28</v>
      </c>
      <c r="D72" s="30"/>
      <c r="E72" s="138" t="s">
        <v>20</v>
      </c>
      <c r="F72" s="145">
        <v>0.5</v>
      </c>
      <c r="G72" s="140">
        <f t="shared" si="0"/>
        <v>0</v>
      </c>
      <c r="H72" s="1"/>
      <c r="I72" s="1"/>
      <c r="J72" s="24"/>
    </row>
    <row r="73" spans="1:10" s="13" customFormat="1" ht="16.5" customHeight="1" thickBot="1" x14ac:dyDescent="0.4">
      <c r="A73" s="1"/>
      <c r="B73" s="1"/>
      <c r="C73" s="137" t="s">
        <v>29</v>
      </c>
      <c r="D73" s="30"/>
      <c r="E73" s="138" t="s">
        <v>20</v>
      </c>
      <c r="F73" s="145">
        <v>0</v>
      </c>
      <c r="G73" s="140">
        <f t="shared" si="0"/>
        <v>0</v>
      </c>
      <c r="H73" s="1"/>
      <c r="I73" s="1"/>
      <c r="J73" s="24"/>
    </row>
    <row r="74" spans="1:10" s="13" customFormat="1" ht="16.5" customHeight="1" thickBot="1" x14ac:dyDescent="0.4">
      <c r="A74" s="1"/>
      <c r="B74" s="1"/>
      <c r="C74" s="137" t="s">
        <v>30</v>
      </c>
      <c r="D74" s="30"/>
      <c r="E74" s="138" t="s">
        <v>20</v>
      </c>
      <c r="F74" s="145">
        <v>0</v>
      </c>
      <c r="G74" s="140">
        <f t="shared" si="0"/>
        <v>0</v>
      </c>
      <c r="H74" s="1"/>
      <c r="I74" s="1"/>
      <c r="J74" s="24"/>
    </row>
    <row r="75" spans="1:10" s="13" customFormat="1" ht="16.5" customHeight="1" thickBot="1" x14ac:dyDescent="0.4">
      <c r="A75" s="1"/>
      <c r="B75" s="1"/>
      <c r="C75" s="137" t="s">
        <v>31</v>
      </c>
      <c r="D75" s="30"/>
      <c r="E75" s="138" t="s">
        <v>20</v>
      </c>
      <c r="F75" s="145">
        <v>0</v>
      </c>
      <c r="G75" s="140">
        <f t="shared" si="0"/>
        <v>0</v>
      </c>
      <c r="H75" s="1"/>
      <c r="I75" s="1"/>
      <c r="J75" s="24"/>
    </row>
    <row r="76" spans="1:10" s="13" customFormat="1" ht="16.5" customHeight="1" thickBot="1" x14ac:dyDescent="0.4">
      <c r="A76" s="1"/>
      <c r="B76" s="1"/>
      <c r="C76" s="137" t="s">
        <v>188</v>
      </c>
      <c r="D76" s="30"/>
      <c r="E76" s="138" t="s">
        <v>20</v>
      </c>
      <c r="F76" s="145">
        <v>0</v>
      </c>
      <c r="G76" s="140">
        <f t="shared" si="0"/>
        <v>0</v>
      </c>
      <c r="H76" s="1"/>
      <c r="I76" s="1"/>
      <c r="J76" s="24"/>
    </row>
    <row r="77" spans="1:10" s="13" customFormat="1" ht="16.5" customHeight="1" thickBot="1" x14ac:dyDescent="0.4">
      <c r="A77" s="1"/>
      <c r="B77" s="1"/>
      <c r="C77" s="137" t="s">
        <v>32</v>
      </c>
      <c r="D77" s="30"/>
      <c r="E77" s="138" t="s">
        <v>20</v>
      </c>
      <c r="F77" s="145">
        <v>0.2</v>
      </c>
      <c r="G77" s="140">
        <f t="shared" si="0"/>
        <v>0</v>
      </c>
      <c r="H77" s="1"/>
      <c r="I77" s="1"/>
      <c r="J77" s="24"/>
    </row>
    <row r="78" spans="1:10" s="13" customFormat="1" ht="16.5" customHeight="1" thickBot="1" x14ac:dyDescent="0.4">
      <c r="A78" s="1"/>
      <c r="B78" s="1"/>
      <c r="C78" s="137" t="s">
        <v>33</v>
      </c>
      <c r="D78" s="30"/>
      <c r="E78" s="138" t="s">
        <v>20</v>
      </c>
      <c r="F78" s="145">
        <v>0.1</v>
      </c>
      <c r="G78" s="140">
        <f t="shared" si="0"/>
        <v>0</v>
      </c>
      <c r="H78" s="1"/>
      <c r="I78" s="1"/>
      <c r="J78" s="24"/>
    </row>
    <row r="79" spans="1:10" s="13" customFormat="1" ht="30.75" customHeight="1" thickBot="1" x14ac:dyDescent="0.4">
      <c r="A79" s="1"/>
      <c r="B79" s="1"/>
      <c r="C79" s="149" t="s">
        <v>34</v>
      </c>
      <c r="D79" s="142" t="s">
        <v>144</v>
      </c>
      <c r="E79" s="249" t="s">
        <v>76</v>
      </c>
      <c r="F79" s="249"/>
      <c r="G79" s="143"/>
      <c r="H79" s="1"/>
      <c r="I79" s="1"/>
      <c r="J79" s="24"/>
    </row>
    <row r="80" spans="1:10" s="13" customFormat="1" ht="16.5" customHeight="1" thickBot="1" x14ac:dyDescent="0.4">
      <c r="A80" s="1"/>
      <c r="B80" s="1"/>
      <c r="C80" s="137" t="s">
        <v>145</v>
      </c>
      <c r="D80" s="30"/>
      <c r="E80" s="138" t="s">
        <v>20</v>
      </c>
      <c r="F80" s="146">
        <v>0.5</v>
      </c>
      <c r="G80" s="140">
        <f t="shared" si="0"/>
        <v>0</v>
      </c>
      <c r="H80" s="1"/>
      <c r="I80" s="1"/>
      <c r="J80" s="24"/>
    </row>
    <row r="81" spans="1:11" s="13" customFormat="1" ht="16.5" customHeight="1" thickBot="1" x14ac:dyDescent="0.4">
      <c r="A81" s="1"/>
      <c r="B81" s="1"/>
      <c r="C81" s="150" t="s">
        <v>156</v>
      </c>
      <c r="D81" s="151"/>
      <c r="E81" s="152"/>
      <c r="F81" s="153"/>
      <c r="G81" s="154">
        <f>SUM($G$59:$G$80)*$D$34</f>
        <v>-272000</v>
      </c>
      <c r="H81" s="1"/>
      <c r="I81" s="1"/>
      <c r="J81" s="24"/>
    </row>
    <row r="82" spans="1:11" s="13" customFormat="1" ht="16.5" customHeight="1" thickBot="1" x14ac:dyDescent="0.4">
      <c r="A82" s="1"/>
      <c r="B82" s="1"/>
      <c r="C82" s="115" t="s">
        <v>150</v>
      </c>
      <c r="D82" s="116"/>
      <c r="E82" s="117"/>
      <c r="F82" s="155"/>
      <c r="G82" s="118">
        <v>200</v>
      </c>
      <c r="H82" s="1"/>
      <c r="I82" s="1"/>
      <c r="J82" s="24"/>
    </row>
    <row r="83" spans="1:11" s="13" customFormat="1" ht="16.5" customHeight="1" thickBot="1" x14ac:dyDescent="0.4">
      <c r="A83" s="1"/>
      <c r="B83" s="1"/>
      <c r="C83" s="156" t="s">
        <v>147</v>
      </c>
      <c r="D83" s="157"/>
      <c r="E83" s="158"/>
      <c r="F83" s="159"/>
      <c r="G83" s="160">
        <f>$G$81*$G$82/1000</f>
        <v>-54400</v>
      </c>
      <c r="H83" s="1"/>
      <c r="I83" s="1"/>
      <c r="J83" s="24"/>
    </row>
    <row r="84" spans="1:11" s="16" customFormat="1" ht="16.5" customHeight="1" thickBot="1" x14ac:dyDescent="0.4">
      <c r="A84" s="19"/>
      <c r="B84" s="19"/>
      <c r="C84" s="122" t="s">
        <v>45</v>
      </c>
      <c r="D84" s="161"/>
      <c r="E84" s="161"/>
      <c r="F84" s="162"/>
      <c r="G84" s="124">
        <f>$G$83/$D$34</f>
        <v>-68</v>
      </c>
      <c r="H84" s="19"/>
      <c r="I84" s="19"/>
      <c r="J84" s="24"/>
    </row>
    <row r="85" spans="1:11" s="14" customFormat="1" ht="75" customHeight="1" x14ac:dyDescent="0.35">
      <c r="A85" s="20"/>
      <c r="B85" s="20"/>
      <c r="C85" s="250" t="s">
        <v>146</v>
      </c>
      <c r="D85" s="250"/>
      <c r="E85" s="250"/>
      <c r="F85" s="250"/>
      <c r="G85" s="250"/>
      <c r="H85" s="109"/>
      <c r="I85" s="20"/>
      <c r="J85" s="24"/>
      <c r="K85" s="22"/>
    </row>
    <row r="86" spans="1:11" s="14" customFormat="1" ht="16.5" customHeight="1" x14ac:dyDescent="0.35">
      <c r="A86" s="20"/>
      <c r="B86" s="20"/>
      <c r="C86" s="20"/>
      <c r="D86" s="20"/>
      <c r="E86" s="20"/>
      <c r="F86" s="125"/>
      <c r="G86" s="126"/>
      <c r="H86" s="109"/>
      <c r="I86" s="20"/>
      <c r="J86" s="24"/>
      <c r="K86" s="22"/>
    </row>
    <row r="87" spans="1:11" s="14" customFormat="1" ht="16.5" customHeight="1" thickBot="1" x14ac:dyDescent="0.4">
      <c r="A87" s="20"/>
      <c r="B87" s="20"/>
      <c r="C87" s="20"/>
      <c r="D87" s="20"/>
      <c r="E87" s="127"/>
      <c r="F87" s="125"/>
      <c r="G87" s="126"/>
      <c r="H87" s="109"/>
      <c r="I87" s="20"/>
      <c r="J87" s="24"/>
      <c r="K87" s="22"/>
    </row>
    <row r="88" spans="1:11" s="16" customFormat="1" ht="16.5" customHeight="1" thickBot="1" x14ac:dyDescent="0.4">
      <c r="A88" s="19"/>
      <c r="B88" s="19"/>
      <c r="C88" s="62" t="s">
        <v>107</v>
      </c>
      <c r="D88" s="128"/>
      <c r="E88" s="128"/>
      <c r="F88" s="128"/>
      <c r="G88" s="129"/>
      <c r="H88" s="19"/>
      <c r="I88" s="19"/>
      <c r="J88" s="24"/>
    </row>
    <row r="89" spans="1:11" s="13" customFormat="1" ht="16.5" customHeight="1" thickBot="1" x14ac:dyDescent="0.4">
      <c r="A89" s="1"/>
      <c r="B89" s="1"/>
      <c r="C89" s="130" t="s">
        <v>201</v>
      </c>
      <c r="D89" s="131"/>
      <c r="E89" s="131"/>
      <c r="F89" s="132"/>
      <c r="G89" s="133" t="s">
        <v>51</v>
      </c>
      <c r="H89" s="1"/>
      <c r="I89" s="1"/>
      <c r="J89" s="24"/>
    </row>
    <row r="90" spans="1:11" s="13" customFormat="1" ht="30.75" customHeight="1" thickBot="1" x14ac:dyDescent="0.4">
      <c r="A90" s="1"/>
      <c r="B90" s="1"/>
      <c r="C90" s="134" t="s">
        <v>49</v>
      </c>
      <c r="D90" s="135" t="s">
        <v>212</v>
      </c>
      <c r="E90" s="249" t="s">
        <v>76</v>
      </c>
      <c r="F90" s="249"/>
      <c r="G90" s="136"/>
      <c r="H90" s="1"/>
      <c r="I90" s="1"/>
      <c r="J90" s="24"/>
    </row>
    <row r="91" spans="1:11" s="13" customFormat="1" ht="16.5" customHeight="1" thickBot="1" x14ac:dyDescent="0.4">
      <c r="A91" s="1"/>
      <c r="B91" s="1"/>
      <c r="C91" s="137" t="s">
        <v>50</v>
      </c>
      <c r="D91" s="30"/>
      <c r="E91" s="138" t="s">
        <v>20</v>
      </c>
      <c r="F91" s="163" t="s">
        <v>159</v>
      </c>
      <c r="G91" s="140">
        <f>(D91*450-340)</f>
        <v>-340</v>
      </c>
      <c r="H91" s="1"/>
      <c r="I91" s="1"/>
      <c r="J91" s="24"/>
    </row>
    <row r="92" spans="1:11" s="13" customFormat="1" ht="30.6" thickBot="1" x14ac:dyDescent="0.4">
      <c r="A92" s="1"/>
      <c r="B92" s="1"/>
      <c r="C92" s="164" t="s">
        <v>16</v>
      </c>
      <c r="D92" s="142" t="s">
        <v>143</v>
      </c>
      <c r="E92" s="249" t="s">
        <v>74</v>
      </c>
      <c r="F92" s="249"/>
      <c r="G92" s="143"/>
      <c r="H92" s="1"/>
      <c r="I92" s="1"/>
      <c r="J92" s="24"/>
    </row>
    <row r="93" spans="1:11" s="13" customFormat="1" ht="16.5" customHeight="1" thickBot="1" x14ac:dyDescent="0.4">
      <c r="A93" s="1"/>
      <c r="B93" s="1"/>
      <c r="C93" s="137" t="s">
        <v>17</v>
      </c>
      <c r="D93" s="30"/>
      <c r="E93" s="138" t="s">
        <v>75</v>
      </c>
      <c r="F93" s="145">
        <v>1.8</v>
      </c>
      <c r="G93" s="140">
        <f>D93*F93</f>
        <v>0</v>
      </c>
      <c r="H93" s="1"/>
      <c r="I93" s="1"/>
      <c r="J93" s="24"/>
    </row>
    <row r="94" spans="1:11" s="13" customFormat="1" ht="16.5" customHeight="1" thickBot="1" x14ac:dyDescent="0.4">
      <c r="A94" s="1"/>
      <c r="B94" s="1"/>
      <c r="C94" s="137" t="s">
        <v>18</v>
      </c>
      <c r="D94" s="30"/>
      <c r="E94" s="138" t="s">
        <v>75</v>
      </c>
      <c r="F94" s="146">
        <v>2</v>
      </c>
      <c r="G94" s="140">
        <f>D94*F94</f>
        <v>0</v>
      </c>
      <c r="H94" s="1"/>
      <c r="I94" s="1"/>
      <c r="J94" s="24"/>
    </row>
    <row r="95" spans="1:11" s="13" customFormat="1" ht="30.6" thickBot="1" x14ac:dyDescent="0.4">
      <c r="A95" s="1"/>
      <c r="B95" s="1"/>
      <c r="C95" s="165" t="s">
        <v>19</v>
      </c>
      <c r="D95" s="142" t="s">
        <v>144</v>
      </c>
      <c r="E95" s="249" t="s">
        <v>76</v>
      </c>
      <c r="F95" s="249"/>
      <c r="G95" s="143"/>
      <c r="H95" s="1"/>
      <c r="I95" s="1"/>
      <c r="J95" s="24"/>
    </row>
    <row r="96" spans="1:11" s="13" customFormat="1" ht="16.5" customHeight="1" thickBot="1" x14ac:dyDescent="0.4">
      <c r="A96" s="1"/>
      <c r="B96" s="1"/>
      <c r="C96" s="137" t="s">
        <v>52</v>
      </c>
      <c r="D96" s="30"/>
      <c r="E96" s="138" t="s">
        <v>20</v>
      </c>
      <c r="F96" s="148">
        <v>1.5</v>
      </c>
      <c r="G96" s="140">
        <f>D96*F96</f>
        <v>0</v>
      </c>
      <c r="H96" s="1"/>
      <c r="I96" s="1"/>
      <c r="J96" s="24"/>
    </row>
    <row r="97" spans="1:10" s="13" customFormat="1" ht="16.5" customHeight="1" thickBot="1" x14ac:dyDescent="0.4">
      <c r="A97" s="1"/>
      <c r="B97" s="1"/>
      <c r="C97" s="137" t="s">
        <v>21</v>
      </c>
      <c r="D97" s="30"/>
      <c r="E97" s="138" t="s">
        <v>20</v>
      </c>
      <c r="F97" s="145">
        <v>0.1</v>
      </c>
      <c r="G97" s="140">
        <f t="shared" ref="G97:G110" si="1">D97*F97</f>
        <v>0</v>
      </c>
      <c r="H97" s="1"/>
      <c r="I97" s="1"/>
      <c r="J97" s="24"/>
    </row>
    <row r="98" spans="1:10" s="13" customFormat="1" ht="16.5" customHeight="1" thickBot="1" x14ac:dyDescent="0.4">
      <c r="A98" s="1"/>
      <c r="B98" s="1"/>
      <c r="C98" s="137" t="s">
        <v>22</v>
      </c>
      <c r="D98" s="30"/>
      <c r="E98" s="138" t="s">
        <v>20</v>
      </c>
      <c r="F98" s="145">
        <v>0.5</v>
      </c>
      <c r="G98" s="140">
        <f t="shared" si="1"/>
        <v>0</v>
      </c>
      <c r="H98" s="1"/>
      <c r="I98" s="1"/>
      <c r="J98" s="24"/>
    </row>
    <row r="99" spans="1:10" s="13" customFormat="1" ht="16.5" customHeight="1" thickBot="1" x14ac:dyDescent="0.4">
      <c r="A99" s="1"/>
      <c r="B99" s="1"/>
      <c r="C99" s="137" t="s">
        <v>23</v>
      </c>
      <c r="D99" s="30"/>
      <c r="E99" s="138" t="s">
        <v>20</v>
      </c>
      <c r="F99" s="145">
        <v>6.6</v>
      </c>
      <c r="G99" s="140">
        <f t="shared" si="1"/>
        <v>0</v>
      </c>
      <c r="H99" s="1"/>
      <c r="I99" s="1"/>
      <c r="J99" s="24"/>
    </row>
    <row r="100" spans="1:10" s="13" customFormat="1" ht="16.5" customHeight="1" thickBot="1" x14ac:dyDescent="0.4">
      <c r="A100" s="1"/>
      <c r="B100" s="1"/>
      <c r="C100" s="137" t="s">
        <v>24</v>
      </c>
      <c r="D100" s="30"/>
      <c r="E100" s="138" t="s">
        <v>20</v>
      </c>
      <c r="F100" s="145">
        <v>0.3</v>
      </c>
      <c r="G100" s="140">
        <f t="shared" si="1"/>
        <v>0</v>
      </c>
      <c r="H100" s="1"/>
      <c r="I100" s="1"/>
      <c r="J100" s="24"/>
    </row>
    <row r="101" spans="1:10" s="13" customFormat="1" ht="16.5" customHeight="1" thickBot="1" x14ac:dyDescent="0.4">
      <c r="A101" s="1"/>
      <c r="B101" s="1"/>
      <c r="C101" s="137" t="s">
        <v>25</v>
      </c>
      <c r="D101" s="30"/>
      <c r="E101" s="138" t="s">
        <v>20</v>
      </c>
      <c r="F101" s="145">
        <v>0</v>
      </c>
      <c r="G101" s="140">
        <f t="shared" si="1"/>
        <v>0</v>
      </c>
      <c r="H101" s="1"/>
      <c r="I101" s="1"/>
      <c r="J101" s="24"/>
    </row>
    <row r="102" spans="1:10" s="13" customFormat="1" ht="16.5" customHeight="1" thickBot="1" x14ac:dyDescent="0.4">
      <c r="A102" s="1"/>
      <c r="B102" s="1"/>
      <c r="C102" s="137" t="s">
        <v>26</v>
      </c>
      <c r="D102" s="30"/>
      <c r="E102" s="138" t="s">
        <v>20</v>
      </c>
      <c r="F102" s="146">
        <v>2</v>
      </c>
      <c r="G102" s="140">
        <f t="shared" si="1"/>
        <v>0</v>
      </c>
      <c r="H102" s="1"/>
      <c r="I102" s="1"/>
      <c r="J102" s="24"/>
    </row>
    <row r="103" spans="1:10" s="13" customFormat="1" ht="16.5" customHeight="1" thickBot="1" x14ac:dyDescent="0.4">
      <c r="A103" s="1"/>
      <c r="B103" s="1"/>
      <c r="C103" s="137" t="s">
        <v>27</v>
      </c>
      <c r="D103" s="30"/>
      <c r="E103" s="138" t="s">
        <v>20</v>
      </c>
      <c r="F103" s="146">
        <v>1</v>
      </c>
      <c r="G103" s="140">
        <f t="shared" si="1"/>
        <v>0</v>
      </c>
      <c r="H103" s="1"/>
      <c r="I103" s="1"/>
      <c r="J103" s="24"/>
    </row>
    <row r="104" spans="1:10" s="13" customFormat="1" ht="16.5" customHeight="1" thickBot="1" x14ac:dyDescent="0.4">
      <c r="A104" s="1"/>
      <c r="B104" s="1"/>
      <c r="C104" s="137" t="s">
        <v>28</v>
      </c>
      <c r="D104" s="30"/>
      <c r="E104" s="138" t="s">
        <v>20</v>
      </c>
      <c r="F104" s="145">
        <v>0.5</v>
      </c>
      <c r="G104" s="140">
        <f t="shared" si="1"/>
        <v>0</v>
      </c>
      <c r="H104" s="1"/>
      <c r="I104" s="1"/>
      <c r="J104" s="24"/>
    </row>
    <row r="105" spans="1:10" s="13" customFormat="1" ht="16.5" customHeight="1" thickBot="1" x14ac:dyDescent="0.4">
      <c r="A105" s="1"/>
      <c r="B105" s="1"/>
      <c r="C105" s="137" t="s">
        <v>29</v>
      </c>
      <c r="D105" s="30"/>
      <c r="E105" s="138" t="s">
        <v>20</v>
      </c>
      <c r="F105" s="145">
        <v>0</v>
      </c>
      <c r="G105" s="140">
        <f t="shared" si="1"/>
        <v>0</v>
      </c>
      <c r="H105" s="1"/>
      <c r="I105" s="1"/>
      <c r="J105" s="24"/>
    </row>
    <row r="106" spans="1:10" s="13" customFormat="1" ht="16.5" customHeight="1" thickBot="1" x14ac:dyDescent="0.4">
      <c r="A106" s="1"/>
      <c r="B106" s="1"/>
      <c r="C106" s="137" t="s">
        <v>30</v>
      </c>
      <c r="D106" s="30"/>
      <c r="E106" s="138" t="s">
        <v>20</v>
      </c>
      <c r="F106" s="145">
        <v>0</v>
      </c>
      <c r="G106" s="140">
        <f t="shared" si="1"/>
        <v>0</v>
      </c>
      <c r="H106" s="1"/>
      <c r="I106" s="1"/>
      <c r="J106" s="24"/>
    </row>
    <row r="107" spans="1:10" s="13" customFormat="1" ht="16.5" customHeight="1" thickBot="1" x14ac:dyDescent="0.4">
      <c r="A107" s="1"/>
      <c r="B107" s="1"/>
      <c r="C107" s="137" t="s">
        <v>31</v>
      </c>
      <c r="D107" s="30"/>
      <c r="E107" s="138" t="s">
        <v>20</v>
      </c>
      <c r="F107" s="145">
        <v>0</v>
      </c>
      <c r="G107" s="140">
        <f t="shared" si="1"/>
        <v>0</v>
      </c>
      <c r="H107" s="1"/>
      <c r="I107" s="1"/>
      <c r="J107" s="24"/>
    </row>
    <row r="108" spans="1:10" s="13" customFormat="1" ht="16.5" customHeight="1" thickBot="1" x14ac:dyDescent="0.4">
      <c r="A108" s="1"/>
      <c r="B108" s="1"/>
      <c r="C108" s="137" t="s">
        <v>188</v>
      </c>
      <c r="D108" s="30"/>
      <c r="E108" s="138" t="s">
        <v>20</v>
      </c>
      <c r="F108" s="145">
        <v>0</v>
      </c>
      <c r="G108" s="140">
        <f t="shared" si="1"/>
        <v>0</v>
      </c>
      <c r="H108" s="1"/>
      <c r="I108" s="1"/>
      <c r="J108" s="24"/>
    </row>
    <row r="109" spans="1:10" s="13" customFormat="1" ht="16.5" customHeight="1" thickBot="1" x14ac:dyDescent="0.4">
      <c r="A109" s="1"/>
      <c r="B109" s="1"/>
      <c r="C109" s="137" t="s">
        <v>32</v>
      </c>
      <c r="D109" s="30"/>
      <c r="E109" s="138" t="s">
        <v>20</v>
      </c>
      <c r="F109" s="145">
        <v>0.2</v>
      </c>
      <c r="G109" s="140">
        <f t="shared" si="1"/>
        <v>0</v>
      </c>
      <c r="H109" s="1"/>
      <c r="I109" s="1"/>
      <c r="J109" s="24"/>
    </row>
    <row r="110" spans="1:10" s="13" customFormat="1" ht="16.5" customHeight="1" thickBot="1" x14ac:dyDescent="0.4">
      <c r="A110" s="1"/>
      <c r="B110" s="1"/>
      <c r="C110" s="137" t="s">
        <v>33</v>
      </c>
      <c r="D110" s="30"/>
      <c r="E110" s="138" t="s">
        <v>20</v>
      </c>
      <c r="F110" s="145">
        <v>0.1</v>
      </c>
      <c r="G110" s="140">
        <f t="shared" si="1"/>
        <v>0</v>
      </c>
      <c r="H110" s="1"/>
      <c r="I110" s="1"/>
      <c r="J110" s="24"/>
    </row>
    <row r="111" spans="1:10" s="13" customFormat="1" ht="30.75" customHeight="1" thickBot="1" x14ac:dyDescent="0.4">
      <c r="A111" s="1"/>
      <c r="B111" s="1"/>
      <c r="C111" s="149" t="s">
        <v>34</v>
      </c>
      <c r="D111" s="142" t="s">
        <v>144</v>
      </c>
      <c r="E111" s="249" t="s">
        <v>76</v>
      </c>
      <c r="F111" s="249"/>
      <c r="G111" s="143"/>
      <c r="H111" s="1"/>
      <c r="I111" s="1"/>
      <c r="J111" s="24"/>
    </row>
    <row r="112" spans="1:10" s="13" customFormat="1" ht="16.5" customHeight="1" thickBot="1" x14ac:dyDescent="0.4">
      <c r="A112" s="1"/>
      <c r="B112" s="1"/>
      <c r="C112" s="137" t="s">
        <v>145</v>
      </c>
      <c r="D112" s="30"/>
      <c r="E112" s="138" t="s">
        <v>20</v>
      </c>
      <c r="F112" s="146">
        <v>0.5</v>
      </c>
      <c r="G112" s="140">
        <f>D112*$F$80</f>
        <v>0</v>
      </c>
      <c r="H112" s="1"/>
      <c r="I112" s="1"/>
      <c r="J112" s="24"/>
    </row>
    <row r="113" spans="1:11" s="13" customFormat="1" ht="16.5" customHeight="1" thickBot="1" x14ac:dyDescent="0.4">
      <c r="A113" s="1"/>
      <c r="B113" s="1"/>
      <c r="C113" s="150" t="s">
        <v>156</v>
      </c>
      <c r="D113" s="151"/>
      <c r="E113" s="152"/>
      <c r="F113" s="153"/>
      <c r="G113" s="154">
        <f>SUM($G$91:$G$112)*$D$46</f>
        <v>-11560000</v>
      </c>
      <c r="H113" s="1"/>
      <c r="I113" s="1"/>
      <c r="J113" s="24"/>
    </row>
    <row r="114" spans="1:11" s="13" customFormat="1" ht="16.5" customHeight="1" thickBot="1" x14ac:dyDescent="0.4">
      <c r="A114" s="1"/>
      <c r="B114" s="1"/>
      <c r="C114" s="115" t="s">
        <v>150</v>
      </c>
      <c r="D114" s="116"/>
      <c r="E114" s="117"/>
      <c r="F114" s="155"/>
      <c r="G114" s="118">
        <v>200</v>
      </c>
      <c r="H114" s="1"/>
      <c r="I114" s="1"/>
      <c r="J114" s="24"/>
    </row>
    <row r="115" spans="1:11" s="13" customFormat="1" ht="16.5" customHeight="1" thickBot="1" x14ac:dyDescent="0.4">
      <c r="A115" s="1"/>
      <c r="B115" s="1"/>
      <c r="C115" s="156" t="s">
        <v>147</v>
      </c>
      <c r="D115" s="157"/>
      <c r="E115" s="158"/>
      <c r="F115" s="159"/>
      <c r="G115" s="160">
        <f>$G$113*$G$114/1000</f>
        <v>-2312000</v>
      </c>
      <c r="H115" s="1"/>
      <c r="I115" s="1"/>
      <c r="J115" s="24"/>
    </row>
    <row r="116" spans="1:11" s="16" customFormat="1" ht="16.5" customHeight="1" thickBot="1" x14ac:dyDescent="0.4">
      <c r="A116" s="19"/>
      <c r="B116" s="19"/>
      <c r="C116" s="122" t="s">
        <v>45</v>
      </c>
      <c r="D116" s="161"/>
      <c r="E116" s="161"/>
      <c r="F116" s="162"/>
      <c r="G116" s="124">
        <f>$G$115/$D$46</f>
        <v>-68</v>
      </c>
      <c r="H116" s="19"/>
      <c r="I116" s="19"/>
      <c r="J116" s="24"/>
    </row>
    <row r="117" spans="1:11" s="14" customFormat="1" ht="75" customHeight="1" x14ac:dyDescent="0.35">
      <c r="A117" s="20"/>
      <c r="B117" s="20"/>
      <c r="C117" s="250" t="s">
        <v>146</v>
      </c>
      <c r="D117" s="250"/>
      <c r="E117" s="250"/>
      <c r="F117" s="250"/>
      <c r="G117" s="250"/>
      <c r="H117" s="109"/>
      <c r="I117" s="20"/>
      <c r="J117" s="24"/>
      <c r="K117" s="22"/>
    </row>
    <row r="118" spans="1:11" s="14" customFormat="1" ht="16.5" customHeight="1" x14ac:dyDescent="0.35">
      <c r="A118" s="20"/>
      <c r="B118" s="20"/>
      <c r="C118" s="20"/>
      <c r="D118" s="20"/>
      <c r="E118" s="20"/>
      <c r="F118" s="125"/>
      <c r="G118" s="126"/>
      <c r="H118" s="109"/>
      <c r="I118" s="20"/>
      <c r="J118" s="24"/>
      <c r="K118" s="22"/>
    </row>
    <row r="119" spans="1:11" s="14" customFormat="1" ht="16.5" customHeight="1" thickBot="1" x14ac:dyDescent="0.4">
      <c r="A119" s="20"/>
      <c r="B119" s="20"/>
      <c r="C119" s="20"/>
      <c r="D119" s="20"/>
      <c r="E119" s="20"/>
      <c r="F119" s="125"/>
      <c r="G119" s="126"/>
      <c r="H119" s="109"/>
      <c r="I119" s="20"/>
      <c r="J119" s="24"/>
      <c r="K119" s="22"/>
    </row>
    <row r="120" spans="1:11" s="14" customFormat="1" ht="16.5" customHeight="1" thickBot="1" x14ac:dyDescent="0.4">
      <c r="A120" s="1"/>
      <c r="B120" s="1"/>
      <c r="C120" s="119" t="s">
        <v>47</v>
      </c>
      <c r="D120" s="120"/>
      <c r="E120" s="120"/>
      <c r="F120" s="120"/>
      <c r="G120" s="39">
        <f>-SUM($G$83,$G$115)</f>
        <v>2366400</v>
      </c>
      <c r="H120" s="109"/>
      <c r="I120" s="20"/>
      <c r="J120" s="24"/>
      <c r="K120" s="17"/>
    </row>
    <row r="121" spans="1:11" s="16" customFormat="1" ht="16.5" customHeight="1" thickBot="1" x14ac:dyDescent="0.4">
      <c r="A121" s="19"/>
      <c r="B121" s="19"/>
      <c r="C121" s="166"/>
      <c r="D121" s="126"/>
      <c r="E121" s="126"/>
      <c r="F121" s="126"/>
      <c r="G121" s="167"/>
      <c r="H121" s="19"/>
      <c r="I121" s="19"/>
      <c r="J121" s="24"/>
    </row>
    <row r="122" spans="1:11" s="16" customFormat="1" ht="16.5" customHeight="1" thickBot="1" x14ac:dyDescent="0.4">
      <c r="A122" s="19"/>
      <c r="B122" s="19"/>
      <c r="C122" s="119" t="s">
        <v>186</v>
      </c>
      <c r="D122" s="120"/>
      <c r="E122" s="120"/>
      <c r="F122" s="120"/>
      <c r="G122" s="39">
        <f>SUM($F$40,$F$52,$G$120)</f>
        <v>2366400</v>
      </c>
      <c r="H122" s="19"/>
      <c r="I122" s="19"/>
      <c r="J122" s="24"/>
    </row>
    <row r="123" spans="1:11" ht="15" customHeight="1" x14ac:dyDescent="0.35">
      <c r="A123" s="9"/>
      <c r="B123" s="9"/>
      <c r="C123" s="9"/>
      <c r="D123" s="9"/>
      <c r="E123" s="9"/>
      <c r="F123" s="9"/>
      <c r="G123" s="168"/>
      <c r="H123" s="9"/>
      <c r="I123" s="9"/>
      <c r="J123" s="24"/>
    </row>
    <row r="124" spans="1:11" ht="15" customHeight="1" x14ac:dyDescent="0.35">
      <c r="A124" s="9"/>
      <c r="B124" s="9"/>
      <c r="C124" s="9"/>
      <c r="D124" s="9"/>
      <c r="E124" s="9"/>
      <c r="F124" s="9"/>
      <c r="G124" s="169"/>
      <c r="H124" s="9"/>
      <c r="I124" s="9"/>
      <c r="J124" s="24"/>
    </row>
    <row r="125" spans="1:11" ht="15" customHeight="1" x14ac:dyDescent="0.35">
      <c r="A125" s="24"/>
      <c r="B125" s="24"/>
      <c r="C125" s="24"/>
      <c r="D125" s="24"/>
      <c r="E125" s="24"/>
      <c r="F125" s="24"/>
      <c r="G125" s="24"/>
      <c r="H125" s="24"/>
      <c r="I125" s="24"/>
      <c r="J125" s="24"/>
    </row>
    <row r="126" spans="1:11" hidden="1" x14ac:dyDescent="0.3">
      <c r="A126" s="9"/>
      <c r="B126" s="9"/>
      <c r="C126" s="9"/>
      <c r="D126" s="10"/>
      <c r="E126" s="10"/>
      <c r="F126" s="10"/>
      <c r="G126" s="10"/>
      <c r="H126" s="9"/>
      <c r="I126" s="9"/>
    </row>
    <row r="127" spans="1:11" hidden="1" x14ac:dyDescent="0.3">
      <c r="A127" s="9"/>
      <c r="B127" s="20"/>
      <c r="C127" s="20"/>
      <c r="D127" s="10"/>
      <c r="E127" s="10"/>
      <c r="F127" s="10"/>
      <c r="G127" s="10"/>
      <c r="H127" s="9"/>
      <c r="I127" s="9"/>
    </row>
    <row r="128" spans="1:11" ht="15" hidden="1" customHeight="1" x14ac:dyDescent="0.3">
      <c r="A128" s="9"/>
      <c r="B128" s="20"/>
      <c r="C128" s="20"/>
      <c r="D128" s="240" t="s">
        <v>4</v>
      </c>
      <c r="E128" s="240"/>
      <c r="F128" s="240"/>
      <c r="G128" s="240"/>
      <c r="H128" s="9"/>
      <c r="I128" s="9"/>
    </row>
    <row r="129" spans="1:9" hidden="1" x14ac:dyDescent="0.3">
      <c r="A129" s="9"/>
      <c r="B129" s="20"/>
      <c r="C129" s="20"/>
      <c r="D129" s="170" t="s">
        <v>5</v>
      </c>
      <c r="E129" s="170" t="s">
        <v>86</v>
      </c>
      <c r="F129" s="171"/>
      <c r="G129" s="20"/>
      <c r="H129" s="9"/>
      <c r="I129" s="9"/>
    </row>
    <row r="130" spans="1:9" hidden="1" x14ac:dyDescent="0.3">
      <c r="A130" s="9"/>
      <c r="B130" s="20"/>
      <c r="C130" s="20"/>
      <c r="D130" s="172" t="s">
        <v>6</v>
      </c>
      <c r="E130" s="173">
        <v>0</v>
      </c>
      <c r="F130" s="171"/>
      <c r="G130" s="20"/>
      <c r="H130" s="9"/>
      <c r="I130" s="9"/>
    </row>
    <row r="131" spans="1:9" hidden="1" x14ac:dyDescent="0.3">
      <c r="A131" s="9"/>
      <c r="B131" s="20"/>
      <c r="C131" s="20"/>
      <c r="D131" s="172" t="s">
        <v>1</v>
      </c>
      <c r="E131" s="173">
        <v>0</v>
      </c>
      <c r="F131" s="171"/>
      <c r="G131" s="20"/>
      <c r="H131" s="9"/>
      <c r="I131" s="9"/>
    </row>
    <row r="132" spans="1:9" ht="30" hidden="1" x14ac:dyDescent="0.3">
      <c r="A132" s="9"/>
      <c r="B132" s="9"/>
      <c r="C132" s="20"/>
      <c r="D132" s="174" t="s">
        <v>63</v>
      </c>
      <c r="E132" s="172">
        <v>117</v>
      </c>
      <c r="F132" s="109"/>
      <c r="G132" s="20"/>
      <c r="H132" s="9"/>
      <c r="I132" s="9"/>
    </row>
    <row r="133" spans="1:9" hidden="1" x14ac:dyDescent="0.3">
      <c r="A133" s="9"/>
      <c r="B133" s="9"/>
      <c r="C133" s="20"/>
      <c r="D133" s="175" t="s">
        <v>2</v>
      </c>
      <c r="E133" s="172">
        <v>102</v>
      </c>
      <c r="F133" s="176"/>
      <c r="G133" s="20"/>
      <c r="H133" s="9"/>
      <c r="I133" s="9"/>
    </row>
    <row r="134" spans="1:9" hidden="1" x14ac:dyDescent="0.3">
      <c r="A134" s="9"/>
      <c r="B134" s="9"/>
      <c r="C134" s="20"/>
      <c r="D134" s="175" t="s">
        <v>64</v>
      </c>
      <c r="E134" s="172">
        <v>93</v>
      </c>
      <c r="F134" s="176"/>
      <c r="G134" s="20"/>
      <c r="H134" s="9"/>
      <c r="I134" s="9"/>
    </row>
    <row r="135" spans="1:9" hidden="1" x14ac:dyDescent="0.3">
      <c r="A135" s="9"/>
      <c r="B135" s="9"/>
      <c r="C135" s="20"/>
      <c r="D135" s="175" t="s">
        <v>65</v>
      </c>
      <c r="E135" s="172">
        <v>30</v>
      </c>
      <c r="F135" s="176"/>
      <c r="G135" s="20"/>
      <c r="H135" s="9"/>
      <c r="I135" s="9"/>
    </row>
    <row r="136" spans="1:9" hidden="1" x14ac:dyDescent="0.3">
      <c r="A136" s="9"/>
      <c r="B136" s="9"/>
      <c r="C136" s="20"/>
      <c r="D136" s="175" t="s">
        <v>66</v>
      </c>
      <c r="E136" s="172">
        <v>30</v>
      </c>
      <c r="F136" s="176"/>
      <c r="G136" s="20"/>
      <c r="H136" s="9"/>
      <c r="I136" s="9"/>
    </row>
    <row r="137" spans="1:9" hidden="1" x14ac:dyDescent="0.3">
      <c r="A137" s="9"/>
      <c r="B137" s="9"/>
      <c r="C137" s="20"/>
      <c r="D137" s="177"/>
      <c r="E137" s="177"/>
      <c r="F137" s="176"/>
      <c r="G137" s="20"/>
      <c r="H137" s="9"/>
      <c r="I137" s="9"/>
    </row>
    <row r="138" spans="1:9" hidden="1" x14ac:dyDescent="0.3">
      <c r="A138" s="9"/>
      <c r="B138" s="9"/>
      <c r="C138" s="20"/>
      <c r="D138" s="170" t="s">
        <v>7</v>
      </c>
      <c r="E138" s="178" t="s">
        <v>8</v>
      </c>
      <c r="F138" s="178" t="s">
        <v>9</v>
      </c>
      <c r="G138" s="178" t="s">
        <v>54</v>
      </c>
      <c r="H138" s="9"/>
      <c r="I138" s="9"/>
    </row>
    <row r="139" spans="1:9" hidden="1" x14ac:dyDescent="0.3">
      <c r="A139" s="9"/>
      <c r="B139" s="9"/>
      <c r="C139" s="20"/>
      <c r="D139" s="172" t="s">
        <v>10</v>
      </c>
      <c r="E139" s="179">
        <v>0</v>
      </c>
      <c r="F139" s="179">
        <v>0</v>
      </c>
      <c r="G139" s="179">
        <v>0</v>
      </c>
      <c r="H139" s="9"/>
      <c r="I139" s="9"/>
    </row>
    <row r="140" spans="1:9" hidden="1" x14ac:dyDescent="0.3">
      <c r="A140" s="9"/>
      <c r="B140" s="9"/>
      <c r="C140" s="20"/>
      <c r="D140" s="172" t="s">
        <v>1</v>
      </c>
      <c r="E140" s="179">
        <v>0</v>
      </c>
      <c r="F140" s="179">
        <v>0</v>
      </c>
      <c r="G140" s="179">
        <v>0</v>
      </c>
      <c r="H140" s="9"/>
      <c r="I140" s="9"/>
    </row>
    <row r="141" spans="1:9" hidden="1" x14ac:dyDescent="0.3">
      <c r="A141" s="9"/>
      <c r="B141" s="9"/>
      <c r="C141" s="20"/>
      <c r="D141" s="174" t="s">
        <v>11</v>
      </c>
      <c r="E141" s="179">
        <v>1</v>
      </c>
      <c r="F141" s="179">
        <v>1</v>
      </c>
      <c r="G141" s="179">
        <v>1</v>
      </c>
      <c r="H141" s="9"/>
      <c r="I141" s="9"/>
    </row>
    <row r="142" spans="1:9" hidden="1" x14ac:dyDescent="0.3">
      <c r="A142" s="9"/>
      <c r="B142" s="9"/>
      <c r="C142" s="20"/>
      <c r="D142" s="174" t="s">
        <v>53</v>
      </c>
      <c r="E142" s="180">
        <v>0.95726</v>
      </c>
      <c r="F142" s="180">
        <v>0.96077999999999997</v>
      </c>
      <c r="G142" s="180">
        <v>0.95699000000000001</v>
      </c>
      <c r="H142" s="9"/>
      <c r="I142" s="9"/>
    </row>
    <row r="143" spans="1:9" hidden="1" x14ac:dyDescent="0.3">
      <c r="A143" s="9"/>
      <c r="B143" s="9"/>
      <c r="C143" s="20"/>
      <c r="D143" s="174" t="s">
        <v>13</v>
      </c>
      <c r="E143" s="180">
        <f>0.102/0.117</f>
        <v>0.8717948717948717</v>
      </c>
      <c r="F143" s="180">
        <f>0.089/0.102</f>
        <v>0.87254901960784315</v>
      </c>
      <c r="G143" s="180">
        <f>0.081/0.093</f>
        <v>0.87096774193548387</v>
      </c>
      <c r="H143" s="9"/>
      <c r="I143" s="9"/>
    </row>
    <row r="144" spans="1:9" hidden="1" x14ac:dyDescent="0.3">
      <c r="A144" s="9"/>
      <c r="B144" s="9"/>
      <c r="C144" s="20"/>
      <c r="D144" s="174" t="s">
        <v>3</v>
      </c>
      <c r="E144" s="180">
        <f>0.095/0.117</f>
        <v>0.81196581196581197</v>
      </c>
      <c r="F144" s="180">
        <f>0.083/0.102</f>
        <v>0.81372549019607854</v>
      </c>
      <c r="G144" s="180">
        <v>0.80645</v>
      </c>
      <c r="H144" s="9"/>
      <c r="I144" s="9"/>
    </row>
    <row r="145" spans="1:9" hidden="1" x14ac:dyDescent="0.3">
      <c r="A145" s="9"/>
      <c r="B145" s="9"/>
      <c r="C145" s="20"/>
      <c r="D145" s="174" t="s">
        <v>15</v>
      </c>
      <c r="E145" s="180">
        <v>0.78632000000000002</v>
      </c>
      <c r="F145" s="180">
        <v>0.79412000000000005</v>
      </c>
      <c r="G145" s="180">
        <v>0.78495000000000004</v>
      </c>
      <c r="H145" s="9"/>
      <c r="I145" s="9"/>
    </row>
    <row r="146" spans="1:9" hidden="1" x14ac:dyDescent="0.3">
      <c r="A146" s="9"/>
      <c r="B146" s="9"/>
      <c r="C146" s="20"/>
      <c r="D146" s="174" t="s">
        <v>55</v>
      </c>
      <c r="E146" s="180">
        <v>0.76922999999999997</v>
      </c>
      <c r="F146" s="180">
        <v>0.77451000000000003</v>
      </c>
      <c r="G146" s="180">
        <v>0.77419000000000004</v>
      </c>
      <c r="H146" s="9"/>
      <c r="I146" s="9"/>
    </row>
    <row r="147" spans="1:9" hidden="1" x14ac:dyDescent="0.3">
      <c r="A147" s="9"/>
      <c r="B147" s="9"/>
      <c r="C147" s="20"/>
      <c r="D147" s="174" t="s">
        <v>57</v>
      </c>
      <c r="E147" s="180">
        <v>0.63248000000000004</v>
      </c>
      <c r="F147" s="180">
        <f>0.065/0.102</f>
        <v>0.63725490196078438</v>
      </c>
      <c r="G147" s="180">
        <f>0.059/0.093</f>
        <v>0.63440860215053763</v>
      </c>
      <c r="H147" s="9"/>
      <c r="I147" s="9"/>
    </row>
    <row r="148" spans="1:9" hidden="1" x14ac:dyDescent="0.3">
      <c r="A148" s="9"/>
      <c r="B148" s="9"/>
      <c r="C148" s="20"/>
      <c r="D148" s="174" t="s">
        <v>14</v>
      </c>
      <c r="E148" s="180">
        <f>0.035/0.117</f>
        <v>0.29914529914529914</v>
      </c>
      <c r="F148" s="180">
        <f>0.031/0.102</f>
        <v>0.30392156862745101</v>
      </c>
      <c r="G148" s="180">
        <f>0.028/0.093</f>
        <v>0.30107526881720431</v>
      </c>
      <c r="H148" s="9"/>
      <c r="I148" s="9"/>
    </row>
    <row r="149" spans="1:9" hidden="1" x14ac:dyDescent="0.3">
      <c r="A149" s="9"/>
      <c r="B149" s="9"/>
      <c r="C149" s="20"/>
      <c r="D149" s="174" t="s">
        <v>56</v>
      </c>
      <c r="E149" s="180">
        <f>0.035/0.117</f>
        <v>0.29914529914529914</v>
      </c>
      <c r="F149" s="180">
        <f>0.031/0.102</f>
        <v>0.30392156862745101</v>
      </c>
      <c r="G149" s="180">
        <f>0.028/0.093</f>
        <v>0.30107526881720431</v>
      </c>
      <c r="H149" s="9"/>
      <c r="I149" s="9"/>
    </row>
    <row r="150" spans="1:9" ht="30" hidden="1" x14ac:dyDescent="0.3">
      <c r="A150" s="9"/>
      <c r="B150" s="9"/>
      <c r="C150" s="20"/>
      <c r="D150" s="174" t="s">
        <v>58</v>
      </c>
      <c r="E150" s="180">
        <f>0.034/0.117</f>
        <v>0.29059829059829062</v>
      </c>
      <c r="F150" s="180">
        <f>0.03/0.102</f>
        <v>0.29411764705882354</v>
      </c>
      <c r="G150" s="180">
        <f>0.027/0.093</f>
        <v>0.29032258064516131</v>
      </c>
      <c r="H150" s="9"/>
      <c r="I150" s="9"/>
    </row>
    <row r="151" spans="1:9" ht="30" hidden="1" x14ac:dyDescent="0.3">
      <c r="A151" s="9"/>
      <c r="B151" s="9"/>
      <c r="C151" s="20"/>
      <c r="D151" s="174" t="s">
        <v>59</v>
      </c>
      <c r="E151" s="180">
        <f>0.031/0.117</f>
        <v>0.26495726495726496</v>
      </c>
      <c r="F151" s="180">
        <f>0.027/0.102</f>
        <v>0.26470588235294118</v>
      </c>
      <c r="G151" s="180">
        <f>0.024/0.093</f>
        <v>0.25806451612903225</v>
      </c>
      <c r="H151" s="9"/>
      <c r="I151" s="9"/>
    </row>
    <row r="152" spans="1:9" hidden="1" x14ac:dyDescent="0.3">
      <c r="A152" s="9"/>
      <c r="B152" s="9"/>
      <c r="C152" s="20"/>
      <c r="D152" s="174" t="s">
        <v>12</v>
      </c>
      <c r="E152" s="180">
        <f>0.026/0.117</f>
        <v>0.22222222222222221</v>
      </c>
      <c r="F152" s="180">
        <f>0.022/0.102</f>
        <v>0.21568627450980393</v>
      </c>
      <c r="G152" s="180">
        <f>0.02/0.093</f>
        <v>0.21505376344086022</v>
      </c>
      <c r="H152" s="9"/>
      <c r="I152" s="9"/>
    </row>
    <row r="153" spans="1:9" ht="30" hidden="1" x14ac:dyDescent="0.3">
      <c r="A153" s="9"/>
      <c r="B153" s="9"/>
      <c r="C153" s="20"/>
      <c r="D153" s="174" t="s">
        <v>60</v>
      </c>
      <c r="E153" s="180">
        <f>0.01/0.117</f>
        <v>8.5470085470085472E-2</v>
      </c>
      <c r="F153" s="180">
        <f>0.008/0.102</f>
        <v>7.8431372549019621E-2</v>
      </c>
      <c r="G153" s="180">
        <f>0.008/0.093</f>
        <v>8.6021505376344093E-2</v>
      </c>
      <c r="H153" s="9"/>
      <c r="I153" s="9"/>
    </row>
    <row r="154" spans="1:9" hidden="1" x14ac:dyDescent="0.3">
      <c r="A154" s="9"/>
      <c r="B154" s="9"/>
      <c r="C154" s="20"/>
      <c r="D154" s="174" t="s">
        <v>61</v>
      </c>
      <c r="E154" s="180">
        <f>0.004/0.117</f>
        <v>3.4188034188034185E-2</v>
      </c>
      <c r="F154" s="180">
        <f>0.004/0.102</f>
        <v>3.921568627450981E-2</v>
      </c>
      <c r="G154" s="180">
        <f>0.003/0.093</f>
        <v>3.2258064516129031E-2</v>
      </c>
      <c r="H154" s="9"/>
      <c r="I154" s="9"/>
    </row>
    <row r="155" spans="1:9" hidden="1" x14ac:dyDescent="0.3">
      <c r="A155" s="9"/>
      <c r="B155" s="9"/>
      <c r="C155" s="20"/>
      <c r="D155" s="174" t="s">
        <v>62</v>
      </c>
      <c r="E155" s="180">
        <v>0</v>
      </c>
      <c r="F155" s="180">
        <v>0</v>
      </c>
      <c r="G155" s="180">
        <v>0</v>
      </c>
      <c r="H155" s="9"/>
      <c r="I155" s="9"/>
    </row>
    <row r="156" spans="1:9" hidden="1" x14ac:dyDescent="0.3">
      <c r="A156" s="9"/>
      <c r="B156" s="9"/>
      <c r="C156" s="20"/>
      <c r="D156" s="174" t="s">
        <v>65</v>
      </c>
      <c r="E156" s="179">
        <v>1</v>
      </c>
      <c r="F156" s="179"/>
      <c r="G156" s="179"/>
      <c r="H156" s="9"/>
      <c r="I156" s="9"/>
    </row>
    <row r="157" spans="1:9" hidden="1" x14ac:dyDescent="0.3">
      <c r="A157" s="9"/>
      <c r="B157" s="9"/>
      <c r="C157" s="20"/>
      <c r="D157" s="174" t="s">
        <v>68</v>
      </c>
      <c r="E157" s="180">
        <f>0.0294/0.03</f>
        <v>0.98</v>
      </c>
      <c r="F157" s="179"/>
      <c r="G157" s="179"/>
      <c r="H157" s="9"/>
      <c r="I157" s="9"/>
    </row>
    <row r="158" spans="1:9" hidden="1" x14ac:dyDescent="0.3">
      <c r="A158" s="9"/>
      <c r="B158" s="9"/>
      <c r="C158" s="20"/>
      <c r="D158" s="174" t="s">
        <v>67</v>
      </c>
      <c r="E158" s="180">
        <f>0.0285/0.03</f>
        <v>0.95000000000000007</v>
      </c>
      <c r="F158" s="179"/>
      <c r="G158" s="179"/>
      <c r="H158" s="9"/>
      <c r="I158" s="9"/>
    </row>
    <row r="159" spans="1:9" hidden="1" x14ac:dyDescent="0.3">
      <c r="A159" s="9"/>
      <c r="B159" s="9"/>
      <c r="C159" s="20"/>
      <c r="D159" s="20"/>
      <c r="E159" s="20"/>
      <c r="F159" s="20"/>
      <c r="G159" s="20"/>
      <c r="H159" s="9"/>
      <c r="I159" s="9"/>
    </row>
    <row r="160" spans="1:9" hidden="1" x14ac:dyDescent="0.3">
      <c r="A160" s="9"/>
      <c r="B160" s="9"/>
      <c r="C160" s="9"/>
      <c r="D160" s="10"/>
      <c r="E160" s="10"/>
      <c r="F160" s="10"/>
      <c r="G160" s="10"/>
      <c r="H160" s="9"/>
      <c r="I160" s="9"/>
    </row>
    <row r="161" spans="1:9" hidden="1" x14ac:dyDescent="0.3">
      <c r="A161" s="9"/>
      <c r="B161" s="9"/>
      <c r="C161" s="9"/>
      <c r="D161" s="9"/>
      <c r="E161" s="9"/>
      <c r="F161" s="9"/>
      <c r="G161" s="9"/>
      <c r="H161" s="9"/>
      <c r="I161" s="9"/>
    </row>
    <row r="162" spans="1:9" hidden="1" x14ac:dyDescent="0.3">
      <c r="A162" s="9"/>
      <c r="B162" s="9"/>
      <c r="C162" s="9"/>
      <c r="D162" s="9"/>
      <c r="E162" s="9"/>
      <c r="F162" s="9"/>
      <c r="G162" s="9"/>
      <c r="H162" s="9"/>
      <c r="I162" s="9"/>
    </row>
    <row r="163" spans="1:9" hidden="1" x14ac:dyDescent="0.3">
      <c r="A163" s="9"/>
      <c r="B163" s="9"/>
      <c r="C163" s="9"/>
      <c r="D163" s="9"/>
      <c r="E163" s="9"/>
      <c r="F163" s="9"/>
      <c r="G163" s="9"/>
      <c r="H163" s="9"/>
      <c r="I163" s="9"/>
    </row>
    <row r="164" spans="1:9" hidden="1" x14ac:dyDescent="0.3">
      <c r="A164" s="9"/>
      <c r="B164" s="9"/>
      <c r="C164" s="9"/>
      <c r="D164" s="9"/>
      <c r="E164" s="9"/>
      <c r="F164" s="9"/>
      <c r="G164" s="9"/>
      <c r="H164" s="9"/>
      <c r="I164" s="9"/>
    </row>
    <row r="165" spans="1:9" hidden="1" x14ac:dyDescent="0.3">
      <c r="A165" s="9"/>
      <c r="B165" s="9"/>
      <c r="C165" s="9"/>
      <c r="D165" s="9"/>
      <c r="E165" s="9"/>
      <c r="F165" s="9"/>
      <c r="G165" s="9"/>
      <c r="H165" s="9"/>
      <c r="I165" s="9"/>
    </row>
    <row r="166" spans="1:9" hidden="1" x14ac:dyDescent="0.3">
      <c r="A166" s="9"/>
      <c r="B166" s="9"/>
      <c r="C166" s="9"/>
      <c r="D166" s="9"/>
      <c r="E166" s="9"/>
      <c r="F166" s="9"/>
      <c r="G166" s="9"/>
      <c r="H166" s="9"/>
      <c r="I166" s="9"/>
    </row>
    <row r="167" spans="1:9" hidden="1" x14ac:dyDescent="0.3">
      <c r="A167" s="9"/>
      <c r="B167" s="9"/>
      <c r="C167" s="9"/>
      <c r="D167" s="9"/>
      <c r="E167" s="9"/>
      <c r="F167" s="9"/>
      <c r="G167" s="9"/>
      <c r="H167" s="9"/>
      <c r="I167" s="9"/>
    </row>
    <row r="168" spans="1:9" x14ac:dyDescent="0.3">
      <c r="A168" s="9"/>
      <c r="B168" s="9"/>
      <c r="C168" s="9"/>
      <c r="D168" s="9"/>
      <c r="E168" s="9"/>
      <c r="F168" s="9"/>
      <c r="G168" s="9"/>
      <c r="H168" s="9"/>
      <c r="I168" s="9"/>
    </row>
    <row r="169" spans="1:9" x14ac:dyDescent="0.3">
      <c r="A169" s="9"/>
      <c r="B169" s="9"/>
      <c r="C169" s="9"/>
      <c r="D169" s="9"/>
      <c r="E169" s="9"/>
      <c r="F169" s="9"/>
      <c r="G169" s="9"/>
      <c r="H169" s="9"/>
      <c r="I169" s="9"/>
    </row>
    <row r="170" spans="1:9" x14ac:dyDescent="0.3">
      <c r="A170" s="9"/>
      <c r="B170" s="9"/>
      <c r="C170" s="9"/>
      <c r="D170" s="9"/>
      <c r="E170" s="9"/>
      <c r="F170" s="9"/>
      <c r="G170" s="9"/>
      <c r="H170" s="9"/>
      <c r="I170" s="9"/>
    </row>
    <row r="171" spans="1:9" x14ac:dyDescent="0.3">
      <c r="A171" s="9"/>
      <c r="B171" s="9"/>
      <c r="C171" s="9"/>
      <c r="D171" s="9"/>
      <c r="E171" s="9"/>
      <c r="F171" s="9"/>
      <c r="G171" s="9"/>
      <c r="H171" s="9"/>
      <c r="I171" s="9"/>
    </row>
    <row r="172" spans="1:9" x14ac:dyDescent="0.3">
      <c r="A172" s="9"/>
      <c r="B172" s="9"/>
      <c r="C172" s="9"/>
      <c r="D172" s="9"/>
      <c r="E172" s="9"/>
      <c r="F172" s="9"/>
      <c r="G172" s="9"/>
      <c r="H172" s="9"/>
      <c r="I172" s="9"/>
    </row>
    <row r="173" spans="1:9" x14ac:dyDescent="0.3">
      <c r="A173" s="9"/>
      <c r="B173" s="9"/>
      <c r="C173" s="9"/>
      <c r="D173" s="9"/>
      <c r="E173" s="9"/>
      <c r="F173" s="9"/>
      <c r="G173" s="9"/>
      <c r="H173" s="9"/>
      <c r="I173" s="9"/>
    </row>
    <row r="174" spans="1:9" x14ac:dyDescent="0.3">
      <c r="A174" s="9"/>
      <c r="B174" s="9"/>
      <c r="C174" s="9"/>
      <c r="D174" s="9"/>
      <c r="E174" s="9"/>
      <c r="F174" s="9"/>
      <c r="G174" s="9"/>
      <c r="H174" s="9"/>
      <c r="I174" s="9"/>
    </row>
    <row r="175" spans="1:9" x14ac:dyDescent="0.3">
      <c r="A175" s="9"/>
      <c r="B175" s="9"/>
      <c r="C175" s="9"/>
      <c r="D175" s="9"/>
      <c r="E175" s="9"/>
      <c r="F175" s="9"/>
      <c r="G175" s="9"/>
      <c r="H175" s="9"/>
      <c r="I175" s="9"/>
    </row>
    <row r="176" spans="1:9" ht="15" customHeight="1" x14ac:dyDescent="0.3">
      <c r="A176" s="9"/>
      <c r="B176" s="9"/>
      <c r="C176" s="9"/>
      <c r="D176" s="9"/>
      <c r="E176" s="9"/>
      <c r="F176" s="9"/>
      <c r="G176" s="9"/>
      <c r="H176" s="9"/>
      <c r="I176" s="9"/>
    </row>
    <row r="177" s="15" customFormat="1" x14ac:dyDescent="0.3"/>
    <row r="178" s="15" customFormat="1" x14ac:dyDescent="0.3"/>
    <row r="179" s="15" customFormat="1" x14ac:dyDescent="0.3"/>
    <row r="180" s="15" customFormat="1" x14ac:dyDescent="0.3"/>
    <row r="181" s="15" customFormat="1" x14ac:dyDescent="0.3"/>
    <row r="182" s="15" customFormat="1" x14ac:dyDescent="0.3"/>
    <row r="183" s="15" customFormat="1" x14ac:dyDescent="0.3"/>
    <row r="184" s="15" customFormat="1" ht="15" customHeight="1" x14ac:dyDescent="0.3"/>
    <row r="185" s="15" customFormat="1" ht="15" customHeight="1" x14ac:dyDescent="0.3"/>
    <row r="186" s="15" customFormat="1" ht="15" customHeight="1" x14ac:dyDescent="0.3"/>
    <row r="187" s="15" customFormat="1" x14ac:dyDescent="0.3"/>
    <row r="188" s="15" customFormat="1" x14ac:dyDescent="0.3"/>
    <row r="189" s="15" customFormat="1" x14ac:dyDescent="0.3"/>
    <row r="190" s="15" customFormat="1" x14ac:dyDescent="0.3"/>
    <row r="191" s="15" customFormat="1" x14ac:dyDescent="0.3"/>
    <row r="192" s="15" customFormat="1" x14ac:dyDescent="0.3"/>
    <row r="193" s="15" customFormat="1" x14ac:dyDescent="0.3"/>
    <row r="194" s="15" customFormat="1" x14ac:dyDescent="0.3"/>
    <row r="195" s="15" customFormat="1" x14ac:dyDescent="0.3"/>
    <row r="196" s="15" customFormat="1" x14ac:dyDescent="0.3"/>
    <row r="197" s="15" customFormat="1" x14ac:dyDescent="0.3"/>
    <row r="198" s="15" customFormat="1" x14ac:dyDescent="0.3"/>
    <row r="199" s="15" customFormat="1" x14ac:dyDescent="0.3"/>
    <row r="200" s="15" customFormat="1" x14ac:dyDescent="0.3"/>
  </sheetData>
  <sheetProtection algorithmName="SHA-512" hashValue="bStpw6aOnLAclFjsGSBhuq1Sos6ik7A8okjjTTfQF3xQa8tv9AsT2d4a+mwl42BmxXplYBxsyJmpKNZfbIHxIw==" saltValue="bxcy7Pv8NqfzAR9LJuTvcQ==" spinCount="100000" sheet="1" objects="1" scenarios="1"/>
  <protectedRanges>
    <protectedRange sqref="D20 D7:D11 D29" name="gegevens_1_2_1_1_1"/>
  </protectedRanges>
  <mergeCells count="25">
    <mergeCell ref="D16:F16"/>
    <mergeCell ref="D7:G7"/>
    <mergeCell ref="D8:G8"/>
    <mergeCell ref="D9:G9"/>
    <mergeCell ref="D10:G10"/>
    <mergeCell ref="D15:F15"/>
    <mergeCell ref="E79:F79"/>
    <mergeCell ref="D17:F17"/>
    <mergeCell ref="D18:F18"/>
    <mergeCell ref="D19:F19"/>
    <mergeCell ref="D24:F24"/>
    <mergeCell ref="D25:F25"/>
    <mergeCell ref="D26:F26"/>
    <mergeCell ref="D27:F27"/>
    <mergeCell ref="D28:F28"/>
    <mergeCell ref="E58:F58"/>
    <mergeCell ref="E60:F60"/>
    <mergeCell ref="E63:F63"/>
    <mergeCell ref="C117:G117"/>
    <mergeCell ref="D128:G128"/>
    <mergeCell ref="C85:G85"/>
    <mergeCell ref="E90:F90"/>
    <mergeCell ref="E92:F92"/>
    <mergeCell ref="E95:F95"/>
    <mergeCell ref="E111:F111"/>
  </mergeCells>
  <dataValidations disablePrompts="1" count="4">
    <dataValidation type="whole" operator="lessThan" allowBlank="1" showInputMessage="1" showErrorMessage="1" sqref="D35 D47" xr:uid="{23D0DFC7-2044-4753-9729-FD9798182A71}">
      <formula1>1000</formula1>
    </dataValidation>
    <dataValidation operator="lessThanOrEqual" allowBlank="1" showInputMessage="1" showErrorMessage="1" sqref="G122:G124 G42:G43 G54:G55" xr:uid="{CDD5357C-9EEB-41AE-A6D8-A022C6608522}"/>
    <dataValidation type="list" allowBlank="1" showInputMessage="1" showErrorMessage="1" sqref="D37 D42:D43 D54:D55 D49" xr:uid="{DC670E5E-8429-4F9A-85F4-25171A5E9C13}">
      <formula1>$D$139:$D$158</formula1>
    </dataValidation>
    <dataValidation type="list" allowBlank="1" showInputMessage="1" showErrorMessage="1" sqref="D36 D48" xr:uid="{C511490C-301E-45E7-A7D0-EC5A23CE8032}">
      <formula1>$D$130:$D$136</formula1>
    </dataValidation>
  </dataValidations>
  <pageMargins left="0.70866141732283472" right="0.70866141732283472" top="0.74803149606299213" bottom="0.74803149606299213" header="0.31496062992125984" footer="0.31496062992125984"/>
  <pageSetup paperSize="8" scale="47" orientation="portrait" r:id="rId1"/>
  <headerFooter>
    <oddHeader>&amp;L&amp;"Open Sans,Vet"&amp;12&amp;F</oddHeader>
    <oddFooter>&amp;L&amp;"Open Sans,Vet"&amp;12&amp;A&amp;R&amp;"Open Sans,Vet"&amp;12&amp;P van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374BC1-EFD4-463A-B142-1F90188B456B}">
  <sheetPr>
    <pageSetUpPr fitToPage="1"/>
  </sheetPr>
  <dimension ref="A1:S84"/>
  <sheetViews>
    <sheetView showGridLines="0" zoomScale="85" zoomScaleNormal="85" workbookViewId="0">
      <selection activeCell="F70" sqref="F70"/>
    </sheetView>
  </sheetViews>
  <sheetFormatPr defaultColWidth="9.109375" defaultRowHeight="15" x14ac:dyDescent="0.3"/>
  <cols>
    <col min="1" max="2" width="2.6640625" style="9" customWidth="1"/>
    <col min="3" max="3" width="74.6640625" style="9" customWidth="1"/>
    <col min="4" max="4" width="29.109375" style="10" customWidth="1"/>
    <col min="5" max="7" width="30.6640625" style="10" customWidth="1"/>
    <col min="8" max="8" width="39" style="9" customWidth="1"/>
    <col min="9" max="13" width="2.6640625" style="9" customWidth="1"/>
    <col min="14" max="14" width="64.6640625" style="9" bestFit="1" customWidth="1"/>
    <col min="15" max="16384" width="9.109375" style="9"/>
  </cols>
  <sheetData>
    <row r="1" spans="3:19" s="1" customFormat="1" ht="15" customHeight="1" x14ac:dyDescent="0.35">
      <c r="J1" s="2"/>
      <c r="K1" s="24"/>
    </row>
    <row r="2" spans="3:19" s="1" customFormat="1" ht="15" customHeight="1" thickBot="1" x14ac:dyDescent="0.4">
      <c r="J2" s="2"/>
      <c r="K2" s="24"/>
    </row>
    <row r="3" spans="3:19" s="25" customFormat="1" ht="75" customHeight="1" thickBot="1" x14ac:dyDescent="0.4">
      <c r="C3" s="91" t="s">
        <v>153</v>
      </c>
      <c r="D3" s="120"/>
      <c r="E3" s="120"/>
      <c r="F3" s="120"/>
      <c r="G3" s="120"/>
      <c r="H3" s="120"/>
      <c r="K3" s="24"/>
    </row>
    <row r="4" spans="3:19" s="1" customFormat="1" ht="16.5" customHeight="1" x14ac:dyDescent="0.35">
      <c r="J4" s="2"/>
      <c r="K4" s="24"/>
    </row>
    <row r="5" spans="3:19" s="1" customFormat="1" ht="16.5" customHeight="1" thickBot="1" x14ac:dyDescent="0.4">
      <c r="J5" s="2"/>
      <c r="K5" s="24"/>
      <c r="N5" s="11"/>
    </row>
    <row r="6" spans="3:19" s="1" customFormat="1" ht="16.5" customHeight="1" thickBot="1" x14ac:dyDescent="0.4">
      <c r="C6" s="56" t="s">
        <v>35</v>
      </c>
      <c r="D6" s="57"/>
      <c r="E6" s="57"/>
      <c r="F6" s="94"/>
      <c r="H6" s="28"/>
      <c r="J6" s="2"/>
      <c r="K6" s="24"/>
    </row>
    <row r="7" spans="3:19" s="1" customFormat="1" ht="16.5" customHeight="1" thickBot="1" x14ac:dyDescent="0.4">
      <c r="C7" s="181" t="s">
        <v>36</v>
      </c>
      <c r="D7" s="247" t="s">
        <v>37</v>
      </c>
      <c r="E7" s="247"/>
      <c r="F7" s="248"/>
      <c r="J7" s="2"/>
      <c r="K7" s="24"/>
    </row>
    <row r="8" spans="3:19" s="1" customFormat="1" ht="16.5" customHeight="1" thickBot="1" x14ac:dyDescent="0.4">
      <c r="C8" s="181" t="s">
        <v>38</v>
      </c>
      <c r="D8" s="247" t="s">
        <v>39</v>
      </c>
      <c r="E8" s="247"/>
      <c r="F8" s="248"/>
      <c r="J8" s="2"/>
      <c r="K8" s="24"/>
    </row>
    <row r="9" spans="3:19" s="1" customFormat="1" ht="16.5" customHeight="1" thickBot="1" x14ac:dyDescent="0.4">
      <c r="C9" s="181" t="s">
        <v>40</v>
      </c>
      <c r="D9" s="247" t="s">
        <v>41</v>
      </c>
      <c r="E9" s="247"/>
      <c r="F9" s="248"/>
      <c r="J9" s="2"/>
      <c r="K9" s="24"/>
      <c r="P9" s="26"/>
      <c r="S9" s="9"/>
    </row>
    <row r="10" spans="3:19" s="1" customFormat="1" ht="16.5" customHeight="1" thickBot="1" x14ac:dyDescent="0.4">
      <c r="C10" s="181" t="s">
        <v>42</v>
      </c>
      <c r="D10" s="247" t="s">
        <v>43</v>
      </c>
      <c r="E10" s="247"/>
      <c r="F10" s="248"/>
      <c r="J10" s="2"/>
      <c r="K10" s="24"/>
    </row>
    <row r="11" spans="3:19" s="1" customFormat="1" ht="16.5" customHeight="1" thickBot="1" x14ac:dyDescent="0.4">
      <c r="C11" s="58"/>
      <c r="D11" s="60"/>
      <c r="E11" s="60"/>
      <c r="F11" s="96"/>
      <c r="J11" s="2"/>
      <c r="K11" s="24"/>
    </row>
    <row r="12" spans="3:19" s="1" customFormat="1" ht="16.5" customHeight="1" x14ac:dyDescent="0.35">
      <c r="I12" s="5"/>
      <c r="J12" s="61"/>
      <c r="K12" s="24"/>
    </row>
    <row r="13" spans="3:19" s="1" customFormat="1" ht="16.5" customHeight="1" thickBot="1" x14ac:dyDescent="0.4">
      <c r="K13" s="24"/>
    </row>
    <row r="14" spans="3:19" s="19" customFormat="1" ht="16.5" customHeight="1" thickBot="1" x14ac:dyDescent="0.4">
      <c r="C14" s="62" t="s">
        <v>194</v>
      </c>
      <c r="D14" s="182"/>
      <c r="E14" s="182"/>
      <c r="F14" s="182"/>
      <c r="G14" s="183"/>
      <c r="H14" s="1"/>
      <c r="K14" s="24"/>
    </row>
    <row r="15" spans="3:19" ht="16.5" customHeight="1" thickBot="1" x14ac:dyDescent="0.4">
      <c r="C15" s="184" t="s">
        <v>0</v>
      </c>
      <c r="D15" s="73" t="s">
        <v>127</v>
      </c>
      <c r="E15" s="73" t="s">
        <v>114</v>
      </c>
      <c r="F15" s="73" t="s">
        <v>97</v>
      </c>
      <c r="G15" s="73" t="s">
        <v>116</v>
      </c>
      <c r="H15" s="1"/>
      <c r="K15" s="24"/>
    </row>
    <row r="16" spans="3:19" ht="45.6" thickBot="1" x14ac:dyDescent="0.4">
      <c r="C16" s="185" t="s">
        <v>126</v>
      </c>
      <c r="D16" s="37" t="s">
        <v>109</v>
      </c>
      <c r="E16" s="38"/>
      <c r="F16" s="186">
        <f>'Formulier logistiek'!$K$17</f>
        <v>800</v>
      </c>
      <c r="G16" s="187">
        <f>IF($D$16="1. Er wordt geen gebruik gemaakt van een separate ontvangstlocatie", 0, F16*$E$16)</f>
        <v>0</v>
      </c>
      <c r="H16" s="1"/>
      <c r="K16" s="24"/>
      <c r="N16" s="1"/>
    </row>
    <row r="17" spans="3:14" ht="45.6" thickBot="1" x14ac:dyDescent="0.4">
      <c r="C17" s="185" t="s">
        <v>106</v>
      </c>
      <c r="D17" s="188" t="str">
        <f>$D$16</f>
        <v>1. Er wordt geen gebruik gemaakt van een separate ontvangstlocatie</v>
      </c>
      <c r="E17" s="38"/>
      <c r="F17" s="186">
        <f>$F$16</f>
        <v>800</v>
      </c>
      <c r="G17" s="187">
        <f>IF(D17="1. Er wordt geen gebruik gemaakt van een separate ontvangstlocatie", 0, F17*$E$17)</f>
        <v>0</v>
      </c>
      <c r="H17" s="1"/>
      <c r="K17" s="24"/>
    </row>
    <row r="18" spans="3:14" ht="16.5" customHeight="1" thickBot="1" x14ac:dyDescent="0.4">
      <c r="C18" s="189"/>
      <c r="D18" s="190"/>
      <c r="E18" s="191"/>
      <c r="F18" s="192"/>
      <c r="G18" s="193"/>
      <c r="H18" s="1"/>
      <c r="K18" s="24"/>
    </row>
    <row r="19" spans="3:14" ht="16.5" customHeight="1" x14ac:dyDescent="0.35">
      <c r="F19" s="194"/>
      <c r="G19" s="195"/>
      <c r="H19" s="1"/>
      <c r="K19" s="24"/>
    </row>
    <row r="20" spans="3:14" ht="16.5" customHeight="1" thickBot="1" x14ac:dyDescent="0.4">
      <c r="F20" s="194"/>
      <c r="G20" s="195"/>
      <c r="H20" s="1"/>
      <c r="K20" s="24"/>
    </row>
    <row r="21" spans="3:14" s="19" customFormat="1" ht="16.5" customHeight="1" thickBot="1" x14ac:dyDescent="0.4">
      <c r="C21" s="62" t="s">
        <v>195</v>
      </c>
      <c r="D21" s="182"/>
      <c r="E21" s="182"/>
      <c r="F21" s="182"/>
      <c r="G21" s="183"/>
      <c r="H21" s="1"/>
      <c r="K21" s="24"/>
    </row>
    <row r="22" spans="3:14" ht="16.5" customHeight="1" thickBot="1" x14ac:dyDescent="0.4">
      <c r="C22" s="184" t="s">
        <v>0</v>
      </c>
      <c r="D22" s="73" t="s">
        <v>127</v>
      </c>
      <c r="E22" s="73" t="s">
        <v>114</v>
      </c>
      <c r="F22" s="73" t="s">
        <v>97</v>
      </c>
      <c r="G22" s="73" t="s">
        <v>116</v>
      </c>
      <c r="H22" s="1"/>
      <c r="K22" s="24"/>
    </row>
    <row r="23" spans="3:14" ht="45.6" thickBot="1" x14ac:dyDescent="0.4">
      <c r="C23" s="185" t="s">
        <v>126</v>
      </c>
      <c r="D23" s="37" t="s">
        <v>109</v>
      </c>
      <c r="E23" s="38"/>
      <c r="F23" s="186">
        <f>'Formulier logistiek'!$K$24</f>
        <v>34000</v>
      </c>
      <c r="G23" s="187">
        <f>IF($D$16="1. Er wordt geen gebruik gemaakt van een separate ontvangstlocatie", 0, F23*$E$16)</f>
        <v>0</v>
      </c>
      <c r="H23" s="1"/>
      <c r="K23" s="24"/>
      <c r="N23" s="1"/>
    </row>
    <row r="24" spans="3:14" ht="45.6" thickBot="1" x14ac:dyDescent="0.4">
      <c r="C24" s="185" t="s">
        <v>106</v>
      </c>
      <c r="D24" s="188" t="str">
        <f>$D$16</f>
        <v>1. Er wordt geen gebruik gemaakt van een separate ontvangstlocatie</v>
      </c>
      <c r="E24" s="38"/>
      <c r="F24" s="186">
        <f>$F$23</f>
        <v>34000</v>
      </c>
      <c r="G24" s="187">
        <f>IF(D24="1. Er wordt geen gebruik gemaakt van een separate ontvangstlocatie", 0, F24*$E$17)</f>
        <v>0</v>
      </c>
      <c r="H24" s="1"/>
      <c r="K24" s="24"/>
    </row>
    <row r="25" spans="3:14" ht="16.5" customHeight="1" thickBot="1" x14ac:dyDescent="0.4">
      <c r="C25" s="189"/>
      <c r="D25" s="190"/>
      <c r="E25" s="191"/>
      <c r="F25" s="192"/>
      <c r="G25" s="193"/>
      <c r="H25" s="1"/>
      <c r="K25" s="24"/>
    </row>
    <row r="26" spans="3:14" ht="16.5" customHeight="1" x14ac:dyDescent="0.35">
      <c r="F26" s="194"/>
      <c r="G26" s="195"/>
      <c r="H26" s="1"/>
      <c r="K26" s="24"/>
    </row>
    <row r="27" spans="3:14" ht="16.5" customHeight="1" thickBot="1" x14ac:dyDescent="0.4">
      <c r="F27" s="194"/>
      <c r="G27" s="195"/>
      <c r="H27" s="1"/>
      <c r="K27" s="24"/>
    </row>
    <row r="28" spans="3:14" s="20" customFormat="1" ht="16.5" customHeight="1" thickBot="1" x14ac:dyDescent="0.4">
      <c r="C28" s="62" t="s">
        <v>196</v>
      </c>
      <c r="D28" s="162"/>
      <c r="E28" s="162"/>
      <c r="F28" s="162"/>
      <c r="G28" s="196"/>
      <c r="H28" s="1"/>
      <c r="K28" s="24"/>
    </row>
    <row r="29" spans="3:14" s="20" customFormat="1" ht="30" customHeight="1" thickBot="1" x14ac:dyDescent="0.4">
      <c r="C29" s="184" t="s">
        <v>0</v>
      </c>
      <c r="D29" s="197"/>
      <c r="E29" s="73" t="s">
        <v>114</v>
      </c>
      <c r="F29" s="73" t="s">
        <v>97</v>
      </c>
      <c r="G29" s="73" t="s">
        <v>116</v>
      </c>
      <c r="H29" s="9"/>
      <c r="K29" s="24"/>
    </row>
    <row r="30" spans="3:14" ht="16.5" customHeight="1" thickBot="1" x14ac:dyDescent="0.4">
      <c r="C30" s="198" t="s">
        <v>111</v>
      </c>
      <c r="E30" s="38"/>
      <c r="F30" s="254">
        <f>$F$16</f>
        <v>800</v>
      </c>
      <c r="G30" s="31">
        <f>(E30)*F30</f>
        <v>0</v>
      </c>
      <c r="H30" s="200"/>
      <c r="K30" s="24"/>
    </row>
    <row r="31" spans="3:14" s="20" customFormat="1" ht="16.5" customHeight="1" thickBot="1" x14ac:dyDescent="0.4">
      <c r="C31" s="198" t="s">
        <v>164</v>
      </c>
      <c r="D31" s="201">
        <f>1-SUM('Kwaliteit HRA 2027'!$D$64:$D$75,'Kwaliteit HRA 2027'!$D$77:$D$78)/1000</f>
        <v>1</v>
      </c>
      <c r="E31" s="202">
        <f>$D$31*$D$67</f>
        <v>40.85</v>
      </c>
      <c r="F31" s="255"/>
      <c r="G31" s="31">
        <f t="shared" ref="G31:G38" si="0">E31*$F$30</f>
        <v>32680</v>
      </c>
      <c r="H31" s="200"/>
      <c r="K31" s="24"/>
    </row>
    <row r="32" spans="3:14" s="20" customFormat="1" ht="16.5" customHeight="1" thickBot="1" x14ac:dyDescent="0.4">
      <c r="C32" s="198" t="s">
        <v>165</v>
      </c>
      <c r="D32" s="201">
        <f>1-SUM('Kwaliteit HRA 2028'!$D$64:$D$75,'Kwaliteit HRA 2028'!$D$77:$D$78)/1000</f>
        <v>1</v>
      </c>
      <c r="E32" s="202">
        <f>$D$32*$D$68</f>
        <v>90.21</v>
      </c>
      <c r="F32" s="255"/>
      <c r="G32" s="31">
        <f t="shared" si="0"/>
        <v>72168</v>
      </c>
      <c r="H32" s="200"/>
      <c r="K32" s="24"/>
    </row>
    <row r="33" spans="1:14" s="20" customFormat="1" ht="16.5" customHeight="1" thickBot="1" x14ac:dyDescent="0.4">
      <c r="C33" s="198" t="s">
        <v>166</v>
      </c>
      <c r="D33" s="201">
        <f>1-SUM('Kwaliteit HRA 2029'!$D$64:$D$75,'Kwaliteit HRA 2029'!$D$77:$D$78)/1000</f>
        <v>1</v>
      </c>
      <c r="E33" s="202">
        <f>$D$33*$D$69</f>
        <v>92.61</v>
      </c>
      <c r="F33" s="255"/>
      <c r="G33" s="31">
        <f t="shared" si="0"/>
        <v>74088</v>
      </c>
      <c r="H33" s="200"/>
      <c r="K33" s="24"/>
    </row>
    <row r="34" spans="1:14" s="20" customFormat="1" ht="16.5" customHeight="1" thickBot="1" x14ac:dyDescent="0.4">
      <c r="C34" s="198" t="s">
        <v>167</v>
      </c>
      <c r="D34" s="201">
        <f>1-SUM('Kwaliteit HRA 2030'!$D$64:$D$75,'Kwaliteit HRA 2030'!$D$77:$D$78)/1000</f>
        <v>1</v>
      </c>
      <c r="E34" s="202">
        <f>$D$34*$D$70</f>
        <v>120.71</v>
      </c>
      <c r="F34" s="255"/>
      <c r="G34" s="31">
        <f t="shared" si="0"/>
        <v>96568</v>
      </c>
      <c r="K34" s="24"/>
    </row>
    <row r="35" spans="1:14" s="20" customFormat="1" ht="16.5" customHeight="1" thickBot="1" x14ac:dyDescent="0.4">
      <c r="C35" s="198" t="s">
        <v>168</v>
      </c>
      <c r="D35" s="42"/>
      <c r="E35" s="202">
        <f>$D$35*$D$71</f>
        <v>0</v>
      </c>
      <c r="F35" s="255"/>
      <c r="G35" s="31">
        <f t="shared" si="0"/>
        <v>0</v>
      </c>
      <c r="H35" s="200"/>
      <c r="K35" s="24"/>
    </row>
    <row r="36" spans="1:14" s="20" customFormat="1" ht="16.5" customHeight="1" thickBot="1" x14ac:dyDescent="0.4">
      <c r="C36" s="203" t="s">
        <v>169</v>
      </c>
      <c r="D36" s="42"/>
      <c r="E36" s="202">
        <f>$D$36*$D$72</f>
        <v>0</v>
      </c>
      <c r="F36" s="255"/>
      <c r="G36" s="31">
        <f t="shared" si="0"/>
        <v>0</v>
      </c>
      <c r="H36" s="200"/>
      <c r="K36" s="24"/>
    </row>
    <row r="37" spans="1:14" s="20" customFormat="1" ht="16.5" customHeight="1" thickBot="1" x14ac:dyDescent="0.4">
      <c r="C37" s="203" t="s">
        <v>170</v>
      </c>
      <c r="D37" s="42"/>
      <c r="E37" s="202">
        <f>$D$37*$D$73</f>
        <v>0</v>
      </c>
      <c r="F37" s="255"/>
      <c r="G37" s="31">
        <f t="shared" si="0"/>
        <v>0</v>
      </c>
      <c r="H37" s="200"/>
      <c r="K37" s="24"/>
    </row>
    <row r="38" spans="1:14" s="20" customFormat="1" ht="16.5" customHeight="1" thickBot="1" x14ac:dyDescent="0.4">
      <c r="C38" s="203" t="s">
        <v>171</v>
      </c>
      <c r="D38" s="42"/>
      <c r="E38" s="202">
        <f>$D$38*$D$74</f>
        <v>0</v>
      </c>
      <c r="F38" s="256"/>
      <c r="G38" s="31">
        <f t="shared" si="0"/>
        <v>0</v>
      </c>
      <c r="H38" s="200"/>
      <c r="K38" s="24"/>
    </row>
    <row r="39" spans="1:14" s="20" customFormat="1" ht="16.5" customHeight="1" thickBot="1" x14ac:dyDescent="0.4">
      <c r="C39" s="204"/>
      <c r="D39" s="205"/>
      <c r="E39" s="206"/>
      <c r="F39" s="159"/>
      <c r="G39" s="39"/>
      <c r="H39" s="109"/>
      <c r="K39" s="24"/>
    </row>
    <row r="40" spans="1:14" s="14" customFormat="1" ht="75" customHeight="1" x14ac:dyDescent="0.35">
      <c r="A40" s="20"/>
      <c r="B40" s="20"/>
      <c r="C40" s="250" t="s">
        <v>216</v>
      </c>
      <c r="D40" s="250"/>
      <c r="E40" s="250"/>
      <c r="F40" s="250"/>
      <c r="G40" s="250"/>
      <c r="H40" s="20"/>
      <c r="I40" s="20"/>
      <c r="J40" s="20"/>
      <c r="K40" s="24"/>
    </row>
    <row r="41" spans="1:14" ht="16.5" customHeight="1" x14ac:dyDescent="0.35">
      <c r="F41" s="194"/>
      <c r="G41" s="195"/>
      <c r="H41" s="207"/>
      <c r="K41" s="24"/>
    </row>
    <row r="42" spans="1:14" ht="16.5" customHeight="1" thickBot="1" x14ac:dyDescent="0.4">
      <c r="F42" s="194"/>
      <c r="G42" s="195"/>
      <c r="H42" s="207"/>
      <c r="K42" s="24"/>
    </row>
    <row r="43" spans="1:14" s="20" customFormat="1" ht="16.5" customHeight="1" thickBot="1" x14ac:dyDescent="0.4">
      <c r="C43" s="62" t="s">
        <v>201</v>
      </c>
      <c r="D43" s="162"/>
      <c r="E43" s="162"/>
      <c r="F43" s="162"/>
      <c r="G43" s="196"/>
      <c r="H43" s="9"/>
      <c r="K43" s="24"/>
    </row>
    <row r="44" spans="1:14" s="20" customFormat="1" ht="30" customHeight="1" thickBot="1" x14ac:dyDescent="0.4">
      <c r="C44" s="184" t="s">
        <v>0</v>
      </c>
      <c r="D44" s="73"/>
      <c r="E44" s="73" t="s">
        <v>114</v>
      </c>
      <c r="F44" s="73" t="s">
        <v>97</v>
      </c>
      <c r="G44" s="73" t="s">
        <v>116</v>
      </c>
      <c r="H44" s="9"/>
      <c r="K44" s="24"/>
    </row>
    <row r="45" spans="1:14" ht="16.5" customHeight="1" thickBot="1" x14ac:dyDescent="0.4">
      <c r="C45" s="198" t="s">
        <v>112</v>
      </c>
      <c r="E45" s="38"/>
      <c r="F45" s="254">
        <f>$F$23</f>
        <v>34000</v>
      </c>
      <c r="G45" s="31">
        <f>(E45)*$F$45</f>
        <v>0</v>
      </c>
      <c r="H45" s="200"/>
      <c r="K45" s="24"/>
      <c r="N45" s="14"/>
    </row>
    <row r="46" spans="1:14" s="20" customFormat="1" ht="16.5" customHeight="1" thickBot="1" x14ac:dyDescent="0.4">
      <c r="C46" s="198" t="s">
        <v>164</v>
      </c>
      <c r="D46" s="208">
        <f>1-SUM('Kwaliteit HRA 2027'!$D$96:$D$107,'Kwaliteit HRA 2027'!$D$109:$D$110)/1000</f>
        <v>1</v>
      </c>
      <c r="E46" s="209">
        <f>$D$46*$D$67</f>
        <v>40.85</v>
      </c>
      <c r="F46" s="255"/>
      <c r="G46" s="31">
        <f t="shared" ref="G46:G53" si="1">E46*$F$45</f>
        <v>1388900</v>
      </c>
      <c r="H46" s="200"/>
      <c r="K46" s="24"/>
      <c r="N46" s="14"/>
    </row>
    <row r="47" spans="1:14" s="20" customFormat="1" ht="16.5" customHeight="1" thickBot="1" x14ac:dyDescent="0.4">
      <c r="C47" s="198" t="s">
        <v>165</v>
      </c>
      <c r="D47" s="208">
        <f>1-SUM('Kwaliteit HRA 2028'!$D$96:$D$107,'Kwaliteit HRA 2028'!$D$109:$D$110)/1000</f>
        <v>1</v>
      </c>
      <c r="E47" s="209">
        <f>$D$47*$D$68</f>
        <v>90.21</v>
      </c>
      <c r="F47" s="255"/>
      <c r="G47" s="31">
        <f t="shared" si="1"/>
        <v>3067140</v>
      </c>
      <c r="H47" s="200"/>
      <c r="K47" s="24"/>
      <c r="N47" s="14"/>
    </row>
    <row r="48" spans="1:14" s="20" customFormat="1" ht="16.5" customHeight="1" thickBot="1" x14ac:dyDescent="0.4">
      <c r="C48" s="198" t="s">
        <v>166</v>
      </c>
      <c r="D48" s="208">
        <f>1-SUM('Kwaliteit HRA 2029'!$D$96:$D$107,'Kwaliteit HRA 2029'!$D$109:$D$110)/1000</f>
        <v>1</v>
      </c>
      <c r="E48" s="209">
        <f>$D$48*$D$69</f>
        <v>92.61</v>
      </c>
      <c r="F48" s="255"/>
      <c r="G48" s="31">
        <f t="shared" si="1"/>
        <v>3148740</v>
      </c>
      <c r="H48" s="200"/>
      <c r="K48" s="24"/>
      <c r="N48" s="14"/>
    </row>
    <row r="49" spans="1:14" s="20" customFormat="1" ht="16.5" customHeight="1" thickBot="1" x14ac:dyDescent="0.4">
      <c r="C49" s="198" t="s">
        <v>167</v>
      </c>
      <c r="D49" s="208">
        <f>1-SUM('Kwaliteit HRA 2030'!$D$96:$D$107,'Kwaliteit HRA 2030'!$D$109:$D$110)/1000</f>
        <v>1</v>
      </c>
      <c r="E49" s="209">
        <f>$D$49*$D$70</f>
        <v>120.71</v>
      </c>
      <c r="F49" s="255"/>
      <c r="G49" s="31">
        <f t="shared" si="1"/>
        <v>4104140</v>
      </c>
      <c r="H49" s="200"/>
      <c r="K49" s="24"/>
      <c r="N49" s="14"/>
    </row>
    <row r="50" spans="1:14" s="20" customFormat="1" ht="16.5" customHeight="1" thickBot="1" x14ac:dyDescent="0.4">
      <c r="C50" s="198" t="s">
        <v>160</v>
      </c>
      <c r="D50" s="29"/>
      <c r="E50" s="209">
        <f>$D$50*$D$71</f>
        <v>0</v>
      </c>
      <c r="F50" s="255"/>
      <c r="G50" s="31">
        <f t="shared" si="1"/>
        <v>0</v>
      </c>
      <c r="H50" s="200"/>
      <c r="K50" s="24"/>
      <c r="N50" s="14"/>
    </row>
    <row r="51" spans="1:14" s="20" customFormat="1" ht="16.5" customHeight="1" thickBot="1" x14ac:dyDescent="0.4">
      <c r="C51" s="203" t="s">
        <v>161</v>
      </c>
      <c r="D51" s="29"/>
      <c r="E51" s="209">
        <f>$D$51*$D$72</f>
        <v>0</v>
      </c>
      <c r="F51" s="255"/>
      <c r="G51" s="31">
        <f t="shared" si="1"/>
        <v>0</v>
      </c>
      <c r="H51" s="200"/>
      <c r="K51" s="24"/>
    </row>
    <row r="52" spans="1:14" s="20" customFormat="1" ht="16.5" customHeight="1" thickBot="1" x14ac:dyDescent="0.4">
      <c r="C52" s="203" t="s">
        <v>162</v>
      </c>
      <c r="D52" s="29"/>
      <c r="E52" s="209">
        <f>$D$52*$D$73</f>
        <v>0</v>
      </c>
      <c r="F52" s="255"/>
      <c r="G52" s="31">
        <f t="shared" si="1"/>
        <v>0</v>
      </c>
      <c r="H52" s="200"/>
      <c r="K52" s="24"/>
    </row>
    <row r="53" spans="1:14" s="20" customFormat="1" ht="16.5" customHeight="1" thickBot="1" x14ac:dyDescent="0.4">
      <c r="C53" s="203" t="s">
        <v>163</v>
      </c>
      <c r="D53" s="29"/>
      <c r="E53" s="209">
        <f>$D$53*$D$74</f>
        <v>0</v>
      </c>
      <c r="F53" s="256"/>
      <c r="G53" s="31">
        <f t="shared" si="1"/>
        <v>0</v>
      </c>
      <c r="H53" s="200"/>
      <c r="K53" s="24"/>
    </row>
    <row r="54" spans="1:14" ht="16.5" customHeight="1" thickBot="1" x14ac:dyDescent="0.4">
      <c r="C54" s="204"/>
      <c r="D54" s="205"/>
      <c r="E54" s="206"/>
      <c r="F54" s="159"/>
      <c r="G54" s="39"/>
      <c r="H54" s="210">
        <f>SUM(H53:H53)</f>
        <v>0</v>
      </c>
      <c r="K54" s="24"/>
    </row>
    <row r="55" spans="1:14" s="14" customFormat="1" ht="75" customHeight="1" x14ac:dyDescent="0.35">
      <c r="A55" s="20"/>
      <c r="B55" s="20"/>
      <c r="C55" s="250" t="s">
        <v>216</v>
      </c>
      <c r="D55" s="250"/>
      <c r="E55" s="250"/>
      <c r="F55" s="250"/>
      <c r="G55" s="250"/>
      <c r="H55" s="109"/>
      <c r="I55" s="20"/>
      <c r="J55" s="20"/>
      <c r="K55" s="24"/>
    </row>
    <row r="56" spans="1:14" ht="16.5" customHeight="1" x14ac:dyDescent="0.35">
      <c r="C56" s="211"/>
      <c r="D56" s="169"/>
      <c r="E56" s="169"/>
      <c r="F56" s="169"/>
      <c r="G56" s="169"/>
      <c r="K56" s="24"/>
    </row>
    <row r="57" spans="1:14" ht="16.5" customHeight="1" thickBot="1" x14ac:dyDescent="0.4">
      <c r="C57" s="211"/>
      <c r="D57" s="169"/>
      <c r="E57" s="169"/>
      <c r="F57" s="169"/>
      <c r="G57" s="169"/>
      <c r="K57" s="24"/>
    </row>
    <row r="58" spans="1:14" ht="16.5" customHeight="1" thickBot="1" x14ac:dyDescent="0.4">
      <c r="C58" s="212" t="s">
        <v>132</v>
      </c>
      <c r="D58" s="213"/>
      <c r="E58" s="169"/>
      <c r="F58" s="9"/>
      <c r="G58" s="9"/>
      <c r="K58" s="24"/>
    </row>
    <row r="59" spans="1:14" ht="16.5" customHeight="1" thickBot="1" x14ac:dyDescent="0.4">
      <c r="C59" s="198" t="s">
        <v>117</v>
      </c>
      <c r="D59" s="31">
        <f>4*SUM($G$16:$G$17,$G$23:$G$24)</f>
        <v>0</v>
      </c>
      <c r="E59" s="169"/>
      <c r="F59" s="9"/>
      <c r="G59" s="9"/>
      <c r="K59" s="24"/>
    </row>
    <row r="60" spans="1:14" ht="16.5" customHeight="1" thickBot="1" x14ac:dyDescent="0.4">
      <c r="C60" s="198" t="s">
        <v>111</v>
      </c>
      <c r="D60" s="31">
        <f>SUM($G$30*4,($G$31:$G$38))</f>
        <v>275504</v>
      </c>
      <c r="E60" s="169"/>
      <c r="F60" s="9"/>
      <c r="G60" s="9"/>
      <c r="K60" s="24"/>
    </row>
    <row r="61" spans="1:14" ht="16.5" customHeight="1" thickBot="1" x14ac:dyDescent="0.4">
      <c r="C61" s="198" t="s">
        <v>112</v>
      </c>
      <c r="D61" s="31">
        <f>SUM($G$45*4,($G$46:$G$53))</f>
        <v>11708920</v>
      </c>
      <c r="E61" s="169"/>
      <c r="F61" s="9"/>
      <c r="G61" s="9"/>
      <c r="K61" s="24"/>
    </row>
    <row r="62" spans="1:14" ht="16.5" customHeight="1" thickBot="1" x14ac:dyDescent="0.4">
      <c r="C62" s="212" t="s">
        <v>84</v>
      </c>
      <c r="D62" s="214">
        <f>SUM($D$59:$D$61)</f>
        <v>11984424</v>
      </c>
      <c r="E62" s="169"/>
      <c r="F62" s="9"/>
      <c r="G62" s="9"/>
      <c r="K62" s="24"/>
    </row>
    <row r="63" spans="1:14" ht="16.5" customHeight="1" x14ac:dyDescent="0.35">
      <c r="C63" s="211"/>
      <c r="D63" s="169"/>
      <c r="E63" s="169"/>
      <c r="F63" s="169"/>
      <c r="G63" s="169"/>
      <c r="K63" s="24"/>
    </row>
    <row r="64" spans="1:14" ht="16.5" customHeight="1" thickBot="1" x14ac:dyDescent="0.4">
      <c r="C64" s="211"/>
      <c r="D64" s="169"/>
      <c r="E64" s="169"/>
      <c r="F64" s="169"/>
      <c r="G64" s="169"/>
      <c r="K64" s="24"/>
    </row>
    <row r="65" spans="1:11" s="21" customFormat="1" ht="16.5" customHeight="1" thickBot="1" x14ac:dyDescent="0.4">
      <c r="C65" s="62" t="s">
        <v>152</v>
      </c>
      <c r="D65" s="215"/>
      <c r="F65" s="10"/>
      <c r="G65" s="10"/>
      <c r="K65" s="24"/>
    </row>
    <row r="66" spans="1:11" s="21" customFormat="1" ht="16.5" customHeight="1" thickBot="1" x14ac:dyDescent="0.4">
      <c r="C66" s="184" t="s">
        <v>0</v>
      </c>
      <c r="D66" s="216" t="s">
        <v>115</v>
      </c>
      <c r="F66" s="10"/>
      <c r="G66" s="10"/>
      <c r="K66" s="24"/>
    </row>
    <row r="67" spans="1:11" ht="16.5" customHeight="1" thickBot="1" x14ac:dyDescent="0.4">
      <c r="C67" s="217" t="s">
        <v>118</v>
      </c>
      <c r="D67" s="218">
        <v>40.85</v>
      </c>
      <c r="K67" s="24"/>
    </row>
    <row r="68" spans="1:11" ht="16.5" customHeight="1" thickBot="1" x14ac:dyDescent="0.4">
      <c r="C68" s="217" t="s">
        <v>119</v>
      </c>
      <c r="D68" s="218">
        <v>90.21</v>
      </c>
      <c r="K68" s="24"/>
    </row>
    <row r="69" spans="1:11" ht="16.5" customHeight="1" thickBot="1" x14ac:dyDescent="0.4">
      <c r="C69" s="217" t="s">
        <v>120</v>
      </c>
      <c r="D69" s="218">
        <v>92.61</v>
      </c>
      <c r="K69" s="24"/>
    </row>
    <row r="70" spans="1:11" ht="16.5" customHeight="1" thickBot="1" x14ac:dyDescent="0.4">
      <c r="C70" s="217" t="s">
        <v>121</v>
      </c>
      <c r="D70" s="218">
        <v>120.71</v>
      </c>
      <c r="K70" s="24"/>
    </row>
    <row r="71" spans="1:11" s="21" customFormat="1" ht="16.5" customHeight="1" thickBot="1" x14ac:dyDescent="0.4">
      <c r="C71" s="217" t="s">
        <v>122</v>
      </c>
      <c r="D71" s="218">
        <v>16.392425606085361</v>
      </c>
      <c r="E71" s="219"/>
      <c r="F71" s="220"/>
      <c r="G71" s="220"/>
      <c r="K71" s="24"/>
    </row>
    <row r="72" spans="1:11" s="21" customFormat="1" ht="16.5" customHeight="1" thickBot="1" x14ac:dyDescent="0.4">
      <c r="C72" s="217" t="s">
        <v>123</v>
      </c>
      <c r="D72" s="218">
        <v>34.808510760860941</v>
      </c>
      <c r="E72" s="220"/>
      <c r="F72" s="220"/>
      <c r="G72" s="220"/>
      <c r="K72" s="24"/>
    </row>
    <row r="73" spans="1:11" s="21" customFormat="1" ht="16.5" customHeight="1" thickBot="1" x14ac:dyDescent="0.4">
      <c r="C73" s="217" t="s">
        <v>124</v>
      </c>
      <c r="D73" s="218">
        <v>55.848185268842883</v>
      </c>
      <c r="E73" s="220"/>
      <c r="F73" s="220"/>
      <c r="G73" s="220"/>
      <c r="K73" s="24"/>
    </row>
    <row r="74" spans="1:11" s="21" customFormat="1" ht="16.5" customHeight="1" thickBot="1" x14ac:dyDescent="0.4">
      <c r="C74" s="217" t="s">
        <v>125</v>
      </c>
      <c r="D74" s="218">
        <v>81.541105198010243</v>
      </c>
      <c r="F74" s="220"/>
      <c r="G74" s="220"/>
      <c r="K74" s="24"/>
    </row>
    <row r="75" spans="1:11" s="21" customFormat="1" ht="16.5" customHeight="1" thickBot="1" x14ac:dyDescent="0.4">
      <c r="C75" s="221"/>
      <c r="D75" s="222"/>
      <c r="F75" s="220"/>
      <c r="G75" s="220"/>
      <c r="K75" s="24"/>
    </row>
    <row r="76" spans="1:11" s="21" customFormat="1" ht="15" customHeight="1" x14ac:dyDescent="0.35">
      <c r="C76" s="220"/>
      <c r="D76" s="223"/>
      <c r="E76" s="219"/>
      <c r="F76" s="220"/>
      <c r="G76" s="220"/>
      <c r="K76" s="24"/>
    </row>
    <row r="77" spans="1:11" s="21" customFormat="1" ht="15" customHeight="1" x14ac:dyDescent="0.35">
      <c r="C77" s="220"/>
      <c r="D77" s="223"/>
      <c r="E77" s="219"/>
      <c r="F77" s="220"/>
      <c r="G77" s="220"/>
      <c r="K77" s="24"/>
    </row>
    <row r="78" spans="1:11" x14ac:dyDescent="0.35">
      <c r="A78" s="24"/>
      <c r="B78" s="24"/>
      <c r="C78" s="24"/>
      <c r="D78" s="24"/>
      <c r="E78" s="24"/>
      <c r="F78" s="24"/>
      <c r="G78" s="24"/>
      <c r="H78" s="24"/>
      <c r="I78" s="24"/>
      <c r="J78" s="24"/>
      <c r="K78" s="24"/>
    </row>
    <row r="79" spans="1:11" hidden="1" x14ac:dyDescent="0.3"/>
    <row r="80" spans="1:11" hidden="1" x14ac:dyDescent="0.3"/>
    <row r="81" spans="3:4" hidden="1" x14ac:dyDescent="0.3">
      <c r="C81" s="224" t="s">
        <v>4</v>
      </c>
      <c r="D81" s="224"/>
    </row>
    <row r="82" spans="3:4" hidden="1" x14ac:dyDescent="0.3">
      <c r="C82" s="225" t="s">
        <v>109</v>
      </c>
    </row>
    <row r="83" spans="3:4" hidden="1" x14ac:dyDescent="0.3">
      <c r="C83" s="225" t="s">
        <v>110</v>
      </c>
    </row>
    <row r="84" spans="3:4" hidden="1" x14ac:dyDescent="0.3"/>
  </sheetData>
  <sheetProtection algorithmName="SHA-512" hashValue="uQeh9hk7IX5BJ773J4x53Io7qJQW+YsoSE8u0XT2YLPibUdHe4orixdiGfs//5d48pgGfF1GY0kQNKz22W6Kqw==" saltValue="mM+Z9Vu4hJ/BAomXLThFcw==" spinCount="100000" sheet="1" objects="1" scenarios="1"/>
  <protectedRanges>
    <protectedRange sqref="D11:D12" name="gegevens_1_2_1_1"/>
    <protectedRange sqref="D7:D10" name="gegevens_1_2_1_1_1"/>
  </protectedRanges>
  <mergeCells count="8">
    <mergeCell ref="C55:G55"/>
    <mergeCell ref="F30:F38"/>
    <mergeCell ref="F45:F53"/>
    <mergeCell ref="D10:F10"/>
    <mergeCell ref="D7:F7"/>
    <mergeCell ref="D8:F8"/>
    <mergeCell ref="D9:F9"/>
    <mergeCell ref="C40:G40"/>
  </mergeCells>
  <phoneticPr fontId="4" type="noConversion"/>
  <dataValidations count="3">
    <dataValidation operator="lessThanOrEqual" allowBlank="1" showInputMessage="1" showErrorMessage="1" sqref="C66:C77 E29:G29 C15:G15 D71:D75 E76:F77 F71:F75 D66 F66:G66 E30:F30 F54 F41:G42 E44:G44 G45:G54 C44:C54 F45 C41:D42 D58:E62 C56:G57 C63:G64 C29:C39 F39 G30:G39 D35:D39 D50:D54 E71:E72 C22:G22" xr:uid="{FABD7767-8CCD-44B2-BAB0-FD294290CB9E}"/>
    <dataValidation type="list" operator="lessThanOrEqual" allowBlank="1" showInputMessage="1" showErrorMessage="1" sqref="D16 D23" xr:uid="{57A7FB23-E4D5-4C05-8924-D41F0B5B107A}">
      <formula1>$C$82:$C$83</formula1>
    </dataValidation>
    <dataValidation type="custom" operator="lessThanOrEqual" allowBlank="1" showInputMessage="1" showErrorMessage="1" sqref="E45" xr:uid="{AB8F3A6E-411A-47E9-A8CF-86AA5450494A}">
      <formula1>E45&lt;=E30</formula1>
    </dataValidation>
  </dataValidations>
  <pageMargins left="0.70866141732283472" right="0.70866141732283472" top="0.74803149606299213" bottom="0.74803149606299213" header="0.31496062992125984" footer="0.31496062992125984"/>
  <pageSetup paperSize="9" scale="37" orientation="landscape" r:id="rId1"/>
  <headerFooter>
    <oddHeader>&amp;L&amp;"Open Sans,Vet"&amp;12&amp;F</oddHeader>
    <oddFooter>&amp;L&amp;"Open Sans,Vet"&amp;12&amp;A&amp;R&amp;"Open Sans,Vet"&amp;12&amp;P van &amp;N</oddFooter>
  </headerFooter>
  <ignoredErrors>
    <ignoredError sqref="E31:E38 D31 D46 D32:D34 D47:D49" unlockedFormula="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C63A19-1C7B-4678-95F0-4467ED676B03}">
  <sheetPr>
    <pageSetUpPr fitToPage="1"/>
  </sheetPr>
  <dimension ref="A1:Y26"/>
  <sheetViews>
    <sheetView showGridLines="0" zoomScale="85" zoomScaleNormal="85" workbookViewId="0">
      <selection activeCell="G32" sqref="G32"/>
    </sheetView>
  </sheetViews>
  <sheetFormatPr defaultColWidth="9.109375" defaultRowHeight="15" x14ac:dyDescent="0.35"/>
  <cols>
    <col min="1" max="2" width="2.6640625" style="9" customWidth="1"/>
    <col min="3" max="3" width="19.5546875" style="9" customWidth="1"/>
    <col min="4" max="4" width="42.109375" style="9" customWidth="1"/>
    <col min="5" max="7" width="30.6640625" style="10" customWidth="1"/>
    <col min="8" max="8" width="2.6640625" style="1" customWidth="1"/>
    <col min="9" max="10" width="2.6640625" style="2" customWidth="1"/>
    <col min="11" max="12" width="2.6640625" style="1" customWidth="1"/>
    <col min="13" max="16384" width="9.109375" style="9"/>
  </cols>
  <sheetData>
    <row r="1" spans="3:25" s="1" customFormat="1" x14ac:dyDescent="0.35">
      <c r="I1" s="2"/>
      <c r="J1" s="24"/>
      <c r="M1" s="9"/>
      <c r="N1" s="9"/>
      <c r="O1" s="9"/>
      <c r="P1" s="9"/>
      <c r="Q1" s="9"/>
      <c r="R1" s="9"/>
      <c r="S1" s="9"/>
    </row>
    <row r="2" spans="3:25" s="1" customFormat="1" ht="15.6" thickBot="1" x14ac:dyDescent="0.4">
      <c r="I2" s="2"/>
      <c r="J2" s="24"/>
      <c r="M2" s="9"/>
      <c r="N2" s="9"/>
      <c r="O2" s="9"/>
      <c r="P2" s="9"/>
      <c r="Q2" s="9"/>
      <c r="R2" s="9"/>
      <c r="S2" s="9"/>
    </row>
    <row r="3" spans="3:25" s="25" customFormat="1" ht="75" customHeight="1" thickBot="1" x14ac:dyDescent="0.4">
      <c r="C3" s="241" t="s">
        <v>133</v>
      </c>
      <c r="D3" s="242"/>
      <c r="E3" s="242"/>
      <c r="F3" s="242"/>
      <c r="G3" s="243"/>
      <c r="H3" s="1"/>
      <c r="I3" s="2"/>
      <c r="J3" s="24"/>
      <c r="K3" s="1"/>
      <c r="L3" s="1"/>
      <c r="M3" s="9"/>
      <c r="N3" s="9"/>
      <c r="O3" s="9"/>
      <c r="P3" s="9"/>
      <c r="Q3" s="9"/>
      <c r="R3" s="9"/>
      <c r="S3" s="9"/>
    </row>
    <row r="4" spans="3:25" s="1" customFormat="1" ht="16.5" customHeight="1" x14ac:dyDescent="0.35">
      <c r="I4" s="2"/>
      <c r="J4" s="24"/>
      <c r="M4" s="9"/>
      <c r="N4" s="9"/>
      <c r="O4" s="9"/>
      <c r="P4" s="9"/>
      <c r="Q4" s="9"/>
      <c r="R4" s="9"/>
      <c r="S4" s="9"/>
    </row>
    <row r="5" spans="3:25" s="1" customFormat="1" ht="16.5" customHeight="1" thickBot="1" x14ac:dyDescent="0.4">
      <c r="I5" s="2"/>
      <c r="J5" s="24"/>
      <c r="M5" s="9"/>
      <c r="N5" s="9"/>
      <c r="O5" s="9"/>
      <c r="P5" s="9"/>
      <c r="Q5" s="9"/>
      <c r="R5" s="9"/>
      <c r="S5" s="9"/>
    </row>
    <row r="6" spans="3:25" s="1" customFormat="1" ht="16.5" customHeight="1" thickBot="1" x14ac:dyDescent="0.4">
      <c r="C6" s="56" t="s">
        <v>35</v>
      </c>
      <c r="D6" s="57"/>
      <c r="E6" s="57"/>
      <c r="F6" s="57"/>
      <c r="G6" s="94"/>
      <c r="J6" s="24"/>
    </row>
    <row r="7" spans="3:25" s="1" customFormat="1" ht="16.5" customHeight="1" thickBot="1" x14ac:dyDescent="0.4">
      <c r="C7" s="244" t="s">
        <v>36</v>
      </c>
      <c r="D7" s="245"/>
      <c r="E7" s="246" t="s">
        <v>37</v>
      </c>
      <c r="F7" s="247"/>
      <c r="G7" s="248"/>
      <c r="J7" s="24"/>
      <c r="M7" s="3"/>
    </row>
    <row r="8" spans="3:25" s="1" customFormat="1" ht="16.5" customHeight="1" thickBot="1" x14ac:dyDescent="0.4">
      <c r="C8" s="244" t="s">
        <v>38</v>
      </c>
      <c r="D8" s="245"/>
      <c r="E8" s="246" t="s">
        <v>39</v>
      </c>
      <c r="F8" s="247"/>
      <c r="G8" s="248"/>
      <c r="J8" s="24"/>
      <c r="M8" s="4"/>
    </row>
    <row r="9" spans="3:25" s="1" customFormat="1" ht="16.5" customHeight="1" thickBot="1" x14ac:dyDescent="0.4">
      <c r="C9" s="244" t="s">
        <v>40</v>
      </c>
      <c r="D9" s="245"/>
      <c r="E9" s="246" t="s">
        <v>41</v>
      </c>
      <c r="F9" s="247"/>
      <c r="G9" s="248"/>
      <c r="J9" s="24"/>
      <c r="M9" s="4"/>
      <c r="V9" s="26"/>
      <c r="Y9" s="9"/>
    </row>
    <row r="10" spans="3:25" s="1" customFormat="1" ht="16.5" customHeight="1" thickBot="1" x14ac:dyDescent="0.4">
      <c r="C10" s="244" t="s">
        <v>42</v>
      </c>
      <c r="D10" s="245"/>
      <c r="E10" s="246" t="s">
        <v>43</v>
      </c>
      <c r="F10" s="247"/>
      <c r="G10" s="248"/>
      <c r="J10" s="24"/>
      <c r="M10" s="4"/>
    </row>
    <row r="11" spans="3:25" s="1" customFormat="1" ht="16.5" customHeight="1" thickBot="1" x14ac:dyDescent="0.4">
      <c r="C11" s="58"/>
      <c r="D11" s="59"/>
      <c r="E11" s="59"/>
      <c r="F11" s="60"/>
      <c r="G11" s="96"/>
      <c r="J11" s="24"/>
      <c r="M11" s="4"/>
    </row>
    <row r="12" spans="3:25" s="1" customFormat="1" ht="16.5" customHeight="1" x14ac:dyDescent="0.35">
      <c r="J12" s="24"/>
      <c r="M12" s="3"/>
      <c r="N12" s="3"/>
      <c r="O12" s="3"/>
      <c r="P12" s="3"/>
      <c r="Q12" s="3"/>
      <c r="R12" s="3"/>
      <c r="S12" s="3"/>
    </row>
    <row r="13" spans="3:25" s="1" customFormat="1" ht="16.5" customHeight="1" thickBot="1" x14ac:dyDescent="0.4">
      <c r="F13" s="226"/>
      <c r="G13" s="226"/>
      <c r="I13" s="2"/>
      <c r="J13" s="24"/>
      <c r="M13" s="9"/>
      <c r="N13" s="9"/>
      <c r="O13" s="9"/>
      <c r="P13" s="9"/>
      <c r="Q13" s="9"/>
      <c r="R13" s="9"/>
      <c r="S13" s="9"/>
      <c r="T13" s="11"/>
    </row>
    <row r="14" spans="3:25" s="19" customFormat="1" ht="16.5" customHeight="1" thickBot="1" x14ac:dyDescent="0.4">
      <c r="C14" s="257"/>
      <c r="D14" s="258"/>
      <c r="E14" s="101"/>
      <c r="F14" s="21"/>
      <c r="G14" s="21"/>
      <c r="H14" s="1"/>
      <c r="I14" s="2"/>
      <c r="J14" s="24"/>
      <c r="K14" s="1"/>
      <c r="L14" s="1"/>
      <c r="M14" s="28"/>
    </row>
    <row r="15" spans="3:25" ht="16.5" customHeight="1" thickBot="1" x14ac:dyDescent="0.4">
      <c r="C15" s="227"/>
      <c r="D15" s="72" t="s">
        <v>0</v>
      </c>
      <c r="E15" s="104"/>
      <c r="F15" s="21"/>
      <c r="G15" s="21"/>
      <c r="J15" s="24"/>
    </row>
    <row r="16" spans="3:25" ht="16.5" customHeight="1" thickBot="1" x14ac:dyDescent="0.4">
      <c r="C16" s="228" t="s">
        <v>128</v>
      </c>
      <c r="D16" s="229" t="s">
        <v>183</v>
      </c>
      <c r="E16" s="27">
        <f>'Kwaliteit HRA 2027'!$G$122</f>
        <v>2366400</v>
      </c>
      <c r="F16" s="21"/>
      <c r="G16" s="21"/>
      <c r="J16" s="24"/>
    </row>
    <row r="17" spans="1:10" ht="16.5" customHeight="1" thickBot="1" x14ac:dyDescent="0.4">
      <c r="C17" s="228" t="s">
        <v>129</v>
      </c>
      <c r="D17" s="229" t="s">
        <v>184</v>
      </c>
      <c r="E17" s="27">
        <f>'Kwaliteit HRA 2028'!$G$122</f>
        <v>2366400</v>
      </c>
      <c r="F17" s="21"/>
      <c r="G17" s="21"/>
      <c r="J17" s="24"/>
    </row>
    <row r="18" spans="1:10" ht="16.5" customHeight="1" thickBot="1" x14ac:dyDescent="0.4">
      <c r="C18" s="228" t="s">
        <v>130</v>
      </c>
      <c r="D18" s="229" t="s">
        <v>185</v>
      </c>
      <c r="E18" s="27">
        <f>'Kwaliteit HRA 2029'!$G$122</f>
        <v>2366400</v>
      </c>
      <c r="F18" s="21"/>
      <c r="G18" s="21"/>
      <c r="J18" s="24"/>
    </row>
    <row r="19" spans="1:10" ht="16.5" customHeight="1" thickBot="1" x14ac:dyDescent="0.4">
      <c r="C19" s="228" t="s">
        <v>131</v>
      </c>
      <c r="D19" s="229" t="s">
        <v>186</v>
      </c>
      <c r="E19" s="27">
        <f>'Kwaliteit HRA 2030'!$G$122</f>
        <v>2366400</v>
      </c>
      <c r="F19" s="21"/>
      <c r="G19" s="21"/>
      <c r="J19" s="24"/>
    </row>
    <row r="20" spans="1:10" ht="16.5" customHeight="1" thickBot="1" x14ac:dyDescent="0.4">
      <c r="C20" s="228" t="s">
        <v>108</v>
      </c>
      <c r="D20" s="229" t="s">
        <v>48</v>
      </c>
      <c r="E20" s="27">
        <f>SUM('Formulier logistiek'!$L$17,'Formulier logistiek'!$L$24)*4</f>
        <v>0</v>
      </c>
      <c r="F20" s="230"/>
      <c r="G20" s="21"/>
      <c r="J20" s="24"/>
    </row>
    <row r="21" spans="1:10" ht="16.5" customHeight="1" thickBot="1" x14ac:dyDescent="0.4">
      <c r="C21" s="228" t="s">
        <v>83</v>
      </c>
      <c r="D21" s="229" t="s">
        <v>84</v>
      </c>
      <c r="E21" s="27">
        <f>'Prijs HRA '!$D$62</f>
        <v>11984424</v>
      </c>
      <c r="F21" s="21"/>
      <c r="G21" s="21"/>
      <c r="H21" s="5"/>
      <c r="I21" s="61"/>
      <c r="J21" s="24"/>
    </row>
    <row r="22" spans="1:10" ht="15.6" thickBot="1" x14ac:dyDescent="0.4">
      <c r="C22" s="119" t="s">
        <v>157</v>
      </c>
      <c r="D22" s="231"/>
      <c r="E22" s="32">
        <f>SUM(E16:E21)</f>
        <v>21450024</v>
      </c>
      <c r="F22" s="21"/>
      <c r="G22" s="21"/>
      <c r="H22" s="5"/>
      <c r="I22" s="61"/>
      <c r="J22" s="24"/>
    </row>
    <row r="23" spans="1:10" ht="16.5" customHeight="1" thickBot="1" x14ac:dyDescent="0.4">
      <c r="C23" s="119" t="s">
        <v>217</v>
      </c>
      <c r="D23" s="231"/>
      <c r="E23" s="32">
        <f>E22/(4*SUM('Formulier logistiek'!$K$17,'Formulier logistiek'!$K$24))</f>
        <v>154.095</v>
      </c>
      <c r="F23" s="21"/>
      <c r="G23" s="21"/>
      <c r="H23" s="5"/>
      <c r="I23" s="61"/>
      <c r="J23" s="24"/>
    </row>
    <row r="24" spans="1:10" x14ac:dyDescent="0.35">
      <c r="C24" s="9" t="s">
        <v>158</v>
      </c>
      <c r="J24" s="24"/>
    </row>
    <row r="25" spans="1:10" x14ac:dyDescent="0.35">
      <c r="J25" s="24"/>
    </row>
    <row r="26" spans="1:10" x14ac:dyDescent="0.35">
      <c r="A26" s="24"/>
      <c r="B26" s="24"/>
      <c r="C26" s="24"/>
      <c r="D26" s="24"/>
      <c r="E26" s="24"/>
      <c r="F26" s="24"/>
      <c r="G26" s="24"/>
      <c r="H26" s="24"/>
      <c r="I26" s="24"/>
      <c r="J26" s="24"/>
    </row>
  </sheetData>
  <sheetProtection algorithmName="SHA-512" hashValue="78yC3pA2nbxl1Zn9u2uvJ8nTgQ0Hdu7MieENVov6FEG9IXJjc2CMBLphS/EGBRWL2Hl6tud08/zQMpF6OELFoQ==" saltValue="XSobtbKFYEvbdp/KQPVkOA==" spinCount="100000" sheet="1" objects="1" scenarios="1"/>
  <protectedRanges>
    <protectedRange sqref="K7:K12 E7:E10 F7:G12" name="gegevens_1_2_1_1"/>
  </protectedRanges>
  <mergeCells count="10">
    <mergeCell ref="C14:D14"/>
    <mergeCell ref="E10:G10"/>
    <mergeCell ref="C3:G3"/>
    <mergeCell ref="E7:G7"/>
    <mergeCell ref="E8:G8"/>
    <mergeCell ref="E9:G9"/>
    <mergeCell ref="C9:D9"/>
    <mergeCell ref="C10:D10"/>
    <mergeCell ref="C7:D7"/>
    <mergeCell ref="C8:D8"/>
  </mergeCells>
  <dataValidations count="1">
    <dataValidation operator="lessThanOrEqual" allowBlank="1" showInputMessage="1" showErrorMessage="1" sqref="F21:G23 C22:C23 F15:G19 D15:E23" xr:uid="{BC0333D7-B4A4-44F9-A712-11D777960C39}"/>
  </dataValidations>
  <pageMargins left="0.70866141732283472" right="0.70866141732283472" top="0.74803149606299213" bottom="0.74803149606299213" header="0.31496062992125984" footer="0.31496062992125984"/>
  <pageSetup paperSize="9" scale="79" orientation="landscape" r:id="rId1"/>
  <headerFooter>
    <oddHeader>&amp;L&amp;"Open Sans,Vet"&amp;12&amp;F</oddHeader>
    <oddFooter>&amp;L&amp;"Open Sans,Vet"&amp;12&amp;A&amp;R&amp;"Open Sans,Vet"&amp;12&amp;P van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94F5C5-E85D-4A2F-BF06-F22B5DE3DCFC}">
  <sheetPr>
    <pageSetUpPr fitToPage="1"/>
  </sheetPr>
  <dimension ref="A1:P73"/>
  <sheetViews>
    <sheetView showGridLines="0" zoomScale="85" zoomScaleNormal="85" workbookViewId="0">
      <selection activeCell="G16" sqref="G16"/>
    </sheetView>
  </sheetViews>
  <sheetFormatPr defaultColWidth="9.109375" defaultRowHeight="15" x14ac:dyDescent="0.3"/>
  <cols>
    <col min="1" max="2" width="2.6640625" style="15" customWidth="1"/>
    <col min="3" max="3" width="68.5546875" style="15" customWidth="1"/>
    <col min="4" max="4" width="38.33203125" style="18" customWidth="1"/>
    <col min="5" max="5" width="38.44140625" style="18" customWidth="1"/>
    <col min="6" max="6" width="25.6640625" style="18" customWidth="1"/>
    <col min="7" max="7" width="52.5546875" style="18" customWidth="1"/>
    <col min="8" max="12" width="2.6640625" style="15" customWidth="1"/>
    <col min="13" max="22" width="50.6640625" style="15" customWidth="1"/>
    <col min="23" max="16384" width="9.109375" style="15"/>
  </cols>
  <sheetData>
    <row r="1" spans="1:16" s="1" customFormat="1" x14ac:dyDescent="0.35">
      <c r="I1" s="2"/>
      <c r="J1" s="24"/>
    </row>
    <row r="2" spans="1:16" s="1" customFormat="1" ht="15.6" thickBot="1" x14ac:dyDescent="0.4">
      <c r="I2" s="2"/>
      <c r="J2" s="24"/>
    </row>
    <row r="3" spans="1:16" s="25" customFormat="1" ht="75" customHeight="1" thickBot="1" x14ac:dyDescent="0.4">
      <c r="C3" s="91" t="s">
        <v>204</v>
      </c>
      <c r="D3" s="92"/>
      <c r="E3" s="92"/>
      <c r="F3" s="92"/>
      <c r="G3" s="92"/>
      <c r="J3" s="24"/>
    </row>
    <row r="4" spans="1:16" ht="16.5" customHeight="1" x14ac:dyDescent="0.35">
      <c r="A4" s="9"/>
      <c r="B4" s="9"/>
      <c r="C4" s="9"/>
      <c r="D4" s="10"/>
      <c r="E4" s="10"/>
      <c r="F4" s="10"/>
      <c r="G4" s="10"/>
      <c r="H4" s="9"/>
      <c r="I4" s="9"/>
      <c r="J4" s="24"/>
    </row>
    <row r="5" spans="1:16" ht="16.5" customHeight="1" thickBot="1" x14ac:dyDescent="0.4">
      <c r="A5" s="9"/>
      <c r="B5" s="9"/>
      <c r="C5" s="9"/>
      <c r="D5" s="10"/>
      <c r="E5" s="10"/>
      <c r="F5" s="10"/>
      <c r="G5" s="10"/>
      <c r="H5" s="9"/>
      <c r="I5" s="9"/>
      <c r="J5" s="24"/>
    </row>
    <row r="6" spans="1:16" s="1" customFormat="1" ht="16.5" customHeight="1" thickBot="1" x14ac:dyDescent="0.4">
      <c r="B6" s="9"/>
      <c r="C6" s="93" t="s">
        <v>35</v>
      </c>
      <c r="D6" s="57"/>
      <c r="E6" s="57"/>
      <c r="F6" s="57"/>
      <c r="G6" s="94"/>
      <c r="I6" s="2"/>
      <c r="J6" s="24"/>
      <c r="M6" s="15"/>
      <c r="N6" s="15"/>
    </row>
    <row r="7" spans="1:16" s="1" customFormat="1" ht="16.5" customHeight="1" thickBot="1" x14ac:dyDescent="0.4">
      <c r="B7" s="9"/>
      <c r="C7" s="95" t="s">
        <v>36</v>
      </c>
      <c r="D7" s="246" t="s">
        <v>37</v>
      </c>
      <c r="E7" s="247"/>
      <c r="F7" s="247"/>
      <c r="G7" s="248"/>
      <c r="I7" s="2"/>
      <c r="J7" s="24"/>
      <c r="M7" s="15"/>
      <c r="N7" s="15"/>
    </row>
    <row r="8" spans="1:16" s="1" customFormat="1" ht="16.5" customHeight="1" thickBot="1" x14ac:dyDescent="0.4">
      <c r="B8" s="9"/>
      <c r="C8" s="95" t="s">
        <v>38</v>
      </c>
      <c r="D8" s="246" t="s">
        <v>39</v>
      </c>
      <c r="E8" s="247"/>
      <c r="F8" s="247"/>
      <c r="G8" s="248"/>
      <c r="I8" s="2"/>
      <c r="J8" s="24"/>
      <c r="M8" s="15"/>
      <c r="N8" s="15"/>
    </row>
    <row r="9" spans="1:16" s="1" customFormat="1" ht="16.5" customHeight="1" thickBot="1" x14ac:dyDescent="0.4">
      <c r="B9" s="9"/>
      <c r="C9" s="95" t="s">
        <v>40</v>
      </c>
      <c r="D9" s="246" t="s">
        <v>41</v>
      </c>
      <c r="E9" s="247"/>
      <c r="F9" s="247"/>
      <c r="G9" s="248"/>
      <c r="I9" s="2"/>
      <c r="J9" s="24"/>
      <c r="M9" s="15"/>
      <c r="N9" s="15"/>
      <c r="P9" s="9"/>
    </row>
    <row r="10" spans="1:16" s="1" customFormat="1" ht="16.5" customHeight="1" thickBot="1" x14ac:dyDescent="0.4">
      <c r="B10" s="9"/>
      <c r="C10" s="95" t="s">
        <v>42</v>
      </c>
      <c r="D10" s="246" t="s">
        <v>43</v>
      </c>
      <c r="E10" s="247"/>
      <c r="F10" s="247"/>
      <c r="G10" s="248"/>
      <c r="I10" s="2"/>
      <c r="J10" s="24"/>
      <c r="M10" s="15"/>
      <c r="N10" s="15"/>
    </row>
    <row r="11" spans="1:16" s="1" customFormat="1" ht="16.5" customHeight="1" thickBot="1" x14ac:dyDescent="0.4">
      <c r="B11" s="9"/>
      <c r="C11" s="58"/>
      <c r="D11" s="60"/>
      <c r="E11" s="60"/>
      <c r="F11" s="60"/>
      <c r="G11" s="96"/>
      <c r="I11" s="2"/>
      <c r="J11" s="24"/>
      <c r="M11" s="15"/>
      <c r="N11" s="15"/>
    </row>
    <row r="12" spans="1:16" s="13" customFormat="1" ht="16.5" customHeight="1" x14ac:dyDescent="0.35">
      <c r="A12" s="1"/>
      <c r="B12" s="9"/>
      <c r="C12" s="97"/>
      <c r="D12" s="97"/>
      <c r="E12" s="98"/>
      <c r="F12" s="98"/>
      <c r="G12" s="98"/>
      <c r="H12" s="1"/>
      <c r="I12" s="1"/>
      <c r="J12" s="24"/>
      <c r="M12" s="15"/>
      <c r="N12" s="15"/>
    </row>
    <row r="13" spans="1:16" s="13" customFormat="1" ht="16.5" customHeight="1" thickBot="1" x14ac:dyDescent="0.4">
      <c r="A13" s="1"/>
      <c r="B13" s="9"/>
      <c r="C13" s="97"/>
      <c r="D13" s="97"/>
      <c r="E13" s="98"/>
      <c r="F13" s="98"/>
      <c r="G13" s="99"/>
      <c r="H13" s="1"/>
      <c r="I13" s="1"/>
      <c r="J13" s="24"/>
    </row>
    <row r="14" spans="1:16" s="16" customFormat="1" ht="16.5" customHeight="1" thickBot="1" x14ac:dyDescent="0.4">
      <c r="A14" s="1"/>
      <c r="B14" s="9"/>
      <c r="C14" s="62" t="s">
        <v>90</v>
      </c>
      <c r="D14" s="100"/>
      <c r="E14" s="100"/>
      <c r="F14" s="100"/>
      <c r="G14" s="99"/>
      <c r="H14" s="1"/>
      <c r="I14" s="1"/>
      <c r="J14" s="24"/>
      <c r="K14" s="13"/>
    </row>
    <row r="15" spans="1:16" s="23" customFormat="1" ht="16.5" customHeight="1" thickBot="1" x14ac:dyDescent="0.4">
      <c r="A15" s="1"/>
      <c r="B15" s="9"/>
      <c r="C15" s="102" t="s">
        <v>78</v>
      </c>
      <c r="D15" s="251"/>
      <c r="E15" s="252"/>
      <c r="F15" s="253"/>
      <c r="G15" s="99"/>
      <c r="H15" s="99"/>
      <c r="I15" s="99"/>
      <c r="J15" s="24"/>
    </row>
    <row r="16" spans="1:16" s="23" customFormat="1" ht="16.5" customHeight="1" thickBot="1" x14ac:dyDescent="0.4">
      <c r="A16" s="1"/>
      <c r="B16" s="9"/>
      <c r="C16" s="102" t="s">
        <v>88</v>
      </c>
      <c r="D16" s="251"/>
      <c r="E16" s="252"/>
      <c r="F16" s="253"/>
      <c r="G16" s="99"/>
      <c r="H16" s="99"/>
      <c r="I16" s="99"/>
      <c r="J16" s="24"/>
    </row>
    <row r="17" spans="1:11" s="23" customFormat="1" ht="16.5" customHeight="1" thickBot="1" x14ac:dyDescent="0.4">
      <c r="A17" s="1"/>
      <c r="B17" s="9"/>
      <c r="C17" s="102" t="s">
        <v>79</v>
      </c>
      <c r="D17" s="251"/>
      <c r="E17" s="252"/>
      <c r="F17" s="253"/>
      <c r="G17" s="99"/>
      <c r="H17" s="99"/>
      <c r="I17" s="99"/>
      <c r="J17" s="24"/>
    </row>
    <row r="18" spans="1:11" s="23" customFormat="1" ht="16.5" customHeight="1" thickBot="1" x14ac:dyDescent="0.4">
      <c r="A18" s="1"/>
      <c r="B18" s="9"/>
      <c r="C18" s="102" t="s">
        <v>80</v>
      </c>
      <c r="D18" s="251"/>
      <c r="E18" s="252"/>
      <c r="F18" s="253"/>
      <c r="G18" s="99"/>
      <c r="H18" s="99"/>
      <c r="I18" s="99"/>
      <c r="J18" s="24"/>
    </row>
    <row r="19" spans="1:11" s="23" customFormat="1" ht="16.5" customHeight="1" thickBot="1" x14ac:dyDescent="0.4">
      <c r="A19" s="1"/>
      <c r="B19" s="9"/>
      <c r="C19" s="102" t="s">
        <v>81</v>
      </c>
      <c r="D19" s="251"/>
      <c r="E19" s="252"/>
      <c r="F19" s="253"/>
      <c r="G19" s="99"/>
      <c r="H19" s="99"/>
      <c r="I19" s="99"/>
      <c r="J19" s="24"/>
    </row>
    <row r="20" spans="1:11" s="1" customFormat="1" ht="16.5" customHeight="1" thickBot="1" x14ac:dyDescent="0.4">
      <c r="B20" s="9"/>
      <c r="C20" s="58"/>
      <c r="D20" s="60"/>
      <c r="E20" s="60"/>
      <c r="F20" s="60"/>
      <c r="G20" s="99"/>
      <c r="I20" s="2"/>
      <c r="J20" s="24"/>
    </row>
    <row r="21" spans="1:11" s="13" customFormat="1" ht="16.5" customHeight="1" x14ac:dyDescent="0.35">
      <c r="A21" s="1"/>
      <c r="B21" s="1"/>
      <c r="C21" s="97"/>
      <c r="D21" s="97"/>
      <c r="E21" s="98"/>
      <c r="F21" s="98"/>
      <c r="G21" s="99"/>
      <c r="H21" s="1"/>
      <c r="I21" s="1"/>
      <c r="J21" s="24"/>
    </row>
    <row r="22" spans="1:11" s="13" customFormat="1" ht="16.5" customHeight="1" thickBot="1" x14ac:dyDescent="0.4">
      <c r="A22" s="1"/>
      <c r="B22" s="1"/>
      <c r="C22" s="97"/>
      <c r="D22" s="97"/>
      <c r="E22" s="98"/>
      <c r="F22" s="98"/>
      <c r="G22" s="99"/>
      <c r="H22" s="1"/>
      <c r="I22" s="1"/>
      <c r="J22" s="24"/>
    </row>
    <row r="23" spans="1:11" s="16" customFormat="1" ht="16.5" customHeight="1" thickBot="1" x14ac:dyDescent="0.4">
      <c r="A23" s="1"/>
      <c r="B23" s="1"/>
      <c r="C23" s="62" t="s">
        <v>106</v>
      </c>
      <c r="D23" s="100"/>
      <c r="E23" s="100"/>
      <c r="F23" s="101"/>
      <c r="G23" s="99"/>
      <c r="H23" s="1"/>
      <c r="I23" s="1"/>
      <c r="J23" s="24"/>
      <c r="K23" s="13"/>
    </row>
    <row r="24" spans="1:11" s="1" customFormat="1" ht="16.5" customHeight="1" thickBot="1" x14ac:dyDescent="0.4">
      <c r="C24" s="106" t="s">
        <v>89</v>
      </c>
      <c r="D24" s="232">
        <f>'Formulier logistiek'!$K$31</f>
        <v>3600</v>
      </c>
      <c r="E24" s="233"/>
      <c r="F24" s="234"/>
      <c r="G24" s="99"/>
      <c r="J24" s="24"/>
      <c r="K24" s="13"/>
    </row>
    <row r="25" spans="1:11" s="14" customFormat="1" ht="16.5" customHeight="1" thickBot="1" x14ac:dyDescent="0.4">
      <c r="A25" s="1"/>
      <c r="B25" s="1"/>
      <c r="C25" s="106" t="s">
        <v>91</v>
      </c>
      <c r="D25" s="41"/>
      <c r="E25" s="107" t="s">
        <v>85</v>
      </c>
      <c r="F25" s="108">
        <f>$D$25*$D$24</f>
        <v>0</v>
      </c>
      <c r="G25" s="99"/>
      <c r="H25" s="20"/>
      <c r="I25" s="20"/>
      <c r="J25" s="24"/>
    </row>
    <row r="26" spans="1:11" s="14" customFormat="1" ht="16.5" customHeight="1" thickBot="1" x14ac:dyDescent="0.4">
      <c r="A26" s="1"/>
      <c r="B26" s="1"/>
      <c r="C26" s="106" t="s">
        <v>92</v>
      </c>
      <c r="D26" s="40" t="s">
        <v>1</v>
      </c>
      <c r="E26" s="107" t="s">
        <v>72</v>
      </c>
      <c r="F26" s="110">
        <f>VLOOKUP(D26,$D$40:$E$46,2,FALSE)</f>
        <v>0</v>
      </c>
      <c r="G26" s="99"/>
      <c r="H26" s="20"/>
      <c r="I26" s="20"/>
      <c r="J26" s="24"/>
    </row>
    <row r="27" spans="1:11" s="14" customFormat="1" ht="30.75" customHeight="1" thickBot="1" x14ac:dyDescent="0.4">
      <c r="A27" s="1"/>
      <c r="B27" s="1"/>
      <c r="C27" s="106" t="s">
        <v>141</v>
      </c>
      <c r="D27" s="40" t="s">
        <v>1</v>
      </c>
      <c r="E27" s="107" t="s">
        <v>73</v>
      </c>
      <c r="F27" s="111">
        <f>1-(VLOOKUP(D27,$D$49:$G$68,2,FALSE))</f>
        <v>1</v>
      </c>
      <c r="G27" s="99"/>
      <c r="H27" s="20"/>
      <c r="I27" s="20"/>
      <c r="J27" s="24"/>
    </row>
    <row r="28" spans="1:11" s="16" customFormat="1" ht="16.5" customHeight="1" thickBot="1" x14ac:dyDescent="0.4">
      <c r="A28" s="1"/>
      <c r="B28" s="1"/>
      <c r="C28" s="112" t="s">
        <v>178</v>
      </c>
      <c r="D28" s="113"/>
      <c r="E28" s="100"/>
      <c r="F28" s="114">
        <f>((F26-(F26*F27))*F25)/1000000</f>
        <v>0</v>
      </c>
      <c r="G28" s="99"/>
      <c r="H28" s="19"/>
      <c r="I28" s="19"/>
      <c r="J28" s="24"/>
    </row>
    <row r="29" spans="1:11" s="13" customFormat="1" ht="16.5" customHeight="1" thickBot="1" x14ac:dyDescent="0.4">
      <c r="A29" s="1"/>
      <c r="B29" s="1"/>
      <c r="C29" s="115" t="s">
        <v>202</v>
      </c>
      <c r="D29" s="116"/>
      <c r="E29" s="117"/>
      <c r="F29" s="118">
        <v>100</v>
      </c>
      <c r="G29" s="99"/>
      <c r="H29" s="1"/>
      <c r="I29" s="1"/>
      <c r="J29" s="24"/>
    </row>
    <row r="30" spans="1:11" s="14" customFormat="1" ht="16.5" customHeight="1" thickBot="1" x14ac:dyDescent="0.4">
      <c r="A30" s="1"/>
      <c r="B30" s="1"/>
      <c r="C30" s="119" t="s">
        <v>46</v>
      </c>
      <c r="D30" s="120"/>
      <c r="E30" s="120"/>
      <c r="F30" s="121">
        <f>$F$28*$F$29</f>
        <v>0</v>
      </c>
      <c r="G30" s="99"/>
      <c r="H30" s="109"/>
      <c r="I30" s="20"/>
      <c r="J30" s="24"/>
      <c r="K30" s="17"/>
    </row>
    <row r="31" spans="1:11" s="14" customFormat="1" ht="16.5" customHeight="1" thickBot="1" x14ac:dyDescent="0.4">
      <c r="A31" s="1"/>
      <c r="B31" s="1"/>
      <c r="C31" s="122" t="s">
        <v>45</v>
      </c>
      <c r="D31" s="120"/>
      <c r="E31" s="120"/>
      <c r="F31" s="124">
        <f>$F$30/$D$24</f>
        <v>0</v>
      </c>
      <c r="G31" s="109"/>
      <c r="H31" s="109"/>
      <c r="I31" s="20"/>
      <c r="J31" s="24"/>
      <c r="K31" s="17"/>
    </row>
    <row r="32" spans="1:11" s="14" customFormat="1" ht="37.5" customHeight="1" x14ac:dyDescent="0.35">
      <c r="A32" s="20"/>
      <c r="B32" s="20"/>
      <c r="C32" s="259" t="s">
        <v>203</v>
      </c>
      <c r="D32" s="259"/>
      <c r="E32" s="259"/>
      <c r="F32" s="259"/>
      <c r="G32" s="259"/>
      <c r="H32" s="109"/>
      <c r="I32" s="20"/>
      <c r="J32" s="24"/>
      <c r="K32" s="22"/>
    </row>
    <row r="33" spans="1:10" ht="15" customHeight="1" x14ac:dyDescent="0.35">
      <c r="A33" s="9"/>
      <c r="B33" s="9"/>
      <c r="C33" s="9"/>
      <c r="D33" s="9"/>
      <c r="E33" s="9"/>
      <c r="F33" s="9"/>
      <c r="G33" s="168"/>
      <c r="H33" s="9"/>
      <c r="I33" s="9"/>
      <c r="J33" s="24"/>
    </row>
    <row r="34" spans="1:10" ht="15" customHeight="1" x14ac:dyDescent="0.35">
      <c r="A34" s="9"/>
      <c r="B34" s="9"/>
      <c r="C34" s="9"/>
      <c r="D34" s="9"/>
      <c r="E34" s="9"/>
      <c r="F34" s="9"/>
      <c r="G34" s="169"/>
      <c r="H34" s="9"/>
      <c r="I34" s="9"/>
      <c r="J34" s="24"/>
    </row>
    <row r="35" spans="1:10" ht="15" customHeight="1" x14ac:dyDescent="0.35">
      <c r="A35" s="24"/>
      <c r="B35" s="24"/>
      <c r="C35" s="24"/>
      <c r="D35" s="24"/>
      <c r="E35" s="24"/>
      <c r="F35" s="24"/>
      <c r="G35" s="24"/>
      <c r="H35" s="24"/>
      <c r="I35" s="24"/>
      <c r="J35" s="24"/>
    </row>
    <row r="36" spans="1:10" hidden="1" x14ac:dyDescent="0.3">
      <c r="A36" s="9"/>
      <c r="B36" s="9"/>
      <c r="C36" s="9"/>
      <c r="D36" s="10"/>
      <c r="E36" s="10"/>
      <c r="F36" s="10"/>
      <c r="G36" s="10"/>
      <c r="H36" s="9"/>
      <c r="I36" s="9"/>
    </row>
    <row r="37" spans="1:10" hidden="1" x14ac:dyDescent="0.3">
      <c r="A37" s="9"/>
      <c r="B37" s="20"/>
      <c r="C37" s="20"/>
      <c r="D37" s="10"/>
      <c r="E37" s="10"/>
      <c r="F37" s="10"/>
      <c r="G37" s="10"/>
      <c r="H37" s="9"/>
      <c r="I37" s="9"/>
    </row>
    <row r="38" spans="1:10" ht="15" hidden="1" customHeight="1" x14ac:dyDescent="0.3">
      <c r="A38" s="9"/>
      <c r="B38" s="20"/>
      <c r="C38" s="20"/>
      <c r="D38" s="240" t="s">
        <v>4</v>
      </c>
      <c r="E38" s="240"/>
      <c r="F38" s="240"/>
      <c r="G38" s="240"/>
      <c r="H38" s="9"/>
      <c r="I38" s="9"/>
    </row>
    <row r="39" spans="1:10" hidden="1" x14ac:dyDescent="0.3">
      <c r="A39" s="9"/>
      <c r="B39" s="20"/>
      <c r="C39" s="20"/>
      <c r="D39" s="170" t="s">
        <v>5</v>
      </c>
      <c r="E39" s="170" t="s">
        <v>86</v>
      </c>
      <c r="F39" s="171"/>
      <c r="G39" s="20"/>
      <c r="H39" s="9"/>
      <c r="I39" s="9"/>
    </row>
    <row r="40" spans="1:10" hidden="1" x14ac:dyDescent="0.3">
      <c r="A40" s="9"/>
      <c r="B40" s="20"/>
      <c r="C40" s="20"/>
      <c r="D40" s="172" t="s">
        <v>6</v>
      </c>
      <c r="E40" s="173">
        <v>0</v>
      </c>
      <c r="F40" s="171"/>
      <c r="G40" s="20"/>
      <c r="H40" s="9"/>
      <c r="I40" s="9"/>
    </row>
    <row r="41" spans="1:10" hidden="1" x14ac:dyDescent="0.3">
      <c r="A41" s="9"/>
      <c r="B41" s="20"/>
      <c r="C41" s="20"/>
      <c r="D41" s="172" t="s">
        <v>1</v>
      </c>
      <c r="E41" s="173">
        <v>0</v>
      </c>
      <c r="F41" s="171"/>
      <c r="G41" s="20"/>
      <c r="H41" s="9"/>
      <c r="I41" s="9"/>
    </row>
    <row r="42" spans="1:10" ht="30" hidden="1" x14ac:dyDescent="0.3">
      <c r="A42" s="9"/>
      <c r="B42" s="9"/>
      <c r="C42" s="20"/>
      <c r="D42" s="174" t="s">
        <v>63</v>
      </c>
      <c r="E42" s="172">
        <v>117</v>
      </c>
      <c r="F42" s="109"/>
      <c r="G42" s="20"/>
      <c r="H42" s="9"/>
      <c r="I42" s="9"/>
    </row>
    <row r="43" spans="1:10" hidden="1" x14ac:dyDescent="0.3">
      <c r="A43" s="9"/>
      <c r="B43" s="9"/>
      <c r="C43" s="20"/>
      <c r="D43" s="175" t="s">
        <v>2</v>
      </c>
      <c r="E43" s="172">
        <v>102</v>
      </c>
      <c r="F43" s="176"/>
      <c r="G43" s="20"/>
      <c r="H43" s="9"/>
      <c r="I43" s="9"/>
    </row>
    <row r="44" spans="1:10" hidden="1" x14ac:dyDescent="0.3">
      <c r="A44" s="9"/>
      <c r="B44" s="9"/>
      <c r="C44" s="20"/>
      <c r="D44" s="175" t="s">
        <v>64</v>
      </c>
      <c r="E44" s="172">
        <v>93</v>
      </c>
      <c r="F44" s="176"/>
      <c r="G44" s="20"/>
      <c r="H44" s="9"/>
      <c r="I44" s="9"/>
    </row>
    <row r="45" spans="1:10" hidden="1" x14ac:dyDescent="0.3">
      <c r="A45" s="9"/>
      <c r="B45" s="9"/>
      <c r="C45" s="20"/>
      <c r="D45" s="175" t="s">
        <v>65</v>
      </c>
      <c r="E45" s="172">
        <v>30</v>
      </c>
      <c r="F45" s="176"/>
      <c r="G45" s="20"/>
      <c r="H45" s="9"/>
      <c r="I45" s="9"/>
    </row>
    <row r="46" spans="1:10" hidden="1" x14ac:dyDescent="0.3">
      <c r="A46" s="9"/>
      <c r="B46" s="9"/>
      <c r="C46" s="20"/>
      <c r="D46" s="175" t="s">
        <v>66</v>
      </c>
      <c r="E46" s="172">
        <v>30</v>
      </c>
      <c r="F46" s="176"/>
      <c r="G46" s="20"/>
      <c r="H46" s="9"/>
      <c r="I46" s="9"/>
    </row>
    <row r="47" spans="1:10" hidden="1" x14ac:dyDescent="0.3">
      <c r="A47" s="9"/>
      <c r="B47" s="9"/>
      <c r="C47" s="20"/>
      <c r="D47" s="177"/>
      <c r="E47" s="177"/>
      <c r="F47" s="176"/>
      <c r="G47" s="20"/>
      <c r="H47" s="9"/>
      <c r="I47" s="9"/>
    </row>
    <row r="48" spans="1:10" hidden="1" x14ac:dyDescent="0.3">
      <c r="A48" s="9"/>
      <c r="B48" s="9"/>
      <c r="C48" s="20"/>
      <c r="D48" s="170" t="s">
        <v>7</v>
      </c>
      <c r="E48" s="178" t="s">
        <v>8</v>
      </c>
      <c r="F48" s="178" t="s">
        <v>9</v>
      </c>
      <c r="G48" s="178" t="s">
        <v>54</v>
      </c>
      <c r="H48" s="9"/>
      <c r="I48" s="9"/>
    </row>
    <row r="49" spans="1:9" hidden="1" x14ac:dyDescent="0.3">
      <c r="A49" s="9"/>
      <c r="B49" s="9"/>
      <c r="C49" s="20"/>
      <c r="D49" s="172" t="s">
        <v>10</v>
      </c>
      <c r="E49" s="179">
        <v>0</v>
      </c>
      <c r="F49" s="179">
        <v>0</v>
      </c>
      <c r="G49" s="179">
        <v>0</v>
      </c>
      <c r="H49" s="9"/>
      <c r="I49" s="9"/>
    </row>
    <row r="50" spans="1:9" hidden="1" x14ac:dyDescent="0.3">
      <c r="A50" s="9"/>
      <c r="B50" s="9"/>
      <c r="C50" s="20"/>
      <c r="D50" s="172" t="s">
        <v>1</v>
      </c>
      <c r="E50" s="179">
        <v>0</v>
      </c>
      <c r="F50" s="179">
        <v>0</v>
      </c>
      <c r="G50" s="179">
        <v>0</v>
      </c>
      <c r="H50" s="9"/>
      <c r="I50" s="9"/>
    </row>
    <row r="51" spans="1:9" hidden="1" x14ac:dyDescent="0.3">
      <c r="A51" s="9"/>
      <c r="B51" s="9"/>
      <c r="C51" s="20"/>
      <c r="D51" s="174" t="s">
        <v>11</v>
      </c>
      <c r="E51" s="179">
        <v>1</v>
      </c>
      <c r="F51" s="179">
        <v>1</v>
      </c>
      <c r="G51" s="179">
        <v>1</v>
      </c>
      <c r="H51" s="9"/>
      <c r="I51" s="9"/>
    </row>
    <row r="52" spans="1:9" hidden="1" x14ac:dyDescent="0.3">
      <c r="A52" s="9"/>
      <c r="B52" s="9"/>
      <c r="C52" s="20"/>
      <c r="D52" s="174" t="s">
        <v>53</v>
      </c>
      <c r="E52" s="180">
        <v>0.95726</v>
      </c>
      <c r="F52" s="180">
        <v>0.96077999999999997</v>
      </c>
      <c r="G52" s="180">
        <v>0.95699000000000001</v>
      </c>
      <c r="H52" s="9"/>
      <c r="I52" s="9"/>
    </row>
    <row r="53" spans="1:9" hidden="1" x14ac:dyDescent="0.3">
      <c r="A53" s="9"/>
      <c r="B53" s="9"/>
      <c r="C53" s="20"/>
      <c r="D53" s="174" t="s">
        <v>13</v>
      </c>
      <c r="E53" s="180">
        <f>0.102/0.117</f>
        <v>0.8717948717948717</v>
      </c>
      <c r="F53" s="180">
        <f>0.089/0.102</f>
        <v>0.87254901960784315</v>
      </c>
      <c r="G53" s="180">
        <f>0.081/0.093</f>
        <v>0.87096774193548387</v>
      </c>
      <c r="H53" s="9"/>
      <c r="I53" s="9"/>
    </row>
    <row r="54" spans="1:9" hidden="1" x14ac:dyDescent="0.3">
      <c r="A54" s="9"/>
      <c r="B54" s="9"/>
      <c r="C54" s="20"/>
      <c r="D54" s="174" t="s">
        <v>3</v>
      </c>
      <c r="E54" s="180">
        <f>0.095/0.117</f>
        <v>0.81196581196581197</v>
      </c>
      <c r="F54" s="180">
        <f>0.083/0.102</f>
        <v>0.81372549019607854</v>
      </c>
      <c r="G54" s="180">
        <v>0.80645</v>
      </c>
      <c r="H54" s="9"/>
      <c r="I54" s="9"/>
    </row>
    <row r="55" spans="1:9" hidden="1" x14ac:dyDescent="0.3">
      <c r="A55" s="9"/>
      <c r="B55" s="9"/>
      <c r="C55" s="20"/>
      <c r="D55" s="174" t="s">
        <v>15</v>
      </c>
      <c r="E55" s="180">
        <v>0.78632000000000002</v>
      </c>
      <c r="F55" s="180">
        <v>0.79412000000000005</v>
      </c>
      <c r="G55" s="180">
        <v>0.78495000000000004</v>
      </c>
      <c r="H55" s="9"/>
      <c r="I55" s="9"/>
    </row>
    <row r="56" spans="1:9" hidden="1" x14ac:dyDescent="0.3">
      <c r="A56" s="9"/>
      <c r="B56" s="9"/>
      <c r="C56" s="20"/>
      <c r="D56" s="174" t="s">
        <v>55</v>
      </c>
      <c r="E56" s="180">
        <v>0.76922999999999997</v>
      </c>
      <c r="F56" s="180">
        <v>0.77451000000000003</v>
      </c>
      <c r="G56" s="180">
        <v>0.77419000000000004</v>
      </c>
      <c r="H56" s="9"/>
      <c r="I56" s="9"/>
    </row>
    <row r="57" spans="1:9" hidden="1" x14ac:dyDescent="0.3">
      <c r="A57" s="9"/>
      <c r="B57" s="9"/>
      <c r="C57" s="20"/>
      <c r="D57" s="174" t="s">
        <v>57</v>
      </c>
      <c r="E57" s="180">
        <v>0.63248000000000004</v>
      </c>
      <c r="F57" s="180">
        <f>0.065/0.102</f>
        <v>0.63725490196078438</v>
      </c>
      <c r="G57" s="180">
        <f>0.059/0.093</f>
        <v>0.63440860215053763</v>
      </c>
      <c r="H57" s="9"/>
      <c r="I57" s="9"/>
    </row>
    <row r="58" spans="1:9" hidden="1" x14ac:dyDescent="0.3">
      <c r="A58" s="9"/>
      <c r="B58" s="9"/>
      <c r="C58" s="20"/>
      <c r="D58" s="174" t="s">
        <v>14</v>
      </c>
      <c r="E58" s="180">
        <f>0.035/0.117</f>
        <v>0.29914529914529914</v>
      </c>
      <c r="F58" s="180">
        <f>0.031/0.102</f>
        <v>0.30392156862745101</v>
      </c>
      <c r="G58" s="180">
        <f>0.028/0.093</f>
        <v>0.30107526881720431</v>
      </c>
      <c r="H58" s="9"/>
      <c r="I58" s="9"/>
    </row>
    <row r="59" spans="1:9" hidden="1" x14ac:dyDescent="0.3">
      <c r="A59" s="9"/>
      <c r="B59" s="9"/>
      <c r="C59" s="20"/>
      <c r="D59" s="174" t="s">
        <v>56</v>
      </c>
      <c r="E59" s="180">
        <f>0.035/0.117</f>
        <v>0.29914529914529914</v>
      </c>
      <c r="F59" s="180">
        <f>0.031/0.102</f>
        <v>0.30392156862745101</v>
      </c>
      <c r="G59" s="180">
        <f>0.028/0.093</f>
        <v>0.30107526881720431</v>
      </c>
      <c r="H59" s="9"/>
      <c r="I59" s="9"/>
    </row>
    <row r="60" spans="1:9" ht="30" hidden="1" x14ac:dyDescent="0.3">
      <c r="A60" s="9"/>
      <c r="B60" s="9"/>
      <c r="C60" s="20"/>
      <c r="D60" s="174" t="s">
        <v>58</v>
      </c>
      <c r="E60" s="180">
        <f>0.034/0.117</f>
        <v>0.29059829059829062</v>
      </c>
      <c r="F60" s="180">
        <f>0.03/0.102</f>
        <v>0.29411764705882354</v>
      </c>
      <c r="G60" s="180">
        <f>0.027/0.093</f>
        <v>0.29032258064516131</v>
      </c>
      <c r="H60" s="9"/>
      <c r="I60" s="9"/>
    </row>
    <row r="61" spans="1:9" ht="30" hidden="1" x14ac:dyDescent="0.3">
      <c r="A61" s="9"/>
      <c r="B61" s="9"/>
      <c r="C61" s="20"/>
      <c r="D61" s="174" t="s">
        <v>59</v>
      </c>
      <c r="E61" s="180">
        <f>0.031/0.117</f>
        <v>0.26495726495726496</v>
      </c>
      <c r="F61" s="180">
        <f>0.027/0.102</f>
        <v>0.26470588235294118</v>
      </c>
      <c r="G61" s="180">
        <f>0.024/0.093</f>
        <v>0.25806451612903225</v>
      </c>
      <c r="H61" s="9"/>
      <c r="I61" s="9"/>
    </row>
    <row r="62" spans="1:9" hidden="1" x14ac:dyDescent="0.3">
      <c r="A62" s="9"/>
      <c r="B62" s="9"/>
      <c r="C62" s="20"/>
      <c r="D62" s="174" t="s">
        <v>12</v>
      </c>
      <c r="E62" s="180">
        <f>0.026/0.117</f>
        <v>0.22222222222222221</v>
      </c>
      <c r="F62" s="180">
        <f>0.022/0.102</f>
        <v>0.21568627450980393</v>
      </c>
      <c r="G62" s="180">
        <f>0.02/0.093</f>
        <v>0.21505376344086022</v>
      </c>
      <c r="H62" s="9"/>
      <c r="I62" s="9"/>
    </row>
    <row r="63" spans="1:9" ht="30" hidden="1" x14ac:dyDescent="0.3">
      <c r="A63" s="9"/>
      <c r="B63" s="9"/>
      <c r="C63" s="20"/>
      <c r="D63" s="174" t="s">
        <v>60</v>
      </c>
      <c r="E63" s="180">
        <f>0.01/0.117</f>
        <v>8.5470085470085472E-2</v>
      </c>
      <c r="F63" s="180">
        <f>0.008/0.102</f>
        <v>7.8431372549019621E-2</v>
      </c>
      <c r="G63" s="180">
        <f>0.008/0.093</f>
        <v>8.6021505376344093E-2</v>
      </c>
      <c r="H63" s="9"/>
      <c r="I63" s="9"/>
    </row>
    <row r="64" spans="1:9" hidden="1" x14ac:dyDescent="0.3">
      <c r="A64" s="9"/>
      <c r="B64" s="9"/>
      <c r="C64" s="20"/>
      <c r="D64" s="174" t="s">
        <v>61</v>
      </c>
      <c r="E64" s="180">
        <f>0.004/0.117</f>
        <v>3.4188034188034185E-2</v>
      </c>
      <c r="F64" s="180">
        <f>0.004/0.102</f>
        <v>3.921568627450981E-2</v>
      </c>
      <c r="G64" s="180">
        <f>0.003/0.093</f>
        <v>3.2258064516129031E-2</v>
      </c>
      <c r="H64" s="9"/>
      <c r="I64" s="9"/>
    </row>
    <row r="65" spans="1:9" hidden="1" x14ac:dyDescent="0.3">
      <c r="A65" s="9"/>
      <c r="B65" s="9"/>
      <c r="C65" s="20"/>
      <c r="D65" s="174" t="s">
        <v>62</v>
      </c>
      <c r="E65" s="180">
        <v>0</v>
      </c>
      <c r="F65" s="180">
        <v>0</v>
      </c>
      <c r="G65" s="180">
        <v>0</v>
      </c>
      <c r="H65" s="9"/>
      <c r="I65" s="9"/>
    </row>
    <row r="66" spans="1:9" hidden="1" x14ac:dyDescent="0.3">
      <c r="A66" s="9"/>
      <c r="B66" s="9"/>
      <c r="C66" s="20"/>
      <c r="D66" s="174" t="s">
        <v>65</v>
      </c>
      <c r="E66" s="179">
        <v>1</v>
      </c>
      <c r="F66" s="179"/>
      <c r="G66" s="179"/>
      <c r="H66" s="9"/>
      <c r="I66" s="9"/>
    </row>
    <row r="67" spans="1:9" hidden="1" x14ac:dyDescent="0.3">
      <c r="A67" s="9"/>
      <c r="B67" s="9"/>
      <c r="C67" s="20"/>
      <c r="D67" s="174" t="s">
        <v>68</v>
      </c>
      <c r="E67" s="180">
        <f>0.0294/0.03</f>
        <v>0.98</v>
      </c>
      <c r="F67" s="179"/>
      <c r="G67" s="179"/>
      <c r="H67" s="9"/>
      <c r="I67" s="9"/>
    </row>
    <row r="68" spans="1:9" hidden="1" x14ac:dyDescent="0.3">
      <c r="A68" s="9"/>
      <c r="B68" s="9"/>
      <c r="C68" s="20"/>
      <c r="D68" s="174" t="s">
        <v>67</v>
      </c>
      <c r="E68" s="180">
        <f>0.0285/0.03</f>
        <v>0.95000000000000007</v>
      </c>
      <c r="F68" s="179"/>
      <c r="G68" s="179"/>
      <c r="H68" s="9"/>
      <c r="I68" s="9"/>
    </row>
    <row r="69" spans="1:9" hidden="1" x14ac:dyDescent="0.3">
      <c r="A69" s="9"/>
      <c r="B69" s="9"/>
      <c r="C69" s="20"/>
      <c r="D69" s="20"/>
      <c r="E69" s="20"/>
      <c r="F69" s="20"/>
      <c r="G69" s="20"/>
      <c r="H69" s="9"/>
      <c r="I69" s="9"/>
    </row>
    <row r="70" spans="1:9" hidden="1" x14ac:dyDescent="0.3">
      <c r="A70" s="9"/>
      <c r="B70" s="9"/>
      <c r="C70" s="9"/>
      <c r="D70" s="10"/>
      <c r="E70" s="10"/>
      <c r="F70" s="10"/>
      <c r="G70" s="10"/>
      <c r="H70" s="9"/>
      <c r="I70" s="9"/>
    </row>
    <row r="71" spans="1:9" x14ac:dyDescent="0.3">
      <c r="A71" s="9"/>
      <c r="B71" s="9"/>
      <c r="C71" s="9"/>
      <c r="D71" s="10"/>
      <c r="E71" s="10"/>
      <c r="F71" s="10"/>
      <c r="G71" s="10"/>
      <c r="H71" s="9"/>
      <c r="I71" s="9"/>
    </row>
    <row r="72" spans="1:9" x14ac:dyDescent="0.3">
      <c r="A72" s="9"/>
      <c r="B72" s="9"/>
      <c r="C72" s="9"/>
      <c r="D72" s="10"/>
      <c r="E72" s="10"/>
      <c r="F72" s="10"/>
      <c r="G72" s="10"/>
      <c r="H72" s="9"/>
      <c r="I72" s="9"/>
    </row>
    <row r="73" spans="1:9" x14ac:dyDescent="0.3">
      <c r="A73" s="9"/>
      <c r="B73" s="9"/>
      <c r="C73" s="9"/>
      <c r="D73" s="10"/>
      <c r="E73" s="10"/>
      <c r="F73" s="10"/>
      <c r="G73" s="10"/>
      <c r="H73" s="9"/>
      <c r="I73" s="9"/>
    </row>
  </sheetData>
  <sheetProtection algorithmName="SHA-512" hashValue="RtJ4xe7czx3D2h7Ohmb3MPebn6BUAYLt/MZcUIaaqlxHZPcHN/8am9EB5eGyekqxvnTaKQGzfMMoJ1HEY8rdaw==" saltValue="JsxHogWNV5j5QIjnhvzLLA==" spinCount="100000" sheet="1" objects="1" scenarios="1"/>
  <protectedRanges>
    <protectedRange sqref="F21:F22 D12:D13 F12:F13 D21:D22" name="gegevens_1_2_1"/>
    <protectedRange sqref="D20 D7:D11" name="gegevens_1_2_1_1_1"/>
  </protectedRanges>
  <mergeCells count="11">
    <mergeCell ref="D38:G38"/>
    <mergeCell ref="D17:F17"/>
    <mergeCell ref="D18:F18"/>
    <mergeCell ref="D19:F19"/>
    <mergeCell ref="D7:G7"/>
    <mergeCell ref="D8:G8"/>
    <mergeCell ref="D9:G9"/>
    <mergeCell ref="D10:G10"/>
    <mergeCell ref="D15:F15"/>
    <mergeCell ref="D16:F16"/>
    <mergeCell ref="C32:G32"/>
  </mergeCells>
  <dataValidations count="4">
    <dataValidation type="whole" operator="lessThan" allowBlank="1" showInputMessage="1" showErrorMessage="1" sqref="D25" xr:uid="{5A4E049E-F35D-4C0D-B031-DD9A59A9F7A5}">
      <formula1>1000</formula1>
    </dataValidation>
    <dataValidation type="list" allowBlank="1" showInputMessage="1" showErrorMessage="1" sqref="D27" xr:uid="{8044AD6A-A520-468B-AA75-CBAB51E5D193}">
      <formula1>$D$49:$D$68</formula1>
    </dataValidation>
    <dataValidation type="list" allowBlank="1" showInputMessage="1" showErrorMessage="1" sqref="D26" xr:uid="{FD2C9551-61D5-4450-8B9B-4A218CE41A84}">
      <formula1>$D$40:$D$46</formula1>
    </dataValidation>
    <dataValidation operator="lessThanOrEqual" allowBlank="1" showInputMessage="1" showErrorMessage="1" sqref="G33:G34" xr:uid="{75E47597-2FD0-4878-9346-22F5F79AEFCA}"/>
  </dataValidations>
  <pageMargins left="0.70866141732283472" right="0.70866141732283472" top="0.74803149606299213" bottom="0.74803149606299213" header="0.31496062992125984" footer="0.31496062992125984"/>
  <pageSetup paperSize="9" scale="55" orientation="landscape" r:id="rId1"/>
  <headerFooter>
    <oddHeader>&amp;L&amp;"Open Sans,Vet"&amp;12&amp;F</oddHeader>
    <oddFooter>&amp;L&amp;"Open Sans,Vet"&amp;12&amp;A&amp;R&amp;"Open Sans,Vet"&amp;12&amp;P van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5b71ff1c-e3cd-42a6-83e1-f2c4de29779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06ECB918BF38354E92068821895CA7A8" ma:contentTypeVersion="11" ma:contentTypeDescription="Een nieuw document maken." ma:contentTypeScope="" ma:versionID="436633eb2692b5c1391bed505398f085">
  <xsd:schema xmlns:xsd="http://www.w3.org/2001/XMLSchema" xmlns:xs="http://www.w3.org/2001/XMLSchema" xmlns:p="http://schemas.microsoft.com/office/2006/metadata/properties" xmlns:ns3="5b71ff1c-e3cd-42a6-83e1-f2c4de297793" targetNamespace="http://schemas.microsoft.com/office/2006/metadata/properties" ma:root="true" ma:fieldsID="985768d9036e6416e109424664385b9d" ns3:_="">
    <xsd:import namespace="5b71ff1c-e3cd-42a6-83e1-f2c4de297793"/>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ObjectDetectorVersions" minOccurs="0"/>
                <xsd:element ref="ns3:MediaServiceSearchProperties" minOccurs="0"/>
                <xsd:element ref="ns3:_activity" minOccurs="0"/>
                <xsd:element ref="ns3:MediaServiceSystemTag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b71ff1c-e3cd-42a6-83e1-f2c4de29779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SearchProperties" ma:index="16" nillable="true" ma:displayName="MediaServiceSearchProperties" ma:hidden="true" ma:internalName="MediaServiceSearchProperties" ma:readOnly="true">
      <xsd:simpleType>
        <xsd:restriction base="dms:Note"/>
      </xsd:simpleType>
    </xsd:element>
    <xsd:element name="_activity" ma:index="17" nillable="true" ma:displayName="_activity" ma:hidden="true" ma:internalName="_activity">
      <xsd:simpleType>
        <xsd:restriction base="dms:Note"/>
      </xsd:simpleType>
    </xsd:element>
    <xsd:element name="MediaServiceSystemTags" ma:index="18" nillable="true" ma:displayName="MediaServiceSystemTags" ma:hidden="true" ma:internalName="MediaServiceSystemTag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893B002-6512-4797-AA32-7C080E29F4F0}">
  <ds:schemaRefs>
    <ds:schemaRef ds:uri="http://purl.org/dc/terms/"/>
    <ds:schemaRef ds:uri="5b71ff1c-e3cd-42a6-83e1-f2c4de297793"/>
    <ds:schemaRef ds:uri="http://schemas.microsoft.com/office/2006/documentManagement/types"/>
    <ds:schemaRef ds:uri="http://purl.org/dc/dcmitype/"/>
    <ds:schemaRef ds:uri="http://purl.org/dc/elements/1.1/"/>
    <ds:schemaRef ds:uri="http://schemas.openxmlformats.org/package/2006/metadata/core-properties"/>
    <ds:schemaRef ds:uri="http://schemas.microsoft.com/office/infopath/2007/PartnerControls"/>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79371479-C754-48B4-ABCB-005452F745F4}">
  <ds:schemaRefs>
    <ds:schemaRef ds:uri="http://schemas.microsoft.com/sharepoint/v3/contenttype/forms"/>
  </ds:schemaRefs>
</ds:datastoreItem>
</file>

<file path=customXml/itemProps3.xml><?xml version="1.0" encoding="utf-8"?>
<ds:datastoreItem xmlns:ds="http://schemas.openxmlformats.org/officeDocument/2006/customXml" ds:itemID="{1D7C2886-55FC-4449-AB15-D05C9397D9C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b71ff1c-e3cd-42a6-83e1-f2c4de29779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11</vt:i4>
      </vt:variant>
      <vt:variant>
        <vt:lpstr>Benoemde bereiken</vt:lpstr>
      </vt:variant>
      <vt:variant>
        <vt:i4>11</vt:i4>
      </vt:variant>
    </vt:vector>
  </HeadingPairs>
  <TitlesOfParts>
    <vt:vector size="22" baseType="lpstr">
      <vt:lpstr>Instructie</vt:lpstr>
      <vt:lpstr>Formulier logistiek</vt:lpstr>
      <vt:lpstr>Kwaliteit HRA 2027</vt:lpstr>
      <vt:lpstr>Kwaliteit HRA 2028</vt:lpstr>
      <vt:lpstr>Kwaliteit HRA 2029</vt:lpstr>
      <vt:lpstr>Kwaliteit HRA 2030</vt:lpstr>
      <vt:lpstr>Prijs HRA </vt:lpstr>
      <vt:lpstr>Fictieve inschrijfprijs HRA</vt:lpstr>
      <vt:lpstr>Kwaliteit GHA</vt:lpstr>
      <vt:lpstr>Prijs GHA</vt:lpstr>
      <vt:lpstr>Fictieve inschrijfprijs GHA</vt:lpstr>
      <vt:lpstr>'Fictieve inschrijfprijs GHA'!Afdrukbereik</vt:lpstr>
      <vt:lpstr>'Fictieve inschrijfprijs HRA'!Afdrukbereik</vt:lpstr>
      <vt:lpstr>'Formulier logistiek'!Afdrukbereik</vt:lpstr>
      <vt:lpstr>Instructie!Afdrukbereik</vt:lpstr>
      <vt:lpstr>'Kwaliteit GHA'!Afdrukbereik</vt:lpstr>
      <vt:lpstr>'Kwaliteit HRA 2027'!Afdrukbereik</vt:lpstr>
      <vt:lpstr>'Kwaliteit HRA 2028'!Afdrukbereik</vt:lpstr>
      <vt:lpstr>'Kwaliteit HRA 2029'!Afdrukbereik</vt:lpstr>
      <vt:lpstr>'Kwaliteit HRA 2030'!Afdrukbereik</vt:lpstr>
      <vt:lpstr>'Prijs GHA'!Afdrukbereik</vt:lpstr>
      <vt:lpstr>'Prijs HRA '!Afdrukbereik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Alexander Pluckel</dc:creator>
  <cp:lastModifiedBy>Capellen, Scott van der</cp:lastModifiedBy>
  <cp:lastPrinted>2026-03-24T08:02:10Z</cp:lastPrinted>
  <dcterms:created xsi:type="dcterms:W3CDTF">2021-05-06T12:21:12Z</dcterms:created>
  <dcterms:modified xsi:type="dcterms:W3CDTF">2026-03-24T10:23:39Z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0x01010006ECB918BF38354E92068821895CA7A8</vt:lpwstr>
  </property>
  <property fmtid="{D5CDD505-2E9C-101B-9397-08002B2CF9AE}" pid="3" name="MediaServiceImageTags">
    <vt:lpwstr/>
  </property>
</Properties>
</file>