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harts/chart2.xml" ContentType="application/vnd.openxmlformats-officedocument.drawingml.chart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166925"/>
  <mc:AlternateContent xmlns:mc="http://schemas.openxmlformats.org/markup-compatibility/2006">
    <mc:Choice Requires="x15">
      <x15ac:absPath xmlns:x15ac="http://schemas.microsoft.com/office/spreadsheetml/2010/11/ac" url="https://buurtwarmte.sharepoint.com/sites/ProjectMuiderberg/Gedeelde documenten/Algemeen/03. Techniek &amp; Businesscase/12. Procurement/04 Lot A Production Plant/16 Published Documents Award Phase II R-f-BAFO/"/>
    </mc:Choice>
  </mc:AlternateContent>
  <xr:revisionPtr revIDLastSave="3" documentId="8_{945909F3-BC2A-4280-949E-F654978A4BCC}" xr6:coauthVersionLast="47" xr6:coauthVersionMax="47" xr10:uidLastSave="{B47A69E1-2F6E-4EFC-B902-B716E112507C}"/>
  <workbookProtection workbookAlgorithmName="SHA-512" workbookHashValue="YFheohIcVtVf7yzS3+DdapGkZY1pA1hQ7cM/rD7fUkfI8qZ6ECbenB77bF8sqHjqkEStJefjA2BZ51yKxJQS9w==" workbookSaltValue="r9Ed90fu3UFWTTflIQ61bg==" workbookSpinCount="100000" lockStructure="1"/>
  <bookViews>
    <workbookView xWindow="4245" yWindow="1125" windowWidth="29100" windowHeight="19395" firstSheet="1" activeTab="1" xr2:uid="{48849D1C-E380-436E-8A6A-0A97AB107B1E}"/>
  </bookViews>
  <sheets>
    <sheet name="TJEK LISTE" sheetId="20" state="hidden" r:id="rId1"/>
    <sheet name="Operating data" sheetId="26" r:id="rId2"/>
    <sheet name="System calculation" sheetId="2" state="hidden" r:id="rId3"/>
    <sheet name="Konstanter" sheetId="10" state="hidden" r:id="rId4"/>
    <sheet name="Bodsudregning" sheetId="8" state="hidden" r:id="rId5"/>
  </sheets>
  <externalReferences>
    <externalReference r:id="rId6"/>
    <externalReference r:id="rId7"/>
  </externalReferences>
  <definedNames>
    <definedName name="Elfaktor" localSheetId="0">[1]Bodsudregning!$C$4</definedName>
    <definedName name="Elfaktor">Bodsudregning!$C$4</definedName>
    <definedName name="Kelvin" localSheetId="0">[2]Konstanter!$B$3</definedName>
    <definedName name="Kelvin">Konstanter!$B$3</definedName>
    <definedName name="størrelsesfaktor" localSheetId="0">[1]Bodsudregning!$C$3</definedName>
    <definedName name="størrelsesfaktor">Bodsudregning!$C$3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1" i="2" l="1"/>
  <c r="F24" i="26"/>
  <c r="G24" i="26"/>
  <c r="H24" i="26"/>
  <c r="I24" i="26"/>
  <c r="J24" i="26"/>
  <c r="K24" i="26"/>
  <c r="L24" i="26"/>
  <c r="C4" i="2"/>
  <c r="D4" i="2"/>
  <c r="E4" i="2"/>
  <c r="F4" i="2"/>
  <c r="G4" i="2"/>
  <c r="H4" i="2"/>
  <c r="I4" i="2"/>
  <c r="B4" i="2"/>
  <c r="F29" i="26"/>
  <c r="G29" i="26"/>
  <c r="I29" i="26"/>
  <c r="J29" i="26"/>
  <c r="K29" i="26"/>
  <c r="E29" i="26"/>
  <c r="L28" i="26"/>
  <c r="L29" i="26" s="1"/>
  <c r="K28" i="26"/>
  <c r="J28" i="26"/>
  <c r="I28" i="26"/>
  <c r="K50" i="26"/>
  <c r="K46" i="26"/>
  <c r="K55" i="26" s="1"/>
  <c r="K37" i="26"/>
  <c r="K39" i="26" s="1"/>
  <c r="K49" i="26"/>
  <c r="G49" i="26"/>
  <c r="G51" i="26" s="1"/>
  <c r="G50" i="26"/>
  <c r="G46" i="26"/>
  <c r="G57" i="26" s="1"/>
  <c r="G37" i="26"/>
  <c r="G39" i="26" s="1"/>
  <c r="K51" i="26" l="1"/>
  <c r="K48" i="26"/>
  <c r="H6" i="2" s="1"/>
  <c r="K54" i="26"/>
  <c r="G28" i="26"/>
  <c r="G48" i="26"/>
  <c r="G55" i="26"/>
  <c r="G56" i="26"/>
  <c r="G54" i="26"/>
  <c r="E46" i="26"/>
  <c r="E24" i="26"/>
  <c r="E28" i="26"/>
  <c r="F28" i="26"/>
  <c r="H28" i="26"/>
  <c r="H29" i="26" s="1"/>
  <c r="G52" i="26" l="1"/>
  <c r="D6" i="2"/>
  <c r="K52" i="26"/>
  <c r="B9" i="2" l="1"/>
  <c r="R14" i="2"/>
  <c r="B12" i="2" s="1"/>
  <c r="N20" i="2" s="1"/>
  <c r="N35" i="2" s="1"/>
  <c r="N10" i="2"/>
  <c r="N11" i="2"/>
  <c r="B25" i="2" l="1"/>
  <c r="N9" i="2"/>
  <c r="B35" i="2" l="1"/>
  <c r="F50" i="26"/>
  <c r="H50" i="26"/>
  <c r="I50" i="26"/>
  <c r="J50" i="26"/>
  <c r="L50" i="26"/>
  <c r="E50" i="26"/>
  <c r="N17" i="2" l="1"/>
  <c r="N18" i="2"/>
  <c r="N19" i="2"/>
  <c r="N16" i="2"/>
  <c r="N12" i="2"/>
  <c r="N25" i="2" l="1"/>
  <c r="N28" i="2"/>
  <c r="B28" i="2"/>
  <c r="A4" i="2"/>
  <c r="D16" i="26" l="1"/>
  <c r="L37" i="26"/>
  <c r="L39" i="26" s="1"/>
  <c r="J37" i="26"/>
  <c r="J39" i="26" s="1"/>
  <c r="I37" i="26"/>
  <c r="I39" i="26" s="1"/>
  <c r="E49" i="26"/>
  <c r="I46" i="26" l="1"/>
  <c r="I48" i="26" s="1"/>
  <c r="F6" i="2" s="1"/>
  <c r="B33" i="2"/>
  <c r="N33" i="2" s="1"/>
  <c r="N34" i="2" s="1"/>
  <c r="L46" i="26"/>
  <c r="L48" i="26" s="1"/>
  <c r="I6" i="2" s="1"/>
  <c r="F49" i="26"/>
  <c r="I49" i="26"/>
  <c r="J49" i="26"/>
  <c r="L49" i="26"/>
  <c r="H49" i="26"/>
  <c r="J46" i="26"/>
  <c r="B34" i="2" l="1"/>
  <c r="N44" i="2"/>
  <c r="O44" i="2" s="1"/>
  <c r="L55" i="26"/>
  <c r="L54" i="26"/>
  <c r="I55" i="26"/>
  <c r="I54" i="26"/>
  <c r="J51" i="26"/>
  <c r="I51" i="26"/>
  <c r="L51" i="26"/>
  <c r="I25" i="8"/>
  <c r="I23" i="8"/>
  <c r="I52" i="26" l="1"/>
  <c r="L52" i="26"/>
  <c r="J48" i="26"/>
  <c r="G6" i="2" s="1"/>
  <c r="J55" i="26"/>
  <c r="J54" i="26"/>
  <c r="J52" i="26" l="1"/>
  <c r="H37" i="26"/>
  <c r="H39" i="26" l="1"/>
  <c r="F37" i="26" l="1"/>
  <c r="E37" i="26"/>
  <c r="E39" i="26" l="1"/>
  <c r="E54" i="26" s="1"/>
  <c r="E51" i="26"/>
  <c r="F51" i="26"/>
  <c r="H46" i="26" l="1"/>
  <c r="E57" i="26" l="1"/>
  <c r="H56" i="26" l="1"/>
  <c r="H54" i="26"/>
  <c r="H55" i="26"/>
  <c r="H48" i="26"/>
  <c r="E6" i="2" s="1"/>
  <c r="H57" i="26"/>
  <c r="E48" i="26"/>
  <c r="E52" i="26" s="1"/>
  <c r="E55" i="26"/>
  <c r="E56" i="26"/>
  <c r="L57" i="26"/>
  <c r="L56" i="26"/>
  <c r="H51" i="26"/>
  <c r="B6" i="2" l="1"/>
  <c r="H52" i="26"/>
  <c r="I28" i="8" l="1"/>
  <c r="I29" i="8" s="1"/>
  <c r="D16" i="2" l="1" a="1"/>
  <c r="C573" i="2" l="1"/>
  <c r="C24" i="8" l="1"/>
  <c r="C25" i="8"/>
  <c r="C23" i="8"/>
  <c r="E22" i="8"/>
  <c r="F22" i="8"/>
  <c r="D22" i="8"/>
  <c r="C19" i="8"/>
  <c r="C17" i="8"/>
  <c r="C18" i="8"/>
  <c r="E16" i="8"/>
  <c r="F16" i="8"/>
  <c r="D16" i="8"/>
  <c r="E15" i="8"/>
  <c r="B24" i="8"/>
  <c r="E21" i="8"/>
  <c r="B18" i="8"/>
  <c r="B12" i="8"/>
  <c r="E9" i="8"/>
  <c r="C10" i="8" l="1"/>
  <c r="C6" i="8" l="1"/>
  <c r="C16" i="8" s="1"/>
  <c r="B44" i="2" l="1"/>
  <c r="C44" i="2" l="1"/>
  <c r="F39" i="26" l="1"/>
  <c r="F46" i="26" l="1"/>
  <c r="F48" i="26" l="1"/>
  <c r="C6" i="2" s="1"/>
  <c r="J6" i="2" s="1"/>
  <c r="F57" i="26" l="1"/>
  <c r="F55" i="26"/>
  <c r="F56" i="26"/>
  <c r="F54" i="26"/>
  <c r="F52" i="26"/>
  <c r="N26" i="2" l="1"/>
  <c r="N30" i="2" s="1"/>
  <c r="N36" i="2" s="1"/>
  <c r="N27" i="2"/>
  <c r="N29" i="2" s="1"/>
  <c r="B26" i="2"/>
  <c r="B30" i="2" s="1"/>
  <c r="B36" i="2" s="1"/>
  <c r="B27" i="2"/>
  <c r="B29" i="2" l="1"/>
  <c r="N37" i="2" l="1"/>
  <c r="B37" i="2"/>
  <c r="N52" i="2" l="1"/>
  <c r="O52" i="2" s="1"/>
  <c r="N45" i="2"/>
  <c r="O45" i="2" s="1"/>
  <c r="N53" i="2"/>
  <c r="O53" i="2" s="1"/>
  <c r="N47" i="2"/>
  <c r="O47" i="2" s="1"/>
  <c r="N55" i="2"/>
  <c r="O55" i="2" s="1"/>
  <c r="N48" i="2"/>
  <c r="O48" i="2" s="1"/>
  <c r="N56" i="2"/>
  <c r="O56" i="2" s="1"/>
  <c r="N49" i="2"/>
  <c r="O49" i="2" s="1"/>
  <c r="N57" i="2"/>
  <c r="O57" i="2" s="1"/>
  <c r="N50" i="2"/>
  <c r="O50" i="2" s="1"/>
  <c r="N58" i="2"/>
  <c r="O58" i="2" s="1"/>
  <c r="N46" i="2"/>
  <c r="O46" i="2" s="1"/>
  <c r="N54" i="2"/>
  <c r="O54" i="2" s="1"/>
  <c r="N51" i="2"/>
  <c r="O51" i="2" s="1"/>
  <c r="N59" i="2"/>
  <c r="O59" i="2" s="1"/>
  <c r="N38" i="2"/>
  <c r="N39" i="2"/>
  <c r="B50" i="2"/>
  <c r="C50" i="2" s="1"/>
  <c r="B56" i="2"/>
  <c r="C56" i="2" s="1"/>
  <c r="B48" i="2"/>
  <c r="C48" i="2" s="1"/>
  <c r="B58" i="2"/>
  <c r="C58" i="2" s="1"/>
  <c r="B54" i="2"/>
  <c r="C54" i="2" s="1"/>
  <c r="B53" i="2"/>
  <c r="C53" i="2" s="1"/>
  <c r="B39" i="2"/>
  <c r="B55" i="2"/>
  <c r="C55" i="2" s="1"/>
  <c r="B38" i="2"/>
  <c r="B52" i="2"/>
  <c r="C52" i="2" s="1"/>
  <c r="B46" i="2"/>
  <c r="C46" i="2" s="1"/>
  <c r="B49" i="2"/>
  <c r="C49" i="2" s="1"/>
  <c r="B57" i="2"/>
  <c r="C57" i="2" s="1"/>
  <c r="B45" i="2"/>
  <c r="B51" i="2"/>
  <c r="C51" i="2" s="1"/>
  <c r="B59" i="2"/>
  <c r="C59" i="2" s="1"/>
  <c r="B47" i="2"/>
  <c r="C47" i="2" s="1"/>
  <c r="O65" i="2" l="1"/>
  <c r="O66" i="2" s="1"/>
  <c r="N41" i="2"/>
  <c r="B41" i="2"/>
  <c r="C45" i="2"/>
  <c r="C65" i="2" l="1"/>
  <c r="C66" i="2" s="1"/>
  <c r="D41" i="2" s="1"/>
  <c r="C7" i="8"/>
  <c r="C22" i="8" s="1"/>
  <c r="D60" i="26"/>
  <c r="N40" i="2"/>
  <c r="B40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tc={245B89A2-A684-4E9E-96BD-F65E27254CD1}</author>
  </authors>
  <commentList>
    <comment ref="B17" authorId="0" shapeId="0" xr:uid="{245B89A2-A684-4E9E-96BD-F65E27254CD1}">
      <text>
        <t>[Trådet kommentar]
Din version af Excel lader dig læse denne trådede kommentar. Eventuelle ændringer vil dog blive fjernet, hvis filen åbnes i en nyere version af Excel. Få mere at vide: https://go.microsoft.com/fwlink/?linkid=870924
Kommentar:
    Realrente: lånerente-inflation</t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<sst xmlns="http://schemas.openxmlformats.org/spreadsheetml/2006/main" count="281" uniqueCount="205">
  <si>
    <t>°C</t>
  </si>
  <si>
    <t>kW</t>
  </si>
  <si>
    <t>K</t>
  </si>
  <si>
    <t>Flow</t>
  </si>
  <si>
    <t>kPa</t>
  </si>
  <si>
    <t>COP-varm</t>
  </si>
  <si>
    <t>-</t>
  </si>
  <si>
    <t>Lorenz-COP</t>
  </si>
  <si>
    <t>%</t>
  </si>
  <si>
    <t>Nutidsværdi</t>
  </si>
  <si>
    <t>FLH</t>
  </si>
  <si>
    <t xml:space="preserve">TJEK LISTE </t>
  </si>
  <si>
    <t>Driftsdata</t>
  </si>
  <si>
    <t>At investeringen ændrer på NPV</t>
  </si>
  <si>
    <t xml:space="preserve">At serviceaftale ændrer på NPV. </t>
  </si>
  <si>
    <t xml:space="preserve">At kompressorarbejdet ændrer på NPV. </t>
  </si>
  <si>
    <t>Varmepumpeberegning</t>
  </si>
  <si>
    <t>Tabel til hældning</t>
  </si>
  <si>
    <t>Dellastpunkter</t>
  </si>
  <si>
    <t>Tabel til graf og beregninger</t>
  </si>
  <si>
    <t>tjek hældningen passer med temperaturerne</t>
  </si>
  <si>
    <t>Systemberegning</t>
  </si>
  <si>
    <t xml:space="preserve">Afskrivningsperiode </t>
  </si>
  <si>
    <t>At spidslast dækker varmebehov i reference</t>
  </si>
  <si>
    <t>krydstjek af beregning med EnergyPRO</t>
  </si>
  <si>
    <t>Produktionsomkostninger</t>
  </si>
  <si>
    <t>Effektforbrug</t>
  </si>
  <si>
    <t>Varme minus el</t>
  </si>
  <si>
    <t>Beregnet varmetab</t>
  </si>
  <si>
    <t>D&amp;V [kr./MWh]</t>
  </si>
  <si>
    <t>Afgifter</t>
  </si>
  <si>
    <t>Øvrige input</t>
  </si>
  <si>
    <t>Teknisk levetid [år]</t>
  </si>
  <si>
    <t>MWh</t>
  </si>
  <si>
    <t>Enhed</t>
  </si>
  <si>
    <t>Real rente [%]</t>
  </si>
  <si>
    <t>p.a.</t>
  </si>
  <si>
    <t>Løbetid serviceaftale [år]</t>
  </si>
  <si>
    <t>Bygherres øvrige omkostninger [DKK]</t>
  </si>
  <si>
    <t>Brutto investering</t>
  </si>
  <si>
    <t>1. års kapitalomkostninger</t>
  </si>
  <si>
    <t>Driftsomkostninger uden VP</t>
  </si>
  <si>
    <t>Driftsomkostninger med VP</t>
  </si>
  <si>
    <t>Driftsbesparelse</t>
  </si>
  <si>
    <t>Simpel tilbagebetalingstid</t>
  </si>
  <si>
    <t>1. års nettobesparelse</t>
  </si>
  <si>
    <t>Intern rente</t>
  </si>
  <si>
    <t>År</t>
  </si>
  <si>
    <t>Indledende omkostninger for en forretning</t>
  </si>
  <si>
    <t>Nettoindtægt for det første år</t>
  </si>
  <si>
    <t>Nettoindtægt for det andet år</t>
  </si>
  <si>
    <t>Nettoindtægt for det tredje år</t>
  </si>
  <si>
    <t>Nettoindtægt for det fjerde år</t>
  </si>
  <si>
    <t>Nettoindtægt for det femte år</t>
  </si>
  <si>
    <t>Kelvin</t>
  </si>
  <si>
    <t>Størrelsesfaktor</t>
  </si>
  <si>
    <t>El-faktor</t>
  </si>
  <si>
    <t>Effekt</t>
  </si>
  <si>
    <t>Lorenz</t>
  </si>
  <si>
    <t>kr</t>
  </si>
  <si>
    <t>Effekt / [kW]</t>
  </si>
  <si>
    <t>Nutidsværdi / [kr.]</t>
  </si>
  <si>
    <t>kr./%-point</t>
  </si>
  <si>
    <t>kr./ 0,01 %-point i gennemsnit</t>
  </si>
  <si>
    <t>kr./ 0,01 %-point i gennemsnit efter et rimelighedsprincip</t>
  </si>
  <si>
    <t>Cold side, intermediate circuit</t>
  </si>
  <si>
    <t>Vægtning</t>
  </si>
  <si>
    <t>Årlig driftsomkostning, reference</t>
  </si>
  <si>
    <t>Yearly heat production from heat pump</t>
  </si>
  <si>
    <t>Weighted average</t>
  </si>
  <si>
    <t>Heat production cost</t>
  </si>
  <si>
    <t>Yearly electricity cost</t>
  </si>
  <si>
    <t>Heat pump</t>
  </si>
  <si>
    <t>Input</t>
  </si>
  <si>
    <t>Calculations and result</t>
  </si>
  <si>
    <t xml:space="preserve">Operation </t>
  </si>
  <si>
    <t>Numbers in DKK</t>
  </si>
  <si>
    <t>Drift</t>
  </si>
  <si>
    <t>Load</t>
  </si>
  <si>
    <t>Inlet temperature</t>
  </si>
  <si>
    <t>Outlet temperature</t>
  </si>
  <si>
    <t>Temperature decrease</t>
  </si>
  <si>
    <t>Cooling capacity</t>
  </si>
  <si>
    <t>Pressure loss</t>
  </si>
  <si>
    <t>Evaporation temperature, heat pump</t>
  </si>
  <si>
    <t>Hot side, district heating</t>
  </si>
  <si>
    <t>Return temperature</t>
  </si>
  <si>
    <t>Supply temperature</t>
  </si>
  <si>
    <t>Temperature increase</t>
  </si>
  <si>
    <t>LMTD cold</t>
  </si>
  <si>
    <t>LMTD warm</t>
  </si>
  <si>
    <t>The tenderer is required to complete ALL the green cells</t>
  </si>
  <si>
    <t>All orange cells are pre defined.</t>
  </si>
  <si>
    <t>Tenderer</t>
  </si>
  <si>
    <t>Date for filling out</t>
  </si>
  <si>
    <r>
      <t>Total tender amount without service argreement</t>
    </r>
    <r>
      <rPr>
        <b/>
        <vertAlign val="superscript"/>
        <sz val="11"/>
        <color theme="1"/>
        <rFont val="Calibri"/>
        <family val="2"/>
        <scheme val="minor"/>
      </rPr>
      <t xml:space="preserve"> 2)</t>
    </r>
  </si>
  <si>
    <t>Heat source:  Water</t>
  </si>
  <si>
    <t>HP01 - Lot A</t>
  </si>
  <si>
    <t>Warmtenet Muiderberg</t>
  </si>
  <si>
    <t>Date/rev.:</t>
  </si>
  <si>
    <t>Electricity consumption</t>
  </si>
  <si>
    <t>Other calculations</t>
  </si>
  <si>
    <t>Net Present Value</t>
  </si>
  <si>
    <t>EUR</t>
  </si>
  <si>
    <t>Operating point</t>
  </si>
  <si>
    <t>This number must be minimum 3100 kW</t>
  </si>
  <si>
    <t>O&amp;M</t>
  </si>
  <si>
    <t>EUR/MWh heat</t>
  </si>
  <si>
    <t>EUR/MWh elec</t>
  </si>
  <si>
    <t>Electricity</t>
  </si>
  <si>
    <t>Other input</t>
  </si>
  <si>
    <t>Economic lifet ime</t>
  </si>
  <si>
    <t>years</t>
  </si>
  <si>
    <t>Interest</t>
  </si>
  <si>
    <t>Service agreement term</t>
  </si>
  <si>
    <t>Other client costs</t>
  </si>
  <si>
    <t>Annual operating cost, reference</t>
  </si>
  <si>
    <t>Gross investment</t>
  </si>
  <si>
    <t>First-year capital costs</t>
  </si>
  <si>
    <t>Operating costs without heat pump</t>
  </si>
  <si>
    <t>Operating costs with heat pump</t>
  </si>
  <si>
    <t>Operating cost savings</t>
  </si>
  <si>
    <t>Simple payback period</t>
  </si>
  <si>
    <t>First-year net savings</t>
  </si>
  <si>
    <t>Internal rate of return (IRR)</t>
  </si>
  <si>
    <t>Net present value (NPV)</t>
  </si>
  <si>
    <t>EUR/year</t>
  </si>
  <si>
    <t>EUR/1.year</t>
  </si>
  <si>
    <t>EUR/MWh</t>
  </si>
  <si>
    <t>Years</t>
  </si>
  <si>
    <t>Year</t>
  </si>
  <si>
    <t>NPV</t>
  </si>
  <si>
    <t>Yearly electricity consumption</t>
  </si>
  <si>
    <t>Yearly O&amp;M cost</t>
  </si>
  <si>
    <t>Årlig varmeproduktion</t>
  </si>
  <si>
    <t xml:space="preserve">Produktionspris </t>
  </si>
  <si>
    <t>kr./MWh varme</t>
  </si>
  <si>
    <t>Årlig elomkostninger</t>
  </si>
  <si>
    <t>Årlig elforbrug</t>
  </si>
  <si>
    <t>Årlig D&amp;V</t>
  </si>
  <si>
    <t>kr./år</t>
  </si>
  <si>
    <t>Årlig produktionsomkostninger</t>
  </si>
  <si>
    <t>In Danish</t>
  </si>
  <si>
    <r>
      <t>In total</t>
    </r>
    <r>
      <rPr>
        <vertAlign val="superscript"/>
        <sz val="11"/>
        <rFont val="Calibri"/>
        <family val="2"/>
      </rPr>
      <t xml:space="preserve"> 1)</t>
    </r>
  </si>
  <si>
    <r>
      <rPr>
        <vertAlign val="superscript"/>
        <sz val="11"/>
        <color theme="1"/>
        <rFont val="Calibri"/>
        <family val="2"/>
        <scheme val="minor"/>
      </rPr>
      <t xml:space="preserve">1) </t>
    </r>
    <r>
      <rPr>
        <sz val="11"/>
        <color theme="1"/>
        <rFont val="Calibri"/>
        <family val="2"/>
        <scheme val="minor"/>
      </rPr>
      <t>These lines affect the net present value</t>
    </r>
  </si>
  <si>
    <t>Compressors</t>
  </si>
  <si>
    <t>All other electricity consumption</t>
  </si>
  <si>
    <r>
      <t xml:space="preserve">Heat capacity </t>
    </r>
    <r>
      <rPr>
        <vertAlign val="superscript"/>
        <sz val="11"/>
        <rFont val="Calibri"/>
        <family val="2"/>
      </rPr>
      <t>1)</t>
    </r>
  </si>
  <si>
    <r>
      <rPr>
        <vertAlign val="superscript"/>
        <sz val="11"/>
        <color theme="1"/>
        <rFont val="Calibri"/>
        <family val="2"/>
      </rPr>
      <t>2)</t>
    </r>
    <r>
      <rPr>
        <sz val="11"/>
        <color theme="1"/>
        <rFont val="Calibri"/>
        <family val="2"/>
      </rPr>
      <t xml:space="preserve"> This price is included as an investment in the net present value calculation.</t>
    </r>
  </si>
  <si>
    <r>
      <t xml:space="preserve">Total tender amount </t>
    </r>
    <r>
      <rPr>
        <vertAlign val="superscript"/>
        <sz val="11"/>
        <color theme="1"/>
        <rFont val="Calibri"/>
        <family val="2"/>
      </rPr>
      <t>1)</t>
    </r>
  </si>
  <si>
    <r>
      <rPr>
        <vertAlign val="superscript"/>
        <sz val="11"/>
        <color theme="1"/>
        <rFont val="Calibri"/>
        <family val="2"/>
        <scheme val="minor"/>
      </rPr>
      <t>3)</t>
    </r>
    <r>
      <rPr>
        <sz val="11"/>
        <color theme="1"/>
        <rFont val="Calibri"/>
        <family val="2"/>
        <scheme val="minor"/>
      </rPr>
      <t xml:space="preserve"> This price is used for the calculation of O&amp;M</t>
    </r>
  </si>
  <si>
    <r>
      <rPr>
        <vertAlign val="superscript"/>
        <sz val="11"/>
        <color theme="1"/>
        <rFont val="Calibri"/>
        <family val="2"/>
        <scheme val="minor"/>
      </rPr>
      <t>4)</t>
    </r>
    <r>
      <rPr>
        <sz val="11"/>
        <color theme="1"/>
        <rFont val="Calibri"/>
        <family val="2"/>
        <scheme val="minor"/>
      </rPr>
      <t xml:space="preserve"> These are used for calculating penalties/bonuses in the guarantee tests</t>
    </r>
  </si>
  <si>
    <r>
      <t xml:space="preserve">Lorenz-efficiency </t>
    </r>
    <r>
      <rPr>
        <vertAlign val="superscript"/>
        <sz val="11"/>
        <rFont val="Calibri"/>
        <family val="2"/>
      </rPr>
      <t>4)</t>
    </r>
  </si>
  <si>
    <r>
      <t xml:space="preserve">Heat output </t>
    </r>
    <r>
      <rPr>
        <vertAlign val="superscript"/>
        <sz val="11"/>
        <rFont val="Calibri"/>
        <family val="2"/>
      </rPr>
      <t xml:space="preserve">4) </t>
    </r>
  </si>
  <si>
    <t>HP FLH</t>
  </si>
  <si>
    <t>VP fuldlasttimer</t>
  </si>
  <si>
    <t>kr.</t>
  </si>
  <si>
    <t>år</t>
  </si>
  <si>
    <t>kr./1. år</t>
  </si>
  <si>
    <t>kr/år</t>
  </si>
  <si>
    <t xml:space="preserve">Brændsel pris </t>
  </si>
  <si>
    <t>kr./MWh el</t>
  </si>
  <si>
    <t>kr/MWh_varme</t>
  </si>
  <si>
    <t>MWh el</t>
  </si>
  <si>
    <t>Electrical power for pump(s), cold side</t>
  </si>
  <si>
    <t xml:space="preserve">Electrical power for pump(s), warm side </t>
  </si>
  <si>
    <t>Yearlig production cost, heat pump</t>
  </si>
  <si>
    <t>Heat Demand</t>
  </si>
  <si>
    <t>Value</t>
  </si>
  <si>
    <t>Unit</t>
  </si>
  <si>
    <t>Comment</t>
  </si>
  <si>
    <t># small consumers</t>
  </si>
  <si>
    <t>All total potential consumers</t>
  </si>
  <si>
    <t>Connecrion rate SC</t>
  </si>
  <si>
    <t># large consumers</t>
  </si>
  <si>
    <t>18 out of 22</t>
  </si>
  <si>
    <t>Heat Demand SC</t>
  </si>
  <si>
    <t>MWh/yr</t>
  </si>
  <si>
    <t>From BuCa</t>
  </si>
  <si>
    <t>Heat Demand LC</t>
  </si>
  <si>
    <t>Total Heat Demand</t>
  </si>
  <si>
    <t>80% CR</t>
  </si>
  <si>
    <t>Heat losses</t>
  </si>
  <si>
    <t>Total heat Production</t>
  </si>
  <si>
    <t>Tariffs &amp; Distribution Costs</t>
  </si>
  <si>
    <t>utrecht</t>
  </si>
  <si>
    <t>higher boundary</t>
  </si>
  <si>
    <t xml:space="preserve">See section 8 in document 0.3 and section 6.2 in document 4.1 for definitions. </t>
  </si>
  <si>
    <t>Efficiency</t>
  </si>
  <si>
    <r>
      <t>Price  for complete service agreement</t>
    </r>
    <r>
      <rPr>
        <b/>
        <sz val="11"/>
        <color theme="1"/>
        <rFont val="Calibri"/>
        <family val="2"/>
      </rPr>
      <t xml:space="preserve"> for 5 years</t>
    </r>
    <r>
      <rPr>
        <b/>
        <vertAlign val="superscript"/>
        <sz val="11"/>
        <color theme="1"/>
        <rFont val="Calibri"/>
        <family val="2"/>
      </rPr>
      <t>1)</t>
    </r>
    <r>
      <rPr>
        <b/>
        <sz val="11"/>
        <color theme="1"/>
        <rFont val="Calibri"/>
        <family val="2"/>
      </rPr>
      <t xml:space="preserve"> </t>
    </r>
    <r>
      <rPr>
        <b/>
        <vertAlign val="superscript"/>
        <sz val="11"/>
        <rFont val="Calibri"/>
        <family val="2"/>
      </rPr>
      <t>3)</t>
    </r>
  </si>
  <si>
    <t>4200 hours of operation each year</t>
  </si>
  <si>
    <t xml:space="preserve">THN - keep the 4200 hours this is in line with energypro and the documents </t>
  </si>
  <si>
    <t>don't change this back to 10 yr if we do that that calculations of O&amp;M is wrong</t>
  </si>
  <si>
    <t>Nominal operating point</t>
  </si>
  <si>
    <t>Weight (for techno-economic optimization)</t>
  </si>
  <si>
    <t>All blue cells are calculated values</t>
  </si>
  <si>
    <t>COP-warm</t>
  </si>
  <si>
    <t>ATES</t>
  </si>
  <si>
    <t>Heat loss (should NOT be negativ)</t>
  </si>
  <si>
    <t>LAKE</t>
  </si>
  <si>
    <t>Water flow (max. 500 m³/h available)</t>
  </si>
  <si>
    <t>m³/h</t>
  </si>
  <si>
    <t>26.08.2026</t>
  </si>
  <si>
    <t>rev 3.0</t>
  </si>
  <si>
    <t>The gasprice (reference case) has been adjustes to represente the expected future increase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</si>
</sst>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 * #,##0.00_ ;_ * \-#,##0.00_ ;_ * &quot;-&quot;??_ ;_ @_ "/>
    <numFmt numFmtId="165" formatCode="#,##0.0"/>
    <numFmt numFmtId="166" formatCode="0.0"/>
    <numFmt numFmtId="167" formatCode="0.0%"/>
    <numFmt numFmtId="168" formatCode="_-* #,##0_-;\-* #,##0_-;_-* &quot;-&quot;??_-;_-@_-"/>
    <numFmt numFmtId="169" formatCode="_-* #,##0.0_-;\-* #,##0.0_-;_-* &quot;-&quot;??_-;_-@_-"/>
  </numFmts>
  <fonts count="35" x14ac:knownFonts="1">
    <font>
      <sz val="11"/>
      <color theme="1"/>
      <name val="Calibri"/>
      <family val="2"/>
      <scheme val="minor"/>
    </font>
    <font>
      <sz val="10"/>
      <color theme="1"/>
      <name val="Open Sans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</font>
    <font>
      <vertAlign val="superscript"/>
      <sz val="11"/>
      <name val="Calibri"/>
      <family val="2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3"/>
      <name val="Calibri"/>
      <family val="2"/>
      <scheme val="minor"/>
    </font>
    <font>
      <b/>
      <sz val="11"/>
      <color theme="1"/>
      <name val="Calibri"/>
      <family val="2"/>
    </font>
    <font>
      <b/>
      <u/>
      <sz val="11"/>
      <color theme="1"/>
      <name val="Calibri"/>
      <family val="2"/>
      <scheme val="minor"/>
    </font>
    <font>
      <sz val="6"/>
      <color rgb="FF363636"/>
      <name val="Segoe UI"/>
      <family val="2"/>
    </font>
    <font>
      <sz val="17.600000000000001"/>
      <color rgb="FF1E1E1E"/>
      <name val="Segoe UI"/>
      <family val="2"/>
    </font>
    <font>
      <sz val="10"/>
      <color rgb="FF1E1E1E"/>
      <name val="Segoe UI"/>
      <family val="2"/>
    </font>
    <font>
      <b/>
      <vertAlign val="superscript"/>
      <sz val="11"/>
      <color theme="1"/>
      <name val="Calibri"/>
      <family val="2"/>
    </font>
    <font>
      <b/>
      <vertAlign val="superscript"/>
      <sz val="11"/>
      <name val="Calibri"/>
      <family val="2"/>
    </font>
    <font>
      <b/>
      <vertAlign val="superscript"/>
      <sz val="11"/>
      <color theme="1"/>
      <name val="Calibri"/>
      <family val="2"/>
      <scheme val="minor"/>
    </font>
    <font>
      <sz val="12"/>
      <color rgb="FF1D1D1D"/>
      <name val="Arial"/>
      <family val="2"/>
    </font>
    <font>
      <sz val="10"/>
      <color rgb="FF3F3F76"/>
      <name val="Open Sans"/>
      <family val="2"/>
    </font>
    <font>
      <sz val="10"/>
      <color rgb="FFFF0000"/>
      <name val="Open Sans"/>
      <family val="2"/>
    </font>
    <font>
      <i/>
      <sz val="11"/>
      <color rgb="FFFF000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</font>
    <font>
      <b/>
      <sz val="10"/>
      <color theme="1"/>
      <name val="Open Sans"/>
    </font>
    <font>
      <sz val="10"/>
      <color theme="1"/>
      <name val="Open Sans"/>
    </font>
    <font>
      <i/>
      <sz val="10"/>
      <color theme="1"/>
      <name val="Open Sans"/>
    </font>
    <font>
      <b/>
      <i/>
      <sz val="10"/>
      <color theme="1"/>
      <name val="Open Sans"/>
    </font>
    <font>
      <b/>
      <u/>
      <sz val="10"/>
      <color theme="1"/>
      <name val="Open Sans"/>
    </font>
    <font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99"/>
      </patternFill>
    </fill>
    <fill>
      <patternFill patternType="solid">
        <fgColor theme="0" tint="-4.9989318521683403E-2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3" fillId="15" borderId="25" applyNumberFormat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56">
    <xf numFmtId="0" fontId="0" fillId="0" borderId="0" xfId="0"/>
    <xf numFmtId="3" fontId="0" fillId="0" borderId="0" xfId="0" applyNumberFormat="1"/>
    <xf numFmtId="3" fontId="5" fillId="2" borderId="3" xfId="0" applyNumberFormat="1" applyFont="1" applyFill="1" applyBorder="1" applyAlignment="1" applyProtection="1">
      <alignment horizontal="center"/>
      <protection locked="0"/>
    </xf>
    <xf numFmtId="0" fontId="3" fillId="0" borderId="0" xfId="0" applyFont="1"/>
    <xf numFmtId="3" fontId="0" fillId="0" borderId="10" xfId="0" applyNumberFormat="1" applyBorder="1"/>
    <xf numFmtId="0" fontId="0" fillId="0" borderId="10" xfId="0" applyBorder="1"/>
    <xf numFmtId="0" fontId="3" fillId="0" borderId="10" xfId="0" applyFont="1" applyBorder="1"/>
    <xf numFmtId="3" fontId="4" fillId="0" borderId="0" xfId="0" applyNumberFormat="1" applyFont="1"/>
    <xf numFmtId="165" fontId="5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center"/>
    </xf>
    <xf numFmtId="165" fontId="5" fillId="0" borderId="0" xfId="0" applyNumberFormat="1" applyFont="1"/>
    <xf numFmtId="167" fontId="5" fillId="0" borderId="0" xfId="0" applyNumberFormat="1" applyFont="1"/>
    <xf numFmtId="165" fontId="8" fillId="0" borderId="0" xfId="0" applyNumberFormat="1" applyFont="1"/>
    <xf numFmtId="0" fontId="0" fillId="5" borderId="0" xfId="0" applyFill="1"/>
    <xf numFmtId="0" fontId="4" fillId="0" borderId="0" xfId="0" applyFont="1"/>
    <xf numFmtId="2" fontId="0" fillId="0" borderId="0" xfId="0" applyNumberFormat="1"/>
    <xf numFmtId="1" fontId="0" fillId="0" borderId="0" xfId="0" applyNumberFormat="1"/>
    <xf numFmtId="0" fontId="0" fillId="0" borderId="0" xfId="0" applyAlignment="1">
      <alignment horizontal="center"/>
    </xf>
    <xf numFmtId="165" fontId="0" fillId="0" borderId="0" xfId="0" applyNumberFormat="1"/>
    <xf numFmtId="168" fontId="0" fillId="0" borderId="0" xfId="1" applyNumberFormat="1" applyFont="1"/>
    <xf numFmtId="0" fontId="0" fillId="6" borderId="0" xfId="0" applyFill="1"/>
    <xf numFmtId="168" fontId="0" fillId="0" borderId="0" xfId="0" applyNumberFormat="1"/>
    <xf numFmtId="168" fontId="0" fillId="0" borderId="10" xfId="1" applyNumberFormat="1" applyFont="1" applyBorder="1"/>
    <xf numFmtId="3" fontId="0" fillId="0" borderId="10" xfId="0" applyNumberFormat="1" applyBorder="1" applyAlignment="1" applyProtection="1">
      <alignment horizontal="right"/>
      <protection hidden="1"/>
    </xf>
    <xf numFmtId="3" fontId="0" fillId="0" borderId="0" xfId="0" applyNumberFormat="1" applyProtection="1">
      <protection hidden="1"/>
    </xf>
    <xf numFmtId="165" fontId="3" fillId="0" borderId="10" xfId="0" applyNumberFormat="1" applyFont="1" applyBorder="1" applyAlignment="1" applyProtection="1">
      <alignment horizontal="center"/>
      <protection hidden="1"/>
    </xf>
    <xf numFmtId="165" fontId="11" fillId="6" borderId="0" xfId="0" applyNumberFormat="1" applyFont="1" applyFill="1" applyProtection="1">
      <protection hidden="1"/>
    </xf>
    <xf numFmtId="168" fontId="0" fillId="6" borderId="0" xfId="0" applyNumberFormat="1" applyFill="1"/>
    <xf numFmtId="165" fontId="11" fillId="6" borderId="10" xfId="0" applyNumberFormat="1" applyFont="1" applyFill="1" applyBorder="1" applyProtection="1">
      <protection hidden="1"/>
    </xf>
    <xf numFmtId="165" fontId="12" fillId="6" borderId="0" xfId="0" applyNumberFormat="1" applyFont="1" applyFill="1" applyProtection="1">
      <protection hidden="1"/>
    </xf>
    <xf numFmtId="168" fontId="0" fillId="6" borderId="10" xfId="0" applyNumberFormat="1" applyFill="1" applyBorder="1"/>
    <xf numFmtId="165" fontId="4" fillId="5" borderId="14" xfId="0" applyNumberFormat="1" applyFont="1" applyFill="1" applyBorder="1"/>
    <xf numFmtId="165" fontId="5" fillId="5" borderId="15" xfId="0" applyNumberFormat="1" applyFont="1" applyFill="1" applyBorder="1" applyAlignment="1">
      <alignment horizontal="center"/>
    </xf>
    <xf numFmtId="165" fontId="4" fillId="0" borderId="0" xfId="0" applyNumberFormat="1" applyFont="1"/>
    <xf numFmtId="165" fontId="6" fillId="0" borderId="0" xfId="0" applyNumberFormat="1" applyFont="1"/>
    <xf numFmtId="165" fontId="6" fillId="0" borderId="0" xfId="0" applyNumberFormat="1" applyFont="1" applyAlignment="1">
      <alignment horizontal="center"/>
    </xf>
    <xf numFmtId="4" fontId="6" fillId="0" borderId="0" xfId="0" applyNumberFormat="1" applyFont="1"/>
    <xf numFmtId="167" fontId="6" fillId="0" borderId="0" xfId="0" applyNumberFormat="1" applyFont="1"/>
    <xf numFmtId="0" fontId="3" fillId="0" borderId="0" xfId="0" applyFont="1" applyAlignment="1">
      <alignment horizontal="center"/>
    </xf>
    <xf numFmtId="3" fontId="0" fillId="3" borderId="18" xfId="0" applyNumberFormat="1" applyFill="1" applyBorder="1"/>
    <xf numFmtId="3" fontId="0" fillId="3" borderId="5" xfId="0" applyNumberFormat="1" applyFill="1" applyBorder="1" applyAlignment="1">
      <alignment horizontal="center"/>
    </xf>
    <xf numFmtId="3" fontId="0" fillId="0" borderId="5" xfId="0" applyNumberFormat="1" applyBorder="1" applyAlignment="1">
      <alignment horizontal="center"/>
    </xf>
    <xf numFmtId="3" fontId="0" fillId="0" borderId="16" xfId="0" applyNumberFormat="1" applyBorder="1" applyAlignment="1">
      <alignment horizontal="center"/>
    </xf>
    <xf numFmtId="3" fontId="0" fillId="3" borderId="19" xfId="0" applyNumberFormat="1" applyFill="1" applyBorder="1"/>
    <xf numFmtId="3" fontId="0" fillId="3" borderId="0" xfId="0" applyNumberFormat="1" applyFill="1" applyAlignment="1">
      <alignment horizontal="center"/>
    </xf>
    <xf numFmtId="9" fontId="0" fillId="9" borderId="0" xfId="0" applyNumberFormat="1" applyFill="1" applyAlignment="1">
      <alignment horizontal="center"/>
    </xf>
    <xf numFmtId="9" fontId="0" fillId="0" borderId="0" xfId="0" applyNumberFormat="1" applyAlignment="1">
      <alignment horizontal="center"/>
    </xf>
    <xf numFmtId="9" fontId="0" fillId="9" borderId="17" xfId="0" applyNumberFormat="1" applyFill="1" applyBorder="1" applyAlignment="1">
      <alignment horizontal="center"/>
    </xf>
    <xf numFmtId="3" fontId="0" fillId="0" borderId="19" xfId="0" applyNumberFormat="1" applyBorder="1"/>
    <xf numFmtId="3" fontId="0" fillId="3" borderId="17" xfId="0" applyNumberFormat="1" applyFill="1" applyBorder="1" applyAlignment="1">
      <alignment horizontal="center"/>
    </xf>
    <xf numFmtId="3" fontId="0" fillId="0" borderId="20" xfId="0" applyNumberFormat="1" applyBorder="1"/>
    <xf numFmtId="9" fontId="0" fillId="9" borderId="10" xfId="0" applyNumberFormat="1" applyFill="1" applyBorder="1" applyAlignment="1">
      <alignment horizontal="center"/>
    </xf>
    <xf numFmtId="3" fontId="0" fillId="3" borderId="10" xfId="0" applyNumberFormat="1" applyFill="1" applyBorder="1" applyAlignment="1">
      <alignment horizontal="center"/>
    </xf>
    <xf numFmtId="3" fontId="0" fillId="3" borderId="21" xfId="0" applyNumberFormat="1" applyFill="1" applyBorder="1" applyAlignment="1">
      <alignment horizontal="center"/>
    </xf>
    <xf numFmtId="3" fontId="0" fillId="0" borderId="18" xfId="0" applyNumberFormat="1" applyBorder="1"/>
    <xf numFmtId="9" fontId="0" fillId="9" borderId="5" xfId="0" applyNumberFormat="1" applyFill="1" applyBorder="1" applyAlignment="1">
      <alignment horizontal="center"/>
    </xf>
    <xf numFmtId="3" fontId="0" fillId="0" borderId="17" xfId="0" applyNumberFormat="1" applyBorder="1" applyAlignment="1">
      <alignment horizontal="center"/>
    </xf>
    <xf numFmtId="10" fontId="0" fillId="3" borderId="0" xfId="0" applyNumberFormat="1" applyFill="1" applyAlignment="1">
      <alignment horizontal="center"/>
    </xf>
    <xf numFmtId="3" fontId="0" fillId="3" borderId="20" xfId="0" applyNumberFormat="1" applyFill="1" applyBorder="1"/>
    <xf numFmtId="3" fontId="0" fillId="3" borderId="10" xfId="0" applyNumberFormat="1" applyFill="1" applyBorder="1"/>
    <xf numFmtId="3" fontId="0" fillId="3" borderId="21" xfId="0" applyNumberFormat="1" applyFill="1" applyBorder="1"/>
    <xf numFmtId="168" fontId="0" fillId="5" borderId="0" xfId="0" applyNumberFormat="1" applyFill="1"/>
    <xf numFmtId="169" fontId="0" fillId="6" borderId="0" xfId="0" applyNumberFormat="1" applyFill="1"/>
    <xf numFmtId="10" fontId="0" fillId="3" borderId="17" xfId="0" applyNumberFormat="1" applyFill="1" applyBorder="1" applyAlignment="1">
      <alignment horizontal="center"/>
    </xf>
    <xf numFmtId="10" fontId="0" fillId="3" borderId="10" xfId="0" applyNumberFormat="1" applyFill="1" applyBorder="1" applyAlignment="1">
      <alignment horizontal="center"/>
    </xf>
    <xf numFmtId="10" fontId="0" fillId="3" borderId="21" xfId="0" applyNumberFormat="1" applyFill="1" applyBorder="1" applyAlignment="1">
      <alignment horizontal="center"/>
    </xf>
    <xf numFmtId="3" fontId="0" fillId="0" borderId="0" xfId="0" applyNumberFormat="1" applyAlignment="1">
      <alignment horizontal="center"/>
    </xf>
    <xf numFmtId="10" fontId="0" fillId="10" borderId="0" xfId="0" applyNumberFormat="1" applyFill="1" applyAlignment="1">
      <alignment horizontal="center"/>
    </xf>
    <xf numFmtId="3" fontId="0" fillId="10" borderId="0" xfId="0" applyNumberFormat="1" applyFill="1" applyAlignment="1">
      <alignment horizontal="center"/>
    </xf>
    <xf numFmtId="10" fontId="0" fillId="10" borderId="0" xfId="0" applyNumberFormat="1" applyFill="1" applyAlignment="1">
      <alignment horizontal="left"/>
    </xf>
    <xf numFmtId="10" fontId="0" fillId="4" borderId="0" xfId="0" applyNumberFormat="1" applyFill="1" applyAlignment="1">
      <alignment horizontal="left"/>
    </xf>
    <xf numFmtId="3" fontId="14" fillId="0" borderId="0" xfId="0" applyNumberFormat="1" applyFont="1"/>
    <xf numFmtId="0" fontId="3" fillId="11" borderId="0" xfId="0" applyFont="1" applyFill="1"/>
    <xf numFmtId="0" fontId="17" fillId="13" borderId="22" xfId="0" applyFont="1" applyFill="1" applyBorder="1" applyAlignment="1">
      <alignment vertical="center" wrapText="1"/>
    </xf>
    <xf numFmtId="0" fontId="16" fillId="13" borderId="22" xfId="0" applyFont="1" applyFill="1" applyBorder="1" applyAlignment="1">
      <alignment vertical="top" wrapText="1"/>
    </xf>
    <xf numFmtId="0" fontId="0" fillId="12" borderId="23" xfId="0" applyFill="1" applyBorder="1"/>
    <xf numFmtId="9" fontId="18" fillId="0" borderId="0" xfId="0" applyNumberFormat="1" applyFont="1"/>
    <xf numFmtId="168" fontId="15" fillId="0" borderId="0" xfId="1" applyNumberFormat="1" applyFont="1" applyAlignment="1">
      <alignment horizontal="center"/>
    </xf>
    <xf numFmtId="3" fontId="0" fillId="6" borderId="0" xfId="0" applyNumberFormat="1" applyFill="1" applyAlignment="1">
      <alignment horizontal="right"/>
    </xf>
    <xf numFmtId="0" fontId="0" fillId="11" borderId="0" xfId="0" applyFill="1"/>
    <xf numFmtId="168" fontId="0" fillId="0" borderId="10" xfId="0" applyNumberFormat="1" applyBorder="1"/>
    <xf numFmtId="168" fontId="0" fillId="0" borderId="0" xfId="1" applyNumberFormat="1" applyFont="1" applyAlignment="1">
      <alignment horizontal="center"/>
    </xf>
    <xf numFmtId="167" fontId="0" fillId="6" borderId="0" xfId="0" applyNumberFormat="1" applyFill="1"/>
    <xf numFmtId="0" fontId="3" fillId="6" borderId="0" xfId="0" applyFont="1" applyFill="1"/>
    <xf numFmtId="3" fontId="3" fillId="6" borderId="0" xfId="0" applyNumberFormat="1" applyFont="1" applyFill="1"/>
    <xf numFmtId="165" fontId="14" fillId="0" borderId="0" xfId="0" applyNumberFormat="1" applyFont="1"/>
    <xf numFmtId="3" fontId="4" fillId="0" borderId="0" xfId="0" applyNumberFormat="1" applyFont="1" applyAlignment="1">
      <alignment horizontal="center"/>
    </xf>
    <xf numFmtId="165" fontId="5" fillId="2" borderId="10" xfId="0" applyNumberFormat="1" applyFont="1" applyFill="1" applyBorder="1" applyAlignment="1" applyProtection="1">
      <alignment horizontal="center"/>
      <protection locked="0"/>
    </xf>
    <xf numFmtId="165" fontId="5" fillId="2" borderId="13" xfId="0" applyNumberFormat="1" applyFont="1" applyFill="1" applyBorder="1" applyAlignment="1" applyProtection="1">
      <alignment horizontal="center"/>
      <protection locked="0"/>
    </xf>
    <xf numFmtId="4" fontId="3" fillId="0" borderId="0" xfId="0" applyNumberFormat="1" applyFont="1" applyAlignment="1">
      <alignment horizontal="center"/>
    </xf>
    <xf numFmtId="3" fontId="13" fillId="0" borderId="0" xfId="0" applyNumberFormat="1" applyFont="1" applyProtection="1">
      <protection hidden="1"/>
    </xf>
    <xf numFmtId="168" fontId="0" fillId="0" borderId="0" xfId="1" applyNumberFormat="1" applyFont="1" applyBorder="1"/>
    <xf numFmtId="3" fontId="0" fillId="0" borderId="10" xfId="0" applyNumberFormat="1" applyBorder="1" applyProtection="1">
      <protection hidden="1"/>
    </xf>
    <xf numFmtId="4" fontId="4" fillId="2" borderId="0" xfId="0" applyNumberFormat="1" applyFont="1" applyFill="1" applyAlignment="1" applyProtection="1">
      <alignment horizontal="center" vertical="center"/>
      <protection locked="0"/>
    </xf>
    <xf numFmtId="4" fontId="3" fillId="2" borderId="0" xfId="0" applyNumberFormat="1" applyFont="1" applyFill="1" applyAlignment="1" applyProtection="1">
      <alignment horizontal="center"/>
      <protection locked="0"/>
    </xf>
    <xf numFmtId="165" fontId="4" fillId="9" borderId="0" xfId="0" applyNumberFormat="1" applyFont="1" applyFill="1"/>
    <xf numFmtId="9" fontId="6" fillId="0" borderId="0" xfId="0" applyNumberFormat="1" applyFont="1"/>
    <xf numFmtId="3" fontId="6" fillId="0" borderId="0" xfId="0" applyNumberFormat="1" applyFont="1"/>
    <xf numFmtId="0" fontId="22" fillId="0" borderId="0" xfId="0" applyFont="1"/>
    <xf numFmtId="4" fontId="22" fillId="0" borderId="0" xfId="0" applyNumberFormat="1" applyFont="1"/>
    <xf numFmtId="165" fontId="8" fillId="0" borderId="0" xfId="0" applyNumberFormat="1" applyFont="1" applyAlignment="1">
      <alignment horizontal="center" wrapText="1"/>
    </xf>
    <xf numFmtId="165" fontId="8" fillId="0" borderId="0" xfId="0" applyNumberFormat="1" applyFont="1" applyAlignment="1">
      <alignment horizontal="center"/>
    </xf>
    <xf numFmtId="0" fontId="0" fillId="2" borderId="9" xfId="0" applyFill="1" applyBorder="1"/>
    <xf numFmtId="3" fontId="0" fillId="14" borderId="7" xfId="0" applyNumberFormat="1" applyFill="1" applyBorder="1"/>
    <xf numFmtId="167" fontId="0" fillId="0" borderId="0" xfId="0" applyNumberFormat="1"/>
    <xf numFmtId="3" fontId="6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center"/>
    </xf>
    <xf numFmtId="3" fontId="0" fillId="0" borderId="0" xfId="1" applyNumberFormat="1" applyFont="1" applyAlignment="1">
      <alignment horizontal="center"/>
    </xf>
    <xf numFmtId="3" fontId="0" fillId="0" borderId="0" xfId="1" applyNumberFormat="1" applyFont="1" applyBorder="1" applyAlignment="1">
      <alignment horizontal="center"/>
    </xf>
    <xf numFmtId="165" fontId="6" fillId="0" borderId="3" xfId="0" applyNumberFormat="1" applyFont="1" applyBorder="1" applyAlignment="1" applyProtection="1">
      <alignment horizontal="center"/>
      <protection locked="0"/>
    </xf>
    <xf numFmtId="3" fontId="5" fillId="6" borderId="0" xfId="0" applyNumberFormat="1" applyFont="1" applyFill="1"/>
    <xf numFmtId="0" fontId="23" fillId="15" borderId="25" xfId="3"/>
    <xf numFmtId="2" fontId="0" fillId="5" borderId="0" xfId="0" applyNumberFormat="1" applyFill="1"/>
    <xf numFmtId="0" fontId="10" fillId="7" borderId="8" xfId="0" applyFont="1" applyFill="1" applyBorder="1"/>
    <xf numFmtId="168" fontId="23" fillId="15" borderId="25" xfId="3" applyNumberFormat="1"/>
    <xf numFmtId="167" fontId="23" fillId="15" borderId="25" xfId="3" applyNumberFormat="1"/>
    <xf numFmtId="3" fontId="5" fillId="2" borderId="1" xfId="0" applyNumberFormat="1" applyFont="1" applyFill="1" applyBorder="1" applyAlignment="1" applyProtection="1">
      <alignment horizontal="center"/>
      <protection locked="0"/>
    </xf>
    <xf numFmtId="3" fontId="5" fillId="2" borderId="10" xfId="0" applyNumberFormat="1" applyFont="1" applyFill="1" applyBorder="1" applyAlignment="1" applyProtection="1">
      <alignment horizontal="center"/>
      <protection locked="0"/>
    </xf>
    <xf numFmtId="3" fontId="5" fillId="2" borderId="13" xfId="0" applyNumberFormat="1" applyFont="1" applyFill="1" applyBorder="1" applyAlignment="1" applyProtection="1">
      <alignment horizontal="center"/>
      <protection locked="0"/>
    </xf>
    <xf numFmtId="165" fontId="4" fillId="0" borderId="0" xfId="0" applyNumberFormat="1" applyFont="1" applyAlignment="1">
      <alignment horizontal="left" wrapText="1"/>
    </xf>
    <xf numFmtId="165" fontId="5" fillId="5" borderId="1" xfId="0" applyNumberFormat="1" applyFont="1" applyFill="1" applyBorder="1"/>
    <xf numFmtId="166" fontId="23" fillId="15" borderId="27" xfId="3" applyNumberFormat="1" applyBorder="1" applyAlignment="1">
      <alignment horizontal="right"/>
    </xf>
    <xf numFmtId="169" fontId="0" fillId="0" borderId="0" xfId="1" applyNumberFormat="1" applyFont="1"/>
    <xf numFmtId="0" fontId="25" fillId="0" borderId="0" xfId="0" applyFont="1"/>
    <xf numFmtId="0" fontId="23" fillId="15" borderId="25" xfId="3" applyAlignment="1">
      <alignment horizontal="right"/>
    </xf>
    <xf numFmtId="0" fontId="0" fillId="6" borderId="2" xfId="0" applyFill="1" applyBorder="1"/>
    <xf numFmtId="165" fontId="11" fillId="6" borderId="2" xfId="0" applyNumberFormat="1" applyFont="1" applyFill="1" applyBorder="1" applyProtection="1">
      <protection hidden="1"/>
    </xf>
    <xf numFmtId="165" fontId="11" fillId="6" borderId="24" xfId="0" applyNumberFormat="1" applyFont="1" applyFill="1" applyBorder="1" applyProtection="1">
      <protection hidden="1"/>
    </xf>
    <xf numFmtId="165" fontId="12" fillId="6" borderId="2" xfId="0" applyNumberFormat="1" applyFont="1" applyFill="1" applyBorder="1" applyProtection="1">
      <protection hidden="1"/>
    </xf>
    <xf numFmtId="0" fontId="3" fillId="6" borderId="2" xfId="0" applyFont="1" applyFill="1" applyBorder="1"/>
    <xf numFmtId="0" fontId="0" fillId="16" borderId="11" xfId="0" applyFill="1" applyBorder="1"/>
    <xf numFmtId="0" fontId="0" fillId="16" borderId="12" xfId="0" applyFill="1" applyBorder="1"/>
    <xf numFmtId="0" fontId="0" fillId="16" borderId="26" xfId="0" applyFill="1" applyBorder="1"/>
    <xf numFmtId="0" fontId="0" fillId="16" borderId="2" xfId="0" applyFill="1" applyBorder="1"/>
    <xf numFmtId="0" fontId="0" fillId="16" borderId="0" xfId="0" applyFill="1"/>
    <xf numFmtId="0" fontId="0" fillId="16" borderId="3" xfId="0" applyFill="1" applyBorder="1"/>
    <xf numFmtId="0" fontId="3" fillId="16" borderId="24" xfId="0" applyFont="1" applyFill="1" applyBorder="1"/>
    <xf numFmtId="0" fontId="3" fillId="16" borderId="10" xfId="0" applyFont="1" applyFill="1" applyBorder="1"/>
    <xf numFmtId="0" fontId="0" fillId="16" borderId="10" xfId="0" applyFill="1" applyBorder="1"/>
    <xf numFmtId="2" fontId="0" fillId="16" borderId="0" xfId="0" applyNumberFormat="1" applyFill="1"/>
    <xf numFmtId="168" fontId="0" fillId="16" borderId="3" xfId="1" applyNumberFormat="1" applyFont="1" applyFill="1" applyBorder="1"/>
    <xf numFmtId="43" fontId="0" fillId="16" borderId="0" xfId="1" applyFont="1" applyFill="1" applyBorder="1"/>
    <xf numFmtId="168" fontId="0" fillId="16" borderId="0" xfId="0" applyNumberFormat="1" applyFill="1"/>
    <xf numFmtId="168" fontId="0" fillId="16" borderId="10" xfId="0" applyNumberFormat="1" applyFill="1" applyBorder="1"/>
    <xf numFmtId="165" fontId="3" fillId="16" borderId="24" xfId="0" applyNumberFormat="1" applyFont="1" applyFill="1" applyBorder="1" applyAlignment="1" applyProtection="1">
      <alignment horizontal="center"/>
      <protection hidden="1"/>
    </xf>
    <xf numFmtId="0" fontId="0" fillId="16" borderId="13" xfId="0" applyFill="1" applyBorder="1"/>
    <xf numFmtId="3" fontId="0" fillId="16" borderId="24" xfId="0" applyNumberFormat="1" applyFill="1" applyBorder="1" applyAlignment="1" applyProtection="1">
      <alignment horizontal="right"/>
      <protection hidden="1"/>
    </xf>
    <xf numFmtId="3" fontId="0" fillId="16" borderId="10" xfId="0" applyNumberFormat="1" applyFill="1" applyBorder="1"/>
    <xf numFmtId="3" fontId="0" fillId="16" borderId="13" xfId="0" applyNumberFormat="1" applyFill="1" applyBorder="1"/>
    <xf numFmtId="3" fontId="0" fillId="16" borderId="2" xfId="0" applyNumberFormat="1" applyFill="1" applyBorder="1" applyProtection="1">
      <protection hidden="1"/>
    </xf>
    <xf numFmtId="3" fontId="13" fillId="16" borderId="2" xfId="0" applyNumberFormat="1" applyFont="1" applyFill="1" applyBorder="1" applyProtection="1">
      <protection hidden="1"/>
    </xf>
    <xf numFmtId="3" fontId="0" fillId="16" borderId="24" xfId="0" applyNumberFormat="1" applyFill="1" applyBorder="1" applyProtection="1">
      <protection hidden="1"/>
    </xf>
    <xf numFmtId="168" fontId="0" fillId="16" borderId="13" xfId="1" applyNumberFormat="1" applyFont="1" applyFill="1" applyBorder="1"/>
    <xf numFmtId="168" fontId="0" fillId="16" borderId="3" xfId="0" applyNumberFormat="1" applyFill="1" applyBorder="1"/>
    <xf numFmtId="0" fontId="0" fillId="16" borderId="7" xfId="0" applyFill="1" applyBorder="1"/>
    <xf numFmtId="0" fontId="0" fillId="16" borderId="8" xfId="0" applyFill="1" applyBorder="1"/>
    <xf numFmtId="0" fontId="0" fillId="16" borderId="9" xfId="0" applyFill="1" applyBorder="1"/>
    <xf numFmtId="1" fontId="23" fillId="15" borderId="25" xfId="3" applyNumberFormat="1" applyAlignment="1">
      <alignment horizontal="right"/>
    </xf>
    <xf numFmtId="3" fontId="4" fillId="0" borderId="11" xfId="0" applyNumberFormat="1" applyFont="1" applyBorder="1"/>
    <xf numFmtId="3" fontId="4" fillId="0" borderId="12" xfId="0" applyNumberFormat="1" applyFont="1" applyBorder="1"/>
    <xf numFmtId="3" fontId="4" fillId="0" borderId="12" xfId="0" applyNumberFormat="1" applyFont="1" applyBorder="1" applyAlignment="1">
      <alignment horizontal="center"/>
    </xf>
    <xf numFmtId="3" fontId="4" fillId="5" borderId="12" xfId="0" applyNumberFormat="1" applyFont="1" applyFill="1" applyBorder="1" applyAlignment="1">
      <alignment horizontal="center"/>
    </xf>
    <xf numFmtId="3" fontId="4" fillId="0" borderId="26" xfId="0" applyNumberFormat="1" applyFont="1" applyBorder="1" applyAlignment="1">
      <alignment horizontal="center"/>
    </xf>
    <xf numFmtId="9" fontId="4" fillId="0" borderId="2" xfId="0" applyNumberFormat="1" applyFont="1" applyBorder="1"/>
    <xf numFmtId="165" fontId="4" fillId="3" borderId="4" xfId="0" applyNumberFormat="1" applyFont="1" applyFill="1" applyBorder="1"/>
    <xf numFmtId="165" fontId="5" fillId="3" borderId="5" xfId="0" applyNumberFormat="1" applyFont="1" applyFill="1" applyBorder="1"/>
    <xf numFmtId="165" fontId="5" fillId="3" borderId="5" xfId="0" applyNumberFormat="1" applyFont="1" applyFill="1" applyBorder="1" applyAlignment="1">
      <alignment horizontal="center"/>
    </xf>
    <xf numFmtId="165" fontId="5" fillId="3" borderId="6" xfId="0" applyNumberFormat="1" applyFont="1" applyFill="1" applyBorder="1" applyAlignment="1">
      <alignment horizontal="center"/>
    </xf>
    <xf numFmtId="165" fontId="4" fillId="0" borderId="2" xfId="0" applyNumberFormat="1" applyFont="1" applyBorder="1"/>
    <xf numFmtId="3" fontId="4" fillId="0" borderId="2" xfId="0" applyNumberFormat="1" applyFont="1" applyBorder="1"/>
    <xf numFmtId="165" fontId="14" fillId="0" borderId="2" xfId="0" applyNumberFormat="1" applyFont="1" applyBorder="1"/>
    <xf numFmtId="165" fontId="6" fillId="0" borderId="3" xfId="0" applyNumberFormat="1" applyFont="1" applyBorder="1" applyAlignment="1">
      <alignment horizontal="center"/>
    </xf>
    <xf numFmtId="165" fontId="4" fillId="0" borderId="24" xfId="0" applyNumberFormat="1" applyFont="1" applyBorder="1"/>
    <xf numFmtId="165" fontId="5" fillId="0" borderId="10" xfId="0" applyNumberFormat="1" applyFont="1" applyBorder="1"/>
    <xf numFmtId="165" fontId="5" fillId="0" borderId="10" xfId="0" applyNumberFormat="1" applyFont="1" applyBorder="1" applyAlignment="1">
      <alignment horizontal="center"/>
    </xf>
    <xf numFmtId="165" fontId="5" fillId="10" borderId="3" xfId="0" applyNumberFormat="1" applyFont="1" applyFill="1" applyBorder="1" applyAlignment="1">
      <alignment horizontal="center"/>
    </xf>
    <xf numFmtId="3" fontId="5" fillId="0" borderId="3" xfId="0" applyNumberFormat="1" applyFont="1" applyBorder="1" applyAlignment="1">
      <alignment horizontal="center"/>
    </xf>
    <xf numFmtId="3" fontId="4" fillId="3" borderId="4" xfId="0" applyNumberFormat="1" applyFont="1" applyFill="1" applyBorder="1"/>
    <xf numFmtId="3" fontId="5" fillId="3" borderId="5" xfId="0" applyNumberFormat="1" applyFont="1" applyFill="1" applyBorder="1"/>
    <xf numFmtId="3" fontId="5" fillId="3" borderId="5" xfId="0" applyNumberFormat="1" applyFont="1" applyFill="1" applyBorder="1" applyAlignment="1">
      <alignment horizontal="center"/>
    </xf>
    <xf numFmtId="3" fontId="5" fillId="3" borderId="6" xfId="0" applyNumberFormat="1" applyFont="1" applyFill="1" applyBorder="1" applyAlignment="1">
      <alignment horizontal="center"/>
    </xf>
    <xf numFmtId="4" fontId="4" fillId="0" borderId="2" xfId="0" applyNumberFormat="1" applyFont="1" applyBorder="1"/>
    <xf numFmtId="167" fontId="4" fillId="0" borderId="2" xfId="0" applyNumberFormat="1" applyFont="1" applyBorder="1"/>
    <xf numFmtId="10" fontId="5" fillId="0" borderId="10" xfId="0" applyNumberFormat="1" applyFont="1" applyBorder="1"/>
    <xf numFmtId="165" fontId="4" fillId="3" borderId="5" xfId="0" applyNumberFormat="1" applyFont="1" applyFill="1" applyBorder="1"/>
    <xf numFmtId="165" fontId="4" fillId="3" borderId="6" xfId="0" applyNumberFormat="1" applyFont="1" applyFill="1" applyBorder="1"/>
    <xf numFmtId="3" fontId="5" fillId="3" borderId="6" xfId="0" applyNumberFormat="1" applyFont="1" applyFill="1" applyBorder="1"/>
    <xf numFmtId="0" fontId="0" fillId="0" borderId="7" xfId="0" applyBorder="1"/>
    <xf numFmtId="3" fontId="5" fillId="0" borderId="8" xfId="0" applyNumberFormat="1" applyFont="1" applyBorder="1"/>
    <xf numFmtId="3" fontId="4" fillId="8" borderId="8" xfId="0" applyNumberFormat="1" applyFont="1" applyFill="1" applyBorder="1" applyAlignment="1">
      <alignment horizontal="center" wrapText="1"/>
    </xf>
    <xf numFmtId="165" fontId="6" fillId="0" borderId="8" xfId="0" applyNumberFormat="1" applyFont="1" applyBorder="1" applyAlignment="1">
      <alignment horizontal="center"/>
    </xf>
    <xf numFmtId="165" fontId="6" fillId="0" borderId="9" xfId="0" applyNumberFormat="1" applyFont="1" applyBorder="1" applyAlignment="1">
      <alignment horizontal="center"/>
    </xf>
    <xf numFmtId="165" fontId="5" fillId="2" borderId="0" xfId="0" applyNumberFormat="1" applyFont="1" applyFill="1" applyAlignment="1" applyProtection="1">
      <alignment horizontal="left" wrapText="1"/>
      <protection locked="0"/>
    </xf>
    <xf numFmtId="14" fontId="0" fillId="2" borderId="0" xfId="0" applyNumberFormat="1" applyFill="1" applyAlignment="1" applyProtection="1">
      <alignment horizontal="left"/>
      <protection locked="0"/>
    </xf>
    <xf numFmtId="1" fontId="0" fillId="16" borderId="0" xfId="0" applyNumberFormat="1" applyFill="1"/>
    <xf numFmtId="166" fontId="0" fillId="0" borderId="0" xfId="0" applyNumberFormat="1"/>
    <xf numFmtId="1" fontId="24" fillId="15" borderId="25" xfId="3" applyNumberFormat="1" applyFont="1" applyAlignment="1">
      <alignment horizontal="right"/>
    </xf>
    <xf numFmtId="168" fontId="24" fillId="15" borderId="25" xfId="3" applyNumberFormat="1" applyFont="1"/>
    <xf numFmtId="9" fontId="7" fillId="6" borderId="0" xfId="0" applyNumberFormat="1" applyFont="1" applyFill="1"/>
    <xf numFmtId="0" fontId="1" fillId="0" borderId="0" xfId="4"/>
    <xf numFmtId="0" fontId="29" fillId="0" borderId="0" xfId="4" applyFont="1"/>
    <xf numFmtId="0" fontId="30" fillId="0" borderId="0" xfId="4" applyFont="1"/>
    <xf numFmtId="9" fontId="1" fillId="0" borderId="0" xfId="6" applyFont="1"/>
    <xf numFmtId="166" fontId="1" fillId="0" borderId="0" xfId="4" applyNumberFormat="1"/>
    <xf numFmtId="0" fontId="1" fillId="0" borderId="10" xfId="4" applyBorder="1"/>
    <xf numFmtId="166" fontId="1" fillId="0" borderId="10" xfId="4" applyNumberFormat="1" applyBorder="1"/>
    <xf numFmtId="0" fontId="30" fillId="0" borderId="10" xfId="4" applyFont="1" applyBorder="1"/>
    <xf numFmtId="0" fontId="28" fillId="0" borderId="28" xfId="4" applyFont="1" applyBorder="1"/>
    <xf numFmtId="168" fontId="28" fillId="0" borderId="28" xfId="5" applyNumberFormat="1" applyFont="1" applyBorder="1"/>
    <xf numFmtId="0" fontId="31" fillId="0" borderId="28" xfId="4" applyFont="1" applyBorder="1"/>
    <xf numFmtId="0" fontId="32" fillId="0" borderId="0" xfId="4" applyFont="1"/>
    <xf numFmtId="0" fontId="32" fillId="0" borderId="29" xfId="4" applyFont="1" applyBorder="1"/>
    <xf numFmtId="0" fontId="28" fillId="0" borderId="29" xfId="4" applyFont="1" applyBorder="1"/>
    <xf numFmtId="168" fontId="24" fillId="15" borderId="25" xfId="3" applyNumberFormat="1" applyFont="1" applyAlignment="1">
      <alignment horizontal="right"/>
    </xf>
    <xf numFmtId="0" fontId="33" fillId="0" borderId="0" xfId="0" applyFont="1"/>
    <xf numFmtId="0" fontId="34" fillId="0" borderId="0" xfId="0" applyFont="1"/>
    <xf numFmtId="165" fontId="5" fillId="10" borderId="0" xfId="0" applyNumberFormat="1" applyFont="1" applyFill="1"/>
    <xf numFmtId="0" fontId="0" fillId="10" borderId="0" xfId="0" applyFill="1"/>
    <xf numFmtId="165" fontId="5" fillId="8" borderId="0" xfId="0" applyNumberFormat="1" applyFont="1" applyFill="1"/>
    <xf numFmtId="0" fontId="0" fillId="8" borderId="0" xfId="0" applyFill="1"/>
    <xf numFmtId="165" fontId="5" fillId="8" borderId="3" xfId="0" applyNumberFormat="1" applyFont="1" applyFill="1" applyBorder="1" applyAlignment="1">
      <alignment horizontal="center"/>
    </xf>
    <xf numFmtId="3" fontId="5" fillId="8" borderId="3" xfId="0" applyNumberFormat="1" applyFont="1" applyFill="1" applyBorder="1" applyAlignment="1">
      <alignment horizontal="center"/>
    </xf>
    <xf numFmtId="4" fontId="5" fillId="8" borderId="3" xfId="0" applyNumberFormat="1" applyFont="1" applyFill="1" applyBorder="1" applyAlignment="1">
      <alignment horizontal="center"/>
    </xf>
    <xf numFmtId="167" fontId="5" fillId="8" borderId="3" xfId="0" applyNumberFormat="1" applyFont="1" applyFill="1" applyBorder="1" applyAlignment="1">
      <alignment horizontal="center"/>
    </xf>
    <xf numFmtId="3" fontId="6" fillId="8" borderId="3" xfId="0" applyNumberFormat="1" applyFont="1" applyFill="1" applyBorder="1" applyAlignment="1">
      <alignment horizontal="center"/>
    </xf>
    <xf numFmtId="4" fontId="3" fillId="8" borderId="0" xfId="0" applyNumberFormat="1" applyFont="1" applyFill="1" applyAlignment="1">
      <alignment horizontal="center"/>
    </xf>
    <xf numFmtId="9" fontId="5" fillId="10" borderId="3" xfId="0" applyNumberFormat="1" applyFont="1" applyFill="1" applyBorder="1" applyAlignment="1">
      <alignment horizontal="center"/>
    </xf>
    <xf numFmtId="166" fontId="5" fillId="8" borderId="0" xfId="0" applyNumberFormat="1" applyFont="1" applyFill="1" applyAlignment="1">
      <alignment horizontal="center"/>
    </xf>
    <xf numFmtId="165" fontId="5" fillId="10" borderId="0" xfId="0" applyNumberFormat="1" applyFont="1" applyFill="1" applyAlignment="1">
      <alignment horizontal="center"/>
    </xf>
    <xf numFmtId="165" fontId="6" fillId="0" borderId="0" xfId="0" quotePrefix="1" applyNumberFormat="1" applyFont="1"/>
    <xf numFmtId="9" fontId="5" fillId="0" borderId="0" xfId="0" applyNumberFormat="1" applyFont="1"/>
    <xf numFmtId="9" fontId="5" fillId="0" borderId="0" xfId="0" applyNumberFormat="1" applyFont="1" applyAlignment="1">
      <alignment horizontal="center"/>
    </xf>
    <xf numFmtId="9" fontId="5" fillId="10" borderId="0" xfId="0" applyNumberFormat="1" applyFont="1" applyFill="1" applyAlignment="1">
      <alignment horizontal="center"/>
    </xf>
    <xf numFmtId="166" fontId="5" fillId="10" borderId="0" xfId="0" applyNumberFormat="1" applyFont="1" applyFill="1" applyAlignment="1">
      <alignment horizontal="center"/>
    </xf>
    <xf numFmtId="166" fontId="5" fillId="10" borderId="3" xfId="0" applyNumberFormat="1" applyFont="1" applyFill="1" applyBorder="1" applyAlignment="1">
      <alignment horizontal="center"/>
    </xf>
    <xf numFmtId="3" fontId="5" fillId="8" borderId="0" xfId="0" applyNumberFormat="1" applyFont="1" applyFill="1" applyAlignment="1">
      <alignment horizontal="center"/>
    </xf>
    <xf numFmtId="3" fontId="5" fillId="0" borderId="0" xfId="0" applyNumberFormat="1" applyFont="1"/>
    <xf numFmtId="3" fontId="5" fillId="2" borderId="0" xfId="0" applyNumberFormat="1" applyFont="1" applyFill="1" applyAlignment="1" applyProtection="1">
      <alignment horizontal="center"/>
      <protection locked="0"/>
    </xf>
    <xf numFmtId="165" fontId="6" fillId="0" borderId="0" xfId="0" applyNumberFormat="1" applyFont="1" applyAlignment="1" applyProtection="1">
      <alignment horizontal="center"/>
      <protection locked="0"/>
    </xf>
    <xf numFmtId="165" fontId="5" fillId="8" borderId="0" xfId="0" applyNumberFormat="1" applyFont="1" applyFill="1" applyAlignment="1">
      <alignment horizontal="center"/>
    </xf>
    <xf numFmtId="4" fontId="5" fillId="8" borderId="0" xfId="0" applyNumberFormat="1" applyFont="1" applyFill="1" applyAlignment="1">
      <alignment horizontal="center"/>
    </xf>
    <xf numFmtId="4" fontId="5" fillId="0" borderId="0" xfId="0" applyNumberFormat="1" applyFont="1"/>
    <xf numFmtId="4" fontId="5" fillId="0" borderId="0" xfId="0" applyNumberFormat="1" applyFont="1" applyAlignment="1">
      <alignment horizontal="center"/>
    </xf>
    <xf numFmtId="167" fontId="5" fillId="0" borderId="0" xfId="0" applyNumberFormat="1" applyFont="1" applyAlignment="1">
      <alignment horizontal="center"/>
    </xf>
    <xf numFmtId="167" fontId="5" fillId="8" borderId="0" xfId="0" applyNumberFormat="1" applyFont="1" applyFill="1" applyAlignment="1">
      <alignment horizontal="center"/>
    </xf>
    <xf numFmtId="3" fontId="6" fillId="8" borderId="0" xfId="0" applyNumberFormat="1" applyFont="1" applyFill="1" applyAlignment="1">
      <alignment horizontal="center"/>
    </xf>
    <xf numFmtId="0" fontId="10" fillId="7" borderId="0" xfId="0" applyFont="1" applyFill="1"/>
    <xf numFmtId="167" fontId="7" fillId="6" borderId="0" xfId="0" applyNumberFormat="1" applyFont="1" applyFill="1"/>
    <xf numFmtId="166" fontId="5" fillId="8" borderId="3" xfId="0" applyNumberFormat="1" applyFont="1" applyFill="1" applyBorder="1" applyAlignment="1">
      <alignment horizontal="center"/>
    </xf>
    <xf numFmtId="9" fontId="6" fillId="0" borderId="30" xfId="7" applyFont="1" applyBorder="1" applyAlignment="1">
      <alignment horizontal="center"/>
    </xf>
    <xf numFmtId="9" fontId="6" fillId="0" borderId="15" xfId="7" applyFont="1" applyBorder="1" applyAlignment="1">
      <alignment horizontal="center"/>
    </xf>
    <xf numFmtId="9" fontId="6" fillId="0" borderId="1" xfId="7" applyFont="1" applyBorder="1" applyAlignment="1">
      <alignment horizontal="center"/>
    </xf>
    <xf numFmtId="9" fontId="6" fillId="10" borderId="14" xfId="7" applyFont="1" applyFill="1" applyBorder="1" applyAlignment="1">
      <alignment horizontal="center"/>
    </xf>
    <xf numFmtId="9" fontId="6" fillId="10" borderId="1" xfId="7" applyFont="1" applyFill="1" applyBorder="1" applyAlignment="1">
      <alignment horizontal="center"/>
    </xf>
    <xf numFmtId="3" fontId="4" fillId="0" borderId="0" xfId="0" applyNumberFormat="1" applyFont="1" applyAlignment="1">
      <alignment horizontal="left" wrapText="1"/>
    </xf>
    <xf numFmtId="3" fontId="14" fillId="0" borderId="0" xfId="0" applyNumberFormat="1" applyFont="1" applyAlignment="1">
      <alignment horizontal="left"/>
    </xf>
  </cellXfs>
  <cellStyles count="8">
    <cellStyle name="Comma 2" xfId="5" xr:uid="{26BB6A6E-293E-4973-B8AC-ADE00DC1CE2C}"/>
    <cellStyle name="Input" xfId="3" builtinId="20"/>
    <cellStyle name="Komma" xfId="1" builtinId="3"/>
    <cellStyle name="Komma 2" xfId="2" xr:uid="{0FBB71AE-0781-4BD2-9212-1328E1CA637B}"/>
    <cellStyle name="Normal" xfId="0" builtinId="0"/>
    <cellStyle name="Normal 2" xfId="4" xr:uid="{48FAB3FF-76D7-4379-8D9E-D66E96F0EC88}"/>
    <cellStyle name="Per cent 2" xfId="6" xr:uid="{587D81ED-4213-4F32-9422-94ECEA341B61}"/>
    <cellStyle name="Procent" xfId="7" builtinId="5"/>
  </cellStyles>
  <dxfs count="2">
    <dxf>
      <fill>
        <patternFill>
          <bgColor rgb="FF00B05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Lorenz-efficiencies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'Operating data'!$C$52</c:f>
              <c:strCache>
                <c:ptCount val="1"/>
                <c:pt idx="0">
                  <c:v>Lorenz-efficiency 4)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'Operating data'!$E$22:$L$22</c:f>
              <c:numCache>
                <c:formatCode>#,##0</c:formatCode>
                <c:ptCount val="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</c:numCache>
            </c:numRef>
          </c:cat>
          <c:val>
            <c:numRef>
              <c:f>'Operating data'!$E$52:$L$52</c:f>
              <c:numCache>
                <c:formatCode>0.0%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1B-41C2-883C-6540514CE0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894078232"/>
        <c:axId val="894078560"/>
      </c:barChart>
      <c:catAx>
        <c:axId val="89407823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/>
                  <a:t>Operating point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2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94078560"/>
        <c:crosses val="autoZero"/>
        <c:auto val="1"/>
        <c:lblAlgn val="ctr"/>
        <c:lblOffset val="100"/>
        <c:noMultiLvlLbl val="0"/>
      </c:catAx>
      <c:valAx>
        <c:axId val="8940785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tx2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94078232"/>
        <c:crosses val="autoZero"/>
        <c:crossBetween val="between"/>
      </c:valAx>
      <c:spPr>
        <a:solidFill>
          <a:schemeClr val="bg1"/>
        </a:solidFill>
        <a:ln>
          <a:solidFill>
            <a:schemeClr val="tx2"/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85000"/>
      </a:schemeClr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a-DK" sz="2000"/>
              <a:t>Reference</a:t>
            </a:r>
            <a:r>
              <a:rPr lang="da-DK" sz="2000" baseline="0"/>
              <a:t> case</a:t>
            </a:r>
            <a:endParaRPr lang="da-DK" sz="2000"/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1"/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'System calculation'!$M$36:$M$383</c:f>
              <c:numCache>
                <c:formatCode>#,##0.0</c:formatCode>
                <c:ptCount val="3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 formatCode="General">
                  <c:v>0</c:v>
                </c:pt>
                <c:pt idx="5" formatCode="General">
                  <c:v>0</c:v>
                </c:pt>
                <c:pt idx="7">
                  <c:v>0</c:v>
                </c:pt>
                <c:pt idx="8" formatCode="#,##0">
                  <c:v>0</c:v>
                </c:pt>
                <c:pt idx="9" formatCode="#,##0">
                  <c:v>1</c:v>
                </c:pt>
                <c:pt idx="10" formatCode="#,##0">
                  <c:v>2</c:v>
                </c:pt>
                <c:pt idx="11" formatCode="#,##0">
                  <c:v>3</c:v>
                </c:pt>
                <c:pt idx="12" formatCode="#,##0">
                  <c:v>4</c:v>
                </c:pt>
                <c:pt idx="13" formatCode="#,##0">
                  <c:v>5</c:v>
                </c:pt>
                <c:pt idx="14" formatCode="#,##0">
                  <c:v>6</c:v>
                </c:pt>
                <c:pt idx="15" formatCode="#,##0">
                  <c:v>7</c:v>
                </c:pt>
                <c:pt idx="16" formatCode="#,##0">
                  <c:v>8</c:v>
                </c:pt>
                <c:pt idx="17" formatCode="#,##0">
                  <c:v>9</c:v>
                </c:pt>
                <c:pt idx="18" formatCode="#,##0">
                  <c:v>10</c:v>
                </c:pt>
                <c:pt idx="19" formatCode="#,##0">
                  <c:v>11</c:v>
                </c:pt>
                <c:pt idx="20" formatCode="#,##0">
                  <c:v>12</c:v>
                </c:pt>
                <c:pt idx="21" formatCode="#,##0">
                  <c:v>13</c:v>
                </c:pt>
                <c:pt idx="22" formatCode="#,##0">
                  <c:v>14</c:v>
                </c:pt>
                <c:pt idx="23" formatCode="#,##0">
                  <c:v>15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'Systemberegning VP1'!#REF!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2DAC-4E2F-894D-723F1709236E}"/>
            </c:ext>
          </c:extLst>
        </c:ser>
        <c:ser>
          <c:idx val="3"/>
          <c:order val="2"/>
          <c:invertIfNegative val="0"/>
          <c:val>
            <c:numRef>
              <c:f>'Systemberegning VP1'!#REF!</c:f>
              <c:numCache>
                <c:formatCode>General</c:formatCode>
                <c:ptCount val="1"/>
                <c:pt idx="0">
                  <c:v>1</c:v>
                </c:pt>
              </c:numCache>
              <c:extLst xmlns:c15="http://schemas.microsoft.com/office/drawing/2012/chart"/>
            </c:numRef>
          </c:val>
          <c:extLst xmlns:c15="http://schemas.microsoft.com/office/drawing/2012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'Systemberegning VP1'!#REF!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2-2DAC-4E2F-894D-723F170923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043440703"/>
        <c:axId val="1043430719"/>
        <c:extLst>
          <c:ext xmlns:c15="http://schemas.microsoft.com/office/drawing/2012/chart" uri="{02D57815-91ED-43cb-92C2-25804820EDAC}">
            <c15:filteredBarSeries>
              <c15:ser>
                <c:idx val="2"/>
                <c:order val="0"/>
                <c:spPr>
                  <a:solidFill>
                    <a:schemeClr val="accent4"/>
                  </a:solidFill>
                  <a:ln w="25400">
                    <a:noFill/>
                  </a:ln>
                </c:spPr>
                <c:invertIfNegative val="0"/>
                <c:val>
                  <c:numRef>
                    <c:extLst>
                      <c:ext uri="{02D57815-91ED-43cb-92C2-25804820EDAC}">
                        <c15:formulaRef>
                          <c15:sqref>'System calculation'!$L$36:$L$383</c15:sqref>
                        </c15:formulaRef>
                      </c:ext>
                    </c:extLst>
                    <c:numCache>
                      <c:formatCode>General</c:formatCode>
                      <c:ptCount val="348"/>
                    </c:numCache>
                  </c:numRef>
                </c:val>
                <c:extLst>
                  <c:ext uri="{02D57815-91ED-43cb-92C2-25804820EDAC}">
                    <c15:filteredSeriesTitle>
                      <c15:tx>
                        <c:strRef>
                          <c:extLst>
                            <c:ext uri="{02D57815-91ED-43cb-92C2-25804820EDAC}">
                              <c15:formulaRef>
                                <c15:sqref>'Systemberegning VP1'!#REF!</c15:sqref>
                              </c15:formulaRef>
                            </c:ext>
                          </c:extLst>
                          <c:strCache>
                            <c:ptCount val="1"/>
                            <c:pt idx="0">
                              <c:v>#REF!</c:v>
                            </c:pt>
                          </c:strCache>
                        </c:strRef>
                      </c15:tx>
                    </c15:filteredSeriesTitle>
                  </c:ext>
                  <c:ext xmlns:c16="http://schemas.microsoft.com/office/drawing/2014/chart" uri="{C3380CC4-5D6E-409C-BE32-E72D297353CC}">
                    <c16:uniqueId val="{00000000-2DAC-4E2F-894D-723F1709236E}"/>
                  </c:ext>
                </c:extLst>
              </c15:ser>
            </c15:filteredBarSeries>
            <c15:filteredBarSeries>
              <c15:ser>
                <c:idx val="1"/>
                <c:order val="3"/>
                <c:invertIfNegative val="0"/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'System calculation'!$N$36:$N$383</c15:sqref>
                        </c15:formulaRef>
                      </c:ext>
                    </c:extLst>
                    <c:numCache>
                      <c:formatCode>_-* #,##0_-;\-* #,##0_-;_-* "-"??_-;_-@_-</c:formatCode>
                      <c:ptCount val="348"/>
                      <c:pt idx="0">
                        <c:v>0</c:v>
                      </c:pt>
                      <c:pt idx="1">
                        <c:v>0</c:v>
                      </c:pt>
                      <c:pt idx="2" formatCode="_-* #,##0.0_-;\-* #,##0.0_-;_-* &quot;-&quot;??_-;_-@_-">
                        <c:v>0</c:v>
                      </c:pt>
                      <c:pt idx="3">
                        <c:v>0</c:v>
                      </c:pt>
                      <c:pt idx="4" formatCode="0.0%">
                        <c:v>0</c:v>
                      </c:pt>
                      <c:pt idx="5" formatCode="#,##0">
                        <c:v>0</c:v>
                      </c:pt>
                      <c:pt idx="8" formatCode="#,##0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5="http://schemas.microsoft.com/office/drawing/2012/chart" uri="{02D57815-91ED-43cb-92C2-25804820EDAC}">
                    <c15:filteredSeriesTitle>
                      <c15:tx>
                        <c:strRef>
                          <c:extLst>
                            <c:ext uri="{02D57815-91ED-43cb-92C2-25804820EDAC}">
                              <c15:formulaRef>
                                <c15:sqref>'Systemberegning VP1'!#REF!</c15:sqref>
                              </c15:formulaRef>
                            </c:ext>
                          </c:extLst>
                          <c:strCache>
                            <c:ptCount val="1"/>
                            <c:pt idx="0">
                              <c:v>#REF!</c:v>
                            </c:pt>
                          </c:strCache>
                        </c:strRef>
                      </c15:tx>
                    </c15:filteredSeriesTitle>
                  </c:ext>
                  <c:ext xmlns:c16="http://schemas.microsoft.com/office/drawing/2014/chart" uri="{C3380CC4-5D6E-409C-BE32-E72D297353CC}">
                    <c16:uniqueId val="{00000003-2DAC-4E2F-894D-723F1709236E}"/>
                  </c:ext>
                </c:extLst>
              </c15:ser>
            </c15:filteredBarSeries>
          </c:ext>
        </c:extLst>
      </c:barChart>
      <c:catAx>
        <c:axId val="1043440703"/>
        <c:scaling>
          <c:orientation val="minMax"/>
        </c:scaling>
        <c:delete val="1"/>
        <c:axPos val="b"/>
        <c:majorTickMark val="none"/>
        <c:minorTickMark val="none"/>
        <c:tickLblPos val="nextTo"/>
        <c:crossAx val="1043430719"/>
        <c:crosses val="autoZero"/>
        <c:auto val="1"/>
        <c:lblAlgn val="ctr"/>
        <c:lblOffset val="100"/>
        <c:noMultiLvlLbl val="0"/>
      </c:catAx>
      <c:valAx>
        <c:axId val="10434307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400"/>
                </a:pPr>
                <a:r>
                  <a:rPr lang="da-DK" sz="1400"/>
                  <a:t>MW</a:t>
                </a:r>
              </a:p>
            </c:rich>
          </c:tx>
          <c:overlay val="0"/>
        </c:title>
        <c:numFmt formatCode="#,##0.0" sourceLinked="1"/>
        <c:majorTickMark val="none"/>
        <c:minorTickMark val="none"/>
        <c:tickLblPos val="nextTo"/>
        <c:spPr>
          <a:noFill/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43440703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38181589365657087"/>
          <c:y val="0.92510537083160971"/>
          <c:w val="0.32595051394604396"/>
          <c:h val="5.3777045241698414E-2"/>
        </c:manualLayout>
      </c:layout>
      <c:overlay val="0"/>
      <c:txPr>
        <a:bodyPr/>
        <a:lstStyle/>
        <a:p>
          <a:pPr>
            <a:defRPr sz="1400"/>
          </a:pPr>
          <a:endParaRPr lang="en-US"/>
        </a:p>
      </c:txPr>
    </c:legend>
    <c:plotVisOnly val="1"/>
    <c:dispBlanksAs val="zero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10583</xdr:colOff>
      <xdr:row>21</xdr:row>
      <xdr:rowOff>31750</xdr:rowOff>
    </xdr:from>
    <xdr:to>
      <xdr:col>19</xdr:col>
      <xdr:colOff>206799</xdr:colOff>
      <xdr:row>36</xdr:row>
      <xdr:rowOff>100950</xdr:rowOff>
    </xdr:to>
    <xdr:graphicFrame macro="">
      <xdr:nvGraphicFramePr>
        <xdr:cNvPr id="23" name="Diagram 4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2762250</xdr:colOff>
      <xdr:row>19</xdr:row>
      <xdr:rowOff>137584</xdr:rowOff>
    </xdr:from>
    <xdr:to>
      <xdr:col>3</xdr:col>
      <xdr:colOff>1979083</xdr:colOff>
      <xdr:row>28</xdr:row>
      <xdr:rowOff>137584</xdr:rowOff>
    </xdr:to>
    <xdr:cxnSp macro="">
      <xdr:nvCxnSpPr>
        <xdr:cNvPr id="3" name="Lige pilforbindelse 2">
          <a:extLst>
            <a:ext uri="{FF2B5EF4-FFF2-40B4-BE49-F238E27FC236}">
              <a16:creationId xmlns:a16="http://schemas.microsoft.com/office/drawing/2014/main" id="{051A0255-7E01-76AC-A83D-EADFAA251835}"/>
            </a:ext>
          </a:extLst>
        </xdr:cNvPr>
        <xdr:cNvCxnSpPr/>
      </xdr:nvCxnSpPr>
      <xdr:spPr>
        <a:xfrm>
          <a:off x="3651250" y="4116917"/>
          <a:ext cx="2127250" cy="173566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12</xdr:col>
      <xdr:colOff>254000</xdr:colOff>
      <xdr:row>39</xdr:row>
      <xdr:rowOff>105834</xdr:rowOff>
    </xdr:from>
    <xdr:to>
      <xdr:col>19</xdr:col>
      <xdr:colOff>305995</xdr:colOff>
      <xdr:row>53</xdr:row>
      <xdr:rowOff>16087</xdr:rowOff>
    </xdr:to>
    <xdr:pic>
      <xdr:nvPicPr>
        <xdr:cNvPr id="7" name="Billede 6">
          <a:extLst>
            <a:ext uri="{FF2B5EF4-FFF2-40B4-BE49-F238E27FC236}">
              <a16:creationId xmlns:a16="http://schemas.microsoft.com/office/drawing/2014/main" id="{290C7A5D-8489-4887-B1E6-7413AE729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81833" y="7725834"/>
          <a:ext cx="5407162" cy="2781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389131</xdr:colOff>
      <xdr:row>104</xdr:row>
      <xdr:rowOff>84448</xdr:rowOff>
    </xdr:from>
    <xdr:to>
      <xdr:col>4</xdr:col>
      <xdr:colOff>0</xdr:colOff>
      <xdr:row>132</xdr:row>
      <xdr:rowOff>162999</xdr:rowOff>
    </xdr:to>
    <xdr:graphicFrame macro="">
      <xdr:nvGraphicFramePr>
        <xdr:cNvPr id="6" name="Diagram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Teams/Team%20for%20Varmepumper/Nyt%20VP01/Skanderborg_220422.xlsx" TargetMode="External"/><Relationship Id="rId1" Type="http://schemas.openxmlformats.org/officeDocument/2006/relationships/externalLinkPath" Target="/Teams/Team%20for%20Varmepumper/Nyt%20VP01/Skanderborg_220422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Fildeling/20-000/20-071%20Skanderborg%20H&#248;rning%20fjv.%20Luft-vandvarmepumpe/5.%20Udbud%20og%20kontrahering/5.1%20Udbud%20-%20VPentreprise/Bilag/Bilag%202%20-%20Tilbudsliste%20mm/VP01_skanderborg.xlsx" TargetMode="External"/><Relationship Id="rId1" Type="http://schemas.openxmlformats.org/officeDocument/2006/relationships/externalLinkPath" Target="/Fildeling/20-000/20-071%20Skanderborg%20H&#248;rning%20fjv.%20Luft-vandvarmepumpe/5.%20Udbud%20og%20kontrahering/5.1%20Udbud%20-%20VPentreprise/Bilag/Bilag%202%20-%20Tilbudsliste%20mm/VP01_skanderbor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VP case marg,priser og prod."/>
      <sheetName val="Driftsdata LUFT GRUNDLAG"/>
      <sheetName val="TJEK LISTE"/>
      <sheetName val="Tilbudsliste"/>
      <sheetName val="Driftsdata LUFT"/>
      <sheetName val="Ark1"/>
      <sheetName val="Driftsdata VAND"/>
      <sheetName val="Systemberegning"/>
      <sheetName val="Varmepumpeberegning"/>
      <sheetName val="Potentiel produktion"/>
      <sheetName val="Brændselspriser"/>
      <sheetName val="Ref. case Marg. priser og prod."/>
      <sheetName val="Solvarme"/>
      <sheetName val="Varmebehov"/>
      <sheetName val="Netselskaber"/>
      <sheetName val="Konstanter"/>
      <sheetName val="Bodsudregning"/>
      <sheetName val="Afleveringsprøve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VP case marg,priser og prod."/>
      <sheetName val="Driftsdata LUFT"/>
      <sheetName val="Driftsdata VAND"/>
      <sheetName val="Systemberegning"/>
      <sheetName val="Varmepumpeberegning"/>
      <sheetName val="Potentiel produktion"/>
      <sheetName val="Brændselspriser"/>
      <sheetName val="Ref. case Marg. priser og prod."/>
      <sheetName val="Solvarme"/>
      <sheetName val="Varmebehov"/>
      <sheetName val="Netselskaber"/>
      <sheetName val="Konstanter"/>
      <sheetName val="Bodsudregning"/>
      <sheetName val="Afleveringsprøve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Pernille Hartmund Jørgensen" id="{A82D23BF-841B-48E4-B74F-3EAD6D10CCF0}" userId="S::phaj@planenergi.dk::04950e3d-cf2e-4fb1-80e5-99d2ba4a70db" providerId="AD"/>
</personList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17" dT="2023-02-21T08:51:31.58" personId="{A82D23BF-841B-48E4-B74F-3EAD6D10CCF0}" id="{245B89A2-A684-4E9E-96BD-F65E27254CD1}">
    <text>Realrente: lånerente-inflation</text>
  </threadedComment>
</ThreadedComment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B57AE-7BC9-473B-83ED-49A37212BD53}">
  <sheetPr codeName="Ark4"/>
  <dimension ref="A1:A23"/>
  <sheetViews>
    <sheetView workbookViewId="0">
      <selection activeCell="A26" sqref="A26"/>
    </sheetView>
  </sheetViews>
  <sheetFormatPr defaultRowHeight="15" x14ac:dyDescent="0.25"/>
  <cols>
    <col min="1" max="1" width="40.7109375" bestFit="1" customWidth="1"/>
  </cols>
  <sheetData>
    <row r="1" spans="1:1" x14ac:dyDescent="0.25">
      <c r="A1" s="13" t="s">
        <v>11</v>
      </c>
    </row>
    <row r="3" spans="1:1" x14ac:dyDescent="0.25">
      <c r="A3" s="72" t="s">
        <v>12</v>
      </c>
    </row>
    <row r="4" spans="1:1" x14ac:dyDescent="0.25">
      <c r="A4" t="s">
        <v>13</v>
      </c>
    </row>
    <row r="5" spans="1:1" x14ac:dyDescent="0.25">
      <c r="A5" t="s">
        <v>14</v>
      </c>
    </row>
    <row r="6" spans="1:1" x14ac:dyDescent="0.25">
      <c r="A6" t="s">
        <v>15</v>
      </c>
    </row>
    <row r="8" spans="1:1" x14ac:dyDescent="0.25">
      <c r="A8" s="72" t="s">
        <v>16</v>
      </c>
    </row>
    <row r="10" spans="1:1" x14ac:dyDescent="0.25">
      <c r="A10" s="3" t="s">
        <v>17</v>
      </c>
    </row>
    <row r="11" spans="1:1" x14ac:dyDescent="0.25">
      <c r="A11" t="s">
        <v>18</v>
      </c>
    </row>
    <row r="13" spans="1:1" x14ac:dyDescent="0.25">
      <c r="A13" s="3" t="s">
        <v>19</v>
      </c>
    </row>
    <row r="14" spans="1:1" x14ac:dyDescent="0.25">
      <c r="A14" t="s">
        <v>20</v>
      </c>
    </row>
    <row r="16" spans="1:1" x14ac:dyDescent="0.25">
      <c r="A16" s="72" t="s">
        <v>21</v>
      </c>
    </row>
    <row r="18" spans="1:1" x14ac:dyDescent="0.25">
      <c r="A18" t="s">
        <v>22</v>
      </c>
    </row>
    <row r="19" spans="1:1" x14ac:dyDescent="0.25">
      <c r="A19" t="s">
        <v>23</v>
      </c>
    </row>
    <row r="22" spans="1:1" x14ac:dyDescent="0.25">
      <c r="A22" s="79" t="s">
        <v>24</v>
      </c>
    </row>
    <row r="23" spans="1:1" x14ac:dyDescent="0.25">
      <c r="A23" t="s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21DAE-9568-4629-AE04-B8DC6474D65B}">
  <sheetPr>
    <tabColor theme="4"/>
  </sheetPr>
  <dimension ref="A1:V68"/>
  <sheetViews>
    <sheetView showGridLines="0" tabSelected="1" zoomScaleNormal="100" workbookViewId="0">
      <selection activeCell="F15" sqref="F15"/>
    </sheetView>
  </sheetViews>
  <sheetFormatPr defaultColWidth="0" defaultRowHeight="0" customHeight="1" zeroHeight="1" x14ac:dyDescent="0.25"/>
  <cols>
    <col min="1" max="1" width="6.7109375" style="34" customWidth="1"/>
    <col min="2" max="2" width="6.7109375" style="85" customWidth="1"/>
    <col min="3" max="3" width="44.42578125" style="34" customWidth="1"/>
    <col min="4" max="4" width="25.28515625" style="35" customWidth="1"/>
    <col min="5" max="5" width="16.85546875" style="35" customWidth="1"/>
    <col min="6" max="7" width="13.7109375" style="35" customWidth="1"/>
    <col min="8" max="12" width="12.5703125" style="35" customWidth="1"/>
    <col min="13" max="13" width="5.140625" style="35" customWidth="1"/>
    <col min="14" max="20" width="12.5703125" style="34" customWidth="1"/>
    <col min="21" max="22" width="0" style="34" hidden="1" customWidth="1"/>
    <col min="23" max="16384" width="12.5703125" style="34" hidden="1"/>
  </cols>
  <sheetData>
    <row r="1" spans="2:19" customFormat="1" ht="15.75" thickBot="1" x14ac:dyDescent="0.3">
      <c r="D1" s="17"/>
    </row>
    <row r="2" spans="2:19" customFormat="1" ht="15.75" thickBot="1" x14ac:dyDescent="0.3">
      <c r="B2" s="31" t="s">
        <v>91</v>
      </c>
      <c r="C2" s="32"/>
      <c r="D2" s="17"/>
      <c r="F2" s="3" t="s">
        <v>98</v>
      </c>
      <c r="G2" s="3" t="s">
        <v>98</v>
      </c>
      <c r="H2" s="35"/>
      <c r="I2" s="35"/>
      <c r="N2" s="34"/>
    </row>
    <row r="3" spans="2:19" customFormat="1" ht="15" x14ac:dyDescent="0.25">
      <c r="B3" s="216" t="s">
        <v>92</v>
      </c>
      <c r="C3" s="217"/>
      <c r="D3" s="17"/>
      <c r="F3" s="3" t="s">
        <v>97</v>
      </c>
      <c r="G3" s="3" t="s">
        <v>97</v>
      </c>
      <c r="H3" s="35"/>
      <c r="I3" s="35"/>
      <c r="N3" s="34"/>
      <c r="P3" s="8"/>
    </row>
    <row r="4" spans="2:19" customFormat="1" ht="15" x14ac:dyDescent="0.25">
      <c r="B4" s="218" t="s">
        <v>195</v>
      </c>
      <c r="C4" s="219"/>
      <c r="D4" s="17"/>
      <c r="F4" t="s">
        <v>99</v>
      </c>
      <c r="G4" t="s">
        <v>99</v>
      </c>
      <c r="H4" s="8" t="s">
        <v>202</v>
      </c>
      <c r="I4" t="s">
        <v>203</v>
      </c>
      <c r="J4" s="215" t="s">
        <v>204</v>
      </c>
      <c r="N4" s="34"/>
      <c r="O4" s="34"/>
      <c r="P4" s="34"/>
    </row>
    <row r="5" spans="2:19" customFormat="1" ht="15" x14ac:dyDescent="0.25">
      <c r="D5" s="17"/>
      <c r="F5" s="35"/>
      <c r="G5" s="35"/>
      <c r="H5" s="35"/>
      <c r="I5" s="35"/>
    </row>
    <row r="6" spans="2:19" customFormat="1" ht="15" x14ac:dyDescent="0.25">
      <c r="B6" s="33" t="s">
        <v>187</v>
      </c>
      <c r="D6" s="17"/>
      <c r="I6" s="8"/>
    </row>
    <row r="7" spans="2:19" customFormat="1" ht="15" x14ac:dyDescent="0.25">
      <c r="B7" s="33"/>
      <c r="D7" s="17"/>
      <c r="I7" s="8"/>
    </row>
    <row r="8" spans="2:19" customFormat="1" ht="31.5" customHeight="1" x14ac:dyDescent="0.25">
      <c r="B8" s="14" t="s">
        <v>93</v>
      </c>
      <c r="D8" s="192"/>
      <c r="I8" s="8"/>
    </row>
    <row r="9" spans="2:19" customFormat="1" ht="15" x14ac:dyDescent="0.25">
      <c r="B9" s="14"/>
      <c r="D9" s="106"/>
      <c r="I9" s="8"/>
    </row>
    <row r="10" spans="2:19" customFormat="1" ht="15" x14ac:dyDescent="0.25">
      <c r="B10" s="33" t="s">
        <v>94</v>
      </c>
      <c r="D10" s="193"/>
      <c r="F10" s="66"/>
      <c r="G10" s="66"/>
      <c r="H10" s="66"/>
      <c r="J10" s="66"/>
      <c r="K10" s="66"/>
      <c r="L10" s="66"/>
      <c r="M10" s="66"/>
      <c r="N10" s="66"/>
    </row>
    <row r="11" spans="2:19" customFormat="1" ht="15" x14ac:dyDescent="0.25">
      <c r="B11" s="10"/>
      <c r="D11" s="38"/>
      <c r="F11" s="107"/>
      <c r="G11" s="107"/>
      <c r="H11" s="108"/>
      <c r="J11" s="108"/>
      <c r="K11" s="108"/>
      <c r="L11" s="66"/>
      <c r="M11" s="66"/>
      <c r="N11" s="66"/>
    </row>
    <row r="12" spans="2:19" customFormat="1" ht="17.25" x14ac:dyDescent="0.25">
      <c r="B12" s="255" t="s">
        <v>149</v>
      </c>
      <c r="C12" s="255"/>
      <c r="D12" s="94"/>
      <c r="E12" s="86" t="s">
        <v>103</v>
      </c>
      <c r="F12" s="66"/>
      <c r="G12" s="66"/>
      <c r="H12" s="66"/>
      <c r="J12" s="107"/>
      <c r="K12" s="107"/>
      <c r="L12" s="107"/>
      <c r="M12" s="107"/>
      <c r="N12" s="107"/>
    </row>
    <row r="13" spans="2:19" customFormat="1" ht="15" x14ac:dyDescent="0.25">
      <c r="D13" s="89"/>
      <c r="E13" s="3"/>
      <c r="F13" s="66"/>
      <c r="G13" s="66"/>
      <c r="H13" s="9"/>
      <c r="J13" s="107"/>
      <c r="K13" s="107"/>
      <c r="L13" s="107"/>
      <c r="M13" s="107"/>
      <c r="N13" s="66"/>
    </row>
    <row r="14" spans="2:19" customFormat="1" ht="15" x14ac:dyDescent="0.25">
      <c r="B14" s="254" t="s">
        <v>189</v>
      </c>
      <c r="C14" s="254"/>
      <c r="D14" s="93"/>
      <c r="E14" s="86" t="s">
        <v>103</v>
      </c>
      <c r="F14" s="66"/>
      <c r="G14" s="66"/>
      <c r="H14" s="66"/>
      <c r="J14" s="66"/>
      <c r="K14" s="66"/>
      <c r="L14" s="66"/>
      <c r="M14" s="66"/>
      <c r="N14" s="66"/>
    </row>
    <row r="15" spans="2:19" customFormat="1" ht="15" x14ac:dyDescent="0.25">
      <c r="B15" s="7"/>
      <c r="C15" s="7"/>
      <c r="D15" s="89"/>
      <c r="E15" s="86"/>
    </row>
    <row r="16" spans="2:19" customFormat="1" ht="17.25" x14ac:dyDescent="0.25">
      <c r="B16" s="3" t="s">
        <v>95</v>
      </c>
      <c r="D16" s="225">
        <f>D12-D14</f>
        <v>0</v>
      </c>
      <c r="E16" s="86" t="s">
        <v>103</v>
      </c>
      <c r="H16" s="9"/>
      <c r="M16" s="9"/>
      <c r="N16" s="17"/>
      <c r="O16" s="9"/>
      <c r="P16" s="9"/>
      <c r="Q16" s="17"/>
      <c r="R16" s="9"/>
      <c r="S16" s="9"/>
    </row>
    <row r="17" spans="1:19" ht="15" x14ac:dyDescent="0.25">
      <c r="A17"/>
      <c r="B17"/>
      <c r="C17"/>
      <c r="D17"/>
      <c r="E17"/>
      <c r="I17"/>
      <c r="N17" s="35"/>
      <c r="O17" s="17"/>
      <c r="P17" s="35"/>
      <c r="Q17" s="35"/>
      <c r="R17" s="17"/>
      <c r="S17" s="35"/>
    </row>
    <row r="18" spans="1:19" ht="15" x14ac:dyDescent="0.25">
      <c r="A18"/>
      <c r="B18" s="95" t="s">
        <v>96</v>
      </c>
      <c r="C18" s="95"/>
      <c r="D18" s="33"/>
      <c r="E18" s="34"/>
      <c r="F18" s="34"/>
      <c r="G18" s="34"/>
      <c r="H18" s="34"/>
      <c r="I18" s="34"/>
      <c r="J18" s="34"/>
      <c r="K18" s="34"/>
      <c r="L18" s="34"/>
      <c r="M18" s="34"/>
      <c r="N18" s="35"/>
      <c r="O18" s="17"/>
      <c r="P18" s="35"/>
      <c r="Q18" s="35"/>
      <c r="R18" s="17"/>
      <c r="S18" s="35"/>
    </row>
    <row r="19" spans="1:19" ht="15.75" thickBot="1" x14ac:dyDescent="0.3">
      <c r="B19" s="33"/>
      <c r="C19" s="10"/>
      <c r="D19" s="8"/>
      <c r="E19" s="34"/>
      <c r="F19" s="229"/>
      <c r="G19" s="229"/>
      <c r="H19" s="34"/>
      <c r="I19" s="34"/>
      <c r="J19" s="34"/>
      <c r="K19" s="34"/>
      <c r="L19" s="34"/>
      <c r="M19" s="34"/>
      <c r="N19" s="35"/>
      <c r="O19" s="17"/>
      <c r="P19" s="35"/>
      <c r="Q19" s="35"/>
      <c r="R19" s="17"/>
      <c r="S19" s="35"/>
    </row>
    <row r="20" spans="1:19" ht="15.75" thickBot="1" x14ac:dyDescent="0.3">
      <c r="B20" s="33"/>
      <c r="C20" s="120" t="s">
        <v>105</v>
      </c>
      <c r="D20" s="8"/>
      <c r="E20" s="252" t="s">
        <v>197</v>
      </c>
      <c r="F20" s="251" t="s">
        <v>199</v>
      </c>
      <c r="G20" s="252" t="s">
        <v>197</v>
      </c>
      <c r="H20" s="251" t="s">
        <v>199</v>
      </c>
      <c r="I20" s="253" t="s">
        <v>197</v>
      </c>
      <c r="J20" s="249" t="s">
        <v>199</v>
      </c>
      <c r="K20" s="253" t="s">
        <v>197</v>
      </c>
      <c r="L20" s="250" t="s">
        <v>199</v>
      </c>
      <c r="M20" s="34"/>
      <c r="N20" s="35"/>
      <c r="O20" s="17"/>
      <c r="P20" s="35"/>
      <c r="Q20" s="35"/>
      <c r="R20" s="17"/>
      <c r="S20" s="35"/>
    </row>
    <row r="21" spans="1:19" ht="48" customHeight="1" thickBot="1" x14ac:dyDescent="0.3">
      <c r="B21" s="33"/>
      <c r="C21" s="10"/>
      <c r="D21" s="8"/>
      <c r="E21" s="119" t="s">
        <v>193</v>
      </c>
      <c r="F21" s="8"/>
      <c r="G21" s="8"/>
      <c r="H21" s="100"/>
      <c r="I21" s="100"/>
      <c r="J21" s="100"/>
      <c r="K21" s="100"/>
      <c r="L21" s="8"/>
      <c r="M21"/>
    </row>
    <row r="22" spans="1:19" s="71" customFormat="1" ht="15" x14ac:dyDescent="0.25">
      <c r="B22" s="158"/>
      <c r="C22" s="159" t="s">
        <v>104</v>
      </c>
      <c r="D22" s="160"/>
      <c r="E22" s="161">
        <v>1</v>
      </c>
      <c r="F22" s="160">
        <v>2</v>
      </c>
      <c r="G22" s="160">
        <v>3</v>
      </c>
      <c r="H22" s="160">
        <v>4</v>
      </c>
      <c r="I22" s="160">
        <v>5</v>
      </c>
      <c r="J22" s="160">
        <v>6</v>
      </c>
      <c r="K22" s="160">
        <v>7</v>
      </c>
      <c r="L22" s="162">
        <v>8</v>
      </c>
      <c r="M22"/>
    </row>
    <row r="23" spans="1:19" s="96" customFormat="1" ht="15" x14ac:dyDescent="0.25">
      <c r="B23" s="163"/>
      <c r="C23" s="230" t="s">
        <v>78</v>
      </c>
      <c r="D23" s="231"/>
      <c r="E23" s="232">
        <v>1</v>
      </c>
      <c r="F23" s="232">
        <v>1</v>
      </c>
      <c r="G23" s="232">
        <v>1</v>
      </c>
      <c r="H23" s="232">
        <v>1</v>
      </c>
      <c r="I23" s="232">
        <v>1</v>
      </c>
      <c r="J23" s="232">
        <v>1</v>
      </c>
      <c r="K23" s="232">
        <v>1</v>
      </c>
      <c r="L23" s="226">
        <v>1</v>
      </c>
      <c r="M23"/>
    </row>
    <row r="24" spans="1:19" s="96" customFormat="1" ht="15" x14ac:dyDescent="0.25">
      <c r="B24" s="163"/>
      <c r="C24" s="230" t="s">
        <v>194</v>
      </c>
      <c r="D24" s="231"/>
      <c r="E24" s="232">
        <f>'System calculation'!B5</f>
        <v>0.2</v>
      </c>
      <c r="F24" s="232">
        <f>'System calculation'!C5</f>
        <v>0.25</v>
      </c>
      <c r="G24" s="232">
        <f>'System calculation'!D5</f>
        <v>0.1</v>
      </c>
      <c r="H24" s="232">
        <f>'System calculation'!E5</f>
        <v>0.05</v>
      </c>
      <c r="I24" s="232">
        <f>'System calculation'!F5</f>
        <v>0.1</v>
      </c>
      <c r="J24" s="232">
        <f>'System calculation'!G5</f>
        <v>0.15</v>
      </c>
      <c r="K24" s="232">
        <f>'System calculation'!H5</f>
        <v>0.1</v>
      </c>
      <c r="L24" s="226">
        <f>'System calculation'!I5</f>
        <v>0.05</v>
      </c>
      <c r="M24"/>
    </row>
    <row r="25" spans="1:19" ht="15" x14ac:dyDescent="0.25">
      <c r="B25" s="164" t="s">
        <v>65</v>
      </c>
      <c r="C25" s="165"/>
      <c r="D25" s="166"/>
      <c r="E25" s="166"/>
      <c r="F25" s="166"/>
      <c r="G25" s="166"/>
      <c r="H25" s="166"/>
      <c r="I25" s="166"/>
      <c r="J25" s="166"/>
      <c r="K25" s="166"/>
      <c r="L25" s="167"/>
      <c r="M25"/>
    </row>
    <row r="26" spans="1:19" s="97" customFormat="1" ht="15" x14ac:dyDescent="0.25">
      <c r="B26" s="168"/>
      <c r="C26" s="10" t="s">
        <v>79</v>
      </c>
      <c r="D26" s="8" t="s">
        <v>0</v>
      </c>
      <c r="E26" s="228">
        <v>11</v>
      </c>
      <c r="F26" s="228">
        <v>17</v>
      </c>
      <c r="G26" s="228">
        <v>17</v>
      </c>
      <c r="H26" s="228">
        <v>22</v>
      </c>
      <c r="I26" s="228">
        <v>11</v>
      </c>
      <c r="J26" s="228">
        <v>17</v>
      </c>
      <c r="K26" s="228">
        <v>17</v>
      </c>
      <c r="L26" s="175">
        <v>22</v>
      </c>
      <c r="M26"/>
    </row>
    <row r="27" spans="1:19" ht="15" x14ac:dyDescent="0.25">
      <c r="B27" s="169"/>
      <c r="C27" s="10" t="s">
        <v>80</v>
      </c>
      <c r="D27" s="8" t="s">
        <v>0</v>
      </c>
      <c r="E27" s="233">
        <v>5</v>
      </c>
      <c r="F27" s="233">
        <v>11</v>
      </c>
      <c r="G27" s="233">
        <v>6</v>
      </c>
      <c r="H27" s="233">
        <v>16</v>
      </c>
      <c r="I27" s="233">
        <v>5</v>
      </c>
      <c r="J27" s="233">
        <v>11</v>
      </c>
      <c r="K27" s="233">
        <v>6</v>
      </c>
      <c r="L27" s="234">
        <v>16</v>
      </c>
      <c r="M27"/>
    </row>
    <row r="28" spans="1:19" ht="15" x14ac:dyDescent="0.25">
      <c r="B28" s="169"/>
      <c r="C28" s="10" t="s">
        <v>81</v>
      </c>
      <c r="D28" s="8" t="s">
        <v>2</v>
      </c>
      <c r="E28" s="227">
        <f>IFERROR(E26-E27,"")</f>
        <v>6</v>
      </c>
      <c r="F28" s="227">
        <f t="shared" ref="F28:H28" si="0">IFERROR(F26-F27,"")</f>
        <v>6</v>
      </c>
      <c r="G28" s="227">
        <f t="shared" ref="G28" si="1">IFERROR(G26-G27,"")</f>
        <v>11</v>
      </c>
      <c r="H28" s="227">
        <f t="shared" si="0"/>
        <v>6</v>
      </c>
      <c r="I28" s="227">
        <f>IFERROR(I26-I27,"")</f>
        <v>6</v>
      </c>
      <c r="J28" s="227">
        <f t="shared" ref="J28:L28" si="2">IFERROR(J26-J27,"")</f>
        <v>6</v>
      </c>
      <c r="K28" s="227">
        <f t="shared" si="2"/>
        <v>11</v>
      </c>
      <c r="L28" s="248">
        <f t="shared" si="2"/>
        <v>6</v>
      </c>
      <c r="M28"/>
    </row>
    <row r="29" spans="1:19" ht="15.75" thickBot="1" x14ac:dyDescent="0.3">
      <c r="B29" s="169"/>
      <c r="C29" s="10" t="s">
        <v>200</v>
      </c>
      <c r="D29" s="8" t="s">
        <v>201</v>
      </c>
      <c r="E29" s="235">
        <f>E30/(4.19*980/3600*E28)</f>
        <v>0</v>
      </c>
      <c r="F29" s="235">
        <f t="shared" ref="F29:L29" si="3">F30/(4.19*980/3600*F28)</f>
        <v>0</v>
      </c>
      <c r="G29" s="235">
        <f t="shared" si="3"/>
        <v>0</v>
      </c>
      <c r="H29" s="235">
        <f t="shared" si="3"/>
        <v>0</v>
      </c>
      <c r="I29" s="235">
        <f t="shared" si="3"/>
        <v>0</v>
      </c>
      <c r="J29" s="235">
        <f t="shared" si="3"/>
        <v>0</v>
      </c>
      <c r="K29" s="235">
        <f t="shared" si="3"/>
        <v>0</v>
      </c>
      <c r="L29" s="221">
        <f t="shared" si="3"/>
        <v>0</v>
      </c>
      <c r="M29"/>
    </row>
    <row r="30" spans="1:19" s="97" customFormat="1" ht="15.75" thickBot="1" x14ac:dyDescent="0.3">
      <c r="B30" s="169"/>
      <c r="C30" s="236" t="s">
        <v>82</v>
      </c>
      <c r="D30" s="9" t="s">
        <v>1</v>
      </c>
      <c r="E30" s="116"/>
      <c r="F30" s="237"/>
      <c r="G30" s="237"/>
      <c r="H30" s="237"/>
      <c r="I30" s="237"/>
      <c r="J30" s="237"/>
      <c r="K30" s="237"/>
      <c r="L30" s="2"/>
      <c r="M30" s="1"/>
    </row>
    <row r="31" spans="1:19" ht="15" x14ac:dyDescent="0.25">
      <c r="B31" s="169"/>
      <c r="C31" s="236" t="s">
        <v>83</v>
      </c>
      <c r="D31" s="9" t="s">
        <v>4</v>
      </c>
      <c r="E31" s="237"/>
      <c r="F31" s="237"/>
      <c r="G31" s="237"/>
      <c r="H31" s="237"/>
      <c r="I31" s="237"/>
      <c r="J31" s="237"/>
      <c r="K31" s="237"/>
      <c r="L31" s="2"/>
      <c r="M31"/>
    </row>
    <row r="32" spans="1:19" ht="0" hidden="1" customHeight="1" x14ac:dyDescent="0.25">
      <c r="B32" s="170"/>
      <c r="E32" s="238"/>
      <c r="F32" s="238"/>
      <c r="G32" s="238"/>
      <c r="H32" s="238"/>
      <c r="I32" s="238"/>
      <c r="J32" s="238"/>
      <c r="K32" s="238"/>
      <c r="L32" s="109"/>
    </row>
    <row r="33" spans="1:16" ht="15" x14ac:dyDescent="0.25">
      <c r="B33" s="172"/>
      <c r="C33" s="173" t="s">
        <v>84</v>
      </c>
      <c r="D33" s="174" t="s">
        <v>0</v>
      </c>
      <c r="E33" s="87"/>
      <c r="F33" s="87"/>
      <c r="G33" s="87"/>
      <c r="H33" s="87"/>
      <c r="I33" s="87"/>
      <c r="J33" s="87"/>
      <c r="K33" s="87"/>
      <c r="L33" s="88"/>
      <c r="M33" s="18"/>
    </row>
    <row r="34" spans="1:16" ht="15" x14ac:dyDescent="0.25">
      <c r="B34" s="164" t="s">
        <v>85</v>
      </c>
      <c r="C34" s="165"/>
      <c r="D34" s="166"/>
      <c r="E34" s="166"/>
      <c r="F34" s="166"/>
      <c r="G34" s="166"/>
      <c r="H34" s="166"/>
      <c r="I34" s="166"/>
      <c r="J34" s="166"/>
      <c r="K34" s="166"/>
      <c r="L34" s="167"/>
      <c r="M34"/>
    </row>
    <row r="35" spans="1:16" s="97" customFormat="1" ht="15" x14ac:dyDescent="0.25">
      <c r="B35" s="168"/>
      <c r="C35" s="10" t="s">
        <v>86</v>
      </c>
      <c r="D35" s="8" t="s">
        <v>0</v>
      </c>
      <c r="E35" s="228">
        <v>50</v>
      </c>
      <c r="F35" s="228">
        <v>50</v>
      </c>
      <c r="G35" s="228">
        <v>50</v>
      </c>
      <c r="H35" s="228">
        <v>50</v>
      </c>
      <c r="I35" s="228">
        <v>35</v>
      </c>
      <c r="J35" s="228">
        <v>35</v>
      </c>
      <c r="K35" s="228">
        <v>35</v>
      </c>
      <c r="L35" s="175">
        <v>35</v>
      </c>
      <c r="M35"/>
    </row>
    <row r="36" spans="1:16" s="97" customFormat="1" ht="15" x14ac:dyDescent="0.25">
      <c r="B36" s="169"/>
      <c r="C36" s="10" t="s">
        <v>87</v>
      </c>
      <c r="D36" s="8" t="s">
        <v>0</v>
      </c>
      <c r="E36" s="228">
        <v>72</v>
      </c>
      <c r="F36" s="228">
        <v>72</v>
      </c>
      <c r="G36" s="228">
        <v>72</v>
      </c>
      <c r="H36" s="228">
        <v>72</v>
      </c>
      <c r="I36" s="228">
        <v>72</v>
      </c>
      <c r="J36" s="228">
        <v>72</v>
      </c>
      <c r="K36" s="228">
        <v>72</v>
      </c>
      <c r="L36" s="175">
        <v>72</v>
      </c>
      <c r="M36"/>
    </row>
    <row r="37" spans="1:16" ht="15" x14ac:dyDescent="0.25">
      <c r="B37" s="168"/>
      <c r="C37" s="10" t="s">
        <v>88</v>
      </c>
      <c r="D37" s="8" t="s">
        <v>2</v>
      </c>
      <c r="E37" s="239">
        <f>E36-E35</f>
        <v>22</v>
      </c>
      <c r="F37" s="239">
        <f t="shared" ref="F37:G37" si="4">F36-F35</f>
        <v>22</v>
      </c>
      <c r="G37" s="239">
        <f t="shared" si="4"/>
        <v>22</v>
      </c>
      <c r="H37" s="239">
        <f>H36-H35</f>
        <v>22</v>
      </c>
      <c r="I37" s="239">
        <f>I36-I35</f>
        <v>37</v>
      </c>
      <c r="J37" s="239">
        <f t="shared" ref="J37:K37" si="5">J36-J35</f>
        <v>37</v>
      </c>
      <c r="K37" s="239">
        <f t="shared" si="5"/>
        <v>37</v>
      </c>
      <c r="L37" s="220">
        <f>L36-L35</f>
        <v>37</v>
      </c>
      <c r="M37"/>
    </row>
    <row r="38" spans="1:16" ht="17.25" x14ac:dyDescent="0.25">
      <c r="B38" s="168"/>
      <c r="C38" s="236" t="s">
        <v>147</v>
      </c>
      <c r="D38" s="9" t="s">
        <v>1</v>
      </c>
      <c r="E38" s="237"/>
      <c r="F38" s="237"/>
      <c r="G38" s="237"/>
      <c r="H38" s="237"/>
      <c r="I38" s="237"/>
      <c r="J38" s="237"/>
      <c r="K38" s="237"/>
      <c r="L38" s="2"/>
      <c r="M38"/>
    </row>
    <row r="39" spans="1:16" ht="15" x14ac:dyDescent="0.25">
      <c r="B39" s="170"/>
      <c r="C39" s="10" t="s">
        <v>3</v>
      </c>
      <c r="D39" s="8" t="s">
        <v>201</v>
      </c>
      <c r="E39" s="235">
        <f>E38/(980*4.19*E37)*3600</f>
        <v>0</v>
      </c>
      <c r="F39" s="235">
        <f t="shared" ref="F39:G39" si="6">F38/(980*4.19*F37)*3600</f>
        <v>0</v>
      </c>
      <c r="G39" s="235">
        <f t="shared" si="6"/>
        <v>0</v>
      </c>
      <c r="H39" s="235">
        <f>H38/(980*4.19*H37)*3600</f>
        <v>0</v>
      </c>
      <c r="I39" s="235">
        <f>I38/(980*4.19*I37)*3600</f>
        <v>0</v>
      </c>
      <c r="J39" s="235">
        <f t="shared" ref="J39:K39" si="7">J38/(980*4.19*J37)*3600</f>
        <v>0</v>
      </c>
      <c r="K39" s="235">
        <f t="shared" si="7"/>
        <v>0</v>
      </c>
      <c r="L39" s="221">
        <f>L38/(980*4.19*L37)*3600</f>
        <v>0</v>
      </c>
      <c r="M39"/>
    </row>
    <row r="40" spans="1:16" ht="15" x14ac:dyDescent="0.25">
      <c r="B40" s="169"/>
      <c r="C40" s="10" t="s">
        <v>83</v>
      </c>
      <c r="D40" s="8" t="s">
        <v>4</v>
      </c>
      <c r="E40" s="237"/>
      <c r="F40" s="237"/>
      <c r="G40" s="237"/>
      <c r="H40" s="237"/>
      <c r="I40" s="237"/>
      <c r="J40" s="237"/>
      <c r="K40" s="237"/>
      <c r="L40" s="2"/>
      <c r="M40"/>
    </row>
    <row r="41" spans="1:16" ht="15" x14ac:dyDescent="0.25">
      <c r="B41" s="177" t="s">
        <v>100</v>
      </c>
      <c r="C41" s="165"/>
      <c r="D41" s="166"/>
      <c r="E41" s="166"/>
      <c r="F41" s="166"/>
      <c r="G41" s="166"/>
      <c r="H41" s="166"/>
      <c r="I41" s="166"/>
      <c r="J41" s="166"/>
      <c r="K41" s="166"/>
      <c r="L41" s="167"/>
      <c r="M41"/>
    </row>
    <row r="42" spans="1:16" ht="15" x14ac:dyDescent="0.25">
      <c r="B42" s="168"/>
      <c r="C42" s="10" t="s">
        <v>145</v>
      </c>
      <c r="D42" s="8" t="s">
        <v>1</v>
      </c>
      <c r="E42" s="237"/>
      <c r="F42" s="237"/>
      <c r="G42" s="237"/>
      <c r="H42" s="237"/>
      <c r="I42" s="237"/>
      <c r="J42" s="237"/>
      <c r="K42" s="237"/>
      <c r="L42" s="2"/>
      <c r="M42"/>
      <c r="O42" s="10"/>
    </row>
    <row r="43" spans="1:16" s="97" customFormat="1" ht="15" x14ac:dyDescent="0.25">
      <c r="B43" s="168"/>
      <c r="C43" s="236" t="s">
        <v>164</v>
      </c>
      <c r="D43" s="8" t="s">
        <v>1</v>
      </c>
      <c r="E43" s="237"/>
      <c r="F43" s="237"/>
      <c r="G43" s="237"/>
      <c r="H43" s="237"/>
      <c r="I43" s="237"/>
      <c r="J43" s="237"/>
      <c r="K43" s="237"/>
      <c r="L43" s="2"/>
      <c r="M43"/>
      <c r="N43"/>
      <c r="O43"/>
      <c r="P43"/>
    </row>
    <row r="44" spans="1:16" ht="15" x14ac:dyDescent="0.25">
      <c r="B44" s="168"/>
      <c r="C44" s="34" t="s">
        <v>165</v>
      </c>
      <c r="D44" s="8" t="s">
        <v>1</v>
      </c>
      <c r="E44" s="237"/>
      <c r="F44" s="237"/>
      <c r="G44" s="237"/>
      <c r="H44" s="237"/>
      <c r="I44" s="237"/>
      <c r="J44" s="237"/>
      <c r="K44" s="237"/>
      <c r="L44" s="2"/>
      <c r="M44"/>
      <c r="N44"/>
      <c r="O44"/>
      <c r="P44"/>
    </row>
    <row r="45" spans="1:16" ht="15" x14ac:dyDescent="0.25">
      <c r="B45" s="168"/>
      <c r="C45" s="173" t="s">
        <v>146</v>
      </c>
      <c r="D45" s="174" t="s">
        <v>1</v>
      </c>
      <c r="E45" s="117"/>
      <c r="F45" s="117"/>
      <c r="G45" s="117"/>
      <c r="H45" s="117"/>
      <c r="I45" s="117"/>
      <c r="J45" s="117"/>
      <c r="K45" s="117"/>
      <c r="L45" s="118"/>
      <c r="M45"/>
      <c r="N45"/>
      <c r="O45"/>
      <c r="P45"/>
    </row>
    <row r="46" spans="1:16" s="36" customFormat="1" ht="17.25" x14ac:dyDescent="0.25">
      <c r="A46" s="98"/>
      <c r="B46" s="168"/>
      <c r="C46" s="10" t="s">
        <v>143</v>
      </c>
      <c r="D46" s="8" t="s">
        <v>1</v>
      </c>
      <c r="E46" s="239">
        <f>(E44+E42+E43+E45)*Elfaktor</f>
        <v>0</v>
      </c>
      <c r="F46" s="239">
        <f t="shared" ref="F46:L46" si="8">(F44+F42+F43+F45)*Elfaktor</f>
        <v>0</v>
      </c>
      <c r="G46" s="239">
        <f t="shared" ref="G46" si="9">(G44+G42+G43+G45)*Elfaktor</f>
        <v>0</v>
      </c>
      <c r="H46" s="239">
        <f t="shared" si="8"/>
        <v>0</v>
      </c>
      <c r="I46" s="239">
        <f>(I44+I42+I43+I45)*Elfaktor</f>
        <v>0</v>
      </c>
      <c r="J46" s="239">
        <f t="shared" si="8"/>
        <v>0</v>
      </c>
      <c r="K46" s="239">
        <f t="shared" ref="K46" si="10">(K44+K42+K43+K45)*Elfaktor</f>
        <v>0</v>
      </c>
      <c r="L46" s="220">
        <f t="shared" si="8"/>
        <v>0</v>
      </c>
      <c r="M46"/>
    </row>
    <row r="47" spans="1:16" ht="15.75" x14ac:dyDescent="0.25">
      <c r="A47" s="99"/>
      <c r="B47" s="164" t="s">
        <v>188</v>
      </c>
      <c r="C47" s="178"/>
      <c r="D47" s="179"/>
      <c r="E47" s="179"/>
      <c r="F47" s="179"/>
      <c r="G47" s="179"/>
      <c r="H47" s="179"/>
      <c r="I47" s="179"/>
      <c r="J47" s="179"/>
      <c r="K47" s="179"/>
      <c r="L47" s="180"/>
      <c r="M47"/>
    </row>
    <row r="48" spans="1:16" ht="15.75" x14ac:dyDescent="0.25">
      <c r="A48" s="99"/>
      <c r="B48" s="168"/>
      <c r="C48" s="10" t="s">
        <v>196</v>
      </c>
      <c r="D48" s="8" t="s">
        <v>6</v>
      </c>
      <c r="E48" s="240" t="e">
        <f t="shared" ref="E48:L48" si="11">E38/E46</f>
        <v>#DIV/0!</v>
      </c>
      <c r="F48" s="240" t="e">
        <f t="shared" si="11"/>
        <v>#DIV/0!</v>
      </c>
      <c r="G48" s="240" t="e">
        <f t="shared" ref="G48" si="12">G38/G46</f>
        <v>#DIV/0!</v>
      </c>
      <c r="H48" s="240" t="e">
        <f t="shared" si="11"/>
        <v>#DIV/0!</v>
      </c>
      <c r="I48" s="240" t="e">
        <f t="shared" si="11"/>
        <v>#DIV/0!</v>
      </c>
      <c r="J48" s="240" t="e">
        <f t="shared" si="11"/>
        <v>#DIV/0!</v>
      </c>
      <c r="K48" s="240" t="e">
        <f t="shared" ref="K48" si="13">K38/K46</f>
        <v>#DIV/0!</v>
      </c>
      <c r="L48" s="222" t="e">
        <f t="shared" si="11"/>
        <v>#DIV/0!</v>
      </c>
      <c r="M48"/>
      <c r="O48" s="36"/>
    </row>
    <row r="49" spans="2:17" ht="15" x14ac:dyDescent="0.25">
      <c r="B49" s="168"/>
      <c r="C49" s="37" t="s">
        <v>89</v>
      </c>
      <c r="D49" s="8" t="s">
        <v>2</v>
      </c>
      <c r="E49" s="239">
        <f t="shared" ref="E49:L49" si="14">(E26-E27)/LN((E26+Kelvin)/MAX(1,E27+Kelvin))</f>
        <v>281.13932921539345</v>
      </c>
      <c r="F49" s="239">
        <f t="shared" si="14"/>
        <v>287.13955219458313</v>
      </c>
      <c r="G49" s="239">
        <f t="shared" ref="G49" si="15">(G26-G27)/LN((G26+Kelvin)/MAX(1,G27+Kelvin))</f>
        <v>284.61457285299093</v>
      </c>
      <c r="H49" s="239">
        <f t="shared" si="14"/>
        <v>292.13973101365207</v>
      </c>
      <c r="I49" s="239">
        <f t="shared" si="14"/>
        <v>281.13932921539345</v>
      </c>
      <c r="J49" s="239">
        <f t="shared" si="14"/>
        <v>287.13955219458313</v>
      </c>
      <c r="K49" s="239">
        <f t="shared" ref="K49" si="16">(K26-K27)/LN((K26+Kelvin)/MAX(1,K27+Kelvin))</f>
        <v>284.61457285299093</v>
      </c>
      <c r="L49" s="220">
        <f t="shared" si="14"/>
        <v>292.13973101365207</v>
      </c>
      <c r="M49"/>
      <c r="O49" s="37"/>
    </row>
    <row r="50" spans="2:17" s="97" customFormat="1" ht="15" x14ac:dyDescent="0.25">
      <c r="B50" s="168"/>
      <c r="C50" s="34" t="s">
        <v>90</v>
      </c>
      <c r="D50" s="9" t="s">
        <v>2</v>
      </c>
      <c r="E50" s="239">
        <f t="shared" ref="E50:L50" si="17">(E36-E35)/LN((E36+Kelvin)/MAX(1,E35+Kelvin))</f>
        <v>334.02926082426529</v>
      </c>
      <c r="F50" s="239">
        <f t="shared" si="17"/>
        <v>334.02926082426529</v>
      </c>
      <c r="G50" s="239">
        <f t="shared" ref="G50" si="18">(G36-G35)/LN((G36+Kelvin)/MAX(1,G35+Kelvin))</f>
        <v>334.02926082426529</v>
      </c>
      <c r="H50" s="239">
        <f t="shared" si="17"/>
        <v>334.02926082426529</v>
      </c>
      <c r="I50" s="239">
        <f t="shared" si="17"/>
        <v>326.30044824894281</v>
      </c>
      <c r="J50" s="239">
        <f t="shared" si="17"/>
        <v>326.30044824894281</v>
      </c>
      <c r="K50" s="239">
        <f t="shared" ref="K50" si="19">(K36-K35)/LN((K36+Kelvin)/MAX(1,K35+Kelvin))</f>
        <v>326.30044824894281</v>
      </c>
      <c r="L50" s="220">
        <f t="shared" si="17"/>
        <v>326.30044824894281</v>
      </c>
      <c r="M50"/>
      <c r="O50"/>
      <c r="P50"/>
    </row>
    <row r="51" spans="2:17" s="97" customFormat="1" ht="15" x14ac:dyDescent="0.25">
      <c r="B51" s="181"/>
      <c r="C51" s="241" t="s">
        <v>7</v>
      </c>
      <c r="D51" s="242" t="s">
        <v>6</v>
      </c>
      <c r="E51" s="240">
        <f>E50/MAX(1,E50-E49)</f>
        <v>6.3155547882810019</v>
      </c>
      <c r="F51" s="240">
        <f t="shared" ref="F51:G51" si="20">F50/MAX(1,F50-F49)</f>
        <v>7.1237222534758473</v>
      </c>
      <c r="G51" s="240">
        <f t="shared" si="20"/>
        <v>6.7597160791229207</v>
      </c>
      <c r="H51" s="240">
        <f>H50/MAX(1,H50-H49)</f>
        <v>7.9740513282064791</v>
      </c>
      <c r="I51" s="240">
        <f>I50/MAX(1,I50-I49)</f>
        <v>7.2252516153671964</v>
      </c>
      <c r="J51" s="240">
        <f t="shared" ref="J51:K51" si="21">J50/MAX(1,J50-J49)</f>
        <v>8.3323029124768109</v>
      </c>
      <c r="K51" s="240">
        <f t="shared" si="21"/>
        <v>7.8276021589948392</v>
      </c>
      <c r="L51" s="222">
        <f>L50/MAX(1,L50-L49)</f>
        <v>9.5519202949242654</v>
      </c>
      <c r="M51"/>
      <c r="O51"/>
      <c r="P51"/>
    </row>
    <row r="52" spans="2:17" s="37" customFormat="1" ht="17.25" x14ac:dyDescent="0.25">
      <c r="B52" s="182"/>
      <c r="C52" s="183" t="s">
        <v>152</v>
      </c>
      <c r="D52" s="243" t="s">
        <v>8</v>
      </c>
      <c r="E52" s="244" t="e">
        <f t="shared" ref="E52:L52" si="22">E48/E51</f>
        <v>#DIV/0!</v>
      </c>
      <c r="F52" s="244" t="e">
        <f t="shared" si="22"/>
        <v>#DIV/0!</v>
      </c>
      <c r="G52" s="244" t="e">
        <f t="shared" ref="G52" si="23">G48/G51</f>
        <v>#DIV/0!</v>
      </c>
      <c r="H52" s="244" t="e">
        <f t="shared" si="22"/>
        <v>#DIV/0!</v>
      </c>
      <c r="I52" s="244" t="e">
        <f t="shared" si="22"/>
        <v>#DIV/0!</v>
      </c>
      <c r="J52" s="244" t="e">
        <f t="shared" si="22"/>
        <v>#DIV/0!</v>
      </c>
      <c r="K52" s="244" t="e">
        <f t="shared" ref="K52" si="24">K48/K51</f>
        <v>#DIV/0!</v>
      </c>
      <c r="L52" s="223" t="e">
        <f t="shared" si="22"/>
        <v>#DIV/0!</v>
      </c>
      <c r="M52" s="104"/>
      <c r="O52"/>
      <c r="P52"/>
    </row>
    <row r="53" spans="2:17" ht="15" x14ac:dyDescent="0.25">
      <c r="B53" s="164" t="s">
        <v>101</v>
      </c>
      <c r="C53" s="184"/>
      <c r="D53" s="184"/>
      <c r="E53" s="184"/>
      <c r="F53" s="184"/>
      <c r="G53" s="184"/>
      <c r="H53" s="184"/>
      <c r="I53" s="184"/>
      <c r="J53" s="184"/>
      <c r="K53" s="184"/>
      <c r="L53" s="185"/>
      <c r="M53" s="101"/>
      <c r="N53" s="8"/>
      <c r="O53"/>
      <c r="P53"/>
      <c r="Q53" s="10"/>
    </row>
    <row r="54" spans="2:17" ht="17.25" x14ac:dyDescent="0.25">
      <c r="B54" s="168"/>
      <c r="C54" s="236" t="s">
        <v>153</v>
      </c>
      <c r="D54" s="8" t="s">
        <v>1</v>
      </c>
      <c r="E54" s="235">
        <f>E38-E46</f>
        <v>0</v>
      </c>
      <c r="F54" s="235">
        <f t="shared" ref="F54:L54" si="25">F38-F46</f>
        <v>0</v>
      </c>
      <c r="G54" s="235">
        <f t="shared" ref="G54" si="26">G38-G46</f>
        <v>0</v>
      </c>
      <c r="H54" s="235">
        <f t="shared" si="25"/>
        <v>0</v>
      </c>
      <c r="I54" s="235">
        <f t="shared" si="25"/>
        <v>0</v>
      </c>
      <c r="J54" s="235">
        <f t="shared" si="25"/>
        <v>0</v>
      </c>
      <c r="K54" s="235">
        <f t="shared" ref="K54" si="27">K38-K46</f>
        <v>0</v>
      </c>
      <c r="L54" s="221">
        <f t="shared" si="25"/>
        <v>0</v>
      </c>
      <c r="M54" s="12"/>
      <c r="N54" s="8"/>
      <c r="O54" s="8"/>
      <c r="P54" s="8"/>
      <c r="Q54" s="10"/>
    </row>
    <row r="55" spans="2:17" s="97" customFormat="1" ht="15" x14ac:dyDescent="0.25">
      <c r="B55" s="169"/>
      <c r="C55" s="5" t="s">
        <v>198</v>
      </c>
      <c r="D55" s="105" t="s">
        <v>1</v>
      </c>
      <c r="E55" s="245">
        <f t="shared" ref="E55:L55" si="28">E46+E30-E38</f>
        <v>0</v>
      </c>
      <c r="F55" s="245">
        <f t="shared" si="28"/>
        <v>0</v>
      </c>
      <c r="G55" s="245">
        <f t="shared" ref="G55" si="29">G46+G30-G38</f>
        <v>0</v>
      </c>
      <c r="H55" s="245">
        <f t="shared" si="28"/>
        <v>0</v>
      </c>
      <c r="I55" s="245">
        <f t="shared" si="28"/>
        <v>0</v>
      </c>
      <c r="J55" s="245">
        <f t="shared" si="28"/>
        <v>0</v>
      </c>
      <c r="K55" s="245">
        <f t="shared" ref="K55" si="30">K46+K30-K38</f>
        <v>0</v>
      </c>
      <c r="L55" s="224">
        <f t="shared" si="28"/>
        <v>0</v>
      </c>
      <c r="M55" s="105"/>
    </row>
    <row r="56" spans="2:17" ht="15" hidden="1" x14ac:dyDescent="0.25">
      <c r="B56" s="169"/>
      <c r="C56" s="236" t="s">
        <v>27</v>
      </c>
      <c r="D56" s="9" t="s">
        <v>1</v>
      </c>
      <c r="E56" s="9">
        <f>E38-E46</f>
        <v>0</v>
      </c>
      <c r="F56" s="9">
        <f>F38-F46</f>
        <v>0</v>
      </c>
      <c r="G56" s="9">
        <f>G38-G46</f>
        <v>0</v>
      </c>
      <c r="H56" s="9">
        <f>H38-H46</f>
        <v>0</v>
      </c>
      <c r="I56" s="9"/>
      <c r="J56" s="9"/>
      <c r="K56" s="9"/>
      <c r="L56" s="176">
        <f>L38-L46</f>
        <v>0</v>
      </c>
      <c r="M56" s="9"/>
    </row>
    <row r="57" spans="2:17" ht="15" hidden="1" x14ac:dyDescent="0.25">
      <c r="B57" s="169"/>
      <c r="C57" s="236" t="s">
        <v>28</v>
      </c>
      <c r="D57" s="9" t="s">
        <v>1</v>
      </c>
      <c r="E57" s="9">
        <f>E30+E46-E38</f>
        <v>0</v>
      </c>
      <c r="F57" s="9">
        <f>F30+F46-F38</f>
        <v>0</v>
      </c>
      <c r="G57" s="9">
        <f>G30+G46-G38</f>
        <v>0</v>
      </c>
      <c r="H57" s="9">
        <f>H30+H46-H38</f>
        <v>0</v>
      </c>
      <c r="I57" s="9"/>
      <c r="J57" s="9"/>
      <c r="K57" s="9"/>
      <c r="L57" s="176">
        <f>L30+L46-L38</f>
        <v>0</v>
      </c>
      <c r="M57" s="9"/>
    </row>
    <row r="58" spans="2:17" ht="15" hidden="1" customHeight="1" x14ac:dyDescent="0.25">
      <c r="B58" s="170"/>
      <c r="L58" s="171"/>
    </row>
    <row r="59" spans="2:17" ht="15" x14ac:dyDescent="0.25">
      <c r="B59" s="177" t="s">
        <v>102</v>
      </c>
      <c r="C59" s="178"/>
      <c r="D59" s="178"/>
      <c r="E59" s="178"/>
      <c r="F59" s="178"/>
      <c r="G59" s="178"/>
      <c r="H59" s="178"/>
      <c r="I59" s="178"/>
      <c r="J59" s="178"/>
      <c r="K59" s="178"/>
      <c r="L59" s="186"/>
    </row>
    <row r="60" spans="2:17" ht="15.75" thickBot="1" x14ac:dyDescent="0.3">
      <c r="B60" s="187"/>
      <c r="C60" s="188"/>
      <c r="D60" s="189" t="e">
        <f>'System calculation'!B41</f>
        <v>#DIV/0!</v>
      </c>
      <c r="E60" s="190" t="s">
        <v>103</v>
      </c>
      <c r="F60" s="190"/>
      <c r="G60" s="190"/>
      <c r="H60" s="190"/>
      <c r="I60" s="190"/>
      <c r="J60" s="190"/>
      <c r="K60" s="190"/>
      <c r="L60" s="191"/>
    </row>
    <row r="61" spans="2:17" ht="15" x14ac:dyDescent="0.25"/>
    <row r="62" spans="2:17" ht="15" customHeight="1" x14ac:dyDescent="0.25">
      <c r="B62" t="s">
        <v>144</v>
      </c>
      <c r="D62"/>
      <c r="E62"/>
      <c r="F62"/>
      <c r="G62"/>
    </row>
    <row r="63" spans="2:17" ht="15" customHeight="1" x14ac:dyDescent="0.25">
      <c r="B63" s="34" t="s">
        <v>148</v>
      </c>
      <c r="D63"/>
      <c r="E63"/>
      <c r="F63"/>
      <c r="G63"/>
    </row>
    <row r="64" spans="2:17" ht="15" customHeight="1" x14ac:dyDescent="0.25">
      <c r="B64" t="s">
        <v>150</v>
      </c>
      <c r="D64"/>
      <c r="E64"/>
      <c r="F64"/>
      <c r="G64"/>
    </row>
    <row r="65" spans="2:7" ht="15" customHeight="1" x14ac:dyDescent="0.25">
      <c r="B65" t="s">
        <v>151</v>
      </c>
      <c r="D65"/>
      <c r="E65"/>
      <c r="F65"/>
      <c r="G65"/>
    </row>
    <row r="66" spans="2:7" ht="15" customHeight="1" x14ac:dyDescent="0.25">
      <c r="D66"/>
      <c r="E66"/>
      <c r="F66"/>
      <c r="G66"/>
    </row>
    <row r="67" spans="2:7" ht="15" customHeight="1" x14ac:dyDescent="0.25"/>
    <row r="68" spans="2:7" ht="0" hidden="1" customHeight="1" x14ac:dyDescent="0.25">
      <c r="B68" s="103" t="s">
        <v>26</v>
      </c>
      <c r="C68" s="102">
        <v>11</v>
      </c>
    </row>
  </sheetData>
  <sheetProtection algorithmName="SHA-512" hashValue="HSBvhr1EjJjD2T3ME9tTAB5kAAfwwo2h0wa2t0pe7hl4EAwDRavCeZcWvN+mqYIMIjMC3BKl0/W6+Mm+z9W4gQ==" saltValue="Ujo5VZJr67LoK9F+sRiMeA==" spinCount="100000" sheet="1" objects="1" scenarios="1"/>
  <mergeCells count="2">
    <mergeCell ref="B14:C14"/>
    <mergeCell ref="B12:C12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1462C-1E53-4AB8-B7A9-468F518052BF}">
  <sheetPr codeName="Ark3">
    <tabColor theme="8" tint="0.39997558519241921"/>
  </sheetPr>
  <dimension ref="A1:T573"/>
  <sheetViews>
    <sheetView zoomScale="92" zoomScaleNormal="130" workbookViewId="0">
      <selection activeCell="F20" sqref="F20"/>
    </sheetView>
  </sheetViews>
  <sheetFormatPr defaultRowHeight="15" x14ac:dyDescent="0.25"/>
  <cols>
    <col min="1" max="1" width="34.140625" customWidth="1"/>
    <col min="2" max="10" width="16.7109375" customWidth="1"/>
    <col min="11" max="12" width="11.28515625" customWidth="1"/>
    <col min="13" max="13" width="36.5703125" bestFit="1" customWidth="1"/>
    <col min="14" max="14" width="17.5703125" bestFit="1" customWidth="1"/>
    <col min="15" max="15" width="31.7109375" bestFit="1" customWidth="1"/>
    <col min="16" max="16" width="17.7109375" bestFit="1" customWidth="1"/>
    <col min="17" max="17" width="22" bestFit="1" customWidth="1"/>
    <col min="18" max="18" width="13" customWidth="1"/>
    <col min="19" max="19" width="10.85546875" customWidth="1"/>
    <col min="20" max="20" width="27.28515625" customWidth="1"/>
    <col min="21" max="21" width="14" bestFit="1" customWidth="1"/>
    <col min="22" max="22" width="18.7109375" bestFit="1" customWidth="1"/>
    <col min="23" max="23" width="18.5703125" bestFit="1" customWidth="1"/>
    <col min="24" max="24" width="18.5703125" customWidth="1"/>
    <col min="25" max="25" width="31.7109375" bestFit="1" customWidth="1"/>
    <col min="26" max="26" width="16.7109375" bestFit="1" customWidth="1"/>
    <col min="27" max="27" width="17.7109375" bestFit="1" customWidth="1"/>
    <col min="28" max="28" width="16.85546875" bestFit="1" customWidth="1"/>
    <col min="29" max="29" width="16.28515625" bestFit="1" customWidth="1"/>
    <col min="30" max="30" width="30" bestFit="1" customWidth="1"/>
    <col min="33" max="33" width="16.42578125" bestFit="1" customWidth="1"/>
  </cols>
  <sheetData>
    <row r="1" spans="1:20" ht="21.75" thickBot="1" x14ac:dyDescent="0.4">
      <c r="A1" s="113" t="s">
        <v>73</v>
      </c>
      <c r="B1" s="113"/>
      <c r="C1" s="113"/>
      <c r="D1" s="113"/>
      <c r="E1" s="113"/>
      <c r="F1" s="113"/>
      <c r="G1" s="113"/>
      <c r="H1" s="113"/>
      <c r="I1" s="246"/>
      <c r="J1" s="246"/>
    </row>
    <row r="2" spans="1:20" x14ac:dyDescent="0.25">
      <c r="A2" s="3"/>
    </row>
    <row r="3" spans="1:20" x14ac:dyDescent="0.25">
      <c r="A3" s="6" t="s">
        <v>72</v>
      </c>
      <c r="B3" s="5"/>
      <c r="C3" s="5"/>
      <c r="D3" s="5"/>
      <c r="E3" s="5"/>
      <c r="F3" s="5"/>
      <c r="G3" s="5"/>
      <c r="H3" s="5"/>
      <c r="I3" s="5"/>
      <c r="J3" s="5"/>
    </row>
    <row r="4" spans="1:20" ht="15.75" thickBot="1" x14ac:dyDescent="0.3">
      <c r="A4" s="10" t="str">
        <f>'Operating data'!C22</f>
        <v>Operating point</v>
      </c>
      <c r="B4" s="9">
        <f>'Operating data'!E22</f>
        <v>1</v>
      </c>
      <c r="C4" s="9">
        <f>'Operating data'!F22</f>
        <v>2</v>
      </c>
      <c r="D4" s="9">
        <f>'Operating data'!G22</f>
        <v>3</v>
      </c>
      <c r="E4" s="9">
        <f>'Operating data'!H22</f>
        <v>4</v>
      </c>
      <c r="F4" s="9">
        <f>'Operating data'!I22</f>
        <v>5</v>
      </c>
      <c r="G4" s="9">
        <f>'Operating data'!J22</f>
        <v>6</v>
      </c>
      <c r="H4" s="9">
        <f>'Operating data'!K22</f>
        <v>7</v>
      </c>
      <c r="I4" s="9">
        <f>'Operating data'!L22</f>
        <v>8</v>
      </c>
      <c r="M4" t="s">
        <v>142</v>
      </c>
    </row>
    <row r="5" spans="1:20" ht="16.5" x14ac:dyDescent="0.35">
      <c r="A5" s="110" t="s">
        <v>66</v>
      </c>
      <c r="B5" s="198">
        <v>0.2</v>
      </c>
      <c r="C5" s="198">
        <v>0.25</v>
      </c>
      <c r="D5" s="198">
        <v>0.1</v>
      </c>
      <c r="E5" s="198">
        <v>0.05</v>
      </c>
      <c r="F5" s="198">
        <v>0.1</v>
      </c>
      <c r="G5" s="247">
        <v>0.15</v>
      </c>
      <c r="H5" s="247">
        <v>0.1</v>
      </c>
      <c r="I5" s="198">
        <v>0.05</v>
      </c>
      <c r="J5" s="3" t="s">
        <v>69</v>
      </c>
      <c r="M5" s="130"/>
      <c r="N5" s="131"/>
      <c r="O5" s="132"/>
      <c r="Q5" s="210" t="s">
        <v>167</v>
      </c>
      <c r="R5" s="199"/>
      <c r="S5" s="199"/>
      <c r="T5" s="199"/>
    </row>
    <row r="6" spans="1:20" ht="16.5" x14ac:dyDescent="0.35">
      <c r="A6" s="10" t="s">
        <v>5</v>
      </c>
      <c r="B6" s="112" t="e">
        <f>'Operating data'!E48</f>
        <v>#DIV/0!</v>
      </c>
      <c r="C6" s="112" t="e">
        <f>'Operating data'!F48</f>
        <v>#DIV/0!</v>
      </c>
      <c r="D6" s="112" t="e">
        <f>'Operating data'!G48</f>
        <v>#DIV/0!</v>
      </c>
      <c r="E6" s="112" t="e">
        <f>'Operating data'!H48</f>
        <v>#DIV/0!</v>
      </c>
      <c r="F6" s="112" t="e">
        <f>'Operating data'!I48</f>
        <v>#DIV/0!</v>
      </c>
      <c r="G6" s="112" t="e">
        <f>'Operating data'!J48</f>
        <v>#DIV/0!</v>
      </c>
      <c r="H6" s="112" t="e">
        <f>'Operating data'!K48</f>
        <v>#DIV/0!</v>
      </c>
      <c r="I6" s="112" t="e">
        <f>'Operating data'!L48</f>
        <v>#DIV/0!</v>
      </c>
      <c r="J6" s="112" t="e">
        <f>SUMPRODUCT(B5:I5,B6:I6)</f>
        <v>#DIV/0!</v>
      </c>
      <c r="M6" s="133"/>
      <c r="N6" s="134"/>
      <c r="O6" s="135">
        <v>7.45</v>
      </c>
      <c r="Q6" s="211"/>
      <c r="R6" s="212" t="s">
        <v>168</v>
      </c>
      <c r="S6" s="212" t="s">
        <v>169</v>
      </c>
      <c r="T6" s="212" t="s">
        <v>170</v>
      </c>
    </row>
    <row r="7" spans="1:20" ht="16.5" x14ac:dyDescent="0.35">
      <c r="F7" s="10"/>
      <c r="M7" s="133"/>
      <c r="N7" s="134"/>
      <c r="O7" s="135"/>
      <c r="Q7" s="200" t="s">
        <v>171</v>
      </c>
      <c r="R7" s="199">
        <v>1336</v>
      </c>
      <c r="S7" s="199" t="s">
        <v>6</v>
      </c>
      <c r="T7" s="201" t="s">
        <v>172</v>
      </c>
    </row>
    <row r="8" spans="1:20" ht="16.5" x14ac:dyDescent="0.35">
      <c r="A8" s="6" t="s">
        <v>75</v>
      </c>
      <c r="B8" s="5"/>
      <c r="M8" s="136" t="s">
        <v>77</v>
      </c>
      <c r="N8" s="137" t="s">
        <v>76</v>
      </c>
      <c r="O8" s="135"/>
      <c r="Q8" s="200" t="s">
        <v>173</v>
      </c>
      <c r="R8" s="202">
        <v>0.8</v>
      </c>
      <c r="S8" s="199" t="s">
        <v>6</v>
      </c>
      <c r="T8" s="199"/>
    </row>
    <row r="9" spans="1:20" ht="16.5" x14ac:dyDescent="0.35">
      <c r="A9" t="s">
        <v>106</v>
      </c>
      <c r="B9" s="121" t="e">
        <f>'Operating data'!D14/(AVERAGE('Operating data'!E38:L38)/1000*4200*B18)</f>
        <v>#DIV/0!</v>
      </c>
      <c r="C9" t="s">
        <v>107</v>
      </c>
      <c r="D9" s="123" t="s">
        <v>190</v>
      </c>
      <c r="G9" t="s">
        <v>191</v>
      </c>
      <c r="H9" s="1"/>
      <c r="I9" s="1"/>
      <c r="J9" s="1"/>
      <c r="M9" s="133" t="s">
        <v>29</v>
      </c>
      <c r="N9" s="121" t="e">
        <f>B9*$O$6</f>
        <v>#DIV/0!</v>
      </c>
      <c r="O9" s="135" t="s">
        <v>162</v>
      </c>
      <c r="Q9" s="200" t="s">
        <v>174</v>
      </c>
      <c r="R9" s="199">
        <v>18</v>
      </c>
      <c r="S9" s="199" t="s">
        <v>6</v>
      </c>
      <c r="T9" s="201" t="s">
        <v>175</v>
      </c>
    </row>
    <row r="10" spans="1:20" ht="16.5" x14ac:dyDescent="0.35">
      <c r="A10" t="s">
        <v>184</v>
      </c>
      <c r="B10" s="196">
        <v>69</v>
      </c>
      <c r="C10" t="s">
        <v>108</v>
      </c>
      <c r="D10" s="214" t="s">
        <v>185</v>
      </c>
      <c r="M10" s="133" t="s">
        <v>30</v>
      </c>
      <c r="N10" s="157">
        <f>B10*$O$6</f>
        <v>514.05000000000007</v>
      </c>
      <c r="O10" s="135" t="s">
        <v>161</v>
      </c>
      <c r="Q10" s="199" t="s">
        <v>176</v>
      </c>
      <c r="R10" s="203">
        <v>10.805555555555555</v>
      </c>
      <c r="S10" s="199" t="s">
        <v>177</v>
      </c>
      <c r="T10" s="201" t="s">
        <v>178</v>
      </c>
    </row>
    <row r="11" spans="1:20" ht="16.5" x14ac:dyDescent="0.35">
      <c r="A11" t="s">
        <v>109</v>
      </c>
      <c r="B11" s="196">
        <v>80</v>
      </c>
      <c r="C11" t="s">
        <v>108</v>
      </c>
      <c r="D11" s="214" t="s">
        <v>186</v>
      </c>
      <c r="M11" s="133" t="s">
        <v>160</v>
      </c>
      <c r="N11" s="157">
        <f>B11*$O$6</f>
        <v>596</v>
      </c>
      <c r="O11" s="135" t="s">
        <v>161</v>
      </c>
      <c r="Q11" s="204" t="s">
        <v>179</v>
      </c>
      <c r="R11" s="205">
        <v>32.777777777777779</v>
      </c>
      <c r="S11" s="204" t="s">
        <v>177</v>
      </c>
      <c r="T11" s="206" t="s">
        <v>178</v>
      </c>
    </row>
    <row r="12" spans="1:20" ht="17.25" thickBot="1" x14ac:dyDescent="0.4">
      <c r="A12" t="s">
        <v>68</v>
      </c>
      <c r="B12" s="213">
        <f>R14</f>
        <v>15173.722222222219</v>
      </c>
      <c r="C12" t="s">
        <v>33</v>
      </c>
      <c r="F12" s="122"/>
      <c r="M12" s="133" t="s">
        <v>134</v>
      </c>
      <c r="N12" s="124">
        <f>B12</f>
        <v>15173.722222222219</v>
      </c>
      <c r="O12" s="135" t="s">
        <v>33</v>
      </c>
      <c r="Q12" s="207" t="s">
        <v>180</v>
      </c>
      <c r="R12" s="208">
        <v>12138.977777777776</v>
      </c>
      <c r="S12" s="207" t="s">
        <v>177</v>
      </c>
      <c r="T12" s="209" t="s">
        <v>181</v>
      </c>
    </row>
    <row r="13" spans="1:20" ht="16.5" x14ac:dyDescent="0.35">
      <c r="M13" s="133"/>
      <c r="N13" s="134"/>
      <c r="O13" s="135"/>
      <c r="Q13" s="204" t="s">
        <v>182</v>
      </c>
      <c r="R13" s="202">
        <v>0.2</v>
      </c>
      <c r="S13" s="199" t="s">
        <v>6</v>
      </c>
      <c r="T13" s="199"/>
    </row>
    <row r="14" spans="1:20" ht="17.25" thickBot="1" x14ac:dyDescent="0.4">
      <c r="M14" s="133"/>
      <c r="N14" s="134"/>
      <c r="O14" s="135"/>
      <c r="Q14" s="207" t="s">
        <v>183</v>
      </c>
      <c r="R14" s="208">
        <f>R12/(1-R13)</f>
        <v>15173.722222222219</v>
      </c>
      <c r="S14" s="207"/>
      <c r="T14" s="209"/>
    </row>
    <row r="15" spans="1:20" x14ac:dyDescent="0.25">
      <c r="A15" s="6" t="s">
        <v>110</v>
      </c>
      <c r="B15" s="5"/>
      <c r="C15" s="5"/>
      <c r="M15" s="136" t="s">
        <v>31</v>
      </c>
      <c r="N15" s="134"/>
      <c r="O15" s="135"/>
    </row>
    <row r="16" spans="1:20" ht="16.5" x14ac:dyDescent="0.35">
      <c r="A16" t="s">
        <v>111</v>
      </c>
      <c r="B16" s="111">
        <v>15</v>
      </c>
      <c r="C16" t="s">
        <v>112</v>
      </c>
      <c r="D16" s="17" t="str" cm="1">
        <f t="array" ref="D16">IF(B16=INDEX(A45:A69,COUNT(A45:A69)),"OK","RET")</f>
        <v>OK</v>
      </c>
      <c r="M16" s="133" t="s">
        <v>32</v>
      </c>
      <c r="N16" s="111">
        <f>B16</f>
        <v>15</v>
      </c>
      <c r="O16" s="135" t="s">
        <v>157</v>
      </c>
      <c r="R16" s="21"/>
    </row>
    <row r="17" spans="1:15" ht="16.5" x14ac:dyDescent="0.35">
      <c r="A17" t="s">
        <v>113</v>
      </c>
      <c r="B17" s="115">
        <v>3.5000000000000003E-2</v>
      </c>
      <c r="C17" t="s">
        <v>36</v>
      </c>
      <c r="M17" s="133" t="s">
        <v>35</v>
      </c>
      <c r="N17" s="115">
        <f t="shared" ref="N17:N19" si="0">B17</f>
        <v>3.5000000000000003E-2</v>
      </c>
      <c r="O17" s="135" t="s">
        <v>36</v>
      </c>
    </row>
    <row r="18" spans="1:15" ht="16.5" x14ac:dyDescent="0.35">
      <c r="A18" t="s">
        <v>114</v>
      </c>
      <c r="B18" s="111">
        <v>5</v>
      </c>
      <c r="C18" t="s">
        <v>112</v>
      </c>
      <c r="E18" s="215" t="s">
        <v>192</v>
      </c>
      <c r="M18" s="133" t="s">
        <v>37</v>
      </c>
      <c r="N18" s="111">
        <f t="shared" si="0"/>
        <v>5</v>
      </c>
      <c r="O18" s="135" t="s">
        <v>157</v>
      </c>
    </row>
    <row r="19" spans="1:15" ht="16.5" x14ac:dyDescent="0.35">
      <c r="A19" t="s">
        <v>115</v>
      </c>
      <c r="B19" s="114">
        <v>0</v>
      </c>
      <c r="C19" t="s">
        <v>103</v>
      </c>
      <c r="M19" s="133" t="s">
        <v>38</v>
      </c>
      <c r="N19" s="114">
        <f t="shared" si="0"/>
        <v>0</v>
      </c>
      <c r="O19" s="135" t="s">
        <v>156</v>
      </c>
    </row>
    <row r="20" spans="1:15" ht="16.5" x14ac:dyDescent="0.35">
      <c r="M20" s="133" t="s">
        <v>67</v>
      </c>
      <c r="N20" s="114">
        <f>B21*$O$6</f>
        <v>10173980.749999998</v>
      </c>
      <c r="O20" s="135" t="s">
        <v>159</v>
      </c>
    </row>
    <row r="21" spans="1:15" ht="16.5" x14ac:dyDescent="0.35">
      <c r="A21" t="s">
        <v>116</v>
      </c>
      <c r="B21" s="197">
        <f>B12*90</f>
        <v>1365634.9999999998</v>
      </c>
      <c r="C21" t="s">
        <v>126</v>
      </c>
      <c r="D21" s="214" t="s">
        <v>185</v>
      </c>
      <c r="M21" s="133"/>
      <c r="N21" s="134"/>
      <c r="O21" s="135"/>
    </row>
    <row r="22" spans="1:15" x14ac:dyDescent="0.25">
      <c r="M22" s="133"/>
      <c r="N22" s="134"/>
      <c r="O22" s="135"/>
    </row>
    <row r="23" spans="1:15" ht="21.75" thickBot="1" x14ac:dyDescent="0.4">
      <c r="A23" s="113" t="s">
        <v>74</v>
      </c>
      <c r="B23" s="113"/>
      <c r="C23" s="113"/>
      <c r="D23" s="113"/>
      <c r="E23" s="113"/>
      <c r="F23" s="113"/>
      <c r="G23" s="113"/>
      <c r="H23" s="113"/>
      <c r="I23" s="246"/>
      <c r="J23" s="246"/>
      <c r="M23" s="133"/>
      <c r="N23" s="134"/>
      <c r="O23" s="135"/>
    </row>
    <row r="24" spans="1:15" x14ac:dyDescent="0.25">
      <c r="M24" s="133"/>
      <c r="N24" s="134"/>
      <c r="O24" s="135"/>
    </row>
    <row r="25" spans="1:15" x14ac:dyDescent="0.25">
      <c r="A25" t="s">
        <v>154</v>
      </c>
      <c r="B25" s="1" t="e">
        <f>B12/(AVERAGE('Operating data'!E30:L30)/1000)</f>
        <v>#DIV/0!</v>
      </c>
      <c r="C25" t="s">
        <v>10</v>
      </c>
      <c r="M25" s="133" t="s">
        <v>155</v>
      </c>
      <c r="N25" s="194" t="e">
        <f>N12/(AVERAGE('Operating data'!E30:L30)/1000)</f>
        <v>#DIV/0!</v>
      </c>
      <c r="O25" s="135" t="s">
        <v>10</v>
      </c>
    </row>
    <row r="26" spans="1:15" x14ac:dyDescent="0.25">
      <c r="A26" t="s">
        <v>70</v>
      </c>
      <c r="B26" s="195" t="e">
        <f>(B11+B10)/J6+B9</f>
        <v>#DIV/0!</v>
      </c>
      <c r="C26" t="s">
        <v>128</v>
      </c>
      <c r="M26" s="133" t="s">
        <v>135</v>
      </c>
      <c r="N26" s="139" t="e">
        <f>(N11+N10)/J6+N9</f>
        <v>#DIV/0!</v>
      </c>
      <c r="O26" s="135" t="s">
        <v>136</v>
      </c>
    </row>
    <row r="27" spans="1:15" x14ac:dyDescent="0.25">
      <c r="A27" t="s">
        <v>132</v>
      </c>
      <c r="B27" s="195" t="e">
        <f>B12/J6</f>
        <v>#DIV/0!</v>
      </c>
      <c r="C27" t="s">
        <v>33</v>
      </c>
      <c r="M27" s="133" t="s">
        <v>138</v>
      </c>
      <c r="N27" s="139" t="e">
        <f>N12/J6</f>
        <v>#DIV/0!</v>
      </c>
      <c r="O27" s="140" t="s">
        <v>163</v>
      </c>
    </row>
    <row r="28" spans="1:15" x14ac:dyDescent="0.25">
      <c r="A28" t="s">
        <v>133</v>
      </c>
      <c r="B28" s="19" t="e">
        <f>B12*B9</f>
        <v>#DIV/0!</v>
      </c>
      <c r="C28" t="s">
        <v>126</v>
      </c>
      <c r="M28" s="133" t="s">
        <v>139</v>
      </c>
      <c r="N28" s="141" t="e">
        <f>N12*N9</f>
        <v>#DIV/0!</v>
      </c>
      <c r="O28" s="140" t="s">
        <v>140</v>
      </c>
    </row>
    <row r="29" spans="1:15" x14ac:dyDescent="0.25">
      <c r="A29" t="s">
        <v>71</v>
      </c>
      <c r="B29" s="19" t="e">
        <f>B27*(B10+B11)</f>
        <v>#DIV/0!</v>
      </c>
      <c r="C29" t="s">
        <v>126</v>
      </c>
      <c r="M29" s="133" t="s">
        <v>137</v>
      </c>
      <c r="N29" s="141" t="e">
        <f>N27*(N10+N11)</f>
        <v>#DIV/0!</v>
      </c>
      <c r="O29" s="140" t="s">
        <v>140</v>
      </c>
    </row>
    <row r="30" spans="1:15" x14ac:dyDescent="0.25">
      <c r="A30" t="s">
        <v>166</v>
      </c>
      <c r="B30" s="19" t="e">
        <f>B26*B12</f>
        <v>#DIV/0!</v>
      </c>
      <c r="C30" t="s">
        <v>126</v>
      </c>
      <c r="M30" s="133" t="s">
        <v>141</v>
      </c>
      <c r="N30" s="141" t="e">
        <f>N26*N12</f>
        <v>#DIV/0!</v>
      </c>
      <c r="O30" s="140" t="s">
        <v>140</v>
      </c>
    </row>
    <row r="31" spans="1:15" x14ac:dyDescent="0.25">
      <c r="M31" s="133"/>
      <c r="N31" s="134"/>
      <c r="O31" s="135"/>
    </row>
    <row r="32" spans="1:15" x14ac:dyDescent="0.25">
      <c r="A32" s="6" t="s">
        <v>131</v>
      </c>
      <c r="B32" s="5"/>
      <c r="M32" s="133"/>
      <c r="N32" s="134"/>
      <c r="O32" s="135"/>
    </row>
    <row r="33" spans="1:17" x14ac:dyDescent="0.25">
      <c r="A33" s="20" t="s">
        <v>117</v>
      </c>
      <c r="B33" s="78">
        <f>'Operating data'!D16+B19</f>
        <v>0</v>
      </c>
      <c r="C33" t="s">
        <v>103</v>
      </c>
      <c r="M33" s="125" t="s">
        <v>39</v>
      </c>
      <c r="N33" s="78">
        <f>B33*$O$6</f>
        <v>0</v>
      </c>
      <c r="O33" s="135" t="s">
        <v>156</v>
      </c>
    </row>
    <row r="34" spans="1:17" x14ac:dyDescent="0.25">
      <c r="A34" s="26" t="s">
        <v>118</v>
      </c>
      <c r="B34" s="27">
        <f>PMT(B17,B16,-B33)</f>
        <v>0</v>
      </c>
      <c r="C34" t="s">
        <v>103</v>
      </c>
      <c r="M34" s="126" t="s">
        <v>40</v>
      </c>
      <c r="N34" s="27">
        <f>PMT(N17,N16,-N33)</f>
        <v>0</v>
      </c>
      <c r="O34" s="135" t="s">
        <v>156</v>
      </c>
    </row>
    <row r="35" spans="1:17" x14ac:dyDescent="0.25">
      <c r="A35" s="26" t="s">
        <v>119</v>
      </c>
      <c r="B35" s="27">
        <f>'System calculation'!B21</f>
        <v>1365634.9999999998</v>
      </c>
      <c r="C35" t="s">
        <v>126</v>
      </c>
      <c r="M35" s="126" t="s">
        <v>41</v>
      </c>
      <c r="N35" s="27">
        <f>'System calculation'!N20</f>
        <v>10173980.749999998</v>
      </c>
      <c r="O35" s="135" t="s">
        <v>140</v>
      </c>
    </row>
    <row r="36" spans="1:17" x14ac:dyDescent="0.25">
      <c r="A36" s="28" t="s">
        <v>120</v>
      </c>
      <c r="B36" s="30" t="e">
        <f>B30</f>
        <v>#DIV/0!</v>
      </c>
      <c r="C36" t="s">
        <v>126</v>
      </c>
      <c r="M36" s="127" t="s">
        <v>42</v>
      </c>
      <c r="N36" s="30" t="e">
        <f>N30</f>
        <v>#DIV/0!</v>
      </c>
      <c r="O36" s="135" t="s">
        <v>140</v>
      </c>
    </row>
    <row r="37" spans="1:17" x14ac:dyDescent="0.25">
      <c r="A37" s="26" t="s">
        <v>121</v>
      </c>
      <c r="B37" s="27" t="e">
        <f>B35-B36</f>
        <v>#DIV/0!</v>
      </c>
      <c r="C37" t="s">
        <v>126</v>
      </c>
      <c r="M37" s="126" t="s">
        <v>43</v>
      </c>
      <c r="N37" s="27" t="e">
        <f>N35-N36</f>
        <v>#DIV/0!</v>
      </c>
      <c r="O37" s="135" t="s">
        <v>140</v>
      </c>
    </row>
    <row r="38" spans="1:17" x14ac:dyDescent="0.25">
      <c r="A38" s="29" t="s">
        <v>122</v>
      </c>
      <c r="B38" s="62" t="e">
        <f>B33/B37</f>
        <v>#DIV/0!</v>
      </c>
      <c r="C38" t="s">
        <v>129</v>
      </c>
      <c r="M38" s="128" t="s">
        <v>44</v>
      </c>
      <c r="N38" s="62" t="e">
        <f>N33/N37</f>
        <v>#DIV/0!</v>
      </c>
      <c r="O38" s="135" t="s">
        <v>157</v>
      </c>
    </row>
    <row r="39" spans="1:17" x14ac:dyDescent="0.25">
      <c r="A39" s="29" t="s">
        <v>123</v>
      </c>
      <c r="B39" s="27" t="e">
        <f>B37-B34</f>
        <v>#DIV/0!</v>
      </c>
      <c r="C39" t="s">
        <v>127</v>
      </c>
      <c r="M39" s="128" t="s">
        <v>45</v>
      </c>
      <c r="N39" s="27" t="e">
        <f>N37-N34</f>
        <v>#DIV/0!</v>
      </c>
      <c r="O39" s="135" t="s">
        <v>158</v>
      </c>
    </row>
    <row r="40" spans="1:17" x14ac:dyDescent="0.25">
      <c r="A40" s="20" t="s">
        <v>124</v>
      </c>
      <c r="B40" s="82" t="e">
        <f>IRR(C44:C59)</f>
        <v>#VALUE!</v>
      </c>
      <c r="C40" t="s">
        <v>36</v>
      </c>
      <c r="M40" s="125" t="s">
        <v>46</v>
      </c>
      <c r="N40" s="82" t="e">
        <f>IRR(O44:O59)</f>
        <v>#VALUE!</v>
      </c>
      <c r="O40" s="135" t="s">
        <v>36</v>
      </c>
    </row>
    <row r="41" spans="1:17" x14ac:dyDescent="0.25">
      <c r="A41" s="83" t="s">
        <v>125</v>
      </c>
      <c r="B41" s="84" t="e">
        <f>NPV(B17,B45:B59)+B44</f>
        <v>#DIV/0!</v>
      </c>
      <c r="C41" t="s">
        <v>103</v>
      </c>
      <c r="D41" s="13" t="e">
        <f>IF(ROUND(B41,0)=ROUND(C66,0),"OK","RET")</f>
        <v>#DIV/0!</v>
      </c>
      <c r="M41" s="129" t="s">
        <v>9</v>
      </c>
      <c r="N41" s="84" t="e">
        <f>NPV(N17,N45:N59)+N44</f>
        <v>#DIV/0!</v>
      </c>
      <c r="O41" s="135" t="s">
        <v>156</v>
      </c>
    </row>
    <row r="42" spans="1:17" x14ac:dyDescent="0.25">
      <c r="M42" s="133"/>
      <c r="N42" s="134"/>
      <c r="O42" s="135"/>
    </row>
    <row r="43" spans="1:17" x14ac:dyDescent="0.25">
      <c r="A43" s="25" t="s">
        <v>130</v>
      </c>
      <c r="B43" s="5"/>
      <c r="C43" s="5"/>
      <c r="M43" s="144" t="s">
        <v>47</v>
      </c>
      <c r="N43" s="138"/>
      <c r="O43" s="145"/>
    </row>
    <row r="44" spans="1:17" x14ac:dyDescent="0.25">
      <c r="A44" s="23">
        <v>0</v>
      </c>
      <c r="B44" s="4">
        <f>-B33</f>
        <v>0</v>
      </c>
      <c r="C44" s="4">
        <f>B44</f>
        <v>0</v>
      </c>
      <c r="D44" s="1"/>
      <c r="M44" s="146">
        <v>0</v>
      </c>
      <c r="N44" s="147">
        <f>-N33</f>
        <v>0</v>
      </c>
      <c r="O44" s="148">
        <f>N44</f>
        <v>0</v>
      </c>
    </row>
    <row r="45" spans="1:17" x14ac:dyDescent="0.25">
      <c r="A45" s="24">
        <v>1</v>
      </c>
      <c r="B45" s="21" t="e">
        <f>$B$37</f>
        <v>#DIV/0!</v>
      </c>
      <c r="C45" s="19" t="e">
        <f t="shared" ref="C45:C59" si="1">B45*(1+$B$17)^(-A45)</f>
        <v>#DIV/0!</v>
      </c>
      <c r="D45" s="19"/>
      <c r="M45" s="149">
        <v>1</v>
      </c>
      <c r="N45" s="142" t="e">
        <f>$N$37</f>
        <v>#DIV/0!</v>
      </c>
      <c r="O45" s="140" t="e">
        <f>N45*(1+$N$17)^(-M45)</f>
        <v>#DIV/0!</v>
      </c>
      <c r="P45" s="19"/>
      <c r="Q45" s="19"/>
    </row>
    <row r="46" spans="1:17" x14ac:dyDescent="0.25">
      <c r="A46" s="24">
        <v>2</v>
      </c>
      <c r="B46" s="21" t="e">
        <f t="shared" ref="B46:B59" si="2">$B$37</f>
        <v>#DIV/0!</v>
      </c>
      <c r="C46" s="19" t="e">
        <f t="shared" si="1"/>
        <v>#DIV/0!</v>
      </c>
      <c r="M46" s="149">
        <v>2</v>
      </c>
      <c r="N46" s="142" t="e">
        <f t="shared" ref="N46:N59" si="3">$N$37</f>
        <v>#DIV/0!</v>
      </c>
      <c r="O46" s="140" t="e">
        <f t="shared" ref="O46:O59" si="4">N46*(1+$N$17)^(-M46)</f>
        <v>#DIV/0!</v>
      </c>
      <c r="P46" s="19"/>
      <c r="Q46" s="19"/>
    </row>
    <row r="47" spans="1:17" x14ac:dyDescent="0.25">
      <c r="A47" s="24">
        <v>3</v>
      </c>
      <c r="B47" s="21" t="e">
        <f t="shared" si="2"/>
        <v>#DIV/0!</v>
      </c>
      <c r="C47" s="19" t="e">
        <f t="shared" si="1"/>
        <v>#DIV/0!</v>
      </c>
      <c r="D47" s="19"/>
      <c r="M47" s="149">
        <v>3</v>
      </c>
      <c r="N47" s="142" t="e">
        <f t="shared" si="3"/>
        <v>#DIV/0!</v>
      </c>
      <c r="O47" s="140" t="e">
        <f t="shared" si="4"/>
        <v>#DIV/0!</v>
      </c>
      <c r="P47" s="19"/>
      <c r="Q47" s="19"/>
    </row>
    <row r="48" spans="1:17" x14ac:dyDescent="0.25">
      <c r="A48" s="24">
        <v>4</v>
      </c>
      <c r="B48" s="21" t="e">
        <f t="shared" si="2"/>
        <v>#DIV/0!</v>
      </c>
      <c r="C48" s="19" t="e">
        <f t="shared" si="1"/>
        <v>#DIV/0!</v>
      </c>
      <c r="D48" s="19"/>
      <c r="M48" s="149">
        <v>4</v>
      </c>
      <c r="N48" s="142" t="e">
        <f t="shared" si="3"/>
        <v>#DIV/0!</v>
      </c>
      <c r="O48" s="140" t="e">
        <f t="shared" si="4"/>
        <v>#DIV/0!</v>
      </c>
      <c r="P48" s="19"/>
      <c r="Q48" s="19"/>
    </row>
    <row r="49" spans="1:17" x14ac:dyDescent="0.25">
      <c r="A49" s="24">
        <v>5</v>
      </c>
      <c r="B49" s="21" t="e">
        <f t="shared" si="2"/>
        <v>#DIV/0!</v>
      </c>
      <c r="C49" s="19" t="e">
        <f t="shared" si="1"/>
        <v>#DIV/0!</v>
      </c>
      <c r="D49" s="19"/>
      <c r="M49" s="149">
        <v>5</v>
      </c>
      <c r="N49" s="142" t="e">
        <f t="shared" si="3"/>
        <v>#DIV/0!</v>
      </c>
      <c r="O49" s="140" t="e">
        <f t="shared" si="4"/>
        <v>#DIV/0!</v>
      </c>
      <c r="P49" s="19"/>
      <c r="Q49" s="19"/>
    </row>
    <row r="50" spans="1:17" x14ac:dyDescent="0.25">
      <c r="A50" s="24">
        <v>6</v>
      </c>
      <c r="B50" s="21" t="e">
        <f t="shared" si="2"/>
        <v>#DIV/0!</v>
      </c>
      <c r="C50" s="19" t="e">
        <f t="shared" si="1"/>
        <v>#DIV/0!</v>
      </c>
      <c r="D50" s="19"/>
      <c r="M50" s="149">
        <v>6</v>
      </c>
      <c r="N50" s="142" t="e">
        <f t="shared" si="3"/>
        <v>#DIV/0!</v>
      </c>
      <c r="O50" s="140" t="e">
        <f t="shared" si="4"/>
        <v>#DIV/0!</v>
      </c>
      <c r="P50" s="19"/>
      <c r="Q50" s="19"/>
    </row>
    <row r="51" spans="1:17" x14ac:dyDescent="0.25">
      <c r="A51" s="24">
        <v>7</v>
      </c>
      <c r="B51" s="21" t="e">
        <f t="shared" si="2"/>
        <v>#DIV/0!</v>
      </c>
      <c r="C51" s="19" t="e">
        <f t="shared" si="1"/>
        <v>#DIV/0!</v>
      </c>
      <c r="D51" s="19"/>
      <c r="M51" s="149">
        <v>7</v>
      </c>
      <c r="N51" s="142" t="e">
        <f t="shared" si="3"/>
        <v>#DIV/0!</v>
      </c>
      <c r="O51" s="140" t="e">
        <f t="shared" si="4"/>
        <v>#DIV/0!</v>
      </c>
      <c r="P51" s="19"/>
      <c r="Q51" s="19"/>
    </row>
    <row r="52" spans="1:17" x14ac:dyDescent="0.25">
      <c r="A52" s="24">
        <v>8</v>
      </c>
      <c r="B52" s="21" t="e">
        <f t="shared" si="2"/>
        <v>#DIV/0!</v>
      </c>
      <c r="C52" s="19" t="e">
        <f t="shared" si="1"/>
        <v>#DIV/0!</v>
      </c>
      <c r="D52" s="19"/>
      <c r="M52" s="149">
        <v>8</v>
      </c>
      <c r="N52" s="142" t="e">
        <f t="shared" si="3"/>
        <v>#DIV/0!</v>
      </c>
      <c r="O52" s="140" t="e">
        <f t="shared" si="4"/>
        <v>#DIV/0!</v>
      </c>
      <c r="P52" s="19"/>
      <c r="Q52" s="19"/>
    </row>
    <row r="53" spans="1:17" x14ac:dyDescent="0.25">
      <c r="A53" s="24">
        <v>9</v>
      </c>
      <c r="B53" s="21" t="e">
        <f t="shared" si="2"/>
        <v>#DIV/0!</v>
      </c>
      <c r="C53" s="19" t="e">
        <f t="shared" si="1"/>
        <v>#DIV/0!</v>
      </c>
      <c r="D53" s="19"/>
      <c r="M53" s="149">
        <v>9</v>
      </c>
      <c r="N53" s="142" t="e">
        <f t="shared" si="3"/>
        <v>#DIV/0!</v>
      </c>
      <c r="O53" s="140" t="e">
        <f t="shared" si="4"/>
        <v>#DIV/0!</v>
      </c>
      <c r="P53" s="19"/>
      <c r="Q53" s="19"/>
    </row>
    <row r="54" spans="1:17" x14ac:dyDescent="0.25">
      <c r="A54" s="24">
        <v>10</v>
      </c>
      <c r="B54" s="21" t="e">
        <f t="shared" si="2"/>
        <v>#DIV/0!</v>
      </c>
      <c r="C54" s="19" t="e">
        <f t="shared" si="1"/>
        <v>#DIV/0!</v>
      </c>
      <c r="D54" s="19"/>
      <c r="M54" s="149">
        <v>10</v>
      </c>
      <c r="N54" s="142" t="e">
        <f t="shared" si="3"/>
        <v>#DIV/0!</v>
      </c>
      <c r="O54" s="140" t="e">
        <f t="shared" si="4"/>
        <v>#DIV/0!</v>
      </c>
      <c r="P54" s="19"/>
      <c r="Q54" s="19"/>
    </row>
    <row r="55" spans="1:17" x14ac:dyDescent="0.25">
      <c r="A55" s="24">
        <v>11</v>
      </c>
      <c r="B55" s="21" t="e">
        <f t="shared" si="2"/>
        <v>#DIV/0!</v>
      </c>
      <c r="C55" s="19" t="e">
        <f t="shared" si="1"/>
        <v>#DIV/0!</v>
      </c>
      <c r="D55" s="19"/>
      <c r="M55" s="149">
        <v>11</v>
      </c>
      <c r="N55" s="142" t="e">
        <f t="shared" si="3"/>
        <v>#DIV/0!</v>
      </c>
      <c r="O55" s="140" t="e">
        <f t="shared" si="4"/>
        <v>#DIV/0!</v>
      </c>
      <c r="P55" s="19"/>
      <c r="Q55" s="19"/>
    </row>
    <row r="56" spans="1:17" x14ac:dyDescent="0.25">
      <c r="A56" s="24">
        <v>12</v>
      </c>
      <c r="B56" s="21" t="e">
        <f t="shared" si="2"/>
        <v>#DIV/0!</v>
      </c>
      <c r="C56" s="19" t="e">
        <f t="shared" si="1"/>
        <v>#DIV/0!</v>
      </c>
      <c r="D56" s="19"/>
      <c r="M56" s="149">
        <v>12</v>
      </c>
      <c r="N56" s="142" t="e">
        <f t="shared" si="3"/>
        <v>#DIV/0!</v>
      </c>
      <c r="O56" s="140" t="e">
        <f t="shared" si="4"/>
        <v>#DIV/0!</v>
      </c>
      <c r="P56" s="19"/>
      <c r="Q56" s="19"/>
    </row>
    <row r="57" spans="1:17" x14ac:dyDescent="0.25">
      <c r="A57" s="24">
        <v>13</v>
      </c>
      <c r="B57" s="21" t="e">
        <f t="shared" si="2"/>
        <v>#DIV/0!</v>
      </c>
      <c r="C57" s="19" t="e">
        <f t="shared" si="1"/>
        <v>#DIV/0!</v>
      </c>
      <c r="D57" s="19"/>
      <c r="M57" s="149">
        <v>13</v>
      </c>
      <c r="N57" s="142" t="e">
        <f t="shared" si="3"/>
        <v>#DIV/0!</v>
      </c>
      <c r="O57" s="140" t="e">
        <f t="shared" si="4"/>
        <v>#DIV/0!</v>
      </c>
      <c r="P57" s="19"/>
      <c r="Q57" s="19"/>
    </row>
    <row r="58" spans="1:17" x14ac:dyDescent="0.25">
      <c r="A58" s="24">
        <v>14</v>
      </c>
      <c r="B58" s="21" t="e">
        <f t="shared" si="2"/>
        <v>#DIV/0!</v>
      </c>
      <c r="C58" s="19" t="e">
        <f t="shared" si="1"/>
        <v>#DIV/0!</v>
      </c>
      <c r="D58" s="19"/>
      <c r="M58" s="149">
        <v>14</v>
      </c>
      <c r="N58" s="142" t="e">
        <f t="shared" si="3"/>
        <v>#DIV/0!</v>
      </c>
      <c r="O58" s="140" t="e">
        <f t="shared" si="4"/>
        <v>#DIV/0!</v>
      </c>
      <c r="P58" s="19"/>
      <c r="Q58" s="19"/>
    </row>
    <row r="59" spans="1:17" x14ac:dyDescent="0.25">
      <c r="A59" s="90">
        <v>15</v>
      </c>
      <c r="B59" s="21" t="e">
        <f t="shared" si="2"/>
        <v>#DIV/0!</v>
      </c>
      <c r="C59" s="91" t="e">
        <f t="shared" si="1"/>
        <v>#DIV/0!</v>
      </c>
      <c r="D59" s="19"/>
      <c r="M59" s="150">
        <v>15</v>
      </c>
      <c r="N59" s="142" t="e">
        <f t="shared" si="3"/>
        <v>#DIV/0!</v>
      </c>
      <c r="O59" s="140" t="e">
        <f t="shared" si="4"/>
        <v>#DIV/0!</v>
      </c>
      <c r="P59" s="19"/>
      <c r="Q59" s="19"/>
    </row>
    <row r="60" spans="1:17" x14ac:dyDescent="0.25">
      <c r="A60" s="24"/>
      <c r="B60" s="21"/>
      <c r="C60" s="91"/>
      <c r="D60" s="21"/>
      <c r="M60" s="149"/>
      <c r="N60" s="142"/>
      <c r="O60" s="140"/>
    </row>
    <row r="61" spans="1:17" x14ac:dyDescent="0.25">
      <c r="A61" s="24"/>
      <c r="B61" s="21"/>
      <c r="C61" s="91"/>
      <c r="M61" s="149"/>
      <c r="N61" s="142"/>
      <c r="O61" s="140"/>
    </row>
    <row r="62" spans="1:17" x14ac:dyDescent="0.25">
      <c r="A62" s="90"/>
      <c r="B62" s="21"/>
      <c r="C62" s="91"/>
      <c r="M62" s="150"/>
      <c r="N62" s="142"/>
      <c r="O62" s="140"/>
    </row>
    <row r="63" spans="1:17" x14ac:dyDescent="0.25">
      <c r="A63" s="24"/>
      <c r="B63" s="21"/>
      <c r="C63" s="91"/>
      <c r="M63" s="149"/>
      <c r="N63" s="142"/>
      <c r="O63" s="140"/>
    </row>
    <row r="64" spans="1:17" x14ac:dyDescent="0.25">
      <c r="A64" s="92"/>
      <c r="B64" s="80"/>
      <c r="C64" s="22"/>
      <c r="M64" s="151"/>
      <c r="N64" s="143"/>
      <c r="O64" s="152"/>
    </row>
    <row r="65" spans="3:16" x14ac:dyDescent="0.25">
      <c r="C65" s="21" t="e">
        <f>SUM(C45:C64)</f>
        <v>#DIV/0!</v>
      </c>
      <c r="M65" s="133"/>
      <c r="N65" s="134"/>
      <c r="O65" s="153" t="e">
        <f>SUM(O45:O64)</f>
        <v>#DIV/0!</v>
      </c>
      <c r="P65" s="19"/>
    </row>
    <row r="66" spans="3:16" x14ac:dyDescent="0.25">
      <c r="C66" s="61" t="e">
        <f>C65+C44</f>
        <v>#DIV/0!</v>
      </c>
      <c r="M66" s="133"/>
      <c r="N66" s="134"/>
      <c r="O66" s="153" t="e">
        <f>O65+O44</f>
        <v>#DIV/0!</v>
      </c>
      <c r="P66" s="19"/>
    </row>
    <row r="67" spans="3:16" ht="15.75" thickBot="1" x14ac:dyDescent="0.3">
      <c r="M67" s="154"/>
      <c r="N67" s="155"/>
      <c r="O67" s="156"/>
    </row>
    <row r="384" spans="8:10" x14ac:dyDescent="0.25">
      <c r="H384" s="15"/>
      <c r="I384" s="15"/>
      <c r="J384" s="15"/>
    </row>
    <row r="403" spans="8:10" x14ac:dyDescent="0.25">
      <c r="H403" s="16"/>
      <c r="I403" s="16"/>
      <c r="J403" s="16"/>
    </row>
    <row r="561" spans="2:4" ht="15.75" thickBot="1" x14ac:dyDescent="0.3"/>
    <row r="562" spans="2:4" ht="128.25" thickBot="1" x14ac:dyDescent="0.3">
      <c r="B562" s="73">
        <v>-700000</v>
      </c>
      <c r="C562" s="73" t="s">
        <v>48</v>
      </c>
      <c r="D562" s="74"/>
    </row>
    <row r="563" spans="2:4" ht="102.75" thickBot="1" x14ac:dyDescent="0.3">
      <c r="B563" s="73">
        <v>12000</v>
      </c>
      <c r="C563" s="73" t="s">
        <v>49</v>
      </c>
      <c r="D563" s="74"/>
    </row>
    <row r="564" spans="2:4" ht="102.75" thickBot="1" x14ac:dyDescent="0.3">
      <c r="B564" s="73">
        <v>12000</v>
      </c>
      <c r="C564" s="73" t="s">
        <v>50</v>
      </c>
      <c r="D564" s="74"/>
    </row>
    <row r="565" spans="2:4" ht="102.75" thickBot="1" x14ac:dyDescent="0.3">
      <c r="B565" s="73">
        <v>12000</v>
      </c>
      <c r="C565" s="73" t="s">
        <v>51</v>
      </c>
      <c r="D565" s="74"/>
    </row>
    <row r="566" spans="2:4" ht="102.75" thickBot="1" x14ac:dyDescent="0.3">
      <c r="B566" s="73">
        <v>12000</v>
      </c>
      <c r="C566" s="73" t="s">
        <v>52</v>
      </c>
      <c r="D566" s="74"/>
    </row>
    <row r="567" spans="2:4" ht="102.75" thickBot="1" x14ac:dyDescent="0.3">
      <c r="B567" s="73">
        <v>12000</v>
      </c>
      <c r="C567" s="73" t="s">
        <v>53</v>
      </c>
      <c r="D567" s="75"/>
    </row>
    <row r="573" spans="2:4" x14ac:dyDescent="0.25">
      <c r="C573" s="76">
        <f>IRR(B562:B567)</f>
        <v>-0.492605909958439</v>
      </c>
    </row>
  </sheetData>
  <conditionalFormatting sqref="A59 A62">
    <cfRule type="expression" dxfId="1" priority="2">
      <formula>"$AP$85=$I$52"</formula>
    </cfRule>
  </conditionalFormatting>
  <conditionalFormatting sqref="M59 M62">
    <cfRule type="expression" dxfId="0" priority="1">
      <formula>"$AP$85=$I$52"</formula>
    </cfRule>
  </conditionalFormatting>
  <pageMargins left="0.7" right="0.7" top="0.75" bottom="0.75" header="0.3" footer="0.3"/>
  <pageSetup paperSize="9"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F34DA-8F7F-4B18-B739-7A82D0EB0637}">
  <sheetPr codeName="Ark10">
    <tabColor theme="8" tint="0.39997558519241921"/>
  </sheetPr>
  <dimension ref="A2:C3"/>
  <sheetViews>
    <sheetView workbookViewId="0"/>
  </sheetViews>
  <sheetFormatPr defaultRowHeight="15" x14ac:dyDescent="0.25"/>
  <cols>
    <col min="1" max="1" width="18.7109375" bestFit="1" customWidth="1"/>
  </cols>
  <sheetData>
    <row r="2" spans="1:3" x14ac:dyDescent="0.25">
      <c r="C2" t="s">
        <v>34</v>
      </c>
    </row>
    <row r="3" spans="1:3" x14ac:dyDescent="0.25">
      <c r="A3" s="11" t="s">
        <v>54</v>
      </c>
      <c r="B3">
        <v>273.14999999999998</v>
      </c>
      <c r="C3" t="s">
        <v>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5EA8E-768C-46C0-9C07-A52F24F930BA}">
  <sheetPr codeName="Ark8">
    <tabColor theme="8" tint="0.39997558519241921"/>
  </sheetPr>
  <dimension ref="B3:J29"/>
  <sheetViews>
    <sheetView workbookViewId="0">
      <selection activeCell="E33" sqref="E33"/>
    </sheetView>
  </sheetViews>
  <sheetFormatPr defaultRowHeight="15" x14ac:dyDescent="0.25"/>
  <cols>
    <col min="2" max="2" width="20.140625" bestFit="1" customWidth="1"/>
    <col min="3" max="3" width="12.5703125" bestFit="1" customWidth="1"/>
    <col min="4" max="4" width="11.28515625" bestFit="1" customWidth="1"/>
    <col min="5" max="5" width="15.28515625" bestFit="1" customWidth="1"/>
    <col min="6" max="6" width="11.28515625" bestFit="1" customWidth="1"/>
    <col min="8" max="8" width="10.7109375" bestFit="1" customWidth="1"/>
    <col min="9" max="9" width="14" bestFit="1" customWidth="1"/>
    <col min="10" max="10" width="53.28515625" bestFit="1" customWidth="1"/>
  </cols>
  <sheetData>
    <row r="3" spans="2:9" x14ac:dyDescent="0.25">
      <c r="B3" s="54" t="s">
        <v>55</v>
      </c>
      <c r="C3" s="55">
        <v>1</v>
      </c>
      <c r="D3" s="42"/>
    </row>
    <row r="4" spans="2:9" x14ac:dyDescent="0.25">
      <c r="B4" s="48" t="s">
        <v>56</v>
      </c>
      <c r="C4" s="45">
        <v>1</v>
      </c>
      <c r="D4" s="56"/>
    </row>
    <row r="5" spans="2:9" x14ac:dyDescent="0.25">
      <c r="B5" s="43" t="s">
        <v>57</v>
      </c>
      <c r="C5" s="44"/>
      <c r="D5" s="49" t="s">
        <v>1</v>
      </c>
    </row>
    <row r="6" spans="2:9" x14ac:dyDescent="0.25">
      <c r="B6" s="43" t="s">
        <v>58</v>
      </c>
      <c r="C6" s="57" t="e">
        <f>AVERAGE(#REF!)</f>
        <v>#REF!</v>
      </c>
      <c r="D6" s="49" t="s">
        <v>6</v>
      </c>
      <c r="I6" s="1"/>
    </row>
    <row r="7" spans="2:9" x14ac:dyDescent="0.25">
      <c r="B7" s="58" t="s">
        <v>9</v>
      </c>
      <c r="C7" s="59" t="e">
        <f>'System calculation'!B41</f>
        <v>#DIV/0!</v>
      </c>
      <c r="D7" s="60" t="s">
        <v>59</v>
      </c>
    </row>
    <row r="9" spans="2:9" x14ac:dyDescent="0.25">
      <c r="B9" s="39" t="s">
        <v>60</v>
      </c>
      <c r="C9" s="40"/>
      <c r="D9" s="41"/>
      <c r="E9" s="41" t="str">
        <f>B$3</f>
        <v>Størrelsesfaktor</v>
      </c>
      <c r="F9" s="42"/>
    </row>
    <row r="10" spans="2:9" x14ac:dyDescent="0.25">
      <c r="B10" s="43"/>
      <c r="C10" s="44">
        <f>C5</f>
        <v>0</v>
      </c>
      <c r="D10" s="45">
        <v>0.99</v>
      </c>
      <c r="E10" s="46">
        <v>1</v>
      </c>
      <c r="F10" s="47">
        <v>1.01</v>
      </c>
    </row>
    <row r="11" spans="2:9" x14ac:dyDescent="0.25">
      <c r="B11" s="48"/>
      <c r="C11" s="45">
        <v>1.01</v>
      </c>
      <c r="D11" s="44">
        <f t="dataTable" ref="D11:F13" dt2D="1" dtr="1" r1="C3" r2="C4"/>
        <v>0</v>
      </c>
      <c r="E11" s="44">
        <v>0</v>
      </c>
      <c r="F11" s="49">
        <v>0</v>
      </c>
    </row>
    <row r="12" spans="2:9" x14ac:dyDescent="0.25">
      <c r="B12" s="48" t="str">
        <f>B$4</f>
        <v>El-faktor</v>
      </c>
      <c r="C12" s="46">
        <v>1</v>
      </c>
      <c r="D12" s="44">
        <v>0</v>
      </c>
      <c r="E12" s="44">
        <v>0</v>
      </c>
      <c r="F12" s="49">
        <v>0</v>
      </c>
    </row>
    <row r="13" spans="2:9" x14ac:dyDescent="0.25">
      <c r="B13" s="50"/>
      <c r="C13" s="51">
        <v>0.99</v>
      </c>
      <c r="D13" s="52">
        <v>0</v>
      </c>
      <c r="E13" s="52">
        <v>0</v>
      </c>
      <c r="F13" s="53">
        <v>0</v>
      </c>
    </row>
    <row r="15" spans="2:9" x14ac:dyDescent="0.25">
      <c r="B15" s="39" t="s">
        <v>58</v>
      </c>
      <c r="C15" s="40"/>
      <c r="D15" s="41"/>
      <c r="E15" s="41" t="str">
        <f>B$3</f>
        <v>Størrelsesfaktor</v>
      </c>
      <c r="F15" s="42"/>
    </row>
    <row r="16" spans="2:9" x14ac:dyDescent="0.25">
      <c r="B16" s="43"/>
      <c r="C16" s="57" t="e">
        <f>C6</f>
        <v>#REF!</v>
      </c>
      <c r="D16" s="46">
        <f>D10</f>
        <v>0.99</v>
      </c>
      <c r="E16" s="46">
        <f>E10</f>
        <v>1</v>
      </c>
      <c r="F16" s="46">
        <f>F10</f>
        <v>1.01</v>
      </c>
    </row>
    <row r="17" spans="2:10" x14ac:dyDescent="0.25">
      <c r="B17" s="48"/>
      <c r="C17" s="46">
        <f>C11</f>
        <v>1.01</v>
      </c>
      <c r="D17" s="57" t="e">
        <f t="dataTable" ref="D17:F19" dt2D="1" dtr="1" r1="C3" r2="C4"/>
        <v>#REF!</v>
      </c>
      <c r="E17" s="57" t="e">
        <v>#REF!</v>
      </c>
      <c r="F17" s="63" t="e">
        <v>#REF!</v>
      </c>
    </row>
    <row r="18" spans="2:10" x14ac:dyDescent="0.25">
      <c r="B18" s="48" t="str">
        <f>B$4</f>
        <v>El-faktor</v>
      </c>
      <c r="C18" s="46">
        <f>C12</f>
        <v>1</v>
      </c>
      <c r="D18" s="57" t="e">
        <v>#REF!</v>
      </c>
      <c r="E18" s="57" t="e">
        <v>#REF!</v>
      </c>
      <c r="F18" s="63" t="e">
        <v>#REF!</v>
      </c>
    </row>
    <row r="19" spans="2:10" x14ac:dyDescent="0.25">
      <c r="B19" s="50"/>
      <c r="C19" s="46">
        <f>C13</f>
        <v>0.99</v>
      </c>
      <c r="D19" s="64" t="e">
        <v>#REF!</v>
      </c>
      <c r="E19" s="64" t="e">
        <v>#REF!</v>
      </c>
      <c r="F19" s="65" t="e">
        <v>#REF!</v>
      </c>
    </row>
    <row r="20" spans="2:10" x14ac:dyDescent="0.25">
      <c r="B20" s="1"/>
      <c r="C20" s="46"/>
      <c r="D20" s="66"/>
      <c r="E20" s="66"/>
      <c r="F20" s="66"/>
      <c r="I20" s="67" t="s">
        <v>9</v>
      </c>
    </row>
    <row r="21" spans="2:10" x14ac:dyDescent="0.25">
      <c r="B21" s="39" t="s">
        <v>61</v>
      </c>
      <c r="C21" s="40"/>
      <c r="D21" s="41"/>
      <c r="E21" s="41" t="str">
        <f>B$3</f>
        <v>Størrelsesfaktor</v>
      </c>
      <c r="F21" s="42"/>
      <c r="I21" s="67" t="s">
        <v>62</v>
      </c>
    </row>
    <row r="22" spans="2:10" x14ac:dyDescent="0.25">
      <c r="B22" s="43"/>
      <c r="C22" s="44" t="e">
        <f>C7</f>
        <v>#DIV/0!</v>
      </c>
      <c r="D22" s="46">
        <f>D10</f>
        <v>0.99</v>
      </c>
      <c r="E22" s="46">
        <f>E10</f>
        <v>1</v>
      </c>
      <c r="F22" s="46">
        <f>F10</f>
        <v>1.01</v>
      </c>
      <c r="I22" s="67"/>
    </row>
    <row r="23" spans="2:10" x14ac:dyDescent="0.25">
      <c r="B23" s="48"/>
      <c r="C23" s="46">
        <f>C11</f>
        <v>1.01</v>
      </c>
      <c r="D23" s="44" t="e">
        <f t="dataTable" ref="D23:F25" dt2D="1" dtr="1" r1="C3" r2="C4"/>
        <v>#DIV/0!</v>
      </c>
      <c r="E23" s="44" t="e">
        <v>#DIV/0!</v>
      </c>
      <c r="F23" s="49" t="e">
        <v>#DIV/0!</v>
      </c>
      <c r="I23" s="68" t="e">
        <f>(E23-E$24)/(E17-E$18)/100</f>
        <v>#DIV/0!</v>
      </c>
    </row>
    <row r="24" spans="2:10" x14ac:dyDescent="0.25">
      <c r="B24" s="48" t="str">
        <f>B$4</f>
        <v>El-faktor</v>
      </c>
      <c r="C24" s="46">
        <f>C12</f>
        <v>1</v>
      </c>
      <c r="D24" s="44" t="e">
        <v>#DIV/0!</v>
      </c>
      <c r="E24" s="44" t="e">
        <v>#DIV/0!</v>
      </c>
      <c r="F24" s="49" t="e">
        <v>#DIV/0!</v>
      </c>
      <c r="I24" s="68"/>
    </row>
    <row r="25" spans="2:10" x14ac:dyDescent="0.25">
      <c r="B25" s="50"/>
      <c r="C25" s="46">
        <f>C13</f>
        <v>0.99</v>
      </c>
      <c r="D25" s="52" t="e">
        <v>#DIV/0!</v>
      </c>
      <c r="E25" s="52" t="e">
        <v>#DIV/0!</v>
      </c>
      <c r="F25" s="53" t="e">
        <v>#DIV/0!</v>
      </c>
      <c r="I25" s="68" t="e">
        <f>(E25-E$24)/(E19-E$18)/100</f>
        <v>#DIV/0!</v>
      </c>
    </row>
    <row r="28" spans="2:10" x14ac:dyDescent="0.25">
      <c r="I28" s="81" t="e">
        <f>(I23+I25)/2/100</f>
        <v>#DIV/0!</v>
      </c>
      <c r="J28" s="69" t="s">
        <v>63</v>
      </c>
    </row>
    <row r="29" spans="2:10" x14ac:dyDescent="0.25">
      <c r="I29" s="77" t="e">
        <f>I28/3</f>
        <v>#DIV/0!</v>
      </c>
      <c r="J29" s="70" t="s">
        <v>64</v>
      </c>
    </row>
  </sheetData>
  <conditionalFormatting sqref="D11:F13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D17:F19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D23:F25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C44648A61E4934180AEBA1BD40D3B7D" ma:contentTypeVersion="12" ma:contentTypeDescription="Een nieuw document maken." ma:contentTypeScope="" ma:versionID="bc261df2e71ee7732572a96052194f82">
  <xsd:schema xmlns:xsd="http://www.w3.org/2001/XMLSchema" xmlns:xs="http://www.w3.org/2001/XMLSchema" xmlns:p="http://schemas.microsoft.com/office/2006/metadata/properties" xmlns:ns2="0b54d9c2-80d3-45f4-a176-23b7230d6a85" xmlns:ns3="901bd774-cc44-4d51-a79a-d665ff7e5c5a" targetNamespace="http://schemas.microsoft.com/office/2006/metadata/properties" ma:root="true" ma:fieldsID="fc7ec59b27beaa3d9f3765bc567bd413" ns2:_="" ns3:_="">
    <xsd:import namespace="0b54d9c2-80d3-45f4-a176-23b7230d6a85"/>
    <xsd:import namespace="901bd774-cc44-4d51-a79a-d665ff7e5c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54d9c2-80d3-45f4-a176-23b7230d6a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35342b98-9981-4530-81f0-e5d67e6754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1bd774-cc44-4d51-a79a-d665ff7e5c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993dad32-8e5e-46a6-83f1-30c10712a115}" ma:internalName="TaxCatchAll" ma:showField="CatchAllData" ma:web="901bd774-cc44-4d51-a79a-d665ff7e5c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01bd774-cc44-4d51-a79a-d665ff7e5c5a" xsi:nil="true"/>
    <lcf76f155ced4ddcb4097134ff3c332f xmlns="0b54d9c2-80d3-45f4-a176-23b7230d6a8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7B9130C-084A-448A-B28F-4F368A1536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54d9c2-80d3-45f4-a176-23b7230d6a85"/>
    <ds:schemaRef ds:uri="901bd774-cc44-4d51-a79a-d665ff7e5c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C0EE760-1767-4ABF-829C-E75DFB76F84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D6A6F37-C780-4365-88D3-F9ACEAF50CB2}">
  <ds:schemaRefs>
    <ds:schemaRef ds:uri="http://schemas.microsoft.com/office/2006/metadata/properties"/>
    <ds:schemaRef ds:uri="http://schemas.microsoft.com/office/infopath/2007/PartnerControls"/>
    <ds:schemaRef ds:uri="3cb11f44-5089-44be-a7dd-4fed73cd74f9"/>
    <ds:schemaRef ds:uri="fe121e20-e7f1-46f8-9cf0-3dcc1c9d6a71"/>
    <ds:schemaRef ds:uri="901bd774-cc44-4d51-a79a-d665ff7e5c5a"/>
    <ds:schemaRef ds:uri="0b54d9c2-80d3-45f4-a176-23b7230d6a8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5</vt:i4>
      </vt:variant>
      <vt:variant>
        <vt:lpstr>Navngivne områder</vt:lpstr>
      </vt:variant>
      <vt:variant>
        <vt:i4>3</vt:i4>
      </vt:variant>
    </vt:vector>
  </HeadingPairs>
  <TitlesOfParts>
    <vt:vector size="8" baseType="lpstr">
      <vt:lpstr>TJEK LISTE</vt:lpstr>
      <vt:lpstr>Operating data</vt:lpstr>
      <vt:lpstr>System calculation</vt:lpstr>
      <vt:lpstr>Konstanter</vt:lpstr>
      <vt:lpstr>Bodsudregning</vt:lpstr>
      <vt:lpstr>Elfaktor</vt:lpstr>
      <vt:lpstr>Kelvin</vt:lpstr>
      <vt:lpstr>størrelsesfaktor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Peter Hybertz Jarnved</dc:creator>
  <cp:keywords/>
  <dc:description/>
  <cp:lastModifiedBy>Tina Hartun Nielsen</cp:lastModifiedBy>
  <cp:revision/>
  <dcterms:created xsi:type="dcterms:W3CDTF">2021-11-11T12:28:00Z</dcterms:created>
  <dcterms:modified xsi:type="dcterms:W3CDTF">2026-08-26T15:14:14Z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0x010100BC44648A61E4934180AEBA1BD40D3B7D</vt:lpwstr>
  </property>
  <property fmtid="{D5CDD505-2E9C-101B-9397-08002B2CF9AE}" pid="3" name="MediaServiceImageTags">
    <vt:lpwstr/>
  </property>
</Properties>
</file>