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drawings/drawing3.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style2.xml" ContentType="application/vnd.ms-office.chartstyle+xml"/>
  <Override PartName="/xl/charts/colors2.xml" ContentType="application/vnd.ms-office.chartcolorstyle+xml"/>
  <Override PartName="/xl/charts/chart6.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charts/chart7.xml" ContentType="application/vnd.openxmlformats-officedocument.drawingml.chart+xml"/>
  <Override PartName="/xl/charts/chart8.xml" ContentType="application/vnd.openxmlformats-officedocument.drawingml.chart+xml"/>
  <Override PartName="/xl/charts/style3.xml" ContentType="application/vnd.ms-office.chartstyle+xml"/>
  <Override PartName="/xl/charts/colors3.xml" ContentType="application/vnd.ms-office.chartcolorstyle+xml"/>
  <Override PartName="/xl/charts/chart9.xml" ContentType="application/vnd.openxmlformats-officedocument.drawingml.chart+xml"/>
  <Override PartName="/xl/charts/style4.xml" ContentType="application/vnd.ms-office.chartstyle+xml"/>
  <Override PartName="/xl/charts/colors4.xml" ContentType="application/vnd.ms-office.chartcolorstyle+xml"/>
  <Override PartName="/xl/charts/chart10.xml" ContentType="application/vnd.openxmlformats-officedocument.drawingml.chart+xml"/>
  <Override PartName="/xl/charts/style5.xml" ContentType="application/vnd.ms-office.chartstyle+xml"/>
  <Override PartName="/xl/charts/colors5.xml" ContentType="application/vnd.ms-office.chartcolorstyle+xml"/>
  <Override PartName="/xl/charts/chart11.xml" ContentType="application/vnd.openxmlformats-officedocument.drawingml.chart+xml"/>
  <Override PartName="/xl/charts/style6.xml" ContentType="application/vnd.ms-office.chartstyle+xml"/>
  <Override PartName="/xl/charts/colors6.xml" ContentType="application/vnd.ms-office.chartcolorstyle+xml"/>
  <Override PartName="/xl/charts/chart12.xml" ContentType="application/vnd.openxmlformats-officedocument.drawingml.chart+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Denne_projektmappe" defaultThemeVersion="166925"/>
  <mc:AlternateContent xmlns:mc="http://schemas.openxmlformats.org/markup-compatibility/2006">
    <mc:Choice Requires="x15">
      <x15ac:absPath xmlns:x15ac="http://schemas.microsoft.com/office/spreadsheetml/2010/11/ac" url="C:\Users\nv\Documents\01 Offline Netherlands\Tendering Meeting\For upload Buurtwarmte\"/>
    </mc:Choice>
  </mc:AlternateContent>
  <xr:revisionPtr revIDLastSave="0" documentId="13_ncr:1_{428B711E-F79E-435F-A881-4A52C2A052F2}" xr6:coauthVersionLast="47" xr6:coauthVersionMax="47" xr10:uidLastSave="{00000000-0000-0000-0000-000000000000}"/>
  <workbookProtection workbookAlgorithmName="SHA-512" workbookHashValue="M5UGhhQWU5VM04CFiPuy84f+55q36wo6Nv4ZY4RwNF5QnZklUWm9fCRpGkun9UW+05/LxhM2T5XeDww5gGWqlg==" workbookSaltValue="x7kwHdvASTUa3sVZuQaCmw==" workbookSpinCount="100000" lockStructure="1"/>
  <bookViews>
    <workbookView xWindow="28680" yWindow="-120" windowWidth="29040" windowHeight="17520" tabRatio="763" firstSheet="2" activeTab="2" xr2:uid="{48849D1C-E380-436E-8A6A-0A97AB107B1E}"/>
  </bookViews>
  <sheets>
    <sheet name="TJEK LISTE" sheetId="20" state="hidden" r:id="rId1"/>
    <sheet name="Tilbudsliste (benyttes ikke)" sheetId="23" state="hidden" r:id="rId2"/>
    <sheet name="Driftsdata LUFT VP" sheetId="1" r:id="rId3"/>
    <sheet name="Ark1" sheetId="27" state="hidden" r:id="rId4"/>
    <sheet name="Systemberegning VP1" sheetId="2" state="hidden" r:id="rId5"/>
    <sheet name="Varmebehov (benyttes ik)" sheetId="26" state="hidden" r:id="rId6"/>
    <sheet name="Varmepumpeberegning VP1" sheetId="4" state="hidden" r:id="rId7"/>
    <sheet name="Potentiel produktion" sheetId="11" state="hidden" r:id="rId8"/>
    <sheet name="Netselskaber" sheetId="9" state="hidden" r:id="rId9"/>
    <sheet name="Konstanter" sheetId="10" state="hidden" r:id="rId10"/>
    <sheet name="Bodsudregning" sheetId="8" state="hidden" r:id="rId11"/>
  </sheets>
  <definedNames>
    <definedName name="Elfaktor">Bodsudregning!$C$4</definedName>
    <definedName name="Kelvin">Konstanter!$B$3</definedName>
    <definedName name="_xlnm.Print_Area" localSheetId="2">'Driftsdata LUFT VP'!$A$1:$AC$55</definedName>
    <definedName name="_xlnm.Print_Area" localSheetId="1">'Tilbudsliste (benyttes ikke)'!$B$2:$G$273</definedName>
    <definedName name="solver_opt" localSheetId="2" hidden="1">'Driftsdata LUFT VP'!$E$50</definedName>
    <definedName name="Størrelsesfaktor">Bodsudregning!$C$3</definedName>
    <definedName name="Varmebehovsfaktor">'Systemberegning VP1'!$N$3</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1" i="1" l="1"/>
  <c r="C15" i="2" a="1"/>
  <c r="C15" i="2"/>
  <c r="D14" i="1"/>
  <c r="G4" i="2" l="1"/>
  <c r="F4" i="2"/>
  <c r="H7" i="9"/>
  <c r="D12" i="1"/>
  <c r="D16" i="1" s="1"/>
  <c r="N24" i="1"/>
  <c r="F38" i="1"/>
  <c r="G38" i="1"/>
  <c r="H38" i="1"/>
  <c r="I38" i="1"/>
  <c r="J38" i="1"/>
  <c r="K38" i="1"/>
  <c r="L38" i="1"/>
  <c r="M38" i="1"/>
  <c r="N38" i="1"/>
  <c r="E38" i="1"/>
  <c r="F36" i="1"/>
  <c r="G36" i="1"/>
  <c r="H36" i="1"/>
  <c r="I36" i="1"/>
  <c r="J36" i="1"/>
  <c r="K36" i="1"/>
  <c r="L36" i="1"/>
  <c r="M36" i="1"/>
  <c r="N36" i="1"/>
  <c r="E36" i="1"/>
  <c r="N35" i="1"/>
  <c r="M35" i="1"/>
  <c r="L35" i="1"/>
  <c r="K35" i="1"/>
  <c r="J35" i="1"/>
  <c r="I35" i="1"/>
  <c r="H35" i="1"/>
  <c r="G35" i="1"/>
  <c r="F35" i="1"/>
  <c r="E35" i="1"/>
  <c r="N33" i="1"/>
  <c r="M33" i="1"/>
  <c r="L33" i="1"/>
  <c r="K33" i="1"/>
  <c r="J33" i="1"/>
  <c r="I33" i="1"/>
  <c r="H33" i="1"/>
  <c r="G33" i="1"/>
  <c r="F33" i="1"/>
  <c r="E33" i="1"/>
  <c r="N31" i="1"/>
  <c r="M31" i="1"/>
  <c r="L31" i="1"/>
  <c r="K31" i="1"/>
  <c r="J31" i="1"/>
  <c r="I31" i="1"/>
  <c r="H31" i="1"/>
  <c r="G31" i="1"/>
  <c r="E31" i="1"/>
  <c r="E4" i="2" s="1"/>
  <c r="M24" i="1"/>
  <c r="L24" i="1"/>
  <c r="K24" i="1"/>
  <c r="J24" i="1"/>
  <c r="I24" i="1"/>
  <c r="H24" i="1"/>
  <c r="G24" i="1"/>
  <c r="F24" i="1"/>
  <c r="E24" i="1"/>
  <c r="F23" i="1"/>
  <c r="G23" i="1"/>
  <c r="H23" i="1"/>
  <c r="I23" i="1"/>
  <c r="J23" i="1"/>
  <c r="K23" i="1"/>
  <c r="L23" i="1"/>
  <c r="M23" i="1"/>
  <c r="N23" i="1"/>
  <c r="E23" i="1"/>
  <c r="B12" i="2"/>
  <c r="C12" i="2" s="1"/>
  <c r="H2" i="9" l="1"/>
  <c r="E44" i="1"/>
  <c r="E43" i="1"/>
  <c r="E6" i="27"/>
  <c r="D6" i="27"/>
  <c r="C6" i="27"/>
  <c r="E42" i="1" l="1"/>
  <c r="H6" i="9"/>
  <c r="N4" i="2" l="1"/>
  <c r="P16" i="2" l="1"/>
  <c r="C4" i="4"/>
  <c r="N4" i="4"/>
  <c r="C11" i="4" s="1"/>
  <c r="H5" i="9"/>
  <c r="H4" i="9"/>
  <c r="C2" i="4"/>
  <c r="Q16" i="2" l="1"/>
  <c r="J4" i="4"/>
  <c r="F4" i="4"/>
  <c r="G4" i="4"/>
  <c r="D4" i="4"/>
  <c r="D15" i="4" s="1"/>
  <c r="I4" i="4"/>
  <c r="L4" i="4"/>
  <c r="M4" i="4"/>
  <c r="D11" i="4" s="1"/>
  <c r="I25" i="8"/>
  <c r="F34" i="23"/>
  <c r="T16" i="2" l="1"/>
  <c r="D13" i="4"/>
  <c r="D14" i="4"/>
  <c r="D16" i="4"/>
  <c r="K4" i="4"/>
  <c r="D12" i="4" s="1"/>
  <c r="B30" i="2"/>
  <c r="B31" i="2" s="1"/>
  <c r="F244" i="23" l="1"/>
  <c r="F257" i="23"/>
  <c r="F234" i="23"/>
  <c r="F245" i="23" l="1"/>
  <c r="F264" i="23" s="1"/>
  <c r="F98" i="23"/>
  <c r="F261" i="23" l="1"/>
  <c r="F265" i="23" s="1"/>
  <c r="E30" i="1"/>
  <c r="E32" i="1" s="1"/>
  <c r="E37" i="1" s="1"/>
  <c r="E39" i="1" s="1"/>
  <c r="E41" i="1" l="1"/>
  <c r="E47" i="1"/>
  <c r="F266" i="23"/>
  <c r="F24" i="23" s="1"/>
  <c r="E48" i="1" l="1"/>
  <c r="E45" i="1"/>
  <c r="AC3" i="2" l="1"/>
  <c r="S14" i="2" l="1"/>
  <c r="S3" i="2" s="1"/>
  <c r="F114" i="23" l="1"/>
  <c r="I23" i="8"/>
  <c r="I28" i="8" l="1"/>
  <c r="I29" i="8" s="1"/>
  <c r="C3" i="4"/>
  <c r="C6" i="4"/>
  <c r="C140" i="23"/>
  <c r="C254" i="23" s="1"/>
  <c r="C139" i="23"/>
  <c r="C253" i="23" s="1"/>
  <c r="C123" i="23"/>
  <c r="C200" i="23" s="1"/>
  <c r="C122" i="23"/>
  <c r="C199" i="23" s="1"/>
  <c r="C102" i="23"/>
  <c r="C101" i="23"/>
  <c r="C52" i="23"/>
  <c r="C51" i="23"/>
  <c r="F117" i="23" l="1"/>
  <c r="C5" i="4"/>
  <c r="F118" i="23"/>
  <c r="F119" i="23" l="1"/>
  <c r="H3" i="9"/>
  <c r="F23" i="23" l="1"/>
  <c r="F26" i="23" s="1"/>
  <c r="Q14" i="2" l="1"/>
  <c r="B41" i="2" l="1"/>
  <c r="G44" i="1" l="1"/>
  <c r="H44" i="1"/>
  <c r="I44" i="1"/>
  <c r="J44" i="1"/>
  <c r="K44" i="1"/>
  <c r="L44" i="1"/>
  <c r="M44" i="1"/>
  <c r="N44" i="1"/>
  <c r="G43" i="1"/>
  <c r="H43" i="1"/>
  <c r="I43" i="1"/>
  <c r="J43" i="1"/>
  <c r="K43" i="1"/>
  <c r="L43" i="1"/>
  <c r="M43" i="1"/>
  <c r="N43" i="1"/>
  <c r="F43" i="1"/>
  <c r="F44" i="1"/>
  <c r="F42" i="1" l="1"/>
  <c r="L42" i="1"/>
  <c r="J42" i="1"/>
  <c r="I42" i="1"/>
  <c r="H42" i="1"/>
  <c r="N42" i="1"/>
  <c r="G42" i="1"/>
  <c r="M42" i="1"/>
  <c r="K42" i="1"/>
  <c r="G30" i="1" l="1"/>
  <c r="G32" i="1" s="1"/>
  <c r="H30" i="1"/>
  <c r="H32" i="1" s="1"/>
  <c r="I30" i="1"/>
  <c r="I32" i="1" s="1"/>
  <c r="J30" i="1"/>
  <c r="J32" i="1" s="1"/>
  <c r="K30" i="1"/>
  <c r="K32" i="1" s="1"/>
  <c r="L30" i="1"/>
  <c r="L32" i="1" s="1"/>
  <c r="M30" i="1"/>
  <c r="M32" i="1" s="1"/>
  <c r="N30" i="1"/>
  <c r="F30" i="1"/>
  <c r="F32" i="1" s="1"/>
  <c r="F37" i="1" s="1"/>
  <c r="F39" i="1" s="1"/>
  <c r="N32" i="1" l="1"/>
  <c r="N37" i="1" s="1"/>
  <c r="N39" i="1" s="1"/>
  <c r="N48" i="1" s="1"/>
  <c r="H3" i="2"/>
  <c r="C570" i="2" l="1"/>
  <c r="F559" i="2"/>
  <c r="F3" i="4"/>
  <c r="G3" i="4"/>
  <c r="I3" i="4"/>
  <c r="J3" i="4"/>
  <c r="K3" i="4"/>
  <c r="L3" i="4"/>
  <c r="M3" i="4"/>
  <c r="N3" i="4"/>
  <c r="D3" i="4"/>
  <c r="C24" i="8" l="1"/>
  <c r="C25" i="8"/>
  <c r="C23" i="8"/>
  <c r="E22" i="8"/>
  <c r="F22" i="8"/>
  <c r="D22" i="8"/>
  <c r="C19" i="8"/>
  <c r="C17" i="8"/>
  <c r="C18" i="8"/>
  <c r="E16" i="8"/>
  <c r="F16" i="8"/>
  <c r="D16" i="8"/>
  <c r="E15" i="8"/>
  <c r="B24" i="8"/>
  <c r="E21" i="8"/>
  <c r="B18" i="8"/>
  <c r="B12" i="8"/>
  <c r="E9" i="8"/>
  <c r="C5" i="8"/>
  <c r="C10" i="4"/>
  <c r="C16" i="4" l="1"/>
  <c r="C14" i="4"/>
  <c r="C15" i="4"/>
  <c r="C10" i="8"/>
  <c r="E16" i="4" l="1"/>
  <c r="C369" i="11"/>
  <c r="C370" i="11" s="1"/>
  <c r="C12" i="4" l="1"/>
  <c r="C41" i="2"/>
  <c r="AB14" i="2" l="1"/>
  <c r="AB3" i="2" s="1"/>
  <c r="AA14" i="2"/>
  <c r="AA3" i="2" s="1"/>
  <c r="Z14" i="2"/>
  <c r="Z3" i="2" s="1"/>
  <c r="R14" i="2" l="1"/>
  <c r="R3" i="2" s="1"/>
  <c r="Q3" i="2"/>
  <c r="Y14" i="2" l="1"/>
  <c r="Y3" i="2" s="1"/>
  <c r="D10" i="4" l="1"/>
  <c r="N2" i="4"/>
  <c r="F21" i="4" s="1"/>
  <c r="F2" i="4"/>
  <c r="G2" i="4"/>
  <c r="I2" i="4"/>
  <c r="J2" i="4"/>
  <c r="F35" i="4" s="1"/>
  <c r="K2" i="4"/>
  <c r="F30" i="4" s="1"/>
  <c r="L2" i="4"/>
  <c r="B12" i="4" s="1"/>
  <c r="M2" i="4"/>
  <c r="F27" i="4" s="1"/>
  <c r="D2" i="4"/>
  <c r="J37" i="1"/>
  <c r="J39" i="1" s="1"/>
  <c r="B15" i="4" l="1"/>
  <c r="F46" i="4"/>
  <c r="B14" i="4"/>
  <c r="A15" i="4" s="1"/>
  <c r="F38" i="4"/>
  <c r="B13" i="4"/>
  <c r="A14" i="4" s="1"/>
  <c r="B11" i="4"/>
  <c r="A12" i="4" s="1"/>
  <c r="B10" i="4"/>
  <c r="J48" i="1"/>
  <c r="A13" i="4"/>
  <c r="C13" i="4"/>
  <c r="C54" i="4" l="1"/>
  <c r="C56" i="4"/>
  <c r="C55" i="4"/>
  <c r="X229" i="4" s="1"/>
  <c r="E15" i="4"/>
  <c r="J41" i="1"/>
  <c r="J47" i="1"/>
  <c r="J5" i="4"/>
  <c r="A11" i="4"/>
  <c r="E11" i="4" s="1"/>
  <c r="A10" i="4"/>
  <c r="E10" i="4" s="1"/>
  <c r="C51" i="4"/>
  <c r="E13" i="4"/>
  <c r="E12" i="4"/>
  <c r="C46" i="4"/>
  <c r="E14" i="4"/>
  <c r="X205" i="4" l="1"/>
  <c r="X181" i="4"/>
  <c r="X206" i="4"/>
  <c r="X230" i="4"/>
  <c r="X254" i="4"/>
  <c r="X231" i="4"/>
  <c r="X137" i="4"/>
  <c r="X225" i="4"/>
  <c r="X194" i="4"/>
  <c r="X250" i="4"/>
  <c r="X227" i="4"/>
  <c r="X244" i="4"/>
  <c r="X174" i="4"/>
  <c r="X190" i="4"/>
  <c r="X198" i="4"/>
  <c r="X294" i="4"/>
  <c r="X176" i="4"/>
  <c r="X135" i="4"/>
  <c r="X151" i="4"/>
  <c r="X263" i="4"/>
  <c r="X271" i="4"/>
  <c r="X295" i="4"/>
  <c r="X153" i="4"/>
  <c r="X169" i="4"/>
  <c r="X257" i="4"/>
  <c r="X273" i="4"/>
  <c r="X297" i="4"/>
  <c r="X101" i="4"/>
  <c r="X189" i="4"/>
  <c r="X285" i="4"/>
  <c r="X186" i="4"/>
  <c r="X107" i="4"/>
  <c r="X147" i="4"/>
  <c r="X155" i="4"/>
  <c r="X187" i="4"/>
  <c r="X173" i="4"/>
  <c r="X148" i="4"/>
  <c r="X172" i="4"/>
  <c r="C33" i="4"/>
  <c r="C35" i="4"/>
  <c r="J45" i="1"/>
  <c r="C21" i="4"/>
  <c r="C20" i="4"/>
  <c r="C27" i="4"/>
  <c r="C25" i="4"/>
  <c r="C23" i="4"/>
  <c r="C26" i="4"/>
  <c r="C24" i="4"/>
  <c r="C19" i="4"/>
  <c r="J6" i="4"/>
  <c r="C30" i="4"/>
  <c r="C47" i="4"/>
  <c r="C31" i="4"/>
  <c r="X10" i="4" s="1"/>
  <c r="C34" i="4"/>
  <c r="C29" i="4"/>
  <c r="C32" i="4"/>
  <c r="C28" i="4"/>
  <c r="C39" i="4"/>
  <c r="C38" i="4"/>
  <c r="C37" i="4"/>
  <c r="C36" i="4"/>
  <c r="C22" i="4"/>
  <c r="C50" i="4"/>
  <c r="C48" i="4"/>
  <c r="C53" i="4"/>
  <c r="C52" i="4"/>
  <c r="C49" i="4"/>
  <c r="C43" i="4"/>
  <c r="C44" i="4"/>
  <c r="C45" i="4"/>
  <c r="C40" i="4"/>
  <c r="C42" i="4"/>
  <c r="C41" i="4"/>
  <c r="X54" i="4" l="1"/>
  <c r="W66" i="2" s="1"/>
  <c r="X110" i="4"/>
  <c r="W122" i="2" s="1"/>
  <c r="X318" i="4"/>
  <c r="W330" i="2" s="1"/>
  <c r="X359" i="4"/>
  <c r="W371" i="2" s="1"/>
  <c r="X320" i="4"/>
  <c r="W332" i="2" s="1"/>
  <c r="X63" i="4"/>
  <c r="W75" i="2" s="1"/>
  <c r="X79" i="4"/>
  <c r="W91" i="2" s="1"/>
  <c r="X64" i="4"/>
  <c r="W76" i="2" s="1"/>
  <c r="X80" i="4"/>
  <c r="W92" i="2" s="1"/>
  <c r="X25" i="4"/>
  <c r="W37" i="2" s="1"/>
  <c r="X89" i="4"/>
  <c r="W101" i="2" s="1"/>
  <c r="X113" i="4"/>
  <c r="W125" i="2" s="1"/>
  <c r="X281" i="4"/>
  <c r="W293" i="2" s="1"/>
  <c r="X289" i="4"/>
  <c r="W301" i="2" s="1"/>
  <c r="X353" i="4"/>
  <c r="W365" i="2" s="1"/>
  <c r="X109" i="4"/>
  <c r="W121" i="2" s="1"/>
  <c r="X344" i="4"/>
  <c r="W356" i="2" s="1"/>
  <c r="X91" i="4"/>
  <c r="W103" i="2" s="1"/>
  <c r="X291" i="4"/>
  <c r="W303" i="2" s="1"/>
  <c r="X355" i="4"/>
  <c r="W367" i="2" s="1"/>
  <c r="X363" i="4"/>
  <c r="W375" i="2" s="1"/>
  <c r="X29" i="4"/>
  <c r="W41" i="2" s="1"/>
  <c r="X53" i="4"/>
  <c r="W65" i="2" s="1"/>
  <c r="X357" i="4"/>
  <c r="W369" i="2" s="1"/>
  <c r="X292" i="4"/>
  <c r="W304" i="2" s="1"/>
  <c r="X45" i="4"/>
  <c r="W57" i="2" s="1"/>
  <c r="X56" i="4"/>
  <c r="W68" i="2" s="1"/>
  <c r="X95" i="4"/>
  <c r="W107" i="2" s="1"/>
  <c r="X319" i="4"/>
  <c r="W331" i="2" s="1"/>
  <c r="X48" i="4"/>
  <c r="W60" i="2" s="1"/>
  <c r="X65" i="4"/>
  <c r="W77" i="2" s="1"/>
  <c r="X81" i="4"/>
  <c r="W93" i="2" s="1"/>
  <c r="X97" i="4"/>
  <c r="W109" i="2" s="1"/>
  <c r="X121" i="4"/>
  <c r="W133" i="2" s="1"/>
  <c r="X50" i="4"/>
  <c r="W62" i="2" s="1"/>
  <c r="X66" i="4"/>
  <c r="W78" i="2" s="1"/>
  <c r="X290" i="4"/>
  <c r="W302" i="2" s="1"/>
  <c r="X322" i="4"/>
  <c r="W334" i="2" s="1"/>
  <c r="X354" i="4"/>
  <c r="W366" i="2" s="1"/>
  <c r="X259" i="4"/>
  <c r="W271" i="2" s="1"/>
  <c r="X275" i="4"/>
  <c r="W287" i="2" s="1"/>
  <c r="X283" i="4"/>
  <c r="W295" i="2" s="1"/>
  <c r="X301" i="4"/>
  <c r="W313" i="2" s="1"/>
  <c r="X92" i="4"/>
  <c r="W104" i="2" s="1"/>
  <c r="X276" i="4"/>
  <c r="W288" i="2" s="1"/>
  <c r="X300" i="4"/>
  <c r="W312" i="2" s="1"/>
  <c r="X356" i="4"/>
  <c r="W368" i="2" s="1"/>
  <c r="X365" i="4"/>
  <c r="W377" i="2" s="1"/>
  <c r="X70" i="4"/>
  <c r="X342" i="4"/>
  <c r="W354" i="2" s="1"/>
  <c r="X31" i="4"/>
  <c r="W43" i="2" s="1"/>
  <c r="X71" i="4"/>
  <c r="W83" i="2" s="1"/>
  <c r="X311" i="4"/>
  <c r="W323" i="2" s="1"/>
  <c r="X16" i="4"/>
  <c r="W28" i="2" s="1"/>
  <c r="X17" i="4"/>
  <c r="W29" i="2" s="1"/>
  <c r="X349" i="4"/>
  <c r="W361" i="2" s="1"/>
  <c r="X352" i="4"/>
  <c r="W364" i="2" s="1"/>
  <c r="X338" i="4"/>
  <c r="W350" i="2" s="1"/>
  <c r="X331" i="4"/>
  <c r="W343" i="2" s="1"/>
  <c r="X60" i="4"/>
  <c r="W72" i="2" s="1"/>
  <c r="X316" i="4"/>
  <c r="W328" i="2" s="1"/>
  <c r="X61" i="4"/>
  <c r="W73" i="2" s="1"/>
  <c r="X6" i="4"/>
  <c r="W18" i="2" s="1"/>
  <c r="X38" i="4"/>
  <c r="W50" i="2" s="1"/>
  <c r="X94" i="4"/>
  <c r="W106" i="2" s="1"/>
  <c r="X310" i="4"/>
  <c r="W322" i="2" s="1"/>
  <c r="X40" i="4"/>
  <c r="W52" i="2" s="1"/>
  <c r="X288" i="4"/>
  <c r="W300" i="2" s="1"/>
  <c r="X39" i="4"/>
  <c r="W51" i="2" s="1"/>
  <c r="X55" i="4"/>
  <c r="W67" i="2" s="1"/>
  <c r="X96" i="4"/>
  <c r="W108" i="2" s="1"/>
  <c r="X280" i="4"/>
  <c r="W292" i="2" s="1"/>
  <c r="X321" i="4"/>
  <c r="W333" i="2" s="1"/>
  <c r="X90" i="4"/>
  <c r="W102" i="2" s="1"/>
  <c r="X282" i="4"/>
  <c r="W294" i="2" s="1"/>
  <c r="X27" i="4"/>
  <c r="W39" i="2" s="1"/>
  <c r="X51" i="4"/>
  <c r="W63" i="2" s="1"/>
  <c r="X323" i="4"/>
  <c r="W335" i="2" s="1"/>
  <c r="X85" i="4"/>
  <c r="W97" i="2" s="1"/>
  <c r="X93" i="4"/>
  <c r="W105" i="2" s="1"/>
  <c r="X44" i="4"/>
  <c r="W56" i="2" s="1"/>
  <c r="X52" i="4"/>
  <c r="W64" i="2" s="1"/>
  <c r="X76" i="4"/>
  <c r="W88" i="2" s="1"/>
  <c r="X84" i="4"/>
  <c r="W96" i="2" s="1"/>
  <c r="X324" i="4"/>
  <c r="W336" i="2" s="1"/>
  <c r="X340" i="4"/>
  <c r="W352" i="2" s="1"/>
  <c r="X5" i="4"/>
  <c r="W17" i="2" s="1"/>
  <c r="X37" i="4"/>
  <c r="W49" i="2" s="1"/>
  <c r="X22" i="4"/>
  <c r="X351" i="4"/>
  <c r="W363" i="2" s="1"/>
  <c r="X9" i="4"/>
  <c r="W21" i="2" s="1"/>
  <c r="X329" i="4"/>
  <c r="W341" i="2" s="1"/>
  <c r="X18" i="4"/>
  <c r="W30" i="2" s="1"/>
  <c r="X42" i="4"/>
  <c r="W54" i="2" s="1"/>
  <c r="X366" i="4"/>
  <c r="W378" i="2" s="1"/>
  <c r="X23" i="4"/>
  <c r="W35" i="2" s="1"/>
  <c r="X19" i="4"/>
  <c r="W31" i="2" s="1"/>
  <c r="X327" i="4"/>
  <c r="W339" i="2" s="1"/>
  <c r="X24" i="4"/>
  <c r="W36" i="2" s="1"/>
  <c r="X15" i="4"/>
  <c r="W27" i="2" s="1"/>
  <c r="X328" i="4"/>
  <c r="W340" i="2" s="1"/>
  <c r="X330" i="4"/>
  <c r="W342" i="2" s="1"/>
  <c r="X222" i="4"/>
  <c r="W234" i="2" s="1"/>
  <c r="X215" i="4"/>
  <c r="W227" i="2" s="1"/>
  <c r="X249" i="4"/>
  <c r="W261" i="2" s="1"/>
  <c r="X138" i="4"/>
  <c r="W150" i="2" s="1"/>
  <c r="X253" i="4"/>
  <c r="W265" i="2" s="1"/>
  <c r="X180" i="4"/>
  <c r="W192" i="2" s="1"/>
  <c r="X228" i="4"/>
  <c r="W240" i="2" s="1"/>
  <c r="X252" i="4"/>
  <c r="W264" i="2" s="1"/>
  <c r="X182" i="4"/>
  <c r="W194" i="2" s="1"/>
  <c r="X204" i="4"/>
  <c r="W216" i="2" s="1"/>
  <c r="W198" i="2"/>
  <c r="X126" i="4"/>
  <c r="W138" i="2" s="1"/>
  <c r="X216" i="4"/>
  <c r="W228" i="2" s="1"/>
  <c r="X232" i="4"/>
  <c r="D231" i="11" s="1"/>
  <c r="X207" i="4"/>
  <c r="D206" i="11" s="1"/>
  <c r="X223" i="4"/>
  <c r="W235" i="2" s="1"/>
  <c r="X239" i="4"/>
  <c r="W251" i="2" s="1"/>
  <c r="X255" i="4"/>
  <c r="W267" i="2" s="1"/>
  <c r="X208" i="4"/>
  <c r="W220" i="2" s="1"/>
  <c r="X224" i="4"/>
  <c r="W236" i="2" s="1"/>
  <c r="X248" i="4"/>
  <c r="W260" i="2" s="1"/>
  <c r="X226" i="4"/>
  <c r="W238" i="2" s="1"/>
  <c r="X221" i="4"/>
  <c r="W233" i="2" s="1"/>
  <c r="X245" i="4"/>
  <c r="W257" i="2" s="1"/>
  <c r="X139" i="4"/>
  <c r="W151" i="2" s="1"/>
  <c r="X195" i="4"/>
  <c r="W207" i="2" s="1"/>
  <c r="X211" i="4"/>
  <c r="W223" i="2" s="1"/>
  <c r="X219" i="4"/>
  <c r="W231" i="2" s="1"/>
  <c r="X125" i="4"/>
  <c r="W137" i="2" s="1"/>
  <c r="X262" i="4"/>
  <c r="W274" i="2" s="1"/>
  <c r="X278" i="4"/>
  <c r="W290" i="2" s="1"/>
  <c r="X160" i="4"/>
  <c r="W172" i="2" s="1"/>
  <c r="X127" i="4"/>
  <c r="W139" i="2" s="1"/>
  <c r="X303" i="4"/>
  <c r="W315" i="2" s="1"/>
  <c r="X168" i="4"/>
  <c r="W180" i="2" s="1"/>
  <c r="X296" i="4"/>
  <c r="W308" i="2" s="1"/>
  <c r="X161" i="4"/>
  <c r="W173" i="2" s="1"/>
  <c r="X122" i="4"/>
  <c r="W134" i="2" s="1"/>
  <c r="X162" i="4"/>
  <c r="W174" i="2" s="1"/>
  <c r="X274" i="4"/>
  <c r="W286" i="2" s="1"/>
  <c r="X293" i="4"/>
  <c r="W305" i="2" s="1"/>
  <c r="X131" i="4"/>
  <c r="W143" i="2" s="1"/>
  <c r="X163" i="4"/>
  <c r="W175" i="2" s="1"/>
  <c r="X307" i="4"/>
  <c r="W319" i="2" s="1"/>
  <c r="X188" i="4"/>
  <c r="W200" i="2" s="1"/>
  <c r="X332" i="4"/>
  <c r="W344" i="2" s="1"/>
  <c r="X30" i="4"/>
  <c r="W42" i="2" s="1"/>
  <c r="X326" i="4"/>
  <c r="W338" i="2" s="1"/>
  <c r="X350" i="4"/>
  <c r="W362" i="2" s="1"/>
  <c r="X8" i="4"/>
  <c r="W20" i="2" s="1"/>
  <c r="X7" i="4"/>
  <c r="W19" i="2" s="1"/>
  <c r="X367" i="4"/>
  <c r="W379" i="2" s="1"/>
  <c r="X41" i="4"/>
  <c r="W53" i="2" s="1"/>
  <c r="X313" i="4"/>
  <c r="W325" i="2" s="1"/>
  <c r="X337" i="4"/>
  <c r="W349" i="2" s="1"/>
  <c r="X58" i="4"/>
  <c r="W70" i="2" s="1"/>
  <c r="X362" i="4"/>
  <c r="W374" i="2" s="1"/>
  <c r="X59" i="4"/>
  <c r="W71" i="2" s="1"/>
  <c r="X315" i="4"/>
  <c r="W327" i="2" s="1"/>
  <c r="X117" i="4"/>
  <c r="W129" i="2" s="1"/>
  <c r="X348" i="4"/>
  <c r="W360" i="2" s="1"/>
  <c r="X238" i="4"/>
  <c r="W250" i="2" s="1"/>
  <c r="X143" i="4"/>
  <c r="W155" i="2" s="1"/>
  <c r="X191" i="4"/>
  <c r="W203" i="2" s="1"/>
  <c r="X209" i="4"/>
  <c r="W221" i="2" s="1"/>
  <c r="X233" i="4"/>
  <c r="W245" i="2" s="1"/>
  <c r="X146" i="4"/>
  <c r="W158" i="2" s="1"/>
  <c r="X202" i="4"/>
  <c r="W214" i="2" s="1"/>
  <c r="X210" i="4"/>
  <c r="W222" i="2" s="1"/>
  <c r="X234" i="4"/>
  <c r="W246" i="2" s="1"/>
  <c r="X267" i="4"/>
  <c r="W279" i="2" s="1"/>
  <c r="X140" i="4"/>
  <c r="W152" i="2" s="1"/>
  <c r="X196" i="4"/>
  <c r="W208" i="2" s="1"/>
  <c r="X78" i="4"/>
  <c r="W90" i="2" s="1"/>
  <c r="X166" i="4"/>
  <c r="W178" i="2" s="1"/>
  <c r="X302" i="4"/>
  <c r="W314" i="2" s="1"/>
  <c r="X128" i="4"/>
  <c r="W140" i="2" s="1"/>
  <c r="X304" i="4"/>
  <c r="W316" i="2" s="1"/>
  <c r="X103" i="4"/>
  <c r="W115" i="2" s="1"/>
  <c r="X287" i="4"/>
  <c r="W299" i="2" s="1"/>
  <c r="X49" i="4"/>
  <c r="W61" i="2" s="1"/>
  <c r="X105" i="4"/>
  <c r="W117" i="2" s="1"/>
  <c r="X129" i="4"/>
  <c r="W141" i="2" s="1"/>
  <c r="X305" i="4"/>
  <c r="W317" i="2" s="1"/>
  <c r="X130" i="4"/>
  <c r="W142" i="2" s="1"/>
  <c r="X133" i="4"/>
  <c r="W145" i="2" s="1"/>
  <c r="X99" i="4"/>
  <c r="W111" i="2" s="1"/>
  <c r="X123" i="4"/>
  <c r="W135" i="2" s="1"/>
  <c r="X299" i="4"/>
  <c r="W311" i="2" s="1"/>
  <c r="X77" i="4"/>
  <c r="W89" i="2" s="1"/>
  <c r="X309" i="4"/>
  <c r="W321" i="2" s="1"/>
  <c r="X333" i="4"/>
  <c r="W345" i="2" s="1"/>
  <c r="X132" i="4"/>
  <c r="W144" i="2" s="1"/>
  <c r="X164" i="4"/>
  <c r="W176" i="2" s="1"/>
  <c r="X308" i="4"/>
  <c r="W320" i="2" s="1"/>
  <c r="X150" i="4"/>
  <c r="W162" i="2" s="1"/>
  <c r="X246" i="4"/>
  <c r="W258" i="2" s="1"/>
  <c r="X270" i="4"/>
  <c r="W282" i="2" s="1"/>
  <c r="X144" i="4"/>
  <c r="W156" i="2" s="1"/>
  <c r="X256" i="4"/>
  <c r="W268" i="2" s="1"/>
  <c r="X159" i="4"/>
  <c r="W171" i="2" s="1"/>
  <c r="X199" i="4"/>
  <c r="W211" i="2" s="1"/>
  <c r="X247" i="4"/>
  <c r="W259" i="2" s="1"/>
  <c r="X264" i="4"/>
  <c r="W276" i="2" s="1"/>
  <c r="X177" i="4"/>
  <c r="W189" i="2" s="1"/>
  <c r="X193" i="4"/>
  <c r="W205" i="2" s="1"/>
  <c r="X241" i="4"/>
  <c r="W253" i="2" s="1"/>
  <c r="X265" i="4"/>
  <c r="W277" i="2" s="1"/>
  <c r="X237" i="4"/>
  <c r="W249" i="2" s="1"/>
  <c r="X242" i="4"/>
  <c r="W254" i="2" s="1"/>
  <c r="X266" i="4"/>
  <c r="W278" i="2" s="1"/>
  <c r="X269" i="4"/>
  <c r="W281" i="2" s="1"/>
  <c r="X149" i="4"/>
  <c r="W161" i="2" s="1"/>
  <c r="X100" i="4"/>
  <c r="W112" i="2" s="1"/>
  <c r="X124" i="4"/>
  <c r="W136" i="2" s="1"/>
  <c r="X156" i="4"/>
  <c r="W168" i="2" s="1"/>
  <c r="X268" i="4"/>
  <c r="W280" i="2" s="1"/>
  <c r="X12" i="4"/>
  <c r="W24" i="2" s="1"/>
  <c r="X13" i="4"/>
  <c r="W25" i="2" s="1"/>
  <c r="X104" i="4"/>
  <c r="W116" i="2" s="1"/>
  <c r="X167" i="4"/>
  <c r="W179" i="2" s="1"/>
  <c r="X279" i="4"/>
  <c r="W291" i="2" s="1"/>
  <c r="X165" i="4"/>
  <c r="W177" i="2" s="1"/>
  <c r="X261" i="4"/>
  <c r="W273" i="2" s="1"/>
  <c r="X82" i="4"/>
  <c r="W94" i="2" s="1"/>
  <c r="X98" i="4"/>
  <c r="W110" i="2" s="1"/>
  <c r="X258" i="4"/>
  <c r="W270" i="2" s="1"/>
  <c r="X83" i="4"/>
  <c r="W95" i="2" s="1"/>
  <c r="X277" i="4"/>
  <c r="W289" i="2" s="1"/>
  <c r="X108" i="4"/>
  <c r="W120" i="2" s="1"/>
  <c r="X260" i="4"/>
  <c r="W272" i="2" s="1"/>
  <c r="X102" i="4"/>
  <c r="W114" i="2" s="1"/>
  <c r="X134" i="4"/>
  <c r="W146" i="2" s="1"/>
  <c r="X158" i="4"/>
  <c r="W170" i="2" s="1"/>
  <c r="X286" i="4"/>
  <c r="W298" i="2" s="1"/>
  <c r="X192" i="4"/>
  <c r="W204" i="2" s="1"/>
  <c r="X272" i="4"/>
  <c r="W284" i="2" s="1"/>
  <c r="X175" i="4"/>
  <c r="W187" i="2" s="1"/>
  <c r="X152" i="4"/>
  <c r="W164" i="2" s="1"/>
  <c r="X106" i="4"/>
  <c r="W118" i="2" s="1"/>
  <c r="X154" i="4"/>
  <c r="W166" i="2" s="1"/>
  <c r="X170" i="4"/>
  <c r="W182" i="2" s="1"/>
  <c r="X298" i="4"/>
  <c r="W310" i="2" s="1"/>
  <c r="X306" i="4"/>
  <c r="W318" i="2" s="1"/>
  <c r="X157" i="4"/>
  <c r="W169" i="2" s="1"/>
  <c r="X171" i="4"/>
  <c r="W183" i="2" s="1"/>
  <c r="X197" i="4"/>
  <c r="W209" i="2" s="1"/>
  <c r="X284" i="4"/>
  <c r="W296" i="2" s="1"/>
  <c r="X62" i="4"/>
  <c r="W74" i="2" s="1"/>
  <c r="X86" i="4"/>
  <c r="W98" i="2" s="1"/>
  <c r="X118" i="4"/>
  <c r="W130" i="2" s="1"/>
  <c r="X358" i="4"/>
  <c r="W370" i="2" s="1"/>
  <c r="X343" i="4"/>
  <c r="W355" i="2" s="1"/>
  <c r="X32" i="4"/>
  <c r="W44" i="2" s="1"/>
  <c r="X72" i="4"/>
  <c r="W84" i="2" s="1"/>
  <c r="X360" i="4"/>
  <c r="W372" i="2" s="1"/>
  <c r="X111" i="4"/>
  <c r="W123" i="2" s="1"/>
  <c r="X119" i="4"/>
  <c r="W131" i="2" s="1"/>
  <c r="X335" i="4"/>
  <c r="W347" i="2" s="1"/>
  <c r="X312" i="4"/>
  <c r="W324" i="2" s="1"/>
  <c r="X57" i="4"/>
  <c r="W69" i="2" s="1"/>
  <c r="X361" i="4"/>
  <c r="W373" i="2" s="1"/>
  <c r="X34" i="4"/>
  <c r="W46" i="2" s="1"/>
  <c r="X346" i="4"/>
  <c r="W358" i="2" s="1"/>
  <c r="X317" i="4"/>
  <c r="W329" i="2" s="1"/>
  <c r="X341" i="4"/>
  <c r="W353" i="2" s="1"/>
  <c r="X35" i="4"/>
  <c r="W47" i="2" s="1"/>
  <c r="X115" i="4"/>
  <c r="W127" i="2" s="1"/>
  <c r="X339" i="4"/>
  <c r="W351" i="2" s="1"/>
  <c r="X347" i="4"/>
  <c r="W359" i="2" s="1"/>
  <c r="X69" i="4"/>
  <c r="W81" i="2" s="1"/>
  <c r="X28" i="4"/>
  <c r="W40" i="2" s="1"/>
  <c r="X116" i="4"/>
  <c r="W128" i="2" s="1"/>
  <c r="X142" i="4"/>
  <c r="W154" i="2" s="1"/>
  <c r="X214" i="4"/>
  <c r="W226" i="2" s="1"/>
  <c r="X240" i="4"/>
  <c r="W252" i="2" s="1"/>
  <c r="X183" i="4"/>
  <c r="W195" i="2" s="1"/>
  <c r="X136" i="4"/>
  <c r="W148" i="2" s="1"/>
  <c r="X184" i="4"/>
  <c r="W196" i="2" s="1"/>
  <c r="X200" i="4"/>
  <c r="W212" i="2" s="1"/>
  <c r="X145" i="4"/>
  <c r="W157" i="2" s="1"/>
  <c r="X185" i="4"/>
  <c r="W197" i="2" s="1"/>
  <c r="X201" i="4"/>
  <c r="W213" i="2" s="1"/>
  <c r="X217" i="4"/>
  <c r="W229" i="2" s="1"/>
  <c r="X141" i="4"/>
  <c r="W153" i="2" s="1"/>
  <c r="X213" i="4"/>
  <c r="W225" i="2" s="1"/>
  <c r="X178" i="4"/>
  <c r="W190" i="2" s="1"/>
  <c r="X218" i="4"/>
  <c r="W230" i="2" s="1"/>
  <c r="X179" i="4"/>
  <c r="W191" i="2" s="1"/>
  <c r="X203" i="4"/>
  <c r="W215" i="2" s="1"/>
  <c r="X235" i="4"/>
  <c r="W247" i="2" s="1"/>
  <c r="X243" i="4"/>
  <c r="W255" i="2" s="1"/>
  <c r="X251" i="4"/>
  <c r="W263" i="2" s="1"/>
  <c r="X212" i="4"/>
  <c r="W224" i="2" s="1"/>
  <c r="X220" i="4"/>
  <c r="W232" i="2" s="1"/>
  <c r="X236" i="4"/>
  <c r="W248" i="2" s="1"/>
  <c r="X4" i="4"/>
  <c r="X46" i="4"/>
  <c r="W58" i="2" s="1"/>
  <c r="X334" i="4"/>
  <c r="W346" i="2" s="1"/>
  <c r="X88" i="4"/>
  <c r="W100" i="2" s="1"/>
  <c r="X120" i="4"/>
  <c r="W132" i="2" s="1"/>
  <c r="X47" i="4"/>
  <c r="W59" i="2" s="1"/>
  <c r="X87" i="4"/>
  <c r="W99" i="2" s="1"/>
  <c r="X112" i="4"/>
  <c r="W124" i="2" s="1"/>
  <c r="X336" i="4"/>
  <c r="W348" i="2" s="1"/>
  <c r="X33" i="4"/>
  <c r="W45" i="2" s="1"/>
  <c r="X73" i="4"/>
  <c r="W85" i="2" s="1"/>
  <c r="X345" i="4"/>
  <c r="W357" i="2" s="1"/>
  <c r="X325" i="4"/>
  <c r="W337" i="2" s="1"/>
  <c r="X26" i="4"/>
  <c r="W38" i="2" s="1"/>
  <c r="X74" i="4"/>
  <c r="W86" i="2" s="1"/>
  <c r="X114" i="4"/>
  <c r="W126" i="2" s="1"/>
  <c r="X314" i="4"/>
  <c r="W326" i="2" s="1"/>
  <c r="X43" i="4"/>
  <c r="W55" i="2" s="1"/>
  <c r="X67" i="4"/>
  <c r="W79" i="2" s="1"/>
  <c r="X75" i="4"/>
  <c r="W87" i="2" s="1"/>
  <c r="X368" i="4"/>
  <c r="W380" i="2" s="1"/>
  <c r="X36" i="4"/>
  <c r="W48" i="2" s="1"/>
  <c r="X68" i="4"/>
  <c r="W80" i="2" s="1"/>
  <c r="X364" i="4"/>
  <c r="W376" i="2" s="1"/>
  <c r="X14" i="4"/>
  <c r="W26" i="2" s="1"/>
  <c r="X11" i="4"/>
  <c r="W23" i="2" s="1"/>
  <c r="X20" i="4"/>
  <c r="W32" i="2" s="1"/>
  <c r="X21" i="4"/>
  <c r="W33" i="2" s="1"/>
  <c r="W199" i="2"/>
  <c r="W82" i="2"/>
  <c r="W206" i="2"/>
  <c r="W262" i="2"/>
  <c r="W185" i="2"/>
  <c r="W201" i="2"/>
  <c r="W241" i="2"/>
  <c r="W239" i="2"/>
  <c r="W217" i="2"/>
  <c r="W188" i="2"/>
  <c r="W186" i="2"/>
  <c r="W22" i="2"/>
  <c r="W160" i="2"/>
  <c r="W193" i="2"/>
  <c r="W309" i="2"/>
  <c r="W210" i="2"/>
  <c r="W307" i="2"/>
  <c r="W184" i="2"/>
  <c r="W256" i="2"/>
  <c r="W218" i="2"/>
  <c r="W237" i="2"/>
  <c r="W243" i="2"/>
  <c r="W113" i="2"/>
  <c r="W119" i="2"/>
  <c r="D185" i="11"/>
  <c r="W34" i="2"/>
  <c r="W165" i="2"/>
  <c r="W159" i="2"/>
  <c r="W285" i="2"/>
  <c r="W306" i="2"/>
  <c r="W275" i="2"/>
  <c r="W167" i="2"/>
  <c r="W266" i="2"/>
  <c r="W269" i="2"/>
  <c r="W283" i="2"/>
  <c r="W149" i="2"/>
  <c r="W163" i="2"/>
  <c r="W297" i="2"/>
  <c r="W181" i="2"/>
  <c r="W202" i="2"/>
  <c r="W242" i="2"/>
  <c r="W147" i="2"/>
  <c r="W244" i="2" l="1"/>
  <c r="W219" i="2"/>
  <c r="D181" i="11"/>
  <c r="D126" i="11"/>
  <c r="D63" i="11"/>
  <c r="D196" i="11"/>
  <c r="D351" i="11"/>
  <c r="D217" i="11"/>
  <c r="D352" i="11"/>
  <c r="D61" i="11"/>
  <c r="D148" i="11"/>
  <c r="D218" i="11"/>
  <c r="D364" i="11"/>
  <c r="D62" i="11"/>
  <c r="D102" i="11"/>
  <c r="D69" i="11"/>
  <c r="D186" i="11"/>
  <c r="W16" i="2"/>
  <c r="D350" i="11"/>
  <c r="D19" i="11"/>
  <c r="D142" i="11"/>
  <c r="D299" i="11"/>
  <c r="D232" i="11"/>
  <c r="D129" i="11"/>
  <c r="D17" i="11"/>
  <c r="D216" i="11"/>
  <c r="D249" i="11"/>
  <c r="D315" i="11"/>
  <c r="D234" i="11"/>
  <c r="D197" i="11"/>
  <c r="D191" i="11"/>
  <c r="D127" i="11"/>
  <c r="D204" i="11"/>
  <c r="D321" i="11"/>
  <c r="D65" i="11"/>
  <c r="D212" i="11"/>
  <c r="D214" i="11"/>
  <c r="D228" i="11"/>
  <c r="D92" i="11"/>
  <c r="D304" i="11"/>
  <c r="D230" i="11"/>
  <c r="D296" i="11"/>
  <c r="D173" i="11"/>
  <c r="D275" i="11"/>
  <c r="D166" i="11"/>
  <c r="D195" i="11"/>
  <c r="D336" i="11"/>
  <c r="D353" i="11"/>
  <c r="D169" i="11"/>
  <c r="D170" i="11"/>
  <c r="D286" i="11"/>
  <c r="D221" i="11"/>
  <c r="D237" i="11"/>
  <c r="D187" i="11"/>
  <c r="D72" i="11"/>
  <c r="D68" i="11"/>
  <c r="D42" i="11"/>
  <c r="D70" i="11"/>
  <c r="D331" i="11"/>
  <c r="D333" i="11"/>
  <c r="D329" i="11"/>
  <c r="D4" i="11"/>
  <c r="D354" i="11"/>
  <c r="D251" i="11"/>
  <c r="D242" i="11"/>
  <c r="D193" i="11"/>
  <c r="D192" i="11"/>
  <c r="D223" i="11"/>
  <c r="D183" i="11"/>
  <c r="D165" i="11"/>
  <c r="D208" i="11"/>
  <c r="D125" i="11"/>
  <c r="D199" i="11"/>
  <c r="D198" i="11"/>
  <c r="D201" i="11"/>
  <c r="D180" i="11"/>
  <c r="D219" i="11"/>
  <c r="D202" i="11"/>
  <c r="D205" i="11"/>
  <c r="D122" i="11"/>
  <c r="D207" i="11"/>
  <c r="D209" i="11"/>
  <c r="D114" i="11"/>
  <c r="D291" i="11"/>
  <c r="D226" i="11"/>
  <c r="D194" i="11"/>
  <c r="D366" i="11"/>
  <c r="D123" i="11"/>
  <c r="D10" i="11"/>
  <c r="D211" i="11"/>
  <c r="D233" i="11"/>
  <c r="D147" i="11"/>
  <c r="D188" i="11"/>
  <c r="D215" i="11"/>
  <c r="D239" i="11"/>
  <c r="D222" i="11"/>
  <c r="D179" i="11"/>
  <c r="D172" i="11"/>
  <c r="D227" i="11"/>
  <c r="D244" i="11"/>
  <c r="D298" i="11"/>
  <c r="D124" i="11"/>
  <c r="D236" i="11"/>
  <c r="D314" i="11"/>
  <c r="D174" i="11"/>
  <c r="D98" i="11"/>
  <c r="D220" i="11"/>
  <c r="D184" i="11"/>
  <c r="D108" i="11"/>
  <c r="D175" i="11"/>
  <c r="D210" i="11"/>
  <c r="D294" i="11"/>
  <c r="D182" i="11"/>
  <c r="D119" i="11"/>
  <c r="D264" i="11"/>
  <c r="D155" i="11"/>
  <c r="D171" i="11"/>
  <c r="D245" i="11"/>
  <c r="D243" i="11"/>
  <c r="D258" i="11"/>
  <c r="D9" i="11"/>
  <c r="D238" i="11"/>
  <c r="D106" i="11"/>
  <c r="D224" i="11"/>
  <c r="D250" i="11"/>
  <c r="D128" i="11"/>
  <c r="D235" i="11"/>
  <c r="D344" i="11"/>
  <c r="D324" i="11"/>
  <c r="D105" i="11"/>
  <c r="D121" i="11"/>
  <c r="D101" i="11"/>
  <c r="D213" i="11"/>
  <c r="D84" i="11"/>
  <c r="D203" i="11"/>
  <c r="D316" i="11"/>
  <c r="D77" i="11"/>
  <c r="D100" i="11"/>
  <c r="D3" i="11"/>
  <c r="D38" i="11"/>
  <c r="D60" i="11"/>
  <c r="D99" i="11"/>
  <c r="D261" i="11"/>
  <c r="D281" i="11"/>
  <c r="D161" i="11"/>
  <c r="D265" i="11"/>
  <c r="D267" i="11"/>
  <c r="D141" i="11"/>
  <c r="D292" i="11"/>
  <c r="D365" i="11"/>
  <c r="D89" i="11"/>
  <c r="D360" i="11"/>
  <c r="D109" i="11"/>
  <c r="D307" i="11"/>
  <c r="D97" i="11"/>
  <c r="D356" i="11"/>
  <c r="D34" i="11"/>
  <c r="D362" i="11"/>
  <c r="D50" i="11"/>
  <c r="D272" i="11"/>
  <c r="D156" i="11"/>
  <c r="D83" i="11"/>
  <c r="D21" i="11"/>
  <c r="D59" i="11"/>
  <c r="D28" i="11"/>
  <c r="D138" i="11"/>
  <c r="D260" i="11"/>
  <c r="D289" i="11"/>
  <c r="D330" i="11"/>
  <c r="D178" i="11"/>
  <c r="D13" i="11"/>
  <c r="D134" i="11"/>
  <c r="D327" i="11"/>
  <c r="D229" i="11"/>
  <c r="D118" i="11"/>
  <c r="D301" i="11"/>
  <c r="D112" i="11"/>
  <c r="D287" i="11"/>
  <c r="D149" i="11"/>
  <c r="D282" i="11"/>
  <c r="D247" i="11"/>
  <c r="D176" i="11"/>
  <c r="D262" i="11"/>
  <c r="D317" i="11"/>
  <c r="D104" i="11"/>
  <c r="D348" i="11"/>
  <c r="D49" i="11"/>
  <c r="D278" i="11"/>
  <c r="D295" i="11"/>
  <c r="D85" i="11"/>
  <c r="D311" i="11"/>
  <c r="D30" i="11"/>
  <c r="D349" i="11"/>
  <c r="D26" i="11"/>
  <c r="D308" i="11"/>
  <c r="D152" i="11"/>
  <c r="D359" i="11"/>
  <c r="D7" i="11"/>
  <c r="D40" i="11"/>
  <c r="D47" i="11"/>
  <c r="D57" i="11"/>
  <c r="D300" i="11"/>
  <c r="D145" i="11"/>
  <c r="D71" i="11"/>
  <c r="D189" i="11"/>
  <c r="D259" i="11"/>
  <c r="D253" i="11"/>
  <c r="D159" i="11"/>
  <c r="D280" i="11"/>
  <c r="D87" i="11"/>
  <c r="D56" i="11"/>
  <c r="D312" i="11"/>
  <c r="D37" i="11"/>
  <c r="D297" i="11"/>
  <c r="D279" i="11"/>
  <c r="D116" i="11"/>
  <c r="D51" i="11"/>
  <c r="D81" i="11"/>
  <c r="D79" i="11"/>
  <c r="D41" i="11"/>
  <c r="D271" i="11"/>
  <c r="D144" i="11"/>
  <c r="D358" i="11"/>
  <c r="D78" i="11"/>
  <c r="D24" i="11"/>
  <c r="D66" i="11"/>
  <c r="D284" i="11"/>
  <c r="D130" i="11"/>
  <c r="D18" i="11"/>
  <c r="D303" i="11"/>
  <c r="D337" i="11"/>
  <c r="D268" i="11"/>
  <c r="D338" i="11"/>
  <c r="D88" i="11"/>
  <c r="D137" i="11"/>
  <c r="D341" i="11"/>
  <c r="D367" i="11"/>
  <c r="D43" i="11"/>
  <c r="D248" i="11"/>
  <c r="D177" i="11"/>
  <c r="D309" i="11"/>
  <c r="D139" i="11"/>
  <c r="D160" i="11"/>
  <c r="D285" i="11"/>
  <c r="D254" i="11"/>
  <c r="D263" i="11"/>
  <c r="D55" i="11"/>
  <c r="D52" i="11"/>
  <c r="D23" i="11"/>
  <c r="D36" i="11"/>
  <c r="D288" i="11"/>
  <c r="D143" i="11"/>
  <c r="D310" i="11"/>
  <c r="D39" i="11"/>
  <c r="D45" i="11"/>
  <c r="D67" i="11"/>
  <c r="D80" i="11"/>
  <c r="D293" i="11"/>
  <c r="D163" i="11"/>
  <c r="D132" i="11"/>
  <c r="D322" i="11"/>
  <c r="D22" i="11"/>
  <c r="D6" i="11"/>
  <c r="D107" i="11"/>
  <c r="D164" i="11"/>
  <c r="D266" i="11"/>
  <c r="D345" i="11"/>
  <c r="D326" i="11"/>
  <c r="D74" i="11"/>
  <c r="D75" i="11"/>
  <c r="D340" i="11"/>
  <c r="D44" i="11"/>
  <c r="D153" i="11"/>
  <c r="D111" i="11"/>
  <c r="D162" i="11"/>
  <c r="D257" i="11"/>
  <c r="D246" i="11"/>
  <c r="D131" i="11"/>
  <c r="D11" i="11"/>
  <c r="D12" i="11"/>
  <c r="D325" i="11"/>
  <c r="D110" i="11"/>
  <c r="D20" i="11"/>
  <c r="D273" i="11"/>
  <c r="D135" i="11"/>
  <c r="D346" i="11"/>
  <c r="D15" i="11"/>
  <c r="D5" i="11"/>
  <c r="D35" i="11"/>
  <c r="D76" i="11"/>
  <c r="D306" i="11"/>
  <c r="D151" i="11"/>
  <c r="D120" i="11"/>
  <c r="D313" i="11"/>
  <c r="D14" i="11"/>
  <c r="D334" i="11"/>
  <c r="D73" i="11"/>
  <c r="D117" i="11"/>
  <c r="D167" i="11"/>
  <c r="D240" i="11"/>
  <c r="D133" i="11"/>
  <c r="D86" i="11"/>
  <c r="D363" i="11"/>
  <c r="D225" i="11"/>
  <c r="D140" i="11"/>
  <c r="D343" i="11"/>
  <c r="D328" i="11"/>
  <c r="D283" i="11"/>
  <c r="D200" i="11"/>
  <c r="D91" i="11"/>
  <c r="D158" i="11"/>
  <c r="D136" i="11"/>
  <c r="D270" i="11"/>
  <c r="D252" i="11"/>
  <c r="D190" i="11"/>
  <c r="D342" i="11"/>
  <c r="D94" i="11"/>
  <c r="D8" i="11"/>
  <c r="D302" i="11"/>
  <c r="D58" i="11"/>
  <c r="D290" i="11"/>
  <c r="D103" i="11"/>
  <c r="D361" i="11"/>
  <c r="D82" i="11"/>
  <c r="D16" i="11"/>
  <c r="D31" i="11"/>
  <c r="D48" i="11"/>
  <c r="D274" i="11"/>
  <c r="D115" i="11"/>
  <c r="D323" i="11"/>
  <c r="D53" i="11"/>
  <c r="D347" i="11"/>
  <c r="D29" i="11"/>
  <c r="D96" i="11"/>
  <c r="D269" i="11"/>
  <c r="D93" i="11"/>
  <c r="D355" i="11"/>
  <c r="D277" i="11"/>
  <c r="D25" i="11"/>
  <c r="D339" i="11"/>
  <c r="D332" i="11"/>
  <c r="D255" i="11"/>
  <c r="D168" i="11"/>
  <c r="D90" i="11"/>
  <c r="D150" i="11"/>
  <c r="D256" i="11"/>
  <c r="D241" i="11"/>
  <c r="D154" i="11"/>
  <c r="D318" i="11"/>
  <c r="D113" i="11"/>
  <c r="D320" i="11"/>
  <c r="D54" i="11"/>
  <c r="D276" i="11"/>
  <c r="D95" i="11"/>
  <c r="D357" i="11"/>
  <c r="D46" i="11"/>
  <c r="D27" i="11"/>
  <c r="D32" i="11"/>
  <c r="D305" i="11"/>
  <c r="D146" i="11"/>
  <c r="D319" i="11"/>
  <c r="D33" i="11"/>
  <c r="D335" i="11"/>
  <c r="D64" i="11"/>
  <c r="D157" i="11"/>
  <c r="G37" i="1" l="1"/>
  <c r="G39" i="1" s="1"/>
  <c r="P14" i="2"/>
  <c r="P3" i="2" s="1"/>
  <c r="G48" i="1" l="1"/>
  <c r="C2" i="11"/>
  <c r="F2" i="11"/>
  <c r="E2" i="11"/>
  <c r="D2" i="11"/>
  <c r="G41" i="1" l="1"/>
  <c r="G47" i="1"/>
  <c r="F5" i="4"/>
  <c r="G45" i="1" l="1"/>
  <c r="F6" i="4"/>
  <c r="H37" i="1" l="1"/>
  <c r="H39" i="1" s="1"/>
  <c r="I37" i="1"/>
  <c r="I39" i="1" s="1"/>
  <c r="K37" i="1"/>
  <c r="K39" i="1" s="1"/>
  <c r="L37" i="1"/>
  <c r="L39" i="1" s="1"/>
  <c r="F48" i="1"/>
  <c r="F41" i="1" l="1"/>
  <c r="F47" i="1"/>
  <c r="N41" i="1"/>
  <c r="N47" i="1"/>
  <c r="M37" i="1"/>
  <c r="L48" i="1"/>
  <c r="K48" i="1"/>
  <c r="I48" i="1"/>
  <c r="H48" i="1"/>
  <c r="M39" i="1" l="1"/>
  <c r="M48" i="1" s="1"/>
  <c r="H41" i="1"/>
  <c r="H47" i="1"/>
  <c r="L41" i="1"/>
  <c r="L47" i="1"/>
  <c r="I41" i="1"/>
  <c r="I47" i="1"/>
  <c r="K41" i="1"/>
  <c r="K47" i="1"/>
  <c r="N45" i="1"/>
  <c r="K5" i="4"/>
  <c r="D5" i="4"/>
  <c r="G5" i="4"/>
  <c r="L5" i="4"/>
  <c r="I5" i="4"/>
  <c r="G13" i="4" s="1"/>
  <c r="N5" i="4"/>
  <c r="F11" i="4" s="1"/>
  <c r="M5" i="4" l="1"/>
  <c r="G11" i="4" s="1"/>
  <c r="F12" i="4" s="1"/>
  <c r="M47" i="1"/>
  <c r="M41" i="1"/>
  <c r="M6" i="4" s="1"/>
  <c r="G15" i="4"/>
  <c r="I15" i="4" s="1"/>
  <c r="G14" i="4"/>
  <c r="I14" i="4" s="1"/>
  <c r="G12" i="4"/>
  <c r="F13" i="4" s="1"/>
  <c r="I45" i="1"/>
  <c r="K45" i="1"/>
  <c r="F45" i="1"/>
  <c r="H45" i="1"/>
  <c r="L6" i="4"/>
  <c r="L45" i="1"/>
  <c r="I13" i="4"/>
  <c r="K6" i="4"/>
  <c r="I6" i="4"/>
  <c r="G6" i="4"/>
  <c r="N6" i="4"/>
  <c r="D6" i="4"/>
  <c r="M45" i="1" l="1"/>
  <c r="C6" i="8" s="1"/>
  <c r="C16" i="8" s="1"/>
  <c r="I12" i="4"/>
  <c r="H13" i="4"/>
  <c r="F14" i="4"/>
  <c r="G10" i="4"/>
  <c r="I10" i="4" s="1"/>
  <c r="I11" i="4"/>
  <c r="H11" i="4"/>
  <c r="G21" i="4" s="1"/>
  <c r="H12" i="4"/>
  <c r="G29" i="4" s="1"/>
  <c r="F10" i="4"/>
  <c r="G30" i="4" l="1"/>
  <c r="G31" i="4"/>
  <c r="G27" i="4"/>
  <c r="G28" i="4"/>
  <c r="G23" i="4"/>
  <c r="G25" i="4"/>
  <c r="G22" i="4"/>
  <c r="G24" i="4"/>
  <c r="G26" i="4"/>
  <c r="D30" i="4"/>
  <c r="D28" i="4"/>
  <c r="D23" i="4"/>
  <c r="D31" i="4"/>
  <c r="Y10" i="4" s="1"/>
  <c r="D24" i="4"/>
  <c r="H10" i="4"/>
  <c r="D21" i="4"/>
  <c r="D29" i="4"/>
  <c r="D27" i="4"/>
  <c r="D26" i="4"/>
  <c r="D25" i="4"/>
  <c r="D22" i="4"/>
  <c r="Y13" i="4" l="1"/>
  <c r="Y12" i="4"/>
  <c r="Y21" i="4"/>
  <c r="Y14" i="4"/>
  <c r="Y11" i="4"/>
  <c r="Y20" i="4"/>
  <c r="G20" i="4"/>
  <c r="G19" i="4"/>
  <c r="F15" i="4"/>
  <c r="H15" i="4" s="1"/>
  <c r="H14" i="4"/>
  <c r="G16" i="4"/>
  <c r="I16" i="4" s="1"/>
  <c r="F16" i="4"/>
  <c r="B30" i="4"/>
  <c r="B28" i="4"/>
  <c r="B23" i="4"/>
  <c r="D20" i="4"/>
  <c r="B20" i="4" s="1"/>
  <c r="D19" i="4"/>
  <c r="B19" i="4" s="1"/>
  <c r="B31" i="4"/>
  <c r="W10" i="4" s="1"/>
  <c r="B24" i="4"/>
  <c r="B27" i="4"/>
  <c r="B26" i="4"/>
  <c r="B25" i="4"/>
  <c r="B21" i="4"/>
  <c r="B29" i="4"/>
  <c r="B22" i="4"/>
  <c r="W12" i="4" l="1"/>
  <c r="W13" i="4"/>
  <c r="W14" i="4"/>
  <c r="W21" i="4"/>
  <c r="W11" i="4"/>
  <c r="W20" i="4"/>
  <c r="D36" i="4"/>
  <c r="H16" i="4"/>
  <c r="D35" i="4"/>
  <c r="G37" i="4"/>
  <c r="G35" i="4"/>
  <c r="D32" i="4"/>
  <c r="D34" i="4"/>
  <c r="G34" i="4"/>
  <c r="D33" i="4"/>
  <c r="G32" i="4"/>
  <c r="G33" i="4"/>
  <c r="G36" i="4"/>
  <c r="D37" i="4"/>
  <c r="G38" i="4"/>
  <c r="G45" i="4"/>
  <c r="G40" i="4"/>
  <c r="D38" i="4"/>
  <c r="Y117" i="4" l="1"/>
  <c r="Y313" i="4"/>
  <c r="Y337" i="4"/>
  <c r="Y30" i="4"/>
  <c r="Y326" i="4"/>
  <c r="Y350" i="4"/>
  <c r="Y7" i="4"/>
  <c r="Y367" i="4"/>
  <c r="Y8" i="4"/>
  <c r="Y41" i="4"/>
  <c r="Y315" i="4"/>
  <c r="Y348" i="4"/>
  <c r="Y58" i="4"/>
  <c r="Y362" i="4"/>
  <c r="Y59" i="4"/>
  <c r="Y22" i="4"/>
  <c r="Y329" i="4"/>
  <c r="Y351" i="4"/>
  <c r="Y9" i="4"/>
  <c r="Y18" i="4"/>
  <c r="Y42" i="4"/>
  <c r="Y4" i="4"/>
  <c r="Y325" i="4"/>
  <c r="Y46" i="4"/>
  <c r="Y334" i="4"/>
  <c r="Y88" i="4"/>
  <c r="Y120" i="4"/>
  <c r="Y368" i="4"/>
  <c r="Y47" i="4"/>
  <c r="Y87" i="4"/>
  <c r="Y345" i="4"/>
  <c r="Y112" i="4"/>
  <c r="Y336" i="4"/>
  <c r="Y33" i="4"/>
  <c r="Y73" i="4"/>
  <c r="Y26" i="4"/>
  <c r="Y74" i="4"/>
  <c r="Y114" i="4"/>
  <c r="Y314" i="4"/>
  <c r="Y364" i="4"/>
  <c r="Y43" i="4"/>
  <c r="Y67" i="4"/>
  <c r="Y75" i="4"/>
  <c r="Y36" i="4"/>
  <c r="Y68" i="4"/>
  <c r="Y15" i="4"/>
  <c r="Y327" i="4"/>
  <c r="Y328" i="4"/>
  <c r="Y24" i="4"/>
  <c r="Y330" i="4"/>
  <c r="Y61" i="4"/>
  <c r="Y349" i="4"/>
  <c r="Y365" i="4"/>
  <c r="Y70" i="4"/>
  <c r="Y342" i="4"/>
  <c r="Y31" i="4"/>
  <c r="Y71" i="4"/>
  <c r="Y311" i="4"/>
  <c r="Y352" i="4"/>
  <c r="Y16" i="4"/>
  <c r="Y17" i="4"/>
  <c r="Y338" i="4"/>
  <c r="Y331" i="4"/>
  <c r="Y316" i="4"/>
  <c r="Y60" i="4"/>
  <c r="Y366" i="4"/>
  <c r="Y23" i="4"/>
  <c r="Y19" i="4"/>
  <c r="Y69" i="4"/>
  <c r="Y317" i="4"/>
  <c r="Y341" i="4"/>
  <c r="Y360" i="4"/>
  <c r="Y361" i="4"/>
  <c r="Y339" i="4"/>
  <c r="Y62" i="4"/>
  <c r="Y86" i="4"/>
  <c r="Y118" i="4"/>
  <c r="Y358" i="4"/>
  <c r="Y312" i="4"/>
  <c r="Y111" i="4"/>
  <c r="Y119" i="4"/>
  <c r="Y335" i="4"/>
  <c r="Y343" i="4"/>
  <c r="Y32" i="4"/>
  <c r="Y72" i="4"/>
  <c r="Y57" i="4"/>
  <c r="Y34" i="4"/>
  <c r="Y346" i="4"/>
  <c r="Y115" i="4"/>
  <c r="Y35" i="4"/>
  <c r="Y347" i="4"/>
  <c r="Y28" i="4"/>
  <c r="Y116" i="4"/>
  <c r="G46" i="4"/>
  <c r="G55" i="4"/>
  <c r="G56" i="4"/>
  <c r="D55" i="4"/>
  <c r="D56" i="4"/>
  <c r="B56" i="4" s="1"/>
  <c r="B36" i="4"/>
  <c r="B35" i="4"/>
  <c r="B33" i="4"/>
  <c r="B34" i="4"/>
  <c r="B32" i="4"/>
  <c r="B37" i="4"/>
  <c r="D42" i="4"/>
  <c r="D45" i="4"/>
  <c r="G43" i="4"/>
  <c r="G42" i="4"/>
  <c r="G41" i="4"/>
  <c r="D44" i="4"/>
  <c r="D40" i="4"/>
  <c r="G44" i="4"/>
  <c r="D41" i="4"/>
  <c r="G39" i="4"/>
  <c r="D39" i="4"/>
  <c r="D43" i="4"/>
  <c r="G50" i="4"/>
  <c r="G51" i="4"/>
  <c r="G54" i="4"/>
  <c r="G49" i="4"/>
  <c r="G52" i="4"/>
  <c r="G53" i="4"/>
  <c r="G47" i="4"/>
  <c r="G48" i="4"/>
  <c r="D51" i="4"/>
  <c r="B38" i="4"/>
  <c r="Y157" i="4" l="1"/>
  <c r="Y197" i="4"/>
  <c r="Y192" i="4"/>
  <c r="Y272" i="4"/>
  <c r="Y102" i="4"/>
  <c r="Y134" i="4"/>
  <c r="Y158" i="4"/>
  <c r="Y286" i="4"/>
  <c r="Y152" i="4"/>
  <c r="Y175" i="4"/>
  <c r="Y106" i="4"/>
  <c r="Y154" i="4"/>
  <c r="Y170" i="4"/>
  <c r="Y298" i="4"/>
  <c r="Y306" i="4"/>
  <c r="Y171" i="4"/>
  <c r="Y284" i="4"/>
  <c r="Y5" i="4"/>
  <c r="Y37" i="4"/>
  <c r="Y85" i="4"/>
  <c r="Y93" i="4"/>
  <c r="Y6" i="4"/>
  <c r="Y38" i="4"/>
  <c r="Y94" i="4"/>
  <c r="Y310" i="4"/>
  <c r="Y288" i="4"/>
  <c r="Y323" i="4"/>
  <c r="Y39" i="4"/>
  <c r="Y55" i="4"/>
  <c r="Y96" i="4"/>
  <c r="Y280" i="4"/>
  <c r="Y324" i="4"/>
  <c r="Y40" i="4"/>
  <c r="Y340" i="4"/>
  <c r="Y321" i="4"/>
  <c r="Y90" i="4"/>
  <c r="Y282" i="4"/>
  <c r="Y27" i="4"/>
  <c r="Y51" i="4"/>
  <c r="Y44" i="4"/>
  <c r="Y52" i="4"/>
  <c r="Y76" i="4"/>
  <c r="Y84" i="4"/>
  <c r="Y293" i="4"/>
  <c r="Y160" i="4"/>
  <c r="Y296" i="4"/>
  <c r="Y161" i="4"/>
  <c r="Y332" i="4"/>
  <c r="Y262" i="4"/>
  <c r="Y278" i="4"/>
  <c r="Y127" i="4"/>
  <c r="Y303" i="4"/>
  <c r="Y168" i="4"/>
  <c r="Y307" i="4"/>
  <c r="Y122" i="4"/>
  <c r="Y162" i="4"/>
  <c r="Y274" i="4"/>
  <c r="Y131" i="4"/>
  <c r="Y163" i="4"/>
  <c r="Y188" i="4"/>
  <c r="Y301" i="4"/>
  <c r="Y283" i="4"/>
  <c r="Y300" i="4"/>
  <c r="Y275" i="4"/>
  <c r="Y356" i="4"/>
  <c r="Y95" i="4"/>
  <c r="Y319" i="4"/>
  <c r="Y48" i="4"/>
  <c r="Y56" i="4"/>
  <c r="Y65" i="4"/>
  <c r="Y81" i="4"/>
  <c r="Y97" i="4"/>
  <c r="Y121" i="4"/>
  <c r="Y50" i="4"/>
  <c r="Y66" i="4"/>
  <c r="Y290" i="4"/>
  <c r="Y322" i="4"/>
  <c r="Y354" i="4"/>
  <c r="Y259" i="4"/>
  <c r="Y276" i="4"/>
  <c r="Y92" i="4"/>
  <c r="Y206" i="4"/>
  <c r="Y230" i="4"/>
  <c r="Y254" i="4"/>
  <c r="Y231" i="4"/>
  <c r="Y137" i="4"/>
  <c r="Y225" i="4"/>
  <c r="Y194" i="4"/>
  <c r="Y250" i="4"/>
  <c r="Y227" i="4"/>
  <c r="Y244" i="4"/>
  <c r="Y165" i="4"/>
  <c r="Y261" i="4"/>
  <c r="Y277" i="4"/>
  <c r="Y104" i="4"/>
  <c r="Y167" i="4"/>
  <c r="Y279" i="4"/>
  <c r="Y260" i="4"/>
  <c r="Y82" i="4"/>
  <c r="Y98" i="4"/>
  <c r="Y258" i="4"/>
  <c r="Y83" i="4"/>
  <c r="Y108" i="4"/>
  <c r="Y77" i="4"/>
  <c r="Y133" i="4"/>
  <c r="Y309" i="4"/>
  <c r="Y333" i="4"/>
  <c r="Y129" i="4"/>
  <c r="Y164" i="4"/>
  <c r="Y78" i="4"/>
  <c r="Y166" i="4"/>
  <c r="Y302" i="4"/>
  <c r="Y128" i="4"/>
  <c r="Y308" i="4"/>
  <c r="Y103" i="4"/>
  <c r="Y287" i="4"/>
  <c r="Y304" i="4"/>
  <c r="Y305" i="4"/>
  <c r="Y299" i="4"/>
  <c r="Y49" i="4"/>
  <c r="Y105" i="4"/>
  <c r="Y130" i="4"/>
  <c r="Y99" i="4"/>
  <c r="Y123" i="4"/>
  <c r="Y132" i="4"/>
  <c r="B55" i="4"/>
  <c r="W229" i="4" s="1"/>
  <c r="Y229" i="4"/>
  <c r="Y29" i="4"/>
  <c r="Y45" i="4"/>
  <c r="Y53" i="4"/>
  <c r="Y109" i="4"/>
  <c r="Y357" i="4"/>
  <c r="Y320" i="4"/>
  <c r="Y54" i="4"/>
  <c r="Y110" i="4"/>
  <c r="Y318" i="4"/>
  <c r="Y344" i="4"/>
  <c r="Y289" i="4"/>
  <c r="Y353" i="4"/>
  <c r="Y363" i="4"/>
  <c r="Y63" i="4"/>
  <c r="Y79" i="4"/>
  <c r="Y359" i="4"/>
  <c r="Y281" i="4"/>
  <c r="Y355" i="4"/>
  <c r="Y292" i="4"/>
  <c r="Y64" i="4"/>
  <c r="Y80" i="4"/>
  <c r="Y25" i="4"/>
  <c r="Y89" i="4"/>
  <c r="Y113" i="4"/>
  <c r="Y91" i="4"/>
  <c r="Y291" i="4"/>
  <c r="W16" i="4"/>
  <c r="V28" i="2" s="1"/>
  <c r="W352" i="4"/>
  <c r="V364" i="2" s="1"/>
  <c r="W17" i="4"/>
  <c r="V29" i="2" s="1"/>
  <c r="W338" i="4"/>
  <c r="V350" i="2" s="1"/>
  <c r="W316" i="4"/>
  <c r="V328" i="2" s="1"/>
  <c r="W331" i="4"/>
  <c r="V343" i="2" s="1"/>
  <c r="W60" i="4"/>
  <c r="V72" i="2" s="1"/>
  <c r="W61" i="4"/>
  <c r="V73" i="2" s="1"/>
  <c r="W349" i="4"/>
  <c r="V361" i="2" s="1"/>
  <c r="W365" i="4"/>
  <c r="V377" i="2" s="1"/>
  <c r="W71" i="4"/>
  <c r="V83" i="2" s="1"/>
  <c r="W311" i="4"/>
  <c r="W31" i="4"/>
  <c r="V43" i="2" s="1"/>
  <c r="W342" i="4"/>
  <c r="V354" i="2" s="1"/>
  <c r="W70" i="4"/>
  <c r="V82" i="2" s="1"/>
  <c r="W15" i="4"/>
  <c r="V27" i="2" s="1"/>
  <c r="W24" i="4"/>
  <c r="V36" i="2" s="1"/>
  <c r="W328" i="4"/>
  <c r="V340" i="2" s="1"/>
  <c r="W330" i="4"/>
  <c r="V342" i="2" s="1"/>
  <c r="W327" i="4"/>
  <c r="V339" i="2" s="1"/>
  <c r="W32" i="4"/>
  <c r="V44" i="2" s="1"/>
  <c r="W72" i="4"/>
  <c r="V84" i="2" s="1"/>
  <c r="W312" i="4"/>
  <c r="W360" i="4"/>
  <c r="V372" i="2" s="1"/>
  <c r="W57" i="4"/>
  <c r="V69" i="2" s="1"/>
  <c r="W34" i="4"/>
  <c r="V46" i="2" s="1"/>
  <c r="W346" i="4"/>
  <c r="V358" i="2" s="1"/>
  <c r="W69" i="4"/>
  <c r="V81" i="2" s="1"/>
  <c r="W35" i="4"/>
  <c r="V47" i="2" s="1"/>
  <c r="W115" i="4"/>
  <c r="W339" i="4"/>
  <c r="V351" i="2" s="1"/>
  <c r="W347" i="4"/>
  <c r="V359" i="2" s="1"/>
  <c r="W28" i="4"/>
  <c r="V40" i="2" s="1"/>
  <c r="W116" i="4"/>
  <c r="W361" i="4"/>
  <c r="V373" i="2" s="1"/>
  <c r="W358" i="4"/>
  <c r="V370" i="2" s="1"/>
  <c r="W111" i="4"/>
  <c r="V123" i="2" s="1"/>
  <c r="W119" i="4"/>
  <c r="W62" i="4"/>
  <c r="V74" i="2" s="1"/>
  <c r="W86" i="4"/>
  <c r="W118" i="4"/>
  <c r="W317" i="4"/>
  <c r="V329" i="2" s="1"/>
  <c r="W335" i="4"/>
  <c r="V347" i="2" s="1"/>
  <c r="W341" i="4"/>
  <c r="V353" i="2" s="1"/>
  <c r="W343" i="4"/>
  <c r="V355" i="2" s="1"/>
  <c r="W23" i="4"/>
  <c r="V35" i="2" s="1"/>
  <c r="W19" i="4"/>
  <c r="V31" i="2" s="1"/>
  <c r="W366" i="4"/>
  <c r="V378" i="2" s="1"/>
  <c r="W22" i="4"/>
  <c r="V34" i="2" s="1"/>
  <c r="W9" i="4"/>
  <c r="V21" i="2" s="1"/>
  <c r="W329" i="4"/>
  <c r="V341" i="2" s="1"/>
  <c r="W18" i="4"/>
  <c r="V30" i="2" s="1"/>
  <c r="W42" i="4"/>
  <c r="V54" i="2" s="1"/>
  <c r="W351" i="4"/>
  <c r="V363" i="2" s="1"/>
  <c r="W4" i="4"/>
  <c r="W88" i="4"/>
  <c r="V100" i="2" s="1"/>
  <c r="W112" i="4"/>
  <c r="V124" i="2" s="1"/>
  <c r="W120" i="4"/>
  <c r="W336" i="4"/>
  <c r="V348" i="2" s="1"/>
  <c r="W368" i="4"/>
  <c r="V380" i="2" s="1"/>
  <c r="W33" i="4"/>
  <c r="V45" i="2" s="1"/>
  <c r="W73" i="4"/>
  <c r="V85" i="2" s="1"/>
  <c r="W26" i="4"/>
  <c r="V38" i="2" s="1"/>
  <c r="W74" i="4"/>
  <c r="V86" i="2" s="1"/>
  <c r="W114" i="4"/>
  <c r="V126" i="2" s="1"/>
  <c r="W314" i="4"/>
  <c r="V326" i="2" s="1"/>
  <c r="W364" i="4"/>
  <c r="V376" i="2" s="1"/>
  <c r="W43" i="4"/>
  <c r="V55" i="2" s="1"/>
  <c r="W67" i="4"/>
  <c r="V79" i="2" s="1"/>
  <c r="W75" i="4"/>
  <c r="V87" i="2" s="1"/>
  <c r="W36" i="4"/>
  <c r="V48" i="2" s="1"/>
  <c r="W68" i="4"/>
  <c r="V80" i="2" s="1"/>
  <c r="W46" i="4"/>
  <c r="V58" i="2" s="1"/>
  <c r="W87" i="4"/>
  <c r="V99" i="2" s="1"/>
  <c r="W47" i="4"/>
  <c r="V59" i="2" s="1"/>
  <c r="W334" i="4"/>
  <c r="V346" i="2" s="1"/>
  <c r="W325" i="4"/>
  <c r="V337" i="2" s="1"/>
  <c r="W345" i="4"/>
  <c r="V357" i="2" s="1"/>
  <c r="W7" i="4"/>
  <c r="V19" i="2" s="1"/>
  <c r="W8" i="4"/>
  <c r="V20" i="2" s="1"/>
  <c r="W41" i="4"/>
  <c r="V53" i="2" s="1"/>
  <c r="W313" i="4"/>
  <c r="V325" i="2" s="1"/>
  <c r="W337" i="4"/>
  <c r="V349" i="2" s="1"/>
  <c r="W58" i="4"/>
  <c r="V70" i="2" s="1"/>
  <c r="W362" i="4"/>
  <c r="V374" i="2" s="1"/>
  <c r="W348" i="4"/>
  <c r="V360" i="2" s="1"/>
  <c r="W117" i="4"/>
  <c r="W59" i="4"/>
  <c r="V71" i="2" s="1"/>
  <c r="W315" i="4"/>
  <c r="V327" i="2" s="1"/>
  <c r="W326" i="4"/>
  <c r="V338" i="2" s="1"/>
  <c r="W350" i="4"/>
  <c r="V362" i="2" s="1"/>
  <c r="W367" i="4"/>
  <c r="V379" i="2" s="1"/>
  <c r="W30" i="4"/>
  <c r="V42" i="2" s="1"/>
  <c r="V24" i="2"/>
  <c r="V25" i="2"/>
  <c r="V26" i="2"/>
  <c r="V22" i="2"/>
  <c r="V23" i="2"/>
  <c r="V32" i="2"/>
  <c r="V33" i="2"/>
  <c r="B42" i="4"/>
  <c r="B45" i="4"/>
  <c r="B44" i="4"/>
  <c r="B40" i="4"/>
  <c r="B41" i="4"/>
  <c r="B43" i="4"/>
  <c r="B39" i="4"/>
  <c r="D53" i="4"/>
  <c r="D54" i="4"/>
  <c r="D50" i="4"/>
  <c r="D46" i="4"/>
  <c r="D52" i="4"/>
  <c r="D47" i="4"/>
  <c r="D49" i="4"/>
  <c r="D48" i="4"/>
  <c r="V16" i="2" l="1"/>
  <c r="X16" i="2" s="1"/>
  <c r="Z4" i="4"/>
  <c r="B54" i="4"/>
  <c r="W205" i="4" s="1"/>
  <c r="Y181" i="4"/>
  <c r="Y205" i="4"/>
  <c r="Y196" i="4"/>
  <c r="Y238" i="4"/>
  <c r="Y209" i="4"/>
  <c r="Y233" i="4"/>
  <c r="Y143" i="4"/>
  <c r="Y191" i="4"/>
  <c r="Y267" i="4"/>
  <c r="Y146" i="4"/>
  <c r="Y202" i="4"/>
  <c r="Y210" i="4"/>
  <c r="Y234" i="4"/>
  <c r="Y140" i="4"/>
  <c r="B53" i="4"/>
  <c r="W204" i="4" s="1"/>
  <c r="Y182" i="4"/>
  <c r="Y204" i="4"/>
  <c r="Y141" i="4"/>
  <c r="Y213" i="4"/>
  <c r="Y240" i="4"/>
  <c r="Y217" i="4"/>
  <c r="Y142" i="4"/>
  <c r="Y214" i="4"/>
  <c r="Y184" i="4"/>
  <c r="Y145" i="4"/>
  <c r="Y183" i="4"/>
  <c r="Y136" i="4"/>
  <c r="Y200" i="4"/>
  <c r="Y201" i="4"/>
  <c r="Y220" i="4"/>
  <c r="Y185" i="4"/>
  <c r="Y212" i="4"/>
  <c r="Y178" i="4"/>
  <c r="Y218" i="4"/>
  <c r="Y179" i="4"/>
  <c r="Y203" i="4"/>
  <c r="Y235" i="4"/>
  <c r="Y243" i="4"/>
  <c r="Y236" i="4"/>
  <c r="Y251" i="4"/>
  <c r="Y149" i="4"/>
  <c r="Y237" i="4"/>
  <c r="Y269" i="4"/>
  <c r="Y144" i="4"/>
  <c r="Y193" i="4"/>
  <c r="Y150" i="4"/>
  <c r="Y246" i="4"/>
  <c r="Y270" i="4"/>
  <c r="Y264" i="4"/>
  <c r="Y177" i="4"/>
  <c r="Y265" i="4"/>
  <c r="Y268" i="4"/>
  <c r="Y159" i="4"/>
  <c r="Y199" i="4"/>
  <c r="Y247" i="4"/>
  <c r="Y256" i="4"/>
  <c r="Y241" i="4"/>
  <c r="Y242" i="4"/>
  <c r="Y266" i="4"/>
  <c r="Y156" i="4"/>
  <c r="Y100" i="4"/>
  <c r="Y124" i="4"/>
  <c r="Y253" i="4"/>
  <c r="Y249" i="4"/>
  <c r="Y252" i="4"/>
  <c r="Y222" i="4"/>
  <c r="Y180" i="4"/>
  <c r="Y228" i="4"/>
  <c r="Y215" i="4"/>
  <c r="Y138" i="4"/>
  <c r="Y101" i="4"/>
  <c r="Y173" i="4"/>
  <c r="Y189" i="4"/>
  <c r="Y285" i="4"/>
  <c r="Y273" i="4"/>
  <c r="Y174" i="4"/>
  <c r="Y190" i="4"/>
  <c r="Y198" i="4"/>
  <c r="Y294" i="4"/>
  <c r="Y135" i="4"/>
  <c r="Y151" i="4"/>
  <c r="Y263" i="4"/>
  <c r="Y271" i="4"/>
  <c r="Y295" i="4"/>
  <c r="Y169" i="4"/>
  <c r="Y257" i="4"/>
  <c r="Y172" i="4"/>
  <c r="Y176" i="4"/>
  <c r="Y297" i="4"/>
  <c r="Y153" i="4"/>
  <c r="Y186" i="4"/>
  <c r="Y107" i="4"/>
  <c r="Y147" i="4"/>
  <c r="Y155" i="4"/>
  <c r="Y187" i="4"/>
  <c r="Y148" i="4"/>
  <c r="Y125" i="4"/>
  <c r="Y221" i="4"/>
  <c r="Y245" i="4"/>
  <c r="Y216" i="4"/>
  <c r="Y126" i="4"/>
  <c r="Y208" i="4"/>
  <c r="Y232" i="4"/>
  <c r="Y207" i="4"/>
  <c r="Y223" i="4"/>
  <c r="Y239" i="4"/>
  <c r="Y255" i="4"/>
  <c r="Y224" i="4"/>
  <c r="Y248" i="4"/>
  <c r="Y226" i="4"/>
  <c r="Y139" i="4"/>
  <c r="Y195" i="4"/>
  <c r="Y211" i="4"/>
  <c r="Y219" i="4"/>
  <c r="W104" i="4"/>
  <c r="V116" i="2" s="1"/>
  <c r="W82" i="4"/>
  <c r="V94" i="2" s="1"/>
  <c r="W98" i="4"/>
  <c r="V110" i="2" s="1"/>
  <c r="W258" i="4"/>
  <c r="V270" i="2" s="1"/>
  <c r="W260" i="4"/>
  <c r="V272" i="2" s="1"/>
  <c r="W83" i="4"/>
  <c r="V95" i="2" s="1"/>
  <c r="W108" i="4"/>
  <c r="V120" i="2" s="1"/>
  <c r="W279" i="4"/>
  <c r="V291" i="2" s="1"/>
  <c r="W261" i="4"/>
  <c r="V273" i="2" s="1"/>
  <c r="W167" i="4"/>
  <c r="W165" i="4"/>
  <c r="V177" i="2" s="1"/>
  <c r="W277" i="4"/>
  <c r="V289" i="2" s="1"/>
  <c r="W5" i="4"/>
  <c r="V17" i="2" s="1"/>
  <c r="W93" i="4"/>
  <c r="V105" i="2" s="1"/>
  <c r="W6" i="4"/>
  <c r="V18" i="2" s="1"/>
  <c r="W40" i="4"/>
  <c r="V52" i="2" s="1"/>
  <c r="W96" i="4"/>
  <c r="V108" i="2" s="1"/>
  <c r="W280" i="4"/>
  <c r="V292" i="2" s="1"/>
  <c r="W288" i="4"/>
  <c r="V300" i="2" s="1"/>
  <c r="W321" i="4"/>
  <c r="V333" i="2" s="1"/>
  <c r="W90" i="4"/>
  <c r="V102" i="2" s="1"/>
  <c r="W282" i="4"/>
  <c r="V294" i="2" s="1"/>
  <c r="W37" i="4"/>
  <c r="V49" i="2" s="1"/>
  <c r="W85" i="4"/>
  <c r="V97" i="2" s="1"/>
  <c r="W27" i="4"/>
  <c r="V39" i="2" s="1"/>
  <c r="W51" i="4"/>
  <c r="V63" i="2" s="1"/>
  <c r="W323" i="4"/>
  <c r="V335" i="2" s="1"/>
  <c r="W44" i="4"/>
  <c r="V56" i="2" s="1"/>
  <c r="W52" i="4"/>
  <c r="V64" i="2" s="1"/>
  <c r="W76" i="4"/>
  <c r="V88" i="2" s="1"/>
  <c r="W84" i="4"/>
  <c r="V96" i="2" s="1"/>
  <c r="W324" i="4"/>
  <c r="V336" i="2" s="1"/>
  <c r="W340" i="4"/>
  <c r="V352" i="2" s="1"/>
  <c r="W38" i="4"/>
  <c r="V50" i="2" s="1"/>
  <c r="W39" i="4"/>
  <c r="V51" i="2" s="1"/>
  <c r="W310" i="4"/>
  <c r="V322" i="2" s="1"/>
  <c r="W94" i="4"/>
  <c r="V106" i="2" s="1"/>
  <c r="W55" i="4"/>
  <c r="V67" i="2" s="1"/>
  <c r="W160" i="4"/>
  <c r="V172" i="2" s="1"/>
  <c r="W168" i="4"/>
  <c r="V180" i="2" s="1"/>
  <c r="W296" i="4"/>
  <c r="V308" i="2" s="1"/>
  <c r="W161" i="4"/>
  <c r="V173" i="2" s="1"/>
  <c r="W122" i="4"/>
  <c r="V134" i="2" s="1"/>
  <c r="W162" i="4"/>
  <c r="V174" i="2" s="1"/>
  <c r="W274" i="4"/>
  <c r="V286" i="2" s="1"/>
  <c r="W332" i="4"/>
  <c r="V344" i="2" s="1"/>
  <c r="W131" i="4"/>
  <c r="W163" i="4"/>
  <c r="V175" i="2" s="1"/>
  <c r="W307" i="4"/>
  <c r="V319" i="2" s="1"/>
  <c r="W188" i="4"/>
  <c r="W303" i="4"/>
  <c r="V315" i="2" s="1"/>
  <c r="W127" i="4"/>
  <c r="W293" i="4"/>
  <c r="V305" i="2" s="1"/>
  <c r="W278" i="4"/>
  <c r="V290" i="2" s="1"/>
  <c r="W262" i="4"/>
  <c r="V274" i="2" s="1"/>
  <c r="W64" i="4"/>
  <c r="V76" i="2" s="1"/>
  <c r="W80" i="4"/>
  <c r="V92" i="2" s="1"/>
  <c r="W320" i="4"/>
  <c r="V332" i="2" s="1"/>
  <c r="W344" i="4"/>
  <c r="V356" i="2" s="1"/>
  <c r="W25" i="4"/>
  <c r="V37" i="2" s="1"/>
  <c r="W89" i="4"/>
  <c r="V101" i="2" s="1"/>
  <c r="W113" i="4"/>
  <c r="V125" i="2" s="1"/>
  <c r="W281" i="4"/>
  <c r="V293" i="2" s="1"/>
  <c r="W289" i="4"/>
  <c r="V301" i="2" s="1"/>
  <c r="W292" i="4"/>
  <c r="V304" i="2" s="1"/>
  <c r="W53" i="4"/>
  <c r="V65" i="2" s="1"/>
  <c r="W109" i="4"/>
  <c r="V121" i="2" s="1"/>
  <c r="W91" i="4"/>
  <c r="V103" i="2" s="1"/>
  <c r="W291" i="4"/>
  <c r="V303" i="2" s="1"/>
  <c r="W355" i="4"/>
  <c r="V367" i="2" s="1"/>
  <c r="W363" i="4"/>
  <c r="V375" i="2" s="1"/>
  <c r="W29" i="4"/>
  <c r="V41" i="2" s="1"/>
  <c r="W45" i="4"/>
  <c r="V57" i="2" s="1"/>
  <c r="W110" i="4"/>
  <c r="V122" i="2" s="1"/>
  <c r="W357" i="4"/>
  <c r="V369" i="2" s="1"/>
  <c r="W79" i="4"/>
  <c r="V91" i="2" s="1"/>
  <c r="W318" i="4"/>
  <c r="V330" i="2" s="1"/>
  <c r="W359" i="4"/>
  <c r="V371" i="2" s="1"/>
  <c r="W54" i="4"/>
  <c r="V66" i="2" s="1"/>
  <c r="W353" i="4"/>
  <c r="V365" i="2" s="1"/>
  <c r="W63" i="4"/>
  <c r="V75" i="2" s="1"/>
  <c r="W48" i="4"/>
  <c r="V60" i="2" s="1"/>
  <c r="W56" i="4"/>
  <c r="V68" i="2" s="1"/>
  <c r="W65" i="4"/>
  <c r="V77" i="2" s="1"/>
  <c r="W81" i="4"/>
  <c r="V93" i="2" s="1"/>
  <c r="W97" i="4"/>
  <c r="V109" i="2" s="1"/>
  <c r="W121" i="4"/>
  <c r="V133" i="2" s="1"/>
  <c r="W50" i="4"/>
  <c r="V62" i="2" s="1"/>
  <c r="W66" i="4"/>
  <c r="V78" i="2" s="1"/>
  <c r="W290" i="4"/>
  <c r="V302" i="2" s="1"/>
  <c r="W322" i="4"/>
  <c r="V334" i="2" s="1"/>
  <c r="W354" i="4"/>
  <c r="V366" i="2" s="1"/>
  <c r="W276" i="4"/>
  <c r="V288" i="2" s="1"/>
  <c r="W300" i="4"/>
  <c r="V312" i="2" s="1"/>
  <c r="W259" i="4"/>
  <c r="V271" i="2" s="1"/>
  <c r="W275" i="4"/>
  <c r="V287" i="2" s="1"/>
  <c r="W283" i="4"/>
  <c r="V295" i="2" s="1"/>
  <c r="W92" i="4"/>
  <c r="V104" i="2" s="1"/>
  <c r="W356" i="4"/>
  <c r="V368" i="2" s="1"/>
  <c r="W95" i="4"/>
  <c r="V107" i="2" s="1"/>
  <c r="W301" i="4"/>
  <c r="V313" i="2" s="1"/>
  <c r="W319" i="4"/>
  <c r="V331" i="2" s="1"/>
  <c r="W133" i="4"/>
  <c r="W128" i="4"/>
  <c r="W304" i="4"/>
  <c r="V316" i="2" s="1"/>
  <c r="W49" i="4"/>
  <c r="V61" i="2" s="1"/>
  <c r="W105" i="4"/>
  <c r="V117" i="2" s="1"/>
  <c r="W129" i="4"/>
  <c r="W305" i="4"/>
  <c r="V317" i="2" s="1"/>
  <c r="W130" i="4"/>
  <c r="W132" i="4"/>
  <c r="W99" i="4"/>
  <c r="V111" i="2" s="1"/>
  <c r="W123" i="4"/>
  <c r="W299" i="4"/>
  <c r="V311" i="2" s="1"/>
  <c r="W164" i="4"/>
  <c r="V176" i="2" s="1"/>
  <c r="W308" i="4"/>
  <c r="V320" i="2" s="1"/>
  <c r="W77" i="4"/>
  <c r="V89" i="2" s="1"/>
  <c r="W103" i="4"/>
  <c r="V115" i="2" s="1"/>
  <c r="W78" i="4"/>
  <c r="V90" i="2" s="1"/>
  <c r="W287" i="4"/>
  <c r="V299" i="2" s="1"/>
  <c r="W333" i="4"/>
  <c r="V345" i="2" s="1"/>
  <c r="W302" i="4"/>
  <c r="V314" i="2" s="1"/>
  <c r="W309" i="4"/>
  <c r="V321" i="2" s="1"/>
  <c r="W166" i="4"/>
  <c r="W181" i="4"/>
  <c r="W152" i="4"/>
  <c r="V164" i="2" s="1"/>
  <c r="W192" i="4"/>
  <c r="W272" i="4"/>
  <c r="V284" i="2" s="1"/>
  <c r="W106" i="4"/>
  <c r="V118" i="2" s="1"/>
  <c r="W154" i="4"/>
  <c r="V166" i="2" s="1"/>
  <c r="W170" i="4"/>
  <c r="W298" i="4"/>
  <c r="V310" i="2" s="1"/>
  <c r="W306" i="4"/>
  <c r="V318" i="2" s="1"/>
  <c r="W171" i="4"/>
  <c r="W284" i="4"/>
  <c r="V296" i="2" s="1"/>
  <c r="W197" i="4"/>
  <c r="W102" i="4"/>
  <c r="V114" i="2" s="1"/>
  <c r="W175" i="4"/>
  <c r="W134" i="4"/>
  <c r="V146" i="2" s="1"/>
  <c r="W157" i="4"/>
  <c r="V169" i="2" s="1"/>
  <c r="W158" i="4"/>
  <c r="V170" i="2" s="1"/>
  <c r="W286" i="4"/>
  <c r="V298" i="2" s="1"/>
  <c r="V324" i="2"/>
  <c r="V98" i="2"/>
  <c r="V323" i="2"/>
  <c r="V131" i="2"/>
  <c r="V132" i="2"/>
  <c r="V128" i="2"/>
  <c r="V127" i="2"/>
  <c r="V130" i="2"/>
  <c r="V129" i="2"/>
  <c r="B52" i="4"/>
  <c r="B46" i="4"/>
  <c r="B50" i="4"/>
  <c r="B48" i="4"/>
  <c r="B49" i="4"/>
  <c r="B51" i="4"/>
  <c r="B47" i="4"/>
  <c r="W182" i="4" l="1"/>
  <c r="V194" i="2" s="1"/>
  <c r="V144" i="2"/>
  <c r="W176" i="4"/>
  <c r="V188" i="2" s="1"/>
  <c r="W153" i="4"/>
  <c r="V165" i="2" s="1"/>
  <c r="W169" i="4"/>
  <c r="V181" i="2" s="1"/>
  <c r="W273" i="4"/>
  <c r="V285" i="2" s="1"/>
  <c r="W297" i="4"/>
  <c r="V309" i="2" s="1"/>
  <c r="W257" i="4"/>
  <c r="V269" i="2" s="1"/>
  <c r="W186" i="4"/>
  <c r="V198" i="2" s="1"/>
  <c r="W107" i="4"/>
  <c r="V119" i="2" s="1"/>
  <c r="W147" i="4"/>
  <c r="V159" i="2" s="1"/>
  <c r="W155" i="4"/>
  <c r="V167" i="2" s="1"/>
  <c r="W187" i="4"/>
  <c r="V199" i="2" s="1"/>
  <c r="W148" i="4"/>
  <c r="V160" i="2" s="1"/>
  <c r="W172" i="4"/>
  <c r="V184" i="2" s="1"/>
  <c r="W101" i="4"/>
  <c r="V113" i="2" s="1"/>
  <c r="W198" i="4"/>
  <c r="V210" i="2" s="1"/>
  <c r="W263" i="4"/>
  <c r="V275" i="2" s="1"/>
  <c r="W295" i="4"/>
  <c r="V307" i="2" s="1"/>
  <c r="W285" i="4"/>
  <c r="V297" i="2" s="1"/>
  <c r="W135" i="4"/>
  <c r="V147" i="2" s="1"/>
  <c r="W190" i="4"/>
  <c r="V202" i="2" s="1"/>
  <c r="W173" i="4"/>
  <c r="V185" i="2" s="1"/>
  <c r="W174" i="4"/>
  <c r="V186" i="2" s="1"/>
  <c r="W189" i="4"/>
  <c r="V201" i="2" s="1"/>
  <c r="W271" i="4"/>
  <c r="V283" i="2" s="1"/>
  <c r="W294" i="4"/>
  <c r="V306" i="2" s="1"/>
  <c r="W151" i="4"/>
  <c r="V163" i="2" s="1"/>
  <c r="W209" i="4"/>
  <c r="V221" i="2" s="1"/>
  <c r="W233" i="4"/>
  <c r="V245" i="2" s="1"/>
  <c r="W146" i="4"/>
  <c r="V158" i="2" s="1"/>
  <c r="W202" i="4"/>
  <c r="V214" i="2" s="1"/>
  <c r="W210" i="4"/>
  <c r="V222" i="2" s="1"/>
  <c r="W234" i="4"/>
  <c r="V246" i="2" s="1"/>
  <c r="W196" i="4"/>
  <c r="V208" i="2" s="1"/>
  <c r="W267" i="4"/>
  <c r="V279" i="2" s="1"/>
  <c r="W140" i="4"/>
  <c r="V152" i="2" s="1"/>
  <c r="W238" i="4"/>
  <c r="V250" i="2" s="1"/>
  <c r="W143" i="4"/>
  <c r="V155" i="2" s="1"/>
  <c r="W191" i="4"/>
  <c r="V203" i="2" s="1"/>
  <c r="W144" i="4"/>
  <c r="V156" i="2" s="1"/>
  <c r="W256" i="4"/>
  <c r="V268" i="2" s="1"/>
  <c r="W264" i="4"/>
  <c r="V276" i="2" s="1"/>
  <c r="W177" i="4"/>
  <c r="V189" i="2" s="1"/>
  <c r="W193" i="4"/>
  <c r="V205" i="2" s="1"/>
  <c r="W241" i="4"/>
  <c r="V253" i="2" s="1"/>
  <c r="W265" i="4"/>
  <c r="V277" i="2" s="1"/>
  <c r="W242" i="4"/>
  <c r="V254" i="2" s="1"/>
  <c r="W266" i="4"/>
  <c r="V278" i="2" s="1"/>
  <c r="W156" i="4"/>
  <c r="V168" i="2" s="1"/>
  <c r="W100" i="4"/>
  <c r="V112" i="2" s="1"/>
  <c r="W124" i="4"/>
  <c r="V136" i="2" s="1"/>
  <c r="W268" i="4"/>
  <c r="V280" i="2" s="1"/>
  <c r="W199" i="4"/>
  <c r="V211" i="2" s="1"/>
  <c r="W159" i="4"/>
  <c r="V171" i="2" s="1"/>
  <c r="W246" i="4"/>
  <c r="V258" i="2" s="1"/>
  <c r="W269" i="4"/>
  <c r="V281" i="2" s="1"/>
  <c r="W150" i="4"/>
  <c r="V162" i="2" s="1"/>
  <c r="W247" i="4"/>
  <c r="V259" i="2" s="1"/>
  <c r="W270" i="4"/>
  <c r="V282" i="2" s="1"/>
  <c r="W237" i="4"/>
  <c r="V249" i="2" s="1"/>
  <c r="W149" i="4"/>
  <c r="V161" i="2" s="1"/>
  <c r="W136" i="4"/>
  <c r="V148" i="2" s="1"/>
  <c r="W184" i="4"/>
  <c r="V196" i="2" s="1"/>
  <c r="W200" i="4"/>
  <c r="V212" i="2" s="1"/>
  <c r="W240" i="4"/>
  <c r="V252" i="2" s="1"/>
  <c r="W145" i="4"/>
  <c r="V157" i="2" s="1"/>
  <c r="W185" i="4"/>
  <c r="V197" i="2" s="1"/>
  <c r="W201" i="4"/>
  <c r="V213" i="2" s="1"/>
  <c r="W217" i="4"/>
  <c r="V229" i="2" s="1"/>
  <c r="W178" i="4"/>
  <c r="V190" i="2" s="1"/>
  <c r="W218" i="4"/>
  <c r="V230" i="2" s="1"/>
  <c r="W212" i="4"/>
  <c r="V224" i="2" s="1"/>
  <c r="W179" i="4"/>
  <c r="V191" i="2" s="1"/>
  <c r="W203" i="4"/>
  <c r="V215" i="2" s="1"/>
  <c r="W235" i="4"/>
  <c r="V247" i="2" s="1"/>
  <c r="W243" i="4"/>
  <c r="V255" i="2" s="1"/>
  <c r="W251" i="4"/>
  <c r="V263" i="2" s="1"/>
  <c r="W220" i="4"/>
  <c r="V232" i="2" s="1"/>
  <c r="W236" i="4"/>
  <c r="V248" i="2" s="1"/>
  <c r="W141" i="4"/>
  <c r="V153" i="2" s="1"/>
  <c r="W214" i="4"/>
  <c r="V226" i="2" s="1"/>
  <c r="W142" i="4"/>
  <c r="V154" i="2" s="1"/>
  <c r="W183" i="4"/>
  <c r="V195" i="2" s="1"/>
  <c r="W213" i="4"/>
  <c r="V225" i="2" s="1"/>
  <c r="W249" i="4"/>
  <c r="V261" i="2" s="1"/>
  <c r="W138" i="4"/>
  <c r="V150" i="2" s="1"/>
  <c r="W180" i="4"/>
  <c r="V192" i="2" s="1"/>
  <c r="W228" i="4"/>
  <c r="V240" i="2" s="1"/>
  <c r="W252" i="4"/>
  <c r="V264" i="2" s="1"/>
  <c r="W222" i="4"/>
  <c r="V234" i="2" s="1"/>
  <c r="W253" i="4"/>
  <c r="V265" i="2" s="1"/>
  <c r="W215" i="4"/>
  <c r="V227" i="2" s="1"/>
  <c r="W208" i="4"/>
  <c r="V220" i="2" s="1"/>
  <c r="W216" i="4"/>
  <c r="V228" i="2" s="1"/>
  <c r="W224" i="4"/>
  <c r="V236" i="2" s="1"/>
  <c r="W232" i="4"/>
  <c r="V244" i="2" s="1"/>
  <c r="W248" i="4"/>
  <c r="V260" i="2" s="1"/>
  <c r="W226" i="4"/>
  <c r="V238" i="2" s="1"/>
  <c r="W139" i="4"/>
  <c r="V151" i="2" s="1"/>
  <c r="W195" i="4"/>
  <c r="V207" i="2" s="1"/>
  <c r="W211" i="4"/>
  <c r="V223" i="2" s="1"/>
  <c r="W219" i="4"/>
  <c r="V231" i="2" s="1"/>
  <c r="W125" i="4"/>
  <c r="V137" i="2" s="1"/>
  <c r="W221" i="4"/>
  <c r="V233" i="2" s="1"/>
  <c r="W245" i="4"/>
  <c r="V257" i="2" s="1"/>
  <c r="W223" i="4"/>
  <c r="V235" i="2" s="1"/>
  <c r="W255" i="4"/>
  <c r="V267" i="2" s="1"/>
  <c r="W239" i="4"/>
  <c r="V251" i="2" s="1"/>
  <c r="W207" i="4"/>
  <c r="V219" i="2" s="1"/>
  <c r="W126" i="4"/>
  <c r="V138" i="2" s="1"/>
  <c r="W137" i="4"/>
  <c r="V149" i="2" s="1"/>
  <c r="W225" i="4"/>
  <c r="V237" i="2" s="1"/>
  <c r="W194" i="4"/>
  <c r="V206" i="2" s="1"/>
  <c r="W250" i="4"/>
  <c r="V262" i="2" s="1"/>
  <c r="W244" i="4"/>
  <c r="V256" i="2" s="1"/>
  <c r="W227" i="4"/>
  <c r="V239" i="2" s="1"/>
  <c r="W231" i="4"/>
  <c r="V243" i="2" s="1"/>
  <c r="W206" i="4"/>
  <c r="V218" i="2" s="1"/>
  <c r="W254" i="4"/>
  <c r="V266" i="2" s="1"/>
  <c r="W230" i="4"/>
  <c r="V242" i="2" s="1"/>
  <c r="V143" i="2"/>
  <c r="V145" i="2"/>
  <c r="V187" i="2"/>
  <c r="V135" i="2"/>
  <c r="V200" i="2"/>
  <c r="V216" i="2"/>
  <c r="V204" i="2"/>
  <c r="V141" i="2"/>
  <c r="V142" i="2"/>
  <c r="V178" i="2"/>
  <c r="V139" i="2"/>
  <c r="V241" i="2"/>
  <c r="V140" i="2"/>
  <c r="V179" i="2"/>
  <c r="V217" i="2"/>
  <c r="V193" i="2"/>
  <c r="V182" i="2"/>
  <c r="V209" i="2"/>
  <c r="V183" i="2"/>
  <c r="Y197" i="2"/>
  <c r="Y220" i="2"/>
  <c r="Y293" i="2"/>
  <c r="Y132" i="2"/>
  <c r="Y255" i="2"/>
  <c r="Y212" i="2"/>
  <c r="Y224" i="2"/>
  <c r="Y292" i="2"/>
  <c r="Y114" i="2"/>
  <c r="Y205" i="2"/>
  <c r="Y287" i="2"/>
  <c r="Y309" i="2"/>
  <c r="Y187" i="2"/>
  <c r="Y141" i="2"/>
  <c r="Y172" i="2"/>
  <c r="Y283" i="2"/>
  <c r="Y158" i="2"/>
  <c r="Y291" i="2"/>
  <c r="Y339" i="2"/>
  <c r="Y108" i="2"/>
  <c r="Y305" i="2"/>
  <c r="Y211" i="2"/>
  <c r="Y271" i="2"/>
  <c r="Y110" i="2"/>
  <c r="Y194" i="2"/>
  <c r="Y51" i="2"/>
  <c r="Y155" i="2"/>
  <c r="Y190" i="2"/>
  <c r="Y119" i="2"/>
  <c r="Y105" i="2"/>
  <c r="Y307" i="2"/>
  <c r="Y304" i="2"/>
  <c r="Y118" i="2"/>
  <c r="Y133" i="2"/>
  <c r="Y238" i="2"/>
  <c r="Y189" i="2"/>
  <c r="Y204" i="2"/>
  <c r="Y217" i="2"/>
  <c r="Y196" i="2"/>
  <c r="Y91" i="2"/>
  <c r="Y216" i="2"/>
  <c r="Y329" i="2"/>
  <c r="Y192" i="2"/>
  <c r="Y289" i="2"/>
  <c r="Y156" i="2"/>
  <c r="Y321" i="2"/>
  <c r="Y222" i="2"/>
  <c r="Y310" i="2"/>
  <c r="Y308" i="2"/>
  <c r="Y223" i="2"/>
  <c r="Y221" i="2"/>
  <c r="Y252" i="2"/>
  <c r="Y249" i="2"/>
  <c r="Y365" i="2"/>
  <c r="Y354" i="2"/>
  <c r="Y79" i="2"/>
  <c r="Y150" i="2"/>
  <c r="Y301" i="2"/>
  <c r="Y328" i="2"/>
  <c r="Y278" i="2"/>
  <c r="Y29" i="2"/>
  <c r="Y135" i="2"/>
  <c r="Y19" i="2"/>
  <c r="Y111" i="2"/>
  <c r="Y227" i="2"/>
  <c r="Y341" i="2"/>
  <c r="Y103" i="2"/>
  <c r="Y127" i="2"/>
  <c r="Y176" i="2"/>
  <c r="Y88" i="2"/>
  <c r="Y324" i="2"/>
  <c r="Y113" i="2"/>
  <c r="Y248" i="2"/>
  <c r="Y168" i="2"/>
  <c r="Y116" i="2"/>
  <c r="Y44" i="2"/>
  <c r="Y64" i="2"/>
  <c r="Y77" i="2"/>
  <c r="Y364" i="2"/>
  <c r="Y312" i="2"/>
  <c r="Y18" i="2"/>
  <c r="Y46" i="2"/>
  <c r="Y185" i="2"/>
  <c r="Y170" i="2"/>
  <c r="Y21" i="2"/>
  <c r="Y299" i="2"/>
  <c r="Y53" i="2"/>
  <c r="Y47" i="2"/>
  <c r="Y288" i="2"/>
  <c r="Y326" i="2"/>
  <c r="Y260" i="2"/>
  <c r="Y232" i="2"/>
  <c r="Y374" i="2"/>
  <c r="Y375" i="2"/>
  <c r="Y317" i="2"/>
  <c r="Y314" i="2"/>
  <c r="Y313" i="2"/>
  <c r="Y306" i="2"/>
  <c r="Y80" i="2"/>
  <c r="Y123" i="2"/>
  <c r="Y76" i="2"/>
  <c r="Y58" i="2"/>
  <c r="Y109" i="2"/>
  <c r="Y261" i="2"/>
  <c r="Y361" i="2"/>
  <c r="Y72" i="2"/>
  <c r="Y39" i="2"/>
  <c r="Y352" i="2"/>
  <c r="Y146" i="2"/>
  <c r="Y302" i="2"/>
  <c r="Y325" i="2"/>
  <c r="Y186" i="2"/>
  <c r="Y154" i="2"/>
  <c r="Y259" i="2"/>
  <c r="Y282" i="2"/>
  <c r="Y32" i="2"/>
  <c r="Y98" i="2"/>
  <c r="Y208" i="2"/>
  <c r="Y71" i="2"/>
  <c r="Y359" i="2"/>
  <c r="Y86" i="2"/>
  <c r="Y366" i="2"/>
  <c r="Y311" i="2"/>
  <c r="Y254" i="2"/>
  <c r="Y167" i="2"/>
  <c r="Y207" i="2"/>
  <c r="Y48" i="2"/>
  <c r="Y55" i="2"/>
  <c r="Y43" i="2"/>
  <c r="Y337" i="2"/>
  <c r="Y83" i="2"/>
  <c r="Y303" i="2"/>
  <c r="Y41" i="2"/>
  <c r="Y67" i="2"/>
  <c r="Y81" i="2"/>
  <c r="Y193" i="2"/>
  <c r="Y244" i="2"/>
  <c r="Y23" i="2"/>
  <c r="Y63" i="2"/>
  <c r="Y104" i="2"/>
  <c r="Y62" i="2"/>
  <c r="Y262" i="2"/>
  <c r="Y273" i="2"/>
  <c r="Y140" i="2"/>
  <c r="Y336" i="2"/>
  <c r="Y139" i="2"/>
  <c r="Y378" i="2"/>
  <c r="Y100" i="2"/>
  <c r="Y274" i="2"/>
  <c r="Y209" i="2"/>
  <c r="Y78" i="2"/>
  <c r="Y335" i="2"/>
  <c r="Y57" i="2"/>
  <c r="Y191" i="2"/>
  <c r="Y213" i="2"/>
  <c r="Y163" i="2"/>
  <c r="Y36" i="2"/>
  <c r="Y370" i="2"/>
  <c r="P65" i="2"/>
  <c r="Q65" i="2" s="1"/>
  <c r="Y247" i="2"/>
  <c r="Y95" i="2"/>
  <c r="Y33" i="2"/>
  <c r="Y65" i="2"/>
  <c r="Y66" i="2"/>
  <c r="P201" i="2"/>
  <c r="Q201" i="2" s="1"/>
  <c r="Y315" i="2"/>
  <c r="Y97" i="2"/>
  <c r="Y143" i="2"/>
  <c r="Y380" i="2"/>
  <c r="Y330" i="2"/>
  <c r="Y200" i="2"/>
  <c r="Y89" i="2"/>
  <c r="Y56" i="2"/>
  <c r="P87" i="2"/>
  <c r="Q87" i="2" s="1"/>
  <c r="Y126" i="2"/>
  <c r="Y236" i="2"/>
  <c r="Y235" i="2"/>
  <c r="P347" i="2"/>
  <c r="Q347" i="2" s="1"/>
  <c r="Y96" i="2"/>
  <c r="Y340" i="2"/>
  <c r="Y124" i="2"/>
  <c r="Y369" i="2"/>
  <c r="Y353" i="2"/>
  <c r="P187" i="2"/>
  <c r="Q187" i="2" s="1"/>
  <c r="Y107" i="2"/>
  <c r="Y90" i="2"/>
  <c r="Y331" i="2"/>
  <c r="P380" i="2"/>
  <c r="Q380" i="2" s="1"/>
  <c r="Y74" i="2"/>
  <c r="Y50" i="2"/>
  <c r="Y332" i="2"/>
  <c r="Y40" i="2"/>
  <c r="Y199" i="2"/>
  <c r="Y360" i="2"/>
  <c r="Y30" i="2"/>
  <c r="Y316" i="2"/>
  <c r="Y351" i="2"/>
  <c r="Y31" i="2"/>
  <c r="Y147" i="2"/>
  <c r="Y164" i="2"/>
  <c r="Y160" i="2"/>
  <c r="Y161" i="2"/>
  <c r="Y34" i="2"/>
  <c r="Y157" i="2"/>
  <c r="Y42" i="2"/>
  <c r="Y82" i="2"/>
  <c r="Y372" i="2"/>
  <c r="P216" i="2"/>
  <c r="Q216" i="2" s="1"/>
  <c r="Y376" i="2"/>
  <c r="Y368" i="2"/>
  <c r="Y38" i="2"/>
  <c r="Y230" i="2"/>
  <c r="Y348" i="2"/>
  <c r="Y37" i="2"/>
  <c r="Y256" i="2"/>
  <c r="Y367" i="2"/>
  <c r="Y54" i="2"/>
  <c r="Y22" i="2"/>
  <c r="Y323" i="2"/>
  <c r="Y115" i="2"/>
  <c r="Y276" i="2"/>
  <c r="Y215" i="2"/>
  <c r="Y70" i="2"/>
  <c r="Y275" i="2"/>
  <c r="Y349" i="2"/>
  <c r="Y174" i="2"/>
  <c r="Y24" i="2"/>
  <c r="Y94" i="2"/>
  <c r="Y327" i="2"/>
  <c r="Y264" i="2"/>
  <c r="Y343" i="2"/>
  <c r="Y344" i="2"/>
  <c r="Y122" i="2"/>
  <c r="Y347" i="2"/>
  <c r="Y334" i="2"/>
  <c r="Y377" i="2"/>
  <c r="Y68" i="2"/>
  <c r="Y356" i="2"/>
  <c r="Y250" i="2"/>
  <c r="Y350" i="2"/>
  <c r="Y26" i="2"/>
  <c r="P90" i="2"/>
  <c r="Q90" i="2" s="1"/>
  <c r="P48" i="2"/>
  <c r="Q48" i="2" s="1"/>
  <c r="Y75" i="2"/>
  <c r="P309" i="2"/>
  <c r="Q309" i="2" s="1"/>
  <c r="Y142" i="2"/>
  <c r="P77" i="2"/>
  <c r="Q77" i="2" s="1"/>
  <c r="Y69" i="2"/>
  <c r="Y182" i="2"/>
  <c r="P64" i="2"/>
  <c r="Q64" i="2" s="1"/>
  <c r="Y357" i="2"/>
  <c r="P166" i="2"/>
  <c r="Q166" i="2" s="1"/>
  <c r="Y129" i="2"/>
  <c r="P103" i="2"/>
  <c r="Q103" i="2" s="1"/>
  <c r="P191" i="2"/>
  <c r="Q191" i="2" s="1"/>
  <c r="P315" i="2"/>
  <c r="Q315" i="2" s="1"/>
  <c r="Y188" i="2"/>
  <c r="P332" i="2"/>
  <c r="Q332" i="2" s="1"/>
  <c r="P125" i="2"/>
  <c r="Q125" i="2" s="1"/>
  <c r="Y226" i="2"/>
  <c r="Y177" i="2"/>
  <c r="Y201" i="2"/>
  <c r="P272" i="2"/>
  <c r="Q272" i="2" s="1"/>
  <c r="Y45" i="2"/>
  <c r="Y371" i="2"/>
  <c r="Y267" i="2"/>
  <c r="Y27" i="2"/>
  <c r="P341" i="2"/>
  <c r="Q341" i="2" s="1"/>
  <c r="Y120" i="2"/>
  <c r="P305" i="2"/>
  <c r="Q305" i="2" s="1"/>
  <c r="P346" i="2"/>
  <c r="Q346" i="2" s="1"/>
  <c r="Y285" i="2"/>
  <c r="P173" i="2"/>
  <c r="Q173" i="2" s="1"/>
  <c r="Y93" i="2"/>
  <c r="P294" i="2"/>
  <c r="Q294" i="2" s="1"/>
  <c r="P286" i="2"/>
  <c r="Q286" i="2" s="1"/>
  <c r="P371" i="2"/>
  <c r="Q371" i="2" s="1"/>
  <c r="P302" i="2"/>
  <c r="Q302" i="2" s="1"/>
  <c r="P233" i="2"/>
  <c r="Q233" i="2" s="1"/>
  <c r="Y318" i="2"/>
  <c r="P58" i="2"/>
  <c r="Q58" i="2" s="1"/>
  <c r="Y73" i="2"/>
  <c r="Y136" i="2"/>
  <c r="Y165" i="2"/>
  <c r="P231" i="2"/>
  <c r="Q231" i="2" s="1"/>
  <c r="P97" i="2"/>
  <c r="Q97" i="2" s="1"/>
  <c r="P306" i="2"/>
  <c r="Q306" i="2" s="1"/>
  <c r="P95" i="2"/>
  <c r="Q95" i="2" s="1"/>
  <c r="P250" i="2"/>
  <c r="Q250" i="2" s="1"/>
  <c r="Y218" i="2"/>
  <c r="Y373" i="2"/>
  <c r="Y153" i="2"/>
  <c r="P56" i="2"/>
  <c r="Q56" i="2" s="1"/>
  <c r="Y379" i="2"/>
  <c r="P274" i="2"/>
  <c r="Q274" i="2" s="1"/>
  <c r="P254" i="2"/>
  <c r="Q254" i="2" s="1"/>
  <c r="P93" i="2"/>
  <c r="Q93" i="2" s="1"/>
  <c r="P114" i="2"/>
  <c r="Q114" i="2" s="1"/>
  <c r="Y25" i="2"/>
  <c r="Y237" i="2"/>
  <c r="P343" i="2"/>
  <c r="Q343" i="2" s="1"/>
  <c r="P248" i="2"/>
  <c r="Q248" i="2" s="1"/>
  <c r="Y266" i="2"/>
  <c r="Y130" i="2"/>
  <c r="P199" i="2"/>
  <c r="Q199" i="2" s="1"/>
  <c r="P307" i="2"/>
  <c r="Q307" i="2" s="1"/>
  <c r="Y169" i="2"/>
  <c r="P298" i="2"/>
  <c r="Q298" i="2" s="1"/>
  <c r="P228" i="2"/>
  <c r="Q228" i="2" s="1"/>
  <c r="P25" i="2"/>
  <c r="Q25" i="2" s="1"/>
  <c r="Y173" i="2"/>
  <c r="Y265" i="2"/>
  <c r="P196" i="2"/>
  <c r="Q196" i="2" s="1"/>
  <c r="Y239" i="2"/>
  <c r="Y137" i="2"/>
  <c r="Y342" i="2"/>
  <c r="P230" i="2"/>
  <c r="Q230" i="2" s="1"/>
  <c r="Y362" i="2"/>
  <c r="Y241" i="2"/>
  <c r="P72" i="2"/>
  <c r="Q72" i="2" s="1"/>
  <c r="P122" i="2"/>
  <c r="Q122" i="2" s="1"/>
  <c r="P123" i="2"/>
  <c r="Q123" i="2" s="1"/>
  <c r="Y246" i="2"/>
  <c r="P137" i="2"/>
  <c r="Q137" i="2" s="1"/>
  <c r="Y272" i="2"/>
  <c r="Y263" i="2"/>
  <c r="P264" i="2"/>
  <c r="Q264" i="2" s="1"/>
  <c r="Y233" i="2"/>
  <c r="Y17" i="2"/>
  <c r="Y210" i="2"/>
  <c r="Y106" i="2"/>
  <c r="P120" i="2"/>
  <c r="Q120" i="2" s="1"/>
  <c r="Y320" i="2"/>
  <c r="P348" i="2"/>
  <c r="Q348" i="2" s="1"/>
  <c r="Y231" i="2"/>
  <c r="P355" i="2"/>
  <c r="Q355" i="2" s="1"/>
  <c r="P84" i="2"/>
  <c r="Q84" i="2" s="1"/>
  <c r="P331" i="2"/>
  <c r="Q331" i="2" s="1"/>
  <c r="Y268" i="2"/>
  <c r="P115" i="2"/>
  <c r="Q115" i="2" s="1"/>
  <c r="P94" i="2"/>
  <c r="Q94" i="2" s="1"/>
  <c r="Y294" i="2"/>
  <c r="P198" i="2"/>
  <c r="Q198" i="2" s="1"/>
  <c r="Y206" i="2"/>
  <c r="P351" i="2"/>
  <c r="Q351" i="2" s="1"/>
  <c r="P40" i="2"/>
  <c r="Q40" i="2" s="1"/>
  <c r="P164" i="2"/>
  <c r="Q164" i="2" s="1"/>
  <c r="Y242" i="2"/>
  <c r="P275" i="2"/>
  <c r="Q275" i="2" s="1"/>
  <c r="P101" i="2"/>
  <c r="Q101" i="2" s="1"/>
  <c r="Y277" i="2"/>
  <c r="Y171" i="2"/>
  <c r="P154" i="2"/>
  <c r="Q154" i="2" s="1"/>
  <c r="P352" i="2"/>
  <c r="Q352" i="2" s="1"/>
  <c r="P155" i="2"/>
  <c r="Q155" i="2" s="1"/>
  <c r="P146" i="2"/>
  <c r="Q146" i="2" s="1"/>
  <c r="Y284" i="2"/>
  <c r="Y87" i="2"/>
  <c r="Y85" i="2"/>
  <c r="Y35" i="2"/>
  <c r="Y61" i="2"/>
  <c r="Y258" i="2"/>
  <c r="Y225" i="2"/>
  <c r="Y59" i="2"/>
  <c r="Y99" i="2"/>
  <c r="Y84" i="2"/>
  <c r="Y358" i="2"/>
  <c r="Y251" i="2"/>
  <c r="Y134" i="2"/>
  <c r="Y355" i="2"/>
  <c r="Y228" i="2"/>
  <c r="Y148" i="2"/>
  <c r="Y203" i="2"/>
  <c r="P368" i="2"/>
  <c r="Q368" i="2" s="1"/>
  <c r="Y152" i="2"/>
  <c r="P338" i="2"/>
  <c r="Q338" i="2" s="1"/>
  <c r="P102" i="2"/>
  <c r="Q102" i="2" s="1"/>
  <c r="Y112" i="2"/>
  <c r="P28" i="2"/>
  <c r="Q28" i="2" s="1"/>
  <c r="Y281" i="2"/>
  <c r="P46" i="2"/>
  <c r="Q46" i="2" s="1"/>
  <c r="P314" i="2"/>
  <c r="Q314" i="2" s="1"/>
  <c r="Y338" i="2"/>
  <c r="Y286" i="2"/>
  <c r="Y101" i="2"/>
  <c r="Y138" i="2"/>
  <c r="P336" i="2"/>
  <c r="Q336" i="2" s="1"/>
  <c r="Y279" i="2"/>
  <c r="Y92" i="2"/>
  <c r="Y253" i="2"/>
  <c r="P96" i="2"/>
  <c r="Q96" i="2" s="1"/>
  <c r="P212" i="2"/>
  <c r="Q212" i="2" s="1"/>
  <c r="P269" i="2"/>
  <c r="Q269" i="2" s="1"/>
  <c r="Y60" i="2"/>
  <c r="P249" i="2"/>
  <c r="Q249" i="2" s="1"/>
  <c r="P369" i="2"/>
  <c r="Q369" i="2" s="1"/>
  <c r="Y52" i="2"/>
  <c r="Y28" i="2"/>
  <c r="P236" i="2"/>
  <c r="Q236" i="2" s="1"/>
  <c r="Y102" i="2"/>
  <c r="P130" i="2"/>
  <c r="Q130" i="2" s="1"/>
  <c r="P78" i="2"/>
  <c r="Q78" i="2" s="1"/>
  <c r="P316" i="2"/>
  <c r="Q316" i="2" s="1"/>
  <c r="P273" i="2"/>
  <c r="Q273" i="2" s="1"/>
  <c r="P268" i="2"/>
  <c r="Q268" i="2" s="1"/>
  <c r="P261" i="2"/>
  <c r="Q261" i="2" s="1"/>
  <c r="P81" i="2"/>
  <c r="Q81" i="2" s="1"/>
  <c r="Y290" i="2"/>
  <c r="P180" i="2"/>
  <c r="Q180" i="2" s="1"/>
  <c r="Y184" i="2"/>
  <c r="P361" i="2"/>
  <c r="Q361" i="2" s="1"/>
  <c r="P370" i="2"/>
  <c r="Q370" i="2" s="1"/>
  <c r="P213" i="2"/>
  <c r="Q213" i="2" s="1"/>
  <c r="Y322" i="2"/>
  <c r="Y125" i="2"/>
  <c r="Y20" i="2"/>
  <c r="Y49" i="2"/>
  <c r="P220" i="2"/>
  <c r="Q220" i="2" s="1"/>
  <c r="P299" i="2"/>
  <c r="Q299" i="2" s="1"/>
  <c r="Y234" i="2"/>
  <c r="Y175" i="2"/>
  <c r="P82" i="2"/>
  <c r="Q82" i="2" s="1"/>
  <c r="P161" i="2"/>
  <c r="Q161" i="2" s="1"/>
  <c r="Y363" i="2"/>
  <c r="Y300" i="2"/>
  <c r="Y298" i="2"/>
  <c r="P86" i="2"/>
  <c r="Q86" i="2" s="1"/>
  <c r="P195" i="2"/>
  <c r="Q195" i="2" s="1"/>
  <c r="P57" i="2"/>
  <c r="Q57" i="2" s="1"/>
  <c r="Y297" i="2"/>
  <c r="P238" i="2"/>
  <c r="Q238" i="2" s="1"/>
  <c r="P344" i="2"/>
  <c r="Q344" i="2" s="1"/>
  <c r="P237" i="2"/>
  <c r="Q237" i="2" s="1"/>
  <c r="P141" i="2"/>
  <c r="Q141" i="2" s="1"/>
  <c r="P322" i="2"/>
  <c r="Q322" i="2" s="1"/>
  <c r="P243" i="2"/>
  <c r="Q243" i="2" s="1"/>
  <c r="Y243" i="2"/>
  <c r="P139" i="2"/>
  <c r="Q139" i="2" s="1"/>
  <c r="P138" i="2"/>
  <c r="Q138" i="2" s="1"/>
  <c r="P118" i="2"/>
  <c r="Q118" i="2" s="1"/>
  <c r="Y151" i="2"/>
  <c r="P110" i="2"/>
  <c r="Q110" i="2" s="1"/>
  <c r="P284" i="2"/>
  <c r="Q284" i="2" s="1"/>
  <c r="P374" i="2"/>
  <c r="Q374" i="2" s="1"/>
  <c r="P276" i="2"/>
  <c r="Q276" i="2" s="1"/>
  <c r="P181" i="2"/>
  <c r="Q181" i="2" s="1"/>
  <c r="Y345" i="2"/>
  <c r="P133" i="2"/>
  <c r="Q133" i="2" s="1"/>
  <c r="P362" i="2"/>
  <c r="Q362" i="2" s="1"/>
  <c r="Y166" i="2"/>
  <c r="P219" i="2"/>
  <c r="Q219" i="2" s="1"/>
  <c r="P252" i="2"/>
  <c r="Q252" i="2" s="1"/>
  <c r="P267" i="2"/>
  <c r="Q267" i="2" s="1"/>
  <c r="Y180" i="2"/>
  <c r="P147" i="2"/>
  <c r="Q147" i="2" s="1"/>
  <c r="P153" i="2"/>
  <c r="Q153" i="2" s="1"/>
  <c r="P150" i="2"/>
  <c r="Q150" i="2" s="1"/>
  <c r="P73" i="2"/>
  <c r="Q73" i="2" s="1"/>
  <c r="P178" i="2"/>
  <c r="Q178" i="2" s="1"/>
  <c r="P321" i="2"/>
  <c r="Q321" i="2" s="1"/>
  <c r="P188" i="2"/>
  <c r="Q188" i="2" s="1"/>
  <c r="Y117" i="2"/>
  <c r="P289" i="2"/>
  <c r="Q289" i="2" s="1"/>
  <c r="P55" i="2"/>
  <c r="Q55" i="2" s="1"/>
  <c r="P32" i="2"/>
  <c r="Q32" i="2" s="1"/>
  <c r="P23" i="2"/>
  <c r="Q23" i="2" s="1"/>
  <c r="P364" i="2"/>
  <c r="Q364" i="2" s="1"/>
  <c r="Y202" i="2"/>
  <c r="P318" i="2"/>
  <c r="Q318" i="2" s="1"/>
  <c r="P37" i="2"/>
  <c r="Q37" i="2" s="1"/>
  <c r="P167" i="2"/>
  <c r="Q167" i="2" s="1"/>
  <c r="P157" i="2"/>
  <c r="Q157" i="2" s="1"/>
  <c r="P304" i="2"/>
  <c r="Q304" i="2" s="1"/>
  <c r="P208" i="2"/>
  <c r="Q208" i="2" s="1"/>
  <c r="Y229" i="2"/>
  <c r="P163" i="2"/>
  <c r="Q163" i="2" s="1"/>
  <c r="P333" i="2"/>
  <c r="Q333" i="2" s="1"/>
  <c r="P282" i="2"/>
  <c r="Q282" i="2" s="1"/>
  <c r="P159" i="2"/>
  <c r="Q159" i="2" s="1"/>
  <c r="Y144" i="2"/>
  <c r="P148" i="2"/>
  <c r="Q148" i="2" s="1"/>
  <c r="P111" i="2"/>
  <c r="Q111" i="2" s="1"/>
  <c r="P265" i="2"/>
  <c r="Q265" i="2" s="1"/>
  <c r="P128" i="2"/>
  <c r="Q128" i="2" s="1"/>
  <c r="P175" i="2"/>
  <c r="Q175" i="2" s="1"/>
  <c r="P112" i="2"/>
  <c r="Q112" i="2" s="1"/>
  <c r="P18" i="2"/>
  <c r="Q18" i="2" s="1"/>
  <c r="P75" i="2"/>
  <c r="Q75" i="2" s="1"/>
  <c r="P174" i="2"/>
  <c r="Q174" i="2" s="1"/>
  <c r="P291" i="2"/>
  <c r="Q291" i="2" s="1"/>
  <c r="P183" i="2"/>
  <c r="Q183" i="2" s="1"/>
  <c r="P20" i="2"/>
  <c r="Q20" i="2" s="1"/>
  <c r="P375" i="2"/>
  <c r="Q375" i="2" s="1"/>
  <c r="P62" i="2"/>
  <c r="Q62" i="2" s="1"/>
  <c r="P39" i="2"/>
  <c r="Q39" i="2" s="1"/>
  <c r="P80" i="2"/>
  <c r="Q80" i="2" s="1"/>
  <c r="P162" i="2"/>
  <c r="Q162" i="2" s="1"/>
  <c r="P257" i="2"/>
  <c r="Q257" i="2" s="1"/>
  <c r="P143" i="2"/>
  <c r="Q143" i="2" s="1"/>
  <c r="P60" i="2"/>
  <c r="Q60" i="2" s="1"/>
  <c r="P256" i="2"/>
  <c r="Q256" i="2" s="1"/>
  <c r="P70" i="2"/>
  <c r="Q70" i="2" s="1"/>
  <c r="P117" i="2"/>
  <c r="Q117" i="2" s="1"/>
  <c r="P29" i="2"/>
  <c r="Q29" i="2" s="1"/>
  <c r="P185" i="2"/>
  <c r="Q185" i="2" s="1"/>
  <c r="P17" i="2"/>
  <c r="Q17" i="2" s="1"/>
  <c r="P207" i="2"/>
  <c r="Q207" i="2" s="1"/>
  <c r="Y198" i="2"/>
  <c r="P232" i="2"/>
  <c r="Q232" i="2" s="1"/>
  <c r="Y128" i="2"/>
  <c r="P129" i="2"/>
  <c r="Q129" i="2" s="1"/>
  <c r="Y162" i="2"/>
  <c r="Y319" i="2"/>
  <c r="P241" i="2"/>
  <c r="Q241" i="2" s="1"/>
  <c r="P79" i="2"/>
  <c r="Q79" i="2" s="1"/>
  <c r="P223" i="2"/>
  <c r="Q223" i="2" s="1"/>
  <c r="P217" i="2"/>
  <c r="Q217" i="2" s="1"/>
  <c r="P172" i="2"/>
  <c r="Q172" i="2" s="1"/>
  <c r="P245" i="2"/>
  <c r="Q245" i="2" s="1"/>
  <c r="P38" i="2"/>
  <c r="Q38" i="2" s="1"/>
  <c r="P377" i="2"/>
  <c r="Q377" i="2" s="1"/>
  <c r="P105" i="2"/>
  <c r="Q105" i="2" s="1"/>
  <c r="P52" i="2"/>
  <c r="Q52" i="2" s="1"/>
  <c r="P290" i="2"/>
  <c r="Q290" i="2" s="1"/>
  <c r="Y219" i="2"/>
  <c r="P242" i="2"/>
  <c r="Q242" i="2" s="1"/>
  <c r="P235" i="2"/>
  <c r="Q235" i="2" s="1"/>
  <c r="P222" i="2"/>
  <c r="Q222" i="2" s="1"/>
  <c r="P132" i="2"/>
  <c r="Q132" i="2" s="1"/>
  <c r="P225" i="2"/>
  <c r="Q225" i="2" s="1"/>
  <c r="P49" i="2"/>
  <c r="Q49" i="2" s="1"/>
  <c r="P193" i="2"/>
  <c r="Q193" i="2" s="1"/>
  <c r="P170" i="2"/>
  <c r="Q170" i="2" s="1"/>
  <c r="Y333" i="2"/>
  <c r="P144" i="2"/>
  <c r="Q144" i="2" s="1"/>
  <c r="P92" i="2"/>
  <c r="Q92" i="2" s="1"/>
  <c r="P19" i="2"/>
  <c r="Q19" i="2" s="1"/>
  <c r="P246" i="2"/>
  <c r="Q246" i="2" s="1"/>
  <c r="P168" i="2"/>
  <c r="Q168" i="2" s="1"/>
  <c r="P186" i="2"/>
  <c r="Q186" i="2" s="1"/>
  <c r="P334" i="2"/>
  <c r="Q334" i="2" s="1"/>
  <c r="P104" i="2"/>
  <c r="Q104" i="2" s="1"/>
  <c r="P165" i="2"/>
  <c r="Q165" i="2" s="1"/>
  <c r="Y178" i="2"/>
  <c r="P134" i="2"/>
  <c r="Q134" i="2" s="1"/>
  <c r="Y296" i="2"/>
  <c r="P229" i="2"/>
  <c r="Q229" i="2" s="1"/>
  <c r="P283" i="2"/>
  <c r="Q283" i="2" s="1"/>
  <c r="P329" i="2"/>
  <c r="Q329" i="2" s="1"/>
  <c r="P239" i="2"/>
  <c r="Q239" i="2" s="1"/>
  <c r="P197" i="2"/>
  <c r="Q197" i="2" s="1"/>
  <c r="P131" i="2"/>
  <c r="Q131" i="2" s="1"/>
  <c r="P270" i="2"/>
  <c r="Q270" i="2" s="1"/>
  <c r="P215" i="2"/>
  <c r="Q215" i="2" s="1"/>
  <c r="P98" i="2"/>
  <c r="Q98" i="2" s="1"/>
  <c r="P71" i="2"/>
  <c r="Q71" i="2" s="1"/>
  <c r="P255" i="2"/>
  <c r="Q255" i="2" s="1"/>
  <c r="P337" i="2"/>
  <c r="Q337" i="2" s="1"/>
  <c r="P323" i="2"/>
  <c r="Q323" i="2" s="1"/>
  <c r="P266" i="2"/>
  <c r="Q266" i="2" s="1"/>
  <c r="P224" i="2"/>
  <c r="Q224" i="2" s="1"/>
  <c r="P156" i="2"/>
  <c r="Q156" i="2" s="1"/>
  <c r="P203" i="2"/>
  <c r="Q203" i="2" s="1"/>
  <c r="P303" i="2"/>
  <c r="Q303" i="2" s="1"/>
  <c r="Y121" i="2"/>
  <c r="P281" i="2"/>
  <c r="Q281" i="2" s="1"/>
  <c r="P83" i="2"/>
  <c r="Q83" i="2" s="1"/>
  <c r="P244" i="2"/>
  <c r="Q244" i="2" s="1"/>
  <c r="P44" i="2"/>
  <c r="Q44" i="2" s="1"/>
  <c r="P218" i="2"/>
  <c r="Q218" i="2" s="1"/>
  <c r="P312" i="2"/>
  <c r="Q312" i="2" s="1"/>
  <c r="P127" i="2"/>
  <c r="Q127" i="2" s="1"/>
  <c r="P142" i="2"/>
  <c r="Q142" i="2" s="1"/>
  <c r="P319" i="2"/>
  <c r="Q319" i="2" s="1"/>
  <c r="P21" i="2"/>
  <c r="Q21" i="2" s="1"/>
  <c r="P340" i="2"/>
  <c r="Q340" i="2" s="1"/>
  <c r="P202" i="2"/>
  <c r="Q202" i="2" s="1"/>
  <c r="P247" i="2"/>
  <c r="Q247" i="2" s="1"/>
  <c r="P200" i="2"/>
  <c r="Q200" i="2" s="1"/>
  <c r="P124" i="2"/>
  <c r="Q124" i="2" s="1"/>
  <c r="P260" i="2"/>
  <c r="Q260" i="2" s="1"/>
  <c r="Y280" i="2"/>
  <c r="P151" i="2"/>
  <c r="Q151" i="2" s="1"/>
  <c r="P145" i="2"/>
  <c r="Q145" i="2" s="1"/>
  <c r="P54" i="2"/>
  <c r="Q54" i="2" s="1"/>
  <c r="Y214" i="2"/>
  <c r="P91" i="2"/>
  <c r="Q91" i="2" s="1"/>
  <c r="P171" i="2"/>
  <c r="Q171" i="2" s="1"/>
  <c r="P149" i="2"/>
  <c r="Q149" i="2" s="1"/>
  <c r="P61" i="2"/>
  <c r="Q61" i="2" s="1"/>
  <c r="P66" i="2"/>
  <c r="Q66" i="2" s="1"/>
  <c r="P176" i="2"/>
  <c r="Q176" i="2" s="1"/>
  <c r="P158" i="2"/>
  <c r="Q158" i="2" s="1"/>
  <c r="P51" i="2"/>
  <c r="Q51" i="2" s="1"/>
  <c r="P353" i="2"/>
  <c r="Q353" i="2" s="1"/>
  <c r="P47" i="2"/>
  <c r="Q47" i="2" s="1"/>
  <c r="P210" i="2"/>
  <c r="Q210" i="2" s="1"/>
  <c r="P31" i="2"/>
  <c r="Q31" i="2" s="1"/>
  <c r="P59" i="2"/>
  <c r="Q59" i="2" s="1"/>
  <c r="P214" i="2"/>
  <c r="Q214" i="2" s="1"/>
  <c r="Y131" i="2"/>
  <c r="Y270" i="2"/>
  <c r="P363" i="2"/>
  <c r="Q363" i="2" s="1"/>
  <c r="P234" i="2"/>
  <c r="Q234" i="2" s="1"/>
  <c r="P206" i="2"/>
  <c r="Q206" i="2" s="1"/>
  <c r="P30" i="2"/>
  <c r="Q30" i="2" s="1"/>
  <c r="P184" i="2"/>
  <c r="Q184" i="2" s="1"/>
  <c r="P107" i="2"/>
  <c r="Q107" i="2" s="1"/>
  <c r="Y346" i="2"/>
  <c r="P89" i="2"/>
  <c r="Q89" i="2" s="1"/>
  <c r="P43" i="2"/>
  <c r="Q43" i="2" s="1"/>
  <c r="Y159" i="2"/>
  <c r="P251" i="2"/>
  <c r="Q251" i="2" s="1"/>
  <c r="P169" i="2"/>
  <c r="Q169" i="2" s="1"/>
  <c r="P113" i="2"/>
  <c r="Q113" i="2" s="1"/>
  <c r="P227" i="2"/>
  <c r="Q227" i="2" s="1"/>
  <c r="P221" i="2"/>
  <c r="Q221" i="2" s="1"/>
  <c r="P69" i="2"/>
  <c r="Q69" i="2" s="1"/>
  <c r="P192" i="2"/>
  <c r="Q192" i="2" s="1"/>
  <c r="P325" i="2"/>
  <c r="Q325" i="2" s="1"/>
  <c r="P109" i="2"/>
  <c r="Q109" i="2" s="1"/>
  <c r="P297" i="2"/>
  <c r="Q297" i="2" s="1"/>
  <c r="P253" i="2"/>
  <c r="Q253" i="2" s="1"/>
  <c r="P45" i="2"/>
  <c r="Q45" i="2" s="1"/>
  <c r="P36" i="2"/>
  <c r="Q36" i="2" s="1"/>
  <c r="P300" i="2"/>
  <c r="Q300" i="2" s="1"/>
  <c r="Y295" i="2"/>
  <c r="P74" i="2"/>
  <c r="Q74" i="2" s="1"/>
  <c r="P33" i="2"/>
  <c r="Q33" i="2" s="1"/>
  <c r="P288" i="2"/>
  <c r="Q288" i="2" s="1"/>
  <c r="P279" i="2"/>
  <c r="Q279" i="2" s="1"/>
  <c r="Y269" i="2"/>
  <c r="P190" i="2"/>
  <c r="Q190" i="2" s="1"/>
  <c r="P310" i="2"/>
  <c r="Q310" i="2" s="1"/>
  <c r="P205" i="2"/>
  <c r="Q205" i="2" s="1"/>
  <c r="P68" i="2"/>
  <c r="Q68" i="2" s="1"/>
  <c r="P99" i="2"/>
  <c r="Q99" i="2" s="1"/>
  <c r="P308" i="2"/>
  <c r="Q308" i="2" s="1"/>
  <c r="P22" i="2"/>
  <c r="Q22" i="2" s="1"/>
  <c r="P358" i="2"/>
  <c r="Q358" i="2" s="1"/>
  <c r="Y16" i="2"/>
  <c r="P116" i="2"/>
  <c r="Q116" i="2" s="1"/>
  <c r="P50" i="2"/>
  <c r="Q50" i="2" s="1"/>
  <c r="P292" i="2"/>
  <c r="Q292" i="2" s="1"/>
  <c r="P277" i="2"/>
  <c r="Q277" i="2" s="1"/>
  <c r="P209" i="2"/>
  <c r="Q209" i="2" s="1"/>
  <c r="P160" i="2"/>
  <c r="Q160" i="2" s="1"/>
  <c r="P313" i="2"/>
  <c r="Q313" i="2" s="1"/>
  <c r="P126" i="2"/>
  <c r="Q126" i="2" s="1"/>
  <c r="P311" i="2"/>
  <c r="Q311" i="2" s="1"/>
  <c r="P53" i="2"/>
  <c r="Q53" i="2" s="1"/>
  <c r="P182" i="2"/>
  <c r="Q182" i="2" s="1"/>
  <c r="Y183" i="2"/>
  <c r="Y145" i="2"/>
  <c r="Y195" i="2"/>
  <c r="Y179" i="2"/>
  <c r="P88" i="2"/>
  <c r="Q88" i="2" s="1"/>
  <c r="P136" i="2"/>
  <c r="Q136" i="2" s="1"/>
  <c r="Y240" i="2"/>
  <c r="P24" i="2"/>
  <c r="Q24" i="2" s="1"/>
  <c r="P258" i="2"/>
  <c r="Q258" i="2" s="1"/>
  <c r="P177" i="2"/>
  <c r="Q177" i="2" s="1"/>
  <c r="P263" i="2"/>
  <c r="Q263" i="2" s="1"/>
  <c r="P317" i="2"/>
  <c r="Q317" i="2" s="1"/>
  <c r="P271" i="2"/>
  <c r="Q271" i="2" s="1"/>
  <c r="P349" i="2"/>
  <c r="Q349" i="2" s="1"/>
  <c r="P280" i="2"/>
  <c r="Q280" i="2" s="1"/>
  <c r="P372" i="2"/>
  <c r="Q372" i="2" s="1"/>
  <c r="P330" i="2"/>
  <c r="Q330" i="2" s="1"/>
  <c r="P324" i="2"/>
  <c r="Q324" i="2" s="1"/>
  <c r="P194" i="2"/>
  <c r="Q194" i="2" s="1"/>
  <c r="P204" i="2"/>
  <c r="Q204" i="2" s="1"/>
  <c r="P106" i="2"/>
  <c r="Q106" i="2" s="1"/>
  <c r="P240" i="2"/>
  <c r="Q240" i="2" s="1"/>
  <c r="P35" i="2"/>
  <c r="Q35" i="2" s="1"/>
  <c r="P295" i="2"/>
  <c r="Q295" i="2" s="1"/>
  <c r="P278" i="2"/>
  <c r="Q278" i="2" s="1"/>
  <c r="P121" i="2"/>
  <c r="Q121" i="2" s="1"/>
  <c r="P140" i="2"/>
  <c r="Q140" i="2" s="1"/>
  <c r="Y181" i="2"/>
  <c r="P76" i="2"/>
  <c r="Q76" i="2" s="1"/>
  <c r="P259" i="2"/>
  <c r="Q259" i="2" s="1"/>
  <c r="P42" i="2"/>
  <c r="Q42" i="2" s="1"/>
  <c r="P135" i="2"/>
  <c r="Q135" i="2" s="1"/>
  <c r="P179" i="2"/>
  <c r="Q179" i="2" s="1"/>
  <c r="P373" i="2"/>
  <c r="Q373" i="2" s="1"/>
  <c r="P327" i="2"/>
  <c r="Q327" i="2" s="1"/>
  <c r="P285" i="2"/>
  <c r="Q285" i="2" s="1"/>
  <c r="P211" i="2"/>
  <c r="Q211" i="2" s="1"/>
  <c r="P376" i="2"/>
  <c r="Q376" i="2" s="1"/>
  <c r="P367" i="2"/>
  <c r="Q367" i="2" s="1"/>
  <c r="Y245" i="2"/>
  <c r="P354" i="2"/>
  <c r="Q354" i="2" s="1"/>
  <c r="P360" i="2"/>
  <c r="Q360" i="2" s="1"/>
  <c r="P357" i="2"/>
  <c r="Q357" i="2" s="1"/>
  <c r="P287" i="2"/>
  <c r="Q287" i="2" s="1"/>
  <c r="P85" i="2"/>
  <c r="Q85" i="2" s="1"/>
  <c r="P335" i="2"/>
  <c r="Q335" i="2" s="1"/>
  <c r="P365" i="2"/>
  <c r="Q365" i="2" s="1"/>
  <c r="P356" i="2"/>
  <c r="Q356" i="2" s="1"/>
  <c r="P41" i="2"/>
  <c r="Q41" i="2" s="1"/>
  <c r="P350" i="2"/>
  <c r="Q350" i="2" s="1"/>
  <c r="P100" i="2"/>
  <c r="Q100" i="2" s="1"/>
  <c r="P345" i="2"/>
  <c r="Q345" i="2" s="1"/>
  <c r="P34" i="2"/>
  <c r="Q34" i="2" s="1"/>
  <c r="P152" i="2"/>
  <c r="Q152" i="2" s="1"/>
  <c r="P320" i="2"/>
  <c r="Q320" i="2" s="1"/>
  <c r="P366" i="2"/>
  <c r="Q366" i="2" s="1"/>
  <c r="Y257" i="2"/>
  <c r="P342" i="2"/>
  <c r="Q342" i="2" s="1"/>
  <c r="P301" i="2"/>
  <c r="Q301" i="2" s="1"/>
  <c r="P119" i="2"/>
  <c r="Q119" i="2" s="1"/>
  <c r="P296" i="2"/>
  <c r="Q296" i="2" s="1"/>
  <c r="P326" i="2"/>
  <c r="Q326" i="2" s="1"/>
  <c r="P189" i="2"/>
  <c r="Q189" i="2" s="1"/>
  <c r="P359" i="2"/>
  <c r="Q359" i="2" s="1"/>
  <c r="P328" i="2"/>
  <c r="Q328" i="2" s="1"/>
  <c r="P293" i="2"/>
  <c r="Q293" i="2" s="1"/>
  <c r="P378" i="2"/>
  <c r="Q378" i="2" s="1"/>
  <c r="P26" i="2"/>
  <c r="Q26" i="2" s="1"/>
  <c r="P262" i="2"/>
  <c r="Q262" i="2" s="1"/>
  <c r="P379" i="2"/>
  <c r="Q379" i="2" s="1"/>
  <c r="P27" i="2"/>
  <c r="Q27" i="2" s="1"/>
  <c r="P63" i="2"/>
  <c r="Q63" i="2" s="1"/>
  <c r="P108" i="2"/>
  <c r="Q108" i="2" s="1"/>
  <c r="Y149" i="2"/>
  <c r="P339" i="2"/>
  <c r="Q339" i="2" s="1"/>
  <c r="P226" i="2"/>
  <c r="Q226" i="2" s="1"/>
  <c r="P67" i="2"/>
  <c r="Q67" i="2" s="1"/>
  <c r="Q7" i="2" l="1"/>
  <c r="Z16" i="2"/>
  <c r="Y4" i="2"/>
  <c r="Y7" i="2"/>
  <c r="P4" i="2"/>
  <c r="P7" i="2"/>
  <c r="T7" i="2" l="1"/>
  <c r="B32" i="2" s="1"/>
  <c r="AA16" i="2"/>
  <c r="T371" i="2"/>
  <c r="T94" i="2"/>
  <c r="T220" i="2"/>
  <c r="T238" i="2"/>
  <c r="T275" i="2"/>
  <c r="T299" i="2"/>
  <c r="T309" i="2"/>
  <c r="T283" i="2"/>
  <c r="T363" i="2"/>
  <c r="T364" i="2"/>
  <c r="T101" i="2"/>
  <c r="T252" i="2"/>
  <c r="T188" i="2"/>
  <c r="T250" i="2"/>
  <c r="T96" i="2"/>
  <c r="T291" i="2"/>
  <c r="T328" i="2"/>
  <c r="T160" i="2"/>
  <c r="T373" i="2"/>
  <c r="T128" i="2"/>
  <c r="T135" i="2"/>
  <c r="T375" i="2"/>
  <c r="T126" i="2"/>
  <c r="T272" i="2"/>
  <c r="T282" i="2"/>
  <c r="T192" i="2"/>
  <c r="T369" i="2"/>
  <c r="T149" i="2"/>
  <c r="T341" i="2"/>
  <c r="T77" i="2"/>
  <c r="T145" i="2"/>
  <c r="T20" i="2"/>
  <c r="T93" i="2"/>
  <c r="T80" i="2"/>
  <c r="T236" i="2"/>
  <c r="T185" i="2"/>
  <c r="T166" i="2"/>
  <c r="T280" i="2"/>
  <c r="T347" i="2"/>
  <c r="T365" i="2"/>
  <c r="T256" i="2"/>
  <c r="T258" i="2"/>
  <c r="T346" i="2"/>
  <c r="T112" i="2"/>
  <c r="T116" i="2"/>
  <c r="T370" i="2"/>
  <c r="T68" i="2"/>
  <c r="T47" i="2"/>
  <c r="T227" i="2"/>
  <c r="T181" i="2"/>
  <c r="T257" i="2"/>
  <c r="T331" i="2"/>
  <c r="T136" i="2"/>
  <c r="T318" i="2"/>
  <c r="T355" i="2"/>
  <c r="T141" i="2"/>
  <c r="T377" i="2"/>
  <c r="T82" i="2"/>
  <c r="T35" i="2"/>
  <c r="T231" i="2"/>
  <c r="T103" i="2"/>
  <c r="T223" i="2"/>
  <c r="T278" i="2"/>
  <c r="T233" i="2"/>
  <c r="T232" i="2"/>
  <c r="T311" i="2"/>
  <c r="T194" i="2"/>
  <c r="T286" i="2"/>
  <c r="T234" i="2"/>
  <c r="T267" i="2"/>
  <c r="T265" i="2"/>
  <c r="T230" i="2"/>
  <c r="T198" i="2"/>
  <c r="T150" i="2"/>
  <c r="T345" i="2"/>
  <c r="T110" i="2"/>
  <c r="T132" i="2"/>
  <c r="T240" i="2"/>
  <c r="T322" i="2"/>
  <c r="T367" i="2"/>
  <c r="T343" i="2"/>
  <c r="T302" i="2"/>
  <c r="T71" i="2"/>
  <c r="T354" i="2"/>
  <c r="T274" i="2"/>
  <c r="T217" i="2"/>
  <c r="T324" i="2"/>
  <c r="T350" i="2"/>
  <c r="T25" i="2"/>
  <c r="T172" i="2"/>
  <c r="T325" i="2"/>
  <c r="T140" i="2"/>
  <c r="T290" i="2"/>
  <c r="T45" i="2"/>
  <c r="T327" i="2"/>
  <c r="T121" i="2"/>
  <c r="T173" i="2"/>
  <c r="T315" i="2"/>
  <c r="T92" i="2"/>
  <c r="T352" i="2"/>
  <c r="T213" i="2"/>
  <c r="T151" i="2"/>
  <c r="T73" i="2"/>
  <c r="T134" i="2"/>
  <c r="T259" i="2"/>
  <c r="T284" i="2"/>
  <c r="T176" i="2"/>
  <c r="T326" i="2"/>
  <c r="T228" i="2"/>
  <c r="T86" i="2"/>
  <c r="T303" i="2"/>
  <c r="T366" i="2"/>
  <c r="T249" i="2"/>
  <c r="T329" i="2"/>
  <c r="T360" i="2"/>
  <c r="T18" i="2"/>
  <c r="T293" i="2"/>
  <c r="T28" i="2"/>
  <c r="T224" i="2"/>
  <c r="T320" i="2"/>
  <c r="T153" i="2"/>
  <c r="T131" i="2"/>
  <c r="T138" i="2"/>
  <c r="T332" i="2"/>
  <c r="T344" i="2"/>
  <c r="T144" i="2"/>
  <c r="T23" i="2"/>
  <c r="T270" i="2"/>
  <c r="T376" i="2"/>
  <c r="T219" i="2"/>
  <c r="T214" i="2"/>
  <c r="T379" i="2"/>
  <c r="T102" i="2"/>
  <c r="T276" i="2"/>
  <c r="T312" i="2"/>
  <c r="T359" i="2"/>
  <c r="T361" i="2"/>
  <c r="T127" i="2"/>
  <c r="T201" i="2"/>
  <c r="T239" i="2"/>
  <c r="T170" i="2"/>
  <c r="T34" i="2"/>
  <c r="T356" i="2"/>
  <c r="T202" i="2"/>
  <c r="T298" i="2"/>
  <c r="T159" i="2"/>
  <c r="T118" i="2"/>
  <c r="T48" i="2"/>
  <c r="T208" i="2"/>
  <c r="T340" i="2"/>
  <c r="T85" i="2"/>
  <c r="T107" i="2"/>
  <c r="T27" i="2"/>
  <c r="T333" i="2"/>
  <c r="T200" i="2"/>
  <c r="T380" i="2"/>
  <c r="T195" i="2"/>
  <c r="T171" i="2"/>
  <c r="T142" i="2"/>
  <c r="T97" i="2"/>
  <c r="T193" i="2"/>
  <c r="T81" i="2"/>
  <c r="T186" i="2"/>
  <c r="T335" i="2"/>
  <c r="T296" i="2"/>
  <c r="T139" i="2"/>
  <c r="T374" i="2"/>
  <c r="T87" i="2"/>
  <c r="T133" i="2"/>
  <c r="T111" i="2"/>
  <c r="T262" i="2"/>
  <c r="T358" i="2"/>
  <c r="T67" i="2"/>
  <c r="T295" i="2"/>
  <c r="T175" i="2"/>
  <c r="T310" i="2"/>
  <c r="T191" i="2"/>
  <c r="T37" i="2"/>
  <c r="T43" i="2"/>
  <c r="T260" i="2"/>
  <c r="T122" i="2"/>
  <c r="T215" i="2"/>
  <c r="T84" i="2"/>
  <c r="T253" i="2"/>
  <c r="T323" i="2"/>
  <c r="T321" i="2"/>
  <c r="T117" i="2"/>
  <c r="T292" i="2"/>
  <c r="T237" i="2"/>
  <c r="T266" i="2"/>
  <c r="T106" i="2"/>
  <c r="T279" i="2"/>
  <c r="T225" i="2"/>
  <c r="T98" i="2"/>
  <c r="T289" i="2"/>
  <c r="T229" i="2"/>
  <c r="T33" i="2"/>
  <c r="T113" i="2"/>
  <c r="T197" i="2"/>
  <c r="T243" i="2"/>
  <c r="T137" i="2"/>
  <c r="T95" i="2"/>
  <c r="T164" i="2"/>
  <c r="T221" i="2"/>
  <c r="T76" i="2"/>
  <c r="T125" i="2"/>
  <c r="T245" i="2"/>
  <c r="T287" i="2"/>
  <c r="T21" i="2"/>
  <c r="T44" i="2"/>
  <c r="T218" i="2"/>
  <c r="T167" i="2"/>
  <c r="T157" i="2"/>
  <c r="T222" i="2"/>
  <c r="T105" i="2"/>
  <c r="T115" i="2"/>
  <c r="T109" i="2"/>
  <c r="T75" i="2"/>
  <c r="T40" i="2"/>
  <c r="T235" i="2"/>
  <c r="T301" i="2"/>
  <c r="T32" i="2"/>
  <c r="T26" i="2"/>
  <c r="T247" i="2"/>
  <c r="T169" i="2"/>
  <c r="T22" i="2"/>
  <c r="T211" i="2"/>
  <c r="T38" i="2"/>
  <c r="T189" i="2"/>
  <c r="T304" i="2"/>
  <c r="T31" i="2"/>
  <c r="T216" i="2"/>
  <c r="T158" i="2"/>
  <c r="T162" i="2"/>
  <c r="T308" i="2"/>
  <c r="T147" i="2"/>
  <c r="T99" i="2"/>
  <c r="T207" i="2"/>
  <c r="T120" i="2"/>
  <c r="T261" i="2"/>
  <c r="T36" i="2"/>
  <c r="T294" i="2"/>
  <c r="T362" i="2"/>
  <c r="T165" i="2"/>
  <c r="T90" i="2"/>
  <c r="T148" i="2"/>
  <c r="T30" i="2"/>
  <c r="T183" i="2"/>
  <c r="T269" i="2"/>
  <c r="T313" i="2"/>
  <c r="T72" i="2"/>
  <c r="T271" i="2"/>
  <c r="T114" i="2"/>
  <c r="T206" i="2"/>
  <c r="T307" i="2"/>
  <c r="T174" i="2"/>
  <c r="T288" i="2"/>
  <c r="T123" i="2"/>
  <c r="T66" i="2"/>
  <c r="T143" i="2"/>
  <c r="T180" i="2"/>
  <c r="T264" i="2"/>
  <c r="Y5" i="2"/>
  <c r="P5" i="2"/>
  <c r="X17" i="2" l="1"/>
  <c r="X73" i="2"/>
  <c r="Z73" i="2" s="1"/>
  <c r="AA73" i="2" s="1"/>
  <c r="X105" i="2"/>
  <c r="Z105" i="2" s="1"/>
  <c r="AA105" i="2" s="1"/>
  <c r="X121" i="2"/>
  <c r="Z121" i="2" s="1"/>
  <c r="AA121" i="2" s="1"/>
  <c r="X137" i="2"/>
  <c r="Z137" i="2" s="1"/>
  <c r="AA137" i="2" s="1"/>
  <c r="X153" i="2"/>
  <c r="Z153" i="2" s="1"/>
  <c r="AA153" i="2" s="1"/>
  <c r="X169" i="2"/>
  <c r="Z169" i="2" s="1"/>
  <c r="AA169" i="2" s="1"/>
  <c r="X185" i="2"/>
  <c r="Z185" i="2" s="1"/>
  <c r="AA185" i="2" s="1"/>
  <c r="X201" i="2"/>
  <c r="Z201" i="2" s="1"/>
  <c r="AA201" i="2" s="1"/>
  <c r="X217" i="2"/>
  <c r="Z217" i="2" s="1"/>
  <c r="AA217" i="2" s="1"/>
  <c r="X233" i="2"/>
  <c r="Z233" i="2" s="1"/>
  <c r="AA233" i="2" s="1"/>
  <c r="X249" i="2"/>
  <c r="Z249" i="2" s="1"/>
  <c r="AA249" i="2" s="1"/>
  <c r="X265" i="2"/>
  <c r="Z265" i="2" s="1"/>
  <c r="AA265" i="2" s="1"/>
  <c r="X281" i="2"/>
  <c r="Z281" i="2" s="1"/>
  <c r="AA281" i="2" s="1"/>
  <c r="X297" i="2"/>
  <c r="Z297" i="2" s="1"/>
  <c r="AA297" i="2" s="1"/>
  <c r="X321" i="2"/>
  <c r="Z321" i="2" s="1"/>
  <c r="AA321" i="2" s="1"/>
  <c r="X337" i="2"/>
  <c r="Z337" i="2" s="1"/>
  <c r="AA337" i="2" s="1"/>
  <c r="X353" i="2"/>
  <c r="Z353" i="2" s="1"/>
  <c r="AA353" i="2" s="1"/>
  <c r="X369" i="2"/>
  <c r="Z369" i="2" s="1"/>
  <c r="AA369" i="2" s="1"/>
  <c r="X19" i="2"/>
  <c r="Z19" i="2" s="1"/>
  <c r="AA19" i="2" s="1"/>
  <c r="X27" i="2"/>
  <c r="Z27" i="2" s="1"/>
  <c r="AA27" i="2" s="1"/>
  <c r="X35" i="2"/>
  <c r="Z35" i="2" s="1"/>
  <c r="AA35" i="2" s="1"/>
  <c r="X43" i="2"/>
  <c r="Z43" i="2" s="1"/>
  <c r="AA43" i="2" s="1"/>
  <c r="X29" i="2"/>
  <c r="Z29" i="2" s="1"/>
  <c r="AA29" i="2" s="1"/>
  <c r="X37" i="2"/>
  <c r="Z37" i="2" s="1"/>
  <c r="AA37" i="2" s="1"/>
  <c r="X45" i="2"/>
  <c r="Z45" i="2" s="1"/>
  <c r="AA45" i="2" s="1"/>
  <c r="X53" i="2"/>
  <c r="Z53" i="2" s="1"/>
  <c r="AA53" i="2" s="1"/>
  <c r="X61" i="2"/>
  <c r="Z61" i="2" s="1"/>
  <c r="AA61" i="2" s="1"/>
  <c r="X69" i="2"/>
  <c r="Z69" i="2" s="1"/>
  <c r="AA69" i="2" s="1"/>
  <c r="X77" i="2"/>
  <c r="Z77" i="2" s="1"/>
  <c r="AA77" i="2" s="1"/>
  <c r="X85" i="2"/>
  <c r="Z85" i="2" s="1"/>
  <c r="AA85" i="2" s="1"/>
  <c r="X93" i="2"/>
  <c r="Z93" i="2" s="1"/>
  <c r="AA93" i="2" s="1"/>
  <c r="X101" i="2"/>
  <c r="Z101" i="2" s="1"/>
  <c r="AA101" i="2" s="1"/>
  <c r="X109" i="2"/>
  <c r="Z109" i="2" s="1"/>
  <c r="AA109" i="2" s="1"/>
  <c r="X117" i="2"/>
  <c r="Z117" i="2" s="1"/>
  <c r="AA117" i="2" s="1"/>
  <c r="X125" i="2"/>
  <c r="Z125" i="2" s="1"/>
  <c r="AA125" i="2" s="1"/>
  <c r="X133" i="2"/>
  <c r="Z133" i="2" s="1"/>
  <c r="AA133" i="2" s="1"/>
  <c r="X149" i="2"/>
  <c r="Z149" i="2" s="1"/>
  <c r="AA149" i="2" s="1"/>
  <c r="X21" i="2"/>
  <c r="Z21" i="2" s="1"/>
  <c r="AA21" i="2" s="1"/>
  <c r="X23" i="2"/>
  <c r="Z23" i="2" s="1"/>
  <c r="AA23" i="2" s="1"/>
  <c r="X31" i="2"/>
  <c r="Z31" i="2" s="1"/>
  <c r="AA31" i="2" s="1"/>
  <c r="X39" i="2"/>
  <c r="Z39" i="2" s="1"/>
  <c r="AA39" i="2" s="1"/>
  <c r="X47" i="2"/>
  <c r="Z47" i="2" s="1"/>
  <c r="AA47" i="2" s="1"/>
  <c r="X55" i="2"/>
  <c r="Z55" i="2" s="1"/>
  <c r="AA55" i="2" s="1"/>
  <c r="X63" i="2"/>
  <c r="Z63" i="2" s="1"/>
  <c r="AA63" i="2" s="1"/>
  <c r="X71" i="2"/>
  <c r="Z71" i="2" s="1"/>
  <c r="AA71" i="2" s="1"/>
  <c r="X79" i="2"/>
  <c r="Z79" i="2" s="1"/>
  <c r="AA79" i="2" s="1"/>
  <c r="X87" i="2"/>
  <c r="Z87" i="2" s="1"/>
  <c r="AA87" i="2" s="1"/>
  <c r="X95" i="2"/>
  <c r="Z95" i="2" s="1"/>
  <c r="AA95" i="2" s="1"/>
  <c r="X103" i="2"/>
  <c r="Z103" i="2" s="1"/>
  <c r="AA103" i="2" s="1"/>
  <c r="X111" i="2"/>
  <c r="Z111" i="2" s="1"/>
  <c r="AA111" i="2" s="1"/>
  <c r="X119" i="2"/>
  <c r="Z119" i="2" s="1"/>
  <c r="AA119" i="2" s="1"/>
  <c r="X127" i="2"/>
  <c r="Z127" i="2" s="1"/>
  <c r="AA127" i="2" s="1"/>
  <c r="X135" i="2"/>
  <c r="Z135" i="2" s="1"/>
  <c r="AA135" i="2" s="1"/>
  <c r="X143" i="2"/>
  <c r="Z143" i="2" s="1"/>
  <c r="AA143" i="2" s="1"/>
  <c r="X151" i="2"/>
  <c r="Z151" i="2" s="1"/>
  <c r="AA151" i="2" s="1"/>
  <c r="X159" i="2"/>
  <c r="Z159" i="2" s="1"/>
  <c r="AA159" i="2" s="1"/>
  <c r="X167" i="2"/>
  <c r="Z167" i="2" s="1"/>
  <c r="AA167" i="2" s="1"/>
  <c r="X175" i="2"/>
  <c r="Z175" i="2" s="1"/>
  <c r="AA175" i="2" s="1"/>
  <c r="X183" i="2"/>
  <c r="Z183" i="2" s="1"/>
  <c r="AA183" i="2" s="1"/>
  <c r="X191" i="2"/>
  <c r="Z191" i="2" s="1"/>
  <c r="AA191" i="2" s="1"/>
  <c r="X199" i="2"/>
  <c r="Z199" i="2" s="1"/>
  <c r="AA199" i="2" s="1"/>
  <c r="X207" i="2"/>
  <c r="Z207" i="2" s="1"/>
  <c r="AA207" i="2" s="1"/>
  <c r="X215" i="2"/>
  <c r="Z215" i="2" s="1"/>
  <c r="AA215" i="2" s="1"/>
  <c r="X223" i="2"/>
  <c r="Z223" i="2" s="1"/>
  <c r="AA223" i="2" s="1"/>
  <c r="X231" i="2"/>
  <c r="Z231" i="2" s="1"/>
  <c r="AA231" i="2" s="1"/>
  <c r="X239" i="2"/>
  <c r="Z239" i="2" s="1"/>
  <c r="AA239" i="2" s="1"/>
  <c r="X247" i="2"/>
  <c r="Z247" i="2" s="1"/>
  <c r="AA247" i="2" s="1"/>
  <c r="X255" i="2"/>
  <c r="Z255" i="2" s="1"/>
  <c r="AA255" i="2" s="1"/>
  <c r="X263" i="2"/>
  <c r="Z263" i="2" s="1"/>
  <c r="AA263" i="2" s="1"/>
  <c r="X271" i="2"/>
  <c r="Z271" i="2" s="1"/>
  <c r="AA271" i="2" s="1"/>
  <c r="X279" i="2"/>
  <c r="Z279" i="2" s="1"/>
  <c r="AA279" i="2" s="1"/>
  <c r="X287" i="2"/>
  <c r="Z287" i="2" s="1"/>
  <c r="AA287" i="2" s="1"/>
  <c r="X295" i="2"/>
  <c r="Z295" i="2" s="1"/>
  <c r="AA295" i="2" s="1"/>
  <c r="X303" i="2"/>
  <c r="Z303" i="2" s="1"/>
  <c r="AA303" i="2" s="1"/>
  <c r="X311" i="2"/>
  <c r="Z311" i="2" s="1"/>
  <c r="AA311" i="2" s="1"/>
  <c r="X319" i="2"/>
  <c r="Z319" i="2" s="1"/>
  <c r="AA319" i="2" s="1"/>
  <c r="X327" i="2"/>
  <c r="Z327" i="2" s="1"/>
  <c r="AA327" i="2" s="1"/>
  <c r="X335" i="2"/>
  <c r="Z335" i="2" s="1"/>
  <c r="AA335" i="2" s="1"/>
  <c r="X343" i="2"/>
  <c r="Z343" i="2" s="1"/>
  <c r="AA343" i="2" s="1"/>
  <c r="X351" i="2"/>
  <c r="Z351" i="2" s="1"/>
  <c r="AA351" i="2" s="1"/>
  <c r="X359" i="2"/>
  <c r="Z359" i="2" s="1"/>
  <c r="AA359" i="2" s="1"/>
  <c r="X25" i="2"/>
  <c r="Z25" i="2" s="1"/>
  <c r="AA25" i="2" s="1"/>
  <c r="X33" i="2"/>
  <c r="Z33" i="2" s="1"/>
  <c r="AA33" i="2" s="1"/>
  <c r="X41" i="2"/>
  <c r="Z41" i="2" s="1"/>
  <c r="AA41" i="2" s="1"/>
  <c r="X49" i="2"/>
  <c r="Z49" i="2" s="1"/>
  <c r="AA49" i="2" s="1"/>
  <c r="X57" i="2"/>
  <c r="Z57" i="2" s="1"/>
  <c r="AA57" i="2" s="1"/>
  <c r="X65" i="2"/>
  <c r="Z65" i="2" s="1"/>
  <c r="AA65" i="2" s="1"/>
  <c r="X81" i="2"/>
  <c r="Z81" i="2" s="1"/>
  <c r="AA81" i="2" s="1"/>
  <c r="X89" i="2"/>
  <c r="Z89" i="2" s="1"/>
  <c r="AA89" i="2" s="1"/>
  <c r="X97" i="2"/>
  <c r="Z97" i="2" s="1"/>
  <c r="AA97" i="2" s="1"/>
  <c r="X113" i="2"/>
  <c r="Z113" i="2" s="1"/>
  <c r="AA113" i="2" s="1"/>
  <c r="X129" i="2"/>
  <c r="Z129" i="2" s="1"/>
  <c r="AA129" i="2" s="1"/>
  <c r="X145" i="2"/>
  <c r="Z145" i="2" s="1"/>
  <c r="AA145" i="2" s="1"/>
  <c r="X161" i="2"/>
  <c r="Z161" i="2" s="1"/>
  <c r="AA161" i="2" s="1"/>
  <c r="X177" i="2"/>
  <c r="Z177" i="2" s="1"/>
  <c r="AA177" i="2" s="1"/>
  <c r="X193" i="2"/>
  <c r="Z193" i="2" s="1"/>
  <c r="AA193" i="2" s="1"/>
  <c r="X209" i="2"/>
  <c r="Z209" i="2" s="1"/>
  <c r="AA209" i="2" s="1"/>
  <c r="X225" i="2"/>
  <c r="Z225" i="2" s="1"/>
  <c r="AA225" i="2" s="1"/>
  <c r="X241" i="2"/>
  <c r="X257" i="2"/>
  <c r="Z257" i="2" s="1"/>
  <c r="AA257" i="2" s="1"/>
  <c r="X273" i="2"/>
  <c r="Z273" i="2" s="1"/>
  <c r="AA273" i="2" s="1"/>
  <c r="X289" i="2"/>
  <c r="Z289" i="2" s="1"/>
  <c r="AA289" i="2" s="1"/>
  <c r="X305" i="2"/>
  <c r="Z305" i="2" s="1"/>
  <c r="AA305" i="2" s="1"/>
  <c r="X313" i="2"/>
  <c r="Z313" i="2" s="1"/>
  <c r="AA313" i="2" s="1"/>
  <c r="X329" i="2"/>
  <c r="Z329" i="2" s="1"/>
  <c r="AA329" i="2" s="1"/>
  <c r="X345" i="2"/>
  <c r="Z345" i="2" s="1"/>
  <c r="AA345" i="2" s="1"/>
  <c r="X361" i="2"/>
  <c r="Z361" i="2" s="1"/>
  <c r="AA361" i="2" s="1"/>
  <c r="X377" i="2"/>
  <c r="Z377" i="2" s="1"/>
  <c r="AA377" i="2" s="1"/>
  <c r="X51" i="2"/>
  <c r="Z51" i="2" s="1"/>
  <c r="AA51" i="2" s="1"/>
  <c r="X115" i="2"/>
  <c r="Z115" i="2" s="1"/>
  <c r="AA115" i="2" s="1"/>
  <c r="X189" i="2"/>
  <c r="Z189" i="2" s="1"/>
  <c r="AA189" i="2" s="1"/>
  <c r="X211" i="2"/>
  <c r="Z211" i="2" s="1"/>
  <c r="AA211" i="2" s="1"/>
  <c r="X253" i="2"/>
  <c r="Z253" i="2" s="1"/>
  <c r="AA253" i="2" s="1"/>
  <c r="X275" i="2"/>
  <c r="Z275" i="2" s="1"/>
  <c r="AA275" i="2" s="1"/>
  <c r="X317" i="2"/>
  <c r="Z317" i="2" s="1"/>
  <c r="AA317" i="2" s="1"/>
  <c r="X339" i="2"/>
  <c r="Z339" i="2" s="1"/>
  <c r="AA339" i="2" s="1"/>
  <c r="X357" i="2"/>
  <c r="Z357" i="2" s="1"/>
  <c r="AA357" i="2" s="1"/>
  <c r="X371" i="2"/>
  <c r="Z371" i="2" s="1"/>
  <c r="AA371" i="2" s="1"/>
  <c r="X59" i="2"/>
  <c r="Z59" i="2" s="1"/>
  <c r="AA59" i="2" s="1"/>
  <c r="X147" i="2"/>
  <c r="Z147" i="2" s="1"/>
  <c r="AA147" i="2" s="1"/>
  <c r="X171" i="2"/>
  <c r="Z171" i="2" s="1"/>
  <c r="AA171" i="2" s="1"/>
  <c r="X213" i="2"/>
  <c r="Z213" i="2" s="1"/>
  <c r="AA213" i="2" s="1"/>
  <c r="X235" i="2"/>
  <c r="Z235" i="2" s="1"/>
  <c r="AA235" i="2" s="1"/>
  <c r="X277" i="2"/>
  <c r="Z277" i="2" s="1"/>
  <c r="AA277" i="2" s="1"/>
  <c r="X299" i="2"/>
  <c r="Z299" i="2" s="1"/>
  <c r="AA299" i="2" s="1"/>
  <c r="X341" i="2"/>
  <c r="Z341" i="2" s="1"/>
  <c r="AA341" i="2" s="1"/>
  <c r="X373" i="2"/>
  <c r="Z373" i="2" s="1"/>
  <c r="AA373" i="2" s="1"/>
  <c r="X365" i="2"/>
  <c r="Z365" i="2" s="1"/>
  <c r="AA365" i="2" s="1"/>
  <c r="X379" i="2"/>
  <c r="Z379" i="2" s="1"/>
  <c r="AA379" i="2" s="1"/>
  <c r="X67" i="2"/>
  <c r="Z67" i="2" s="1"/>
  <c r="AA67" i="2" s="1"/>
  <c r="X123" i="2"/>
  <c r="Z123" i="2" s="1"/>
  <c r="AA123" i="2" s="1"/>
  <c r="X173" i="2"/>
  <c r="Z173" i="2" s="1"/>
  <c r="AA173" i="2" s="1"/>
  <c r="X195" i="2"/>
  <c r="Z195" i="2" s="1"/>
  <c r="AA195" i="2" s="1"/>
  <c r="X237" i="2"/>
  <c r="Z237" i="2" s="1"/>
  <c r="AA237" i="2" s="1"/>
  <c r="X259" i="2"/>
  <c r="Z259" i="2" s="1"/>
  <c r="AA259" i="2" s="1"/>
  <c r="X301" i="2"/>
  <c r="Z301" i="2" s="1"/>
  <c r="AA301" i="2" s="1"/>
  <c r="X323" i="2"/>
  <c r="Z323" i="2" s="1"/>
  <c r="AA323" i="2" s="1"/>
  <c r="X363" i="2"/>
  <c r="Z363" i="2" s="1"/>
  <c r="AA363" i="2" s="1"/>
  <c r="X75" i="2"/>
  <c r="Z75" i="2" s="1"/>
  <c r="AA75" i="2" s="1"/>
  <c r="X155" i="2"/>
  <c r="Z155" i="2" s="1"/>
  <c r="AA155" i="2" s="1"/>
  <c r="X197" i="2"/>
  <c r="Z197" i="2" s="1"/>
  <c r="AA197" i="2" s="1"/>
  <c r="X219" i="2"/>
  <c r="Z219" i="2" s="1"/>
  <c r="AA219" i="2" s="1"/>
  <c r="X261" i="2"/>
  <c r="Z261" i="2" s="1"/>
  <c r="AA261" i="2" s="1"/>
  <c r="X283" i="2"/>
  <c r="Z283" i="2" s="1"/>
  <c r="AA283" i="2" s="1"/>
  <c r="X325" i="2"/>
  <c r="Z325" i="2" s="1"/>
  <c r="AA325" i="2" s="1"/>
  <c r="X347" i="2"/>
  <c r="Z347" i="2" s="1"/>
  <c r="AA347" i="2" s="1"/>
  <c r="X375" i="2"/>
  <c r="Z375" i="2" s="1"/>
  <c r="AA375" i="2" s="1"/>
  <c r="X83" i="2"/>
  <c r="Z83" i="2" s="1"/>
  <c r="AA83" i="2" s="1"/>
  <c r="X131" i="2"/>
  <c r="Z131" i="2" s="1"/>
  <c r="AA131" i="2" s="1"/>
  <c r="X157" i="2"/>
  <c r="Z157" i="2" s="1"/>
  <c r="AA157" i="2" s="1"/>
  <c r="X179" i="2"/>
  <c r="Z179" i="2" s="1"/>
  <c r="AA179" i="2" s="1"/>
  <c r="X221" i="2"/>
  <c r="Z221" i="2" s="1"/>
  <c r="AA221" i="2" s="1"/>
  <c r="X243" i="2"/>
  <c r="Z243" i="2" s="1"/>
  <c r="AA243" i="2" s="1"/>
  <c r="X285" i="2"/>
  <c r="Z285" i="2" s="1"/>
  <c r="AA285" i="2" s="1"/>
  <c r="X307" i="2"/>
  <c r="Z307" i="2" s="1"/>
  <c r="AA307" i="2" s="1"/>
  <c r="X349" i="2"/>
  <c r="Z349" i="2" s="1"/>
  <c r="AA349" i="2" s="1"/>
  <c r="X367" i="2"/>
  <c r="Z367" i="2" s="1"/>
  <c r="AA367" i="2" s="1"/>
  <c r="X91" i="2"/>
  <c r="Z91" i="2" s="1"/>
  <c r="AA91" i="2" s="1"/>
  <c r="X181" i="2"/>
  <c r="Z181" i="2" s="1"/>
  <c r="AA181" i="2" s="1"/>
  <c r="X203" i="2"/>
  <c r="Z203" i="2" s="1"/>
  <c r="AA203" i="2" s="1"/>
  <c r="X245" i="2"/>
  <c r="Z245" i="2" s="1"/>
  <c r="AA245" i="2" s="1"/>
  <c r="X267" i="2"/>
  <c r="Z267" i="2" s="1"/>
  <c r="AA267" i="2" s="1"/>
  <c r="X309" i="2"/>
  <c r="Z309" i="2" s="1"/>
  <c r="AA309" i="2" s="1"/>
  <c r="X331" i="2"/>
  <c r="Z331" i="2" s="1"/>
  <c r="AA331" i="2" s="1"/>
  <c r="X99" i="2"/>
  <c r="Z99" i="2" s="1"/>
  <c r="AA99" i="2" s="1"/>
  <c r="X139" i="2"/>
  <c r="Z139" i="2" s="1"/>
  <c r="AA139" i="2" s="1"/>
  <c r="X163" i="2"/>
  <c r="Z163" i="2" s="1"/>
  <c r="AA163" i="2" s="1"/>
  <c r="X205" i="2"/>
  <c r="Z205" i="2" s="1"/>
  <c r="AA205" i="2" s="1"/>
  <c r="X227" i="2"/>
  <c r="Z227" i="2" s="1"/>
  <c r="AA227" i="2" s="1"/>
  <c r="X269" i="2"/>
  <c r="Z269" i="2" s="1"/>
  <c r="AA269" i="2" s="1"/>
  <c r="X291" i="2"/>
  <c r="Z291" i="2" s="1"/>
  <c r="AA291" i="2" s="1"/>
  <c r="X333" i="2"/>
  <c r="Z333" i="2" s="1"/>
  <c r="AA333" i="2" s="1"/>
  <c r="X107" i="2"/>
  <c r="Z107" i="2" s="1"/>
  <c r="AA107" i="2" s="1"/>
  <c r="X141" i="2"/>
  <c r="Z141" i="2" s="1"/>
  <c r="AA141" i="2" s="1"/>
  <c r="X165" i="2"/>
  <c r="Z165" i="2" s="1"/>
  <c r="AA165" i="2" s="1"/>
  <c r="X187" i="2"/>
  <c r="Z187" i="2" s="1"/>
  <c r="AA187" i="2" s="1"/>
  <c r="X229" i="2"/>
  <c r="Z229" i="2" s="1"/>
  <c r="AA229" i="2" s="1"/>
  <c r="X251" i="2"/>
  <c r="Z251" i="2" s="1"/>
  <c r="AA251" i="2" s="1"/>
  <c r="X293" i="2"/>
  <c r="Z293" i="2" s="1"/>
  <c r="AA293" i="2" s="1"/>
  <c r="X315" i="2"/>
  <c r="Z315" i="2" s="1"/>
  <c r="AA315" i="2" s="1"/>
  <c r="X355" i="2"/>
  <c r="Z355" i="2" s="1"/>
  <c r="AA355" i="2" s="1"/>
  <c r="X82" i="2"/>
  <c r="Z82" i="2" s="1"/>
  <c r="AA82" i="2" s="1"/>
  <c r="X30" i="2"/>
  <c r="Z30" i="2" s="1"/>
  <c r="AA30" i="2" s="1"/>
  <c r="X366" i="2"/>
  <c r="Z366" i="2" s="1"/>
  <c r="AA366" i="2" s="1"/>
  <c r="X364" i="2"/>
  <c r="Z364" i="2" s="1"/>
  <c r="AA364" i="2" s="1"/>
  <c r="X370" i="2"/>
  <c r="Z370" i="2" s="1"/>
  <c r="AA370" i="2" s="1"/>
  <c r="X332" i="2"/>
  <c r="Z332" i="2" s="1"/>
  <c r="AA332" i="2" s="1"/>
  <c r="X334" i="2"/>
  <c r="Z334" i="2" s="1"/>
  <c r="AA334" i="2" s="1"/>
  <c r="X38" i="2"/>
  <c r="Z38" i="2" s="1"/>
  <c r="AA38" i="2" s="1"/>
  <c r="X96" i="2"/>
  <c r="Z96" i="2" s="1"/>
  <c r="AA96" i="2" s="1"/>
  <c r="X34" i="2"/>
  <c r="Z34" i="2" s="1"/>
  <c r="AA34" i="2" s="1"/>
  <c r="X342" i="2"/>
  <c r="Z342" i="2" s="1"/>
  <c r="AA342" i="2" s="1"/>
  <c r="X350" i="2"/>
  <c r="Z350" i="2" s="1"/>
  <c r="AA350" i="2" s="1"/>
  <c r="X32" i="2"/>
  <c r="Z32" i="2" s="1"/>
  <c r="AA32" i="2" s="1"/>
  <c r="X58" i="2"/>
  <c r="Z58" i="2" s="1"/>
  <c r="AA58" i="2" s="1"/>
  <c r="X46" i="2"/>
  <c r="Z46" i="2" s="1"/>
  <c r="AA46" i="2" s="1"/>
  <c r="X50" i="2"/>
  <c r="Z50" i="2" s="1"/>
  <c r="AA50" i="2" s="1"/>
  <c r="X316" i="2"/>
  <c r="Z316" i="2" s="1"/>
  <c r="AA316" i="2" s="1"/>
  <c r="X62" i="2"/>
  <c r="Z62" i="2" s="1"/>
  <c r="AA62" i="2" s="1"/>
  <c r="X74" i="2"/>
  <c r="Z74" i="2" s="1"/>
  <c r="AA74" i="2" s="1"/>
  <c r="X80" i="2"/>
  <c r="Z80" i="2" s="1"/>
  <c r="AA80" i="2" s="1"/>
  <c r="X48" i="2"/>
  <c r="Z48" i="2" s="1"/>
  <c r="AA48" i="2" s="1"/>
  <c r="X94" i="2"/>
  <c r="Z94" i="2" s="1"/>
  <c r="AA94" i="2" s="1"/>
  <c r="X36" i="2"/>
  <c r="Z36" i="2" s="1"/>
  <c r="AA36" i="2" s="1"/>
  <c r="X324" i="2"/>
  <c r="Z324" i="2" s="1"/>
  <c r="AA324" i="2" s="1"/>
  <c r="X122" i="2"/>
  <c r="Z122" i="2" s="1"/>
  <c r="AA122" i="2" s="1"/>
  <c r="X90" i="2"/>
  <c r="Z90" i="2" s="1"/>
  <c r="AA90" i="2" s="1"/>
  <c r="X336" i="2"/>
  <c r="Z336" i="2" s="1"/>
  <c r="AA336" i="2" s="1"/>
  <c r="X340" i="2"/>
  <c r="Z340" i="2" s="1"/>
  <c r="AA340" i="2" s="1"/>
  <c r="X92" i="2"/>
  <c r="Z92" i="2" s="1"/>
  <c r="AA92" i="2" s="1"/>
  <c r="X44" i="2"/>
  <c r="Z44" i="2" s="1"/>
  <c r="AA44" i="2" s="1"/>
  <c r="X358" i="2"/>
  <c r="Z358" i="2" s="1"/>
  <c r="AA358" i="2" s="1"/>
  <c r="X368" i="2"/>
  <c r="Z368" i="2" s="1"/>
  <c r="AA368" i="2" s="1"/>
  <c r="X52" i="2"/>
  <c r="Z52" i="2" s="1"/>
  <c r="AA52" i="2" s="1"/>
  <c r="X64" i="2"/>
  <c r="Z64" i="2" s="1"/>
  <c r="AA64" i="2" s="1"/>
  <c r="X66" i="2"/>
  <c r="Z66" i="2" s="1"/>
  <c r="AA66" i="2" s="1"/>
  <c r="X346" i="2"/>
  <c r="Z346" i="2" s="1"/>
  <c r="AA346" i="2" s="1"/>
  <c r="X376" i="2"/>
  <c r="Z376" i="2" s="1"/>
  <c r="AA376" i="2" s="1"/>
  <c r="X76" i="2"/>
  <c r="Z76" i="2" s="1"/>
  <c r="AA76" i="2" s="1"/>
  <c r="X362" i="2"/>
  <c r="Z362" i="2" s="1"/>
  <c r="AA362" i="2" s="1"/>
  <c r="X54" i="2"/>
  <c r="Z54" i="2" s="1"/>
  <c r="AA54" i="2" s="1"/>
  <c r="X40" i="2"/>
  <c r="Z40" i="2" s="1"/>
  <c r="AA40" i="2" s="1"/>
  <c r="X20" i="2"/>
  <c r="Z20" i="2" s="1"/>
  <c r="AA20" i="2" s="1"/>
  <c r="X356" i="2"/>
  <c r="Z356" i="2" s="1"/>
  <c r="AA356" i="2" s="1"/>
  <c r="X354" i="2"/>
  <c r="Z354" i="2" s="1"/>
  <c r="AA354" i="2" s="1"/>
  <c r="X18" i="2"/>
  <c r="Z18" i="2" s="1"/>
  <c r="AA18" i="2" s="1"/>
  <c r="X72" i="2"/>
  <c r="Z72" i="2" s="1"/>
  <c r="AA72" i="2" s="1"/>
  <c r="X360" i="2"/>
  <c r="Z360" i="2" s="1"/>
  <c r="AA360" i="2" s="1"/>
  <c r="X22" i="2"/>
  <c r="Z22" i="2" s="1"/>
  <c r="AA22" i="2" s="1"/>
  <c r="X56" i="2"/>
  <c r="Z56" i="2" s="1"/>
  <c r="AA56" i="2" s="1"/>
  <c r="X28" i="2"/>
  <c r="Z28" i="2" s="1"/>
  <c r="AA28" i="2" s="1"/>
  <c r="X374" i="2"/>
  <c r="Z374" i="2" s="1"/>
  <c r="AA374" i="2" s="1"/>
  <c r="X372" i="2"/>
  <c r="Z372" i="2" s="1"/>
  <c r="AA372" i="2" s="1"/>
  <c r="X352" i="2"/>
  <c r="Z352" i="2" s="1"/>
  <c r="AA352" i="2" s="1"/>
  <c r="X42" i="2"/>
  <c r="Z42" i="2" s="1"/>
  <c r="AA42" i="2" s="1"/>
  <c r="X344" i="2"/>
  <c r="Z344" i="2" s="1"/>
  <c r="AA344" i="2" s="1"/>
  <c r="X84" i="2"/>
  <c r="Z84" i="2" s="1"/>
  <c r="AA84" i="2" s="1"/>
  <c r="X88" i="2"/>
  <c r="Z88" i="2" s="1"/>
  <c r="AA88" i="2" s="1"/>
  <c r="X60" i="2"/>
  <c r="Z60" i="2" s="1"/>
  <c r="AA60" i="2" s="1"/>
  <c r="X380" i="2"/>
  <c r="Z380" i="2" s="1"/>
  <c r="AA380" i="2" s="1"/>
  <c r="X338" i="2"/>
  <c r="Z338" i="2" s="1"/>
  <c r="AA338" i="2" s="1"/>
  <c r="X326" i="2"/>
  <c r="Z326" i="2" s="1"/>
  <c r="AA326" i="2" s="1"/>
  <c r="X348" i="2"/>
  <c r="Z348" i="2" s="1"/>
  <c r="AA348" i="2" s="1"/>
  <c r="X112" i="2"/>
  <c r="Z112" i="2" s="1"/>
  <c r="AA112" i="2" s="1"/>
  <c r="X120" i="2"/>
  <c r="Z120" i="2" s="1"/>
  <c r="AA120" i="2" s="1"/>
  <c r="X78" i="2"/>
  <c r="Z78" i="2" s="1"/>
  <c r="AA78" i="2" s="1"/>
  <c r="X86" i="2"/>
  <c r="Z86" i="2" s="1"/>
  <c r="AA86" i="2" s="1"/>
  <c r="X26" i="2"/>
  <c r="Z26" i="2" s="1"/>
  <c r="AA26" i="2" s="1"/>
  <c r="X100" i="2"/>
  <c r="Z100" i="2" s="1"/>
  <c r="AA100" i="2" s="1"/>
  <c r="X314" i="2"/>
  <c r="Z314" i="2" s="1"/>
  <c r="AA314" i="2" s="1"/>
  <c r="X378" i="2"/>
  <c r="Z378" i="2" s="1"/>
  <c r="AA378" i="2" s="1"/>
  <c r="X126" i="2"/>
  <c r="Z126" i="2" s="1"/>
  <c r="AA126" i="2" s="1"/>
  <c r="X330" i="2"/>
  <c r="Z330" i="2" s="1"/>
  <c r="AA330" i="2" s="1"/>
  <c r="X124" i="2"/>
  <c r="Z124" i="2" s="1"/>
  <c r="AA124" i="2" s="1"/>
  <c r="X106" i="2"/>
  <c r="Z106" i="2" s="1"/>
  <c r="AA106" i="2" s="1"/>
  <c r="X24" i="2"/>
  <c r="Z24" i="2" s="1"/>
  <c r="AA24" i="2" s="1"/>
  <c r="X322" i="2"/>
  <c r="Z322" i="2" s="1"/>
  <c r="AA322" i="2" s="1"/>
  <c r="X68" i="2"/>
  <c r="Z68" i="2" s="1"/>
  <c r="AA68" i="2" s="1"/>
  <c r="X102" i="2"/>
  <c r="Z102" i="2" s="1"/>
  <c r="AA102" i="2" s="1"/>
  <c r="X70" i="2"/>
  <c r="Z70" i="2" s="1"/>
  <c r="AA70" i="2" s="1"/>
  <c r="X104" i="2"/>
  <c r="Z104" i="2" s="1"/>
  <c r="AA104" i="2" s="1"/>
  <c r="X304" i="2"/>
  <c r="Z304" i="2" s="1"/>
  <c r="AA304" i="2" s="1"/>
  <c r="X328" i="2"/>
  <c r="Z328" i="2" s="1"/>
  <c r="AA328" i="2" s="1"/>
  <c r="X176" i="2"/>
  <c r="Z176" i="2" s="1"/>
  <c r="AA176" i="2" s="1"/>
  <c r="X152" i="2"/>
  <c r="Z152" i="2" s="1"/>
  <c r="AA152" i="2" s="1"/>
  <c r="X312" i="2"/>
  <c r="Z312" i="2" s="1"/>
  <c r="AA312" i="2" s="1"/>
  <c r="X280" i="2"/>
  <c r="Z280" i="2" s="1"/>
  <c r="AA280" i="2" s="1"/>
  <c r="X114" i="2"/>
  <c r="Z114" i="2" s="1"/>
  <c r="AA114" i="2" s="1"/>
  <c r="X98" i="2"/>
  <c r="Z98" i="2" s="1"/>
  <c r="AA98" i="2" s="1"/>
  <c r="X144" i="2"/>
  <c r="Z144" i="2" s="1"/>
  <c r="AA144" i="2" s="1"/>
  <c r="X118" i="2"/>
  <c r="Z118" i="2" s="1"/>
  <c r="AA118" i="2" s="1"/>
  <c r="X174" i="2"/>
  <c r="Z174" i="2" s="1"/>
  <c r="AA174" i="2" s="1"/>
  <c r="X292" i="2"/>
  <c r="Z292" i="2" s="1"/>
  <c r="AA292" i="2" s="1"/>
  <c r="X286" i="2"/>
  <c r="Z286" i="2" s="1"/>
  <c r="AA286" i="2" s="1"/>
  <c r="X132" i="2"/>
  <c r="Z132" i="2" s="1"/>
  <c r="AA132" i="2" s="1"/>
  <c r="X116" i="2"/>
  <c r="Z116" i="2" s="1"/>
  <c r="AA116" i="2" s="1"/>
  <c r="X290" i="2"/>
  <c r="Z290" i="2" s="1"/>
  <c r="AA290" i="2" s="1"/>
  <c r="X108" i="2"/>
  <c r="Z108" i="2" s="1"/>
  <c r="AA108" i="2" s="1"/>
  <c r="X172" i="2"/>
  <c r="Z172" i="2" s="1"/>
  <c r="AA172" i="2" s="1"/>
  <c r="X284" i="2"/>
  <c r="Z284" i="2" s="1"/>
  <c r="AA284" i="2" s="1"/>
  <c r="X110" i="2"/>
  <c r="Z110" i="2" s="1"/>
  <c r="AA110" i="2" s="1"/>
  <c r="X260" i="2"/>
  <c r="Z260" i="2" s="1"/>
  <c r="AA260" i="2" s="1"/>
  <c r="X128" i="2"/>
  <c r="Z128" i="2" s="1"/>
  <c r="AA128" i="2" s="1"/>
  <c r="X254" i="2"/>
  <c r="Z254" i="2" s="1"/>
  <c r="AA254" i="2" s="1"/>
  <c r="X320" i="2"/>
  <c r="Z320" i="2" s="1"/>
  <c r="AA320" i="2" s="1"/>
  <c r="X180" i="2"/>
  <c r="Z180" i="2" s="1"/>
  <c r="AA180" i="2" s="1"/>
  <c r="X170" i="2"/>
  <c r="Z170" i="2" s="1"/>
  <c r="AA170" i="2" s="1"/>
  <c r="X310" i="2"/>
  <c r="Z310" i="2" s="1"/>
  <c r="AA310" i="2" s="1"/>
  <c r="X274" i="2"/>
  <c r="Z274" i="2" s="1"/>
  <c r="AA274" i="2" s="1"/>
  <c r="X154" i="2"/>
  <c r="Z154" i="2" s="1"/>
  <c r="AA154" i="2" s="1"/>
  <c r="X242" i="2"/>
  <c r="Z242" i="2" s="1"/>
  <c r="AA242" i="2" s="1"/>
  <c r="X276" i="2"/>
  <c r="Z276" i="2" s="1"/>
  <c r="AA276" i="2" s="1"/>
  <c r="X282" i="2"/>
  <c r="Z282" i="2" s="1"/>
  <c r="AA282" i="2" s="1"/>
  <c r="X270" i="2"/>
  <c r="Z270" i="2" s="1"/>
  <c r="AA270" i="2" s="1"/>
  <c r="X158" i="2"/>
  <c r="Z158" i="2" s="1"/>
  <c r="AA158" i="2" s="1"/>
  <c r="X162" i="2"/>
  <c r="Z162" i="2" s="1"/>
  <c r="AA162" i="2" s="1"/>
  <c r="X202" i="2"/>
  <c r="Z202" i="2" s="1"/>
  <c r="AA202" i="2" s="1"/>
  <c r="X148" i="2"/>
  <c r="Z148" i="2" s="1"/>
  <c r="AA148" i="2" s="1"/>
  <c r="X130" i="2"/>
  <c r="Z130" i="2" s="1"/>
  <c r="AA130" i="2" s="1"/>
  <c r="X278" i="2"/>
  <c r="Z278" i="2" s="1"/>
  <c r="AA278" i="2" s="1"/>
  <c r="X238" i="2"/>
  <c r="Z238" i="2" s="1"/>
  <c r="AA238" i="2" s="1"/>
  <c r="X308" i="2"/>
  <c r="Z308" i="2" s="1"/>
  <c r="AA308" i="2" s="1"/>
  <c r="X268" i="2"/>
  <c r="Z268" i="2" s="1"/>
  <c r="AA268" i="2" s="1"/>
  <c r="X288" i="2"/>
  <c r="Z288" i="2" s="1"/>
  <c r="AA288" i="2" s="1"/>
  <c r="X160" i="2"/>
  <c r="Z160" i="2" s="1"/>
  <c r="AA160" i="2" s="1"/>
  <c r="X166" i="2"/>
  <c r="Z166" i="2" s="1"/>
  <c r="AA166" i="2" s="1"/>
  <c r="X296" i="2"/>
  <c r="Z296" i="2" s="1"/>
  <c r="AA296" i="2" s="1"/>
  <c r="X298" i="2"/>
  <c r="Z298" i="2" s="1"/>
  <c r="AA298" i="2" s="1"/>
  <c r="X272" i="2"/>
  <c r="Z272" i="2" s="1"/>
  <c r="AA272" i="2" s="1"/>
  <c r="X168" i="2"/>
  <c r="Z168" i="2" s="1"/>
  <c r="AA168" i="2" s="1"/>
  <c r="X134" i="2"/>
  <c r="Z134" i="2" s="1"/>
  <c r="AA134" i="2" s="1"/>
  <c r="X190" i="2"/>
  <c r="Z190" i="2" s="1"/>
  <c r="AA190" i="2" s="1"/>
  <c r="X300" i="2"/>
  <c r="Z300" i="2" s="1"/>
  <c r="AA300" i="2" s="1"/>
  <c r="X294" i="2"/>
  <c r="Z294" i="2" s="1"/>
  <c r="AA294" i="2" s="1"/>
  <c r="X146" i="2"/>
  <c r="Z146" i="2" s="1"/>
  <c r="AA146" i="2" s="1"/>
  <c r="X306" i="2"/>
  <c r="Z306" i="2" s="1"/>
  <c r="AA306" i="2" s="1"/>
  <c r="X164" i="2"/>
  <c r="Z164" i="2" s="1"/>
  <c r="AA164" i="2" s="1"/>
  <c r="X150" i="2"/>
  <c r="Z150" i="2" s="1"/>
  <c r="AA150" i="2" s="1"/>
  <c r="X302" i="2"/>
  <c r="Z302" i="2" s="1"/>
  <c r="AA302" i="2" s="1"/>
  <c r="X156" i="2"/>
  <c r="Z156" i="2" s="1"/>
  <c r="AA156" i="2" s="1"/>
  <c r="X318" i="2"/>
  <c r="Z318" i="2" s="1"/>
  <c r="AA318" i="2" s="1"/>
  <c r="X244" i="2"/>
  <c r="Z244" i="2" s="1"/>
  <c r="AA244" i="2" s="1"/>
  <c r="X266" i="2"/>
  <c r="Z266" i="2" s="1"/>
  <c r="AA266" i="2" s="1"/>
  <c r="X184" i="2"/>
  <c r="Z184" i="2" s="1"/>
  <c r="AA184" i="2" s="1"/>
  <c r="X178" i="2"/>
  <c r="Z178" i="2" s="1"/>
  <c r="AA178" i="2" s="1"/>
  <c r="X210" i="2"/>
  <c r="Z210" i="2" s="1"/>
  <c r="AA210" i="2" s="1"/>
  <c r="X136" i="2"/>
  <c r="Z136" i="2" s="1"/>
  <c r="AA136" i="2" s="1"/>
  <c r="X222" i="2"/>
  <c r="Z222" i="2" s="1"/>
  <c r="AA222" i="2" s="1"/>
  <c r="X214" i="2"/>
  <c r="Z214" i="2" s="1"/>
  <c r="AA214" i="2" s="1"/>
  <c r="X138" i="2"/>
  <c r="Z138" i="2" s="1"/>
  <c r="AA138" i="2" s="1"/>
  <c r="X230" i="2"/>
  <c r="Z230" i="2" s="1"/>
  <c r="AA230" i="2" s="1"/>
  <c r="X216" i="2"/>
  <c r="Z216" i="2" s="1"/>
  <c r="AA216" i="2" s="1"/>
  <c r="X258" i="2"/>
  <c r="Z258" i="2" s="1"/>
  <c r="AA258" i="2" s="1"/>
  <c r="X140" i="2"/>
  <c r="Z140" i="2" s="1"/>
  <c r="AA140" i="2" s="1"/>
  <c r="X198" i="2"/>
  <c r="Z198" i="2" s="1"/>
  <c r="AA198" i="2" s="1"/>
  <c r="X204" i="2"/>
  <c r="Z204" i="2" s="1"/>
  <c r="AA204" i="2" s="1"/>
  <c r="X196" i="2"/>
  <c r="Z196" i="2" s="1"/>
  <c r="AA196" i="2" s="1"/>
  <c r="X248" i="2"/>
  <c r="Z248" i="2" s="1"/>
  <c r="AA248" i="2" s="1"/>
  <c r="X250" i="2"/>
  <c r="Z250" i="2" s="1"/>
  <c r="AA250" i="2" s="1"/>
  <c r="X252" i="2"/>
  <c r="Z252" i="2" s="1"/>
  <c r="AA252" i="2" s="1"/>
  <c r="X186" i="2"/>
  <c r="Z186" i="2" s="1"/>
  <c r="AA186" i="2" s="1"/>
  <c r="X228" i="2"/>
  <c r="Z228" i="2" s="1"/>
  <c r="AA228" i="2" s="1"/>
  <c r="X236" i="2"/>
  <c r="Z236" i="2" s="1"/>
  <c r="AA236" i="2" s="1"/>
  <c r="X262" i="2"/>
  <c r="Z262" i="2" s="1"/>
  <c r="AA262" i="2" s="1"/>
  <c r="X206" i="2"/>
  <c r="Z206" i="2" s="1"/>
  <c r="AA206" i="2" s="1"/>
  <c r="X226" i="2"/>
  <c r="Z226" i="2" s="1"/>
  <c r="AA226" i="2" s="1"/>
  <c r="X192" i="2"/>
  <c r="Z192" i="2" s="1"/>
  <c r="AA192" i="2" s="1"/>
  <c r="X188" i="2"/>
  <c r="Z188" i="2" s="1"/>
  <c r="AA188" i="2" s="1"/>
  <c r="X232" i="2"/>
  <c r="Z232" i="2" s="1"/>
  <c r="AA232" i="2" s="1"/>
  <c r="X142" i="2"/>
  <c r="Z142" i="2" s="1"/>
  <c r="AA142" i="2" s="1"/>
  <c r="X182" i="2"/>
  <c r="Z182" i="2" s="1"/>
  <c r="AA182" i="2" s="1"/>
  <c r="X200" i="2"/>
  <c r="Z200" i="2" s="1"/>
  <c r="AA200" i="2" s="1"/>
  <c r="X264" i="2"/>
  <c r="Z264" i="2" s="1"/>
  <c r="AA264" i="2" s="1"/>
  <c r="X208" i="2"/>
  <c r="Z208" i="2" s="1"/>
  <c r="AA208" i="2" s="1"/>
  <c r="X246" i="2"/>
  <c r="Z246" i="2" s="1"/>
  <c r="AA246" i="2" s="1"/>
  <c r="X194" i="2"/>
  <c r="Z194" i="2" s="1"/>
  <c r="AA194" i="2" s="1"/>
  <c r="X224" i="2"/>
  <c r="Z224" i="2" s="1"/>
  <c r="AA224" i="2" s="1"/>
  <c r="X220" i="2"/>
  <c r="Z220" i="2" s="1"/>
  <c r="AA220" i="2" s="1"/>
  <c r="X234" i="2"/>
  <c r="Z234" i="2" s="1"/>
  <c r="AA234" i="2" s="1"/>
  <c r="X256" i="2"/>
  <c r="Z256" i="2" s="1"/>
  <c r="AA256" i="2" s="1"/>
  <c r="X212" i="2"/>
  <c r="Z212" i="2" s="1"/>
  <c r="AA212" i="2" s="1"/>
  <c r="X240" i="2"/>
  <c r="Z240" i="2" s="1"/>
  <c r="AA240" i="2" s="1"/>
  <c r="X218" i="2"/>
  <c r="Z218" i="2" s="1"/>
  <c r="AA218" i="2" s="1"/>
  <c r="T17" i="2"/>
  <c r="T156" i="2"/>
  <c r="T248" i="2"/>
  <c r="T168" i="2"/>
  <c r="T204" i="2"/>
  <c r="T263" i="2"/>
  <c r="T209" i="2"/>
  <c r="T46" i="2"/>
  <c r="T251" i="2"/>
  <c r="T124" i="2"/>
  <c r="T368" i="2"/>
  <c r="T154" i="2"/>
  <c r="T196" i="2"/>
  <c r="T184" i="2"/>
  <c r="T39" i="2"/>
  <c r="T330" i="2"/>
  <c r="T83" i="2"/>
  <c r="T241" i="2"/>
  <c r="T179" i="2"/>
  <c r="T178" i="2"/>
  <c r="T212" i="2"/>
  <c r="T69" i="2"/>
  <c r="T242" i="2"/>
  <c r="T317" i="2"/>
  <c r="T338" i="2"/>
  <c r="T254" i="2"/>
  <c r="T100" i="2"/>
  <c r="T41" i="2"/>
  <c r="T42" i="2"/>
  <c r="T285" i="2"/>
  <c r="T203" i="2"/>
  <c r="T79" i="2"/>
  <c r="T334" i="2"/>
  <c r="T91" i="2"/>
  <c r="T277" i="2"/>
  <c r="T88" i="2"/>
  <c r="T24" i="2"/>
  <c r="T155" i="2"/>
  <c r="T306" i="2"/>
  <c r="T273" i="2"/>
  <c r="T199" i="2"/>
  <c r="T70" i="2"/>
  <c r="T339" i="2"/>
  <c r="T29" i="2"/>
  <c r="T161" i="2"/>
  <c r="T281" i="2"/>
  <c r="T246" i="2"/>
  <c r="T74" i="2"/>
  <c r="T190" i="2"/>
  <c r="T357" i="2"/>
  <c r="T305" i="2"/>
  <c r="T146" i="2"/>
  <c r="T89" i="2"/>
  <c r="T378" i="2"/>
  <c r="T319" i="2"/>
  <c r="T152" i="2"/>
  <c r="T130" i="2"/>
  <c r="T337" i="2"/>
  <c r="T104" i="2"/>
  <c r="T316" i="2"/>
  <c r="T372" i="2"/>
  <c r="T177" i="2"/>
  <c r="T187" i="2"/>
  <c r="T351" i="2"/>
  <c r="T349" i="2"/>
  <c r="T108" i="2"/>
  <c r="T226" i="2"/>
  <c r="T182" i="2"/>
  <c r="T129" i="2"/>
  <c r="T348" i="2"/>
  <c r="T297" i="2"/>
  <c r="T336" i="2"/>
  <c r="T255" i="2"/>
  <c r="T119" i="2"/>
  <c r="T244" i="2"/>
  <c r="T78" i="2"/>
  <c r="T300" i="2"/>
  <c r="T268" i="2"/>
  <c r="T353" i="2"/>
  <c r="T205" i="2"/>
  <c r="T314" i="2"/>
  <c r="T210" i="2"/>
  <c r="T342" i="2"/>
  <c r="T163" i="2"/>
  <c r="Z241" i="2" l="1"/>
  <c r="AA241" i="2" s="1"/>
  <c r="Z17" i="2"/>
  <c r="AG234" i="2"/>
  <c r="AI234" i="2"/>
  <c r="AG182" i="2"/>
  <c r="AI182" i="2"/>
  <c r="AI236" i="2"/>
  <c r="AG236" i="2"/>
  <c r="AI198" i="2"/>
  <c r="AG198" i="2"/>
  <c r="AI136" i="2"/>
  <c r="AG136" i="2"/>
  <c r="AG302" i="2"/>
  <c r="AI302" i="2"/>
  <c r="AI134" i="2"/>
  <c r="AG134" i="2"/>
  <c r="AG268" i="2"/>
  <c r="AI268" i="2"/>
  <c r="AG158" i="2"/>
  <c r="AI158" i="2"/>
  <c r="AI170" i="2"/>
  <c r="AG170" i="2"/>
  <c r="AI172" i="2"/>
  <c r="AG172" i="2"/>
  <c r="AG118" i="2"/>
  <c r="AI118" i="2"/>
  <c r="AI328" i="2"/>
  <c r="AG328" i="2"/>
  <c r="AG106" i="2"/>
  <c r="AI106" i="2"/>
  <c r="AG86" i="2"/>
  <c r="AI86" i="2"/>
  <c r="AI60" i="2"/>
  <c r="AG60" i="2"/>
  <c r="AG28" i="2"/>
  <c r="AI28" i="2"/>
  <c r="AI20" i="2"/>
  <c r="AG20" i="2"/>
  <c r="AG64" i="2"/>
  <c r="AI64" i="2"/>
  <c r="AG90" i="2"/>
  <c r="AI90" i="2"/>
  <c r="AG62" i="2"/>
  <c r="AI62" i="2"/>
  <c r="AG34" i="2"/>
  <c r="AI34" i="2"/>
  <c r="AI30" i="2"/>
  <c r="AG30" i="2"/>
  <c r="AI165" i="2"/>
  <c r="AG165" i="2"/>
  <c r="AG163" i="2"/>
  <c r="AI163" i="2"/>
  <c r="AG181" i="2"/>
  <c r="AI181" i="2"/>
  <c r="AI179" i="2"/>
  <c r="AG179" i="2"/>
  <c r="AG261" i="2"/>
  <c r="AI261" i="2"/>
  <c r="AG259" i="2"/>
  <c r="AI259" i="2"/>
  <c r="AG373" i="2"/>
  <c r="AI373" i="2"/>
  <c r="AI59" i="2"/>
  <c r="AG59" i="2"/>
  <c r="AI189" i="2"/>
  <c r="AG189" i="2"/>
  <c r="AG305" i="2"/>
  <c r="AI305" i="2"/>
  <c r="AG177" i="2"/>
  <c r="AI177" i="2"/>
  <c r="AI65" i="2"/>
  <c r="AG65" i="2"/>
  <c r="AG343" i="2"/>
  <c r="AI343" i="2"/>
  <c r="AG279" i="2"/>
  <c r="AI279" i="2"/>
  <c r="AI215" i="2"/>
  <c r="AG215" i="2"/>
  <c r="AG151" i="2"/>
  <c r="AI151" i="2"/>
  <c r="AI87" i="2"/>
  <c r="AG87" i="2"/>
  <c r="AI23" i="2"/>
  <c r="AG23" i="2"/>
  <c r="AI93" i="2"/>
  <c r="AG93" i="2"/>
  <c r="AG29" i="2"/>
  <c r="AI29" i="2"/>
  <c r="AI321" i="2"/>
  <c r="AG321" i="2"/>
  <c r="AG185" i="2"/>
  <c r="AI185" i="2"/>
  <c r="AI220" i="2"/>
  <c r="AG220" i="2"/>
  <c r="AG142" i="2"/>
  <c r="AI142" i="2"/>
  <c r="AI228" i="2"/>
  <c r="AG228" i="2"/>
  <c r="AI140" i="2"/>
  <c r="AG140" i="2"/>
  <c r="AI210" i="2"/>
  <c r="AG210" i="2"/>
  <c r="AI150" i="2"/>
  <c r="AG150" i="2"/>
  <c r="AG168" i="2"/>
  <c r="AI168" i="2"/>
  <c r="AG308" i="2"/>
  <c r="AI308" i="2"/>
  <c r="AI270" i="2"/>
  <c r="AG270" i="2"/>
  <c r="AI180" i="2"/>
  <c r="AG180" i="2"/>
  <c r="AG108" i="2"/>
  <c r="AI108" i="2"/>
  <c r="AI144" i="2"/>
  <c r="AG144" i="2"/>
  <c r="AI304" i="2"/>
  <c r="AG304" i="2"/>
  <c r="AI124" i="2"/>
  <c r="AG124" i="2"/>
  <c r="AI78" i="2"/>
  <c r="AG78" i="2"/>
  <c r="AG88" i="2"/>
  <c r="AI88" i="2"/>
  <c r="AI56" i="2"/>
  <c r="AG56" i="2"/>
  <c r="AI40" i="2"/>
  <c r="AG40" i="2"/>
  <c r="AI52" i="2"/>
  <c r="AG52" i="2"/>
  <c r="AI122" i="2"/>
  <c r="AG122" i="2"/>
  <c r="AI316" i="2"/>
  <c r="AG316" i="2"/>
  <c r="AG96" i="2"/>
  <c r="AI96" i="2"/>
  <c r="AG82" i="2"/>
  <c r="AI82" i="2"/>
  <c r="AG141" i="2"/>
  <c r="AI141" i="2"/>
  <c r="AG139" i="2"/>
  <c r="AI139" i="2"/>
  <c r="AI91" i="2"/>
  <c r="AG91" i="2"/>
  <c r="AG157" i="2"/>
  <c r="AI157" i="2"/>
  <c r="AG219" i="2"/>
  <c r="AI219" i="2"/>
  <c r="AG237" i="2"/>
  <c r="AI237" i="2"/>
  <c r="AG341" i="2"/>
  <c r="AI341" i="2"/>
  <c r="AI371" i="2"/>
  <c r="AG371" i="2"/>
  <c r="AI115" i="2"/>
  <c r="AG115" i="2"/>
  <c r="AI289" i="2"/>
  <c r="AG289" i="2"/>
  <c r="AI161" i="2"/>
  <c r="AG161" i="2"/>
  <c r="AG57" i="2"/>
  <c r="AI57" i="2"/>
  <c r="AI335" i="2"/>
  <c r="AG335" i="2"/>
  <c r="AG271" i="2"/>
  <c r="AI271" i="2"/>
  <c r="AG207" i="2"/>
  <c r="AI207" i="2"/>
  <c r="AG143" i="2"/>
  <c r="AI143" i="2"/>
  <c r="AG79" i="2"/>
  <c r="AI79" i="2"/>
  <c r="AI21" i="2"/>
  <c r="AG21" i="2"/>
  <c r="AG85" i="2"/>
  <c r="AI85" i="2"/>
  <c r="AG43" i="2"/>
  <c r="AI43" i="2"/>
  <c r="AG297" i="2"/>
  <c r="AI297" i="2"/>
  <c r="AI169" i="2"/>
  <c r="AG169" i="2"/>
  <c r="AG224" i="2"/>
  <c r="AI224" i="2"/>
  <c r="AG232" i="2"/>
  <c r="AI232" i="2"/>
  <c r="AI186" i="2"/>
  <c r="AG186" i="2"/>
  <c r="AI258" i="2"/>
  <c r="AG258" i="2"/>
  <c r="AG178" i="2"/>
  <c r="AI178" i="2"/>
  <c r="AI164" i="2"/>
  <c r="AG164" i="2"/>
  <c r="AG272" i="2"/>
  <c r="AI272" i="2"/>
  <c r="AI238" i="2"/>
  <c r="AG238" i="2"/>
  <c r="AI282" i="2"/>
  <c r="AG282" i="2"/>
  <c r="AG320" i="2"/>
  <c r="AI320" i="2"/>
  <c r="AI290" i="2"/>
  <c r="AG290" i="2"/>
  <c r="AI98" i="2"/>
  <c r="AG98" i="2"/>
  <c r="AI104" i="2"/>
  <c r="AG104" i="2"/>
  <c r="AI330" i="2"/>
  <c r="AG330" i="2"/>
  <c r="AG120" i="2"/>
  <c r="AI120" i="2"/>
  <c r="AI84" i="2"/>
  <c r="AG84" i="2"/>
  <c r="AG22" i="2"/>
  <c r="AI22" i="2"/>
  <c r="AI54" i="2"/>
  <c r="AG54" i="2"/>
  <c r="AI368" i="2"/>
  <c r="AG368" i="2"/>
  <c r="AI324" i="2"/>
  <c r="AG324" i="2"/>
  <c r="AG50" i="2"/>
  <c r="AI50" i="2"/>
  <c r="AG38" i="2"/>
  <c r="AI38" i="2"/>
  <c r="AG355" i="2"/>
  <c r="AI355" i="2"/>
  <c r="AG107" i="2"/>
  <c r="AI107" i="2"/>
  <c r="AI99" i="2"/>
  <c r="AG99" i="2"/>
  <c r="AI367" i="2"/>
  <c r="AG367" i="2"/>
  <c r="AG131" i="2"/>
  <c r="AI131" i="2"/>
  <c r="AG197" i="2"/>
  <c r="AI197" i="2"/>
  <c r="AI195" i="2"/>
  <c r="AG195" i="2"/>
  <c r="AG299" i="2"/>
  <c r="AI299" i="2"/>
  <c r="AI357" i="2"/>
  <c r="AG357" i="2"/>
  <c r="AI51" i="2"/>
  <c r="AG51" i="2"/>
  <c r="AG273" i="2"/>
  <c r="AI273" i="2"/>
  <c r="AG145" i="2"/>
  <c r="AI145" i="2"/>
  <c r="AG49" i="2"/>
  <c r="AI49" i="2"/>
  <c r="AG327" i="2"/>
  <c r="AI327" i="2"/>
  <c r="AI263" i="2"/>
  <c r="AG263" i="2"/>
  <c r="AG199" i="2"/>
  <c r="AI199" i="2"/>
  <c r="AG135" i="2"/>
  <c r="AI135" i="2"/>
  <c r="AI71" i="2"/>
  <c r="AG71" i="2"/>
  <c r="AG149" i="2"/>
  <c r="AI149" i="2"/>
  <c r="AI77" i="2"/>
  <c r="AG77" i="2"/>
  <c r="AG35" i="2"/>
  <c r="AI35" i="2"/>
  <c r="AI281" i="2"/>
  <c r="AG281" i="2"/>
  <c r="AG153" i="2"/>
  <c r="AI153" i="2"/>
  <c r="AI194" i="2"/>
  <c r="AG194" i="2"/>
  <c r="AG188" i="2"/>
  <c r="AI188" i="2"/>
  <c r="AG252" i="2"/>
  <c r="AI252" i="2"/>
  <c r="AG216" i="2"/>
  <c r="AI216" i="2"/>
  <c r="AG184" i="2"/>
  <c r="AI184" i="2"/>
  <c r="AG306" i="2"/>
  <c r="AI306" i="2"/>
  <c r="AI298" i="2"/>
  <c r="AG298" i="2"/>
  <c r="AG278" i="2"/>
  <c r="AI278" i="2"/>
  <c r="AI276" i="2"/>
  <c r="AG276" i="2"/>
  <c r="AG254" i="2"/>
  <c r="AI254" i="2"/>
  <c r="AG116" i="2"/>
  <c r="AI116" i="2"/>
  <c r="AG114" i="2"/>
  <c r="AI114" i="2"/>
  <c r="AG70" i="2"/>
  <c r="AI70" i="2"/>
  <c r="AG126" i="2"/>
  <c r="AI126" i="2"/>
  <c r="AI112" i="2"/>
  <c r="AG112" i="2"/>
  <c r="AG344" i="2"/>
  <c r="AI344" i="2"/>
  <c r="AG360" i="2"/>
  <c r="AI360" i="2"/>
  <c r="AI362" i="2"/>
  <c r="AG362" i="2"/>
  <c r="AI358" i="2"/>
  <c r="AG358" i="2"/>
  <c r="AG36" i="2"/>
  <c r="AI36" i="2"/>
  <c r="AG46" i="2"/>
  <c r="AI46" i="2"/>
  <c r="AG334" i="2"/>
  <c r="AI334" i="2"/>
  <c r="AG315" i="2"/>
  <c r="AI315" i="2"/>
  <c r="AI333" i="2"/>
  <c r="AG333" i="2"/>
  <c r="AG331" i="2"/>
  <c r="AI331" i="2"/>
  <c r="AG349" i="2"/>
  <c r="AI349" i="2"/>
  <c r="AI83" i="2"/>
  <c r="AG83" i="2"/>
  <c r="AI155" i="2"/>
  <c r="AG155" i="2"/>
  <c r="AI173" i="2"/>
  <c r="AG173" i="2"/>
  <c r="AI277" i="2"/>
  <c r="AG277" i="2"/>
  <c r="AI339" i="2"/>
  <c r="AG339" i="2"/>
  <c r="AI377" i="2"/>
  <c r="AG377" i="2"/>
  <c r="AG257" i="2"/>
  <c r="AI257" i="2"/>
  <c r="AG129" i="2"/>
  <c r="AI129" i="2"/>
  <c r="AI41" i="2"/>
  <c r="AG41" i="2"/>
  <c r="AI319" i="2"/>
  <c r="AG319" i="2"/>
  <c r="AG255" i="2"/>
  <c r="AI255" i="2"/>
  <c r="AG191" i="2"/>
  <c r="AI191" i="2"/>
  <c r="AG127" i="2"/>
  <c r="AI127" i="2"/>
  <c r="AG63" i="2"/>
  <c r="AI63" i="2"/>
  <c r="AI133" i="2"/>
  <c r="AG133" i="2"/>
  <c r="AI69" i="2"/>
  <c r="AG69" i="2"/>
  <c r="AI27" i="2"/>
  <c r="AG27" i="2"/>
  <c r="AI265" i="2"/>
  <c r="AG265" i="2"/>
  <c r="AI137" i="2"/>
  <c r="AG137" i="2"/>
  <c r="AG218" i="2"/>
  <c r="AI218" i="2"/>
  <c r="AI246" i="2"/>
  <c r="AG246" i="2"/>
  <c r="AG192" i="2"/>
  <c r="AI192" i="2"/>
  <c r="AG250" i="2"/>
  <c r="AI250" i="2"/>
  <c r="AI230" i="2"/>
  <c r="AG230" i="2"/>
  <c r="AG266" i="2"/>
  <c r="AI266" i="2"/>
  <c r="AG146" i="2"/>
  <c r="AI146" i="2"/>
  <c r="AI296" i="2"/>
  <c r="AG296" i="2"/>
  <c r="AI130" i="2"/>
  <c r="AG130" i="2"/>
  <c r="AI242" i="2"/>
  <c r="AG242" i="2"/>
  <c r="AG128" i="2"/>
  <c r="AI128" i="2"/>
  <c r="AI132" i="2"/>
  <c r="AG132" i="2"/>
  <c r="AG280" i="2"/>
  <c r="AI280" i="2"/>
  <c r="AI102" i="2"/>
  <c r="AG102" i="2"/>
  <c r="AG378" i="2"/>
  <c r="AI378" i="2"/>
  <c r="AI348" i="2"/>
  <c r="AG348" i="2"/>
  <c r="AI42" i="2"/>
  <c r="AG42" i="2"/>
  <c r="AG72" i="2"/>
  <c r="AI72" i="2"/>
  <c r="AG76" i="2"/>
  <c r="AI76" i="2"/>
  <c r="AI44" i="2"/>
  <c r="AG44" i="2"/>
  <c r="AI94" i="2"/>
  <c r="AG94" i="2"/>
  <c r="AI58" i="2"/>
  <c r="AG58" i="2"/>
  <c r="AG332" i="2"/>
  <c r="AI332" i="2"/>
  <c r="AI293" i="2"/>
  <c r="AG293" i="2"/>
  <c r="AG291" i="2"/>
  <c r="AI291" i="2"/>
  <c r="AI309" i="2"/>
  <c r="AG309" i="2"/>
  <c r="AI307" i="2"/>
  <c r="AG307" i="2"/>
  <c r="AG375" i="2"/>
  <c r="AI375" i="2"/>
  <c r="AG75" i="2"/>
  <c r="AI75" i="2"/>
  <c r="AG123" i="2"/>
  <c r="AI123" i="2"/>
  <c r="AI235" i="2"/>
  <c r="AG235" i="2"/>
  <c r="AG317" i="2"/>
  <c r="AI317" i="2"/>
  <c r="AG361" i="2"/>
  <c r="AI361" i="2"/>
  <c r="AI113" i="2"/>
  <c r="AG113" i="2"/>
  <c r="AG33" i="2"/>
  <c r="AI33" i="2"/>
  <c r="AI311" i="2"/>
  <c r="AG311" i="2"/>
  <c r="AG247" i="2"/>
  <c r="AI247" i="2"/>
  <c r="AG183" i="2"/>
  <c r="AI183" i="2"/>
  <c r="AI119" i="2"/>
  <c r="AG119" i="2"/>
  <c r="AI55" i="2"/>
  <c r="AG55" i="2"/>
  <c r="AI125" i="2"/>
  <c r="AG125" i="2"/>
  <c r="AI61" i="2"/>
  <c r="AG61" i="2"/>
  <c r="AG19" i="2"/>
  <c r="AI19" i="2"/>
  <c r="AG249" i="2"/>
  <c r="AI249" i="2"/>
  <c r="AG121" i="2"/>
  <c r="AI121" i="2"/>
  <c r="AG240" i="2"/>
  <c r="AI240" i="2"/>
  <c r="AG208" i="2"/>
  <c r="AI208" i="2"/>
  <c r="AI226" i="2"/>
  <c r="AG226" i="2"/>
  <c r="AG248" i="2"/>
  <c r="AI248" i="2"/>
  <c r="AG138" i="2"/>
  <c r="AI138" i="2"/>
  <c r="AI244" i="2"/>
  <c r="AG244" i="2"/>
  <c r="AG294" i="2"/>
  <c r="AI294" i="2"/>
  <c r="AG166" i="2"/>
  <c r="AI166" i="2"/>
  <c r="AG148" i="2"/>
  <c r="AI148" i="2"/>
  <c r="AI154" i="2"/>
  <c r="AG154" i="2"/>
  <c r="AI260" i="2"/>
  <c r="AG260" i="2"/>
  <c r="AG286" i="2"/>
  <c r="AI286" i="2"/>
  <c r="AI312" i="2"/>
  <c r="AG312" i="2"/>
  <c r="AI68" i="2"/>
  <c r="AG68" i="2"/>
  <c r="AG314" i="2"/>
  <c r="AI314" i="2"/>
  <c r="AG326" i="2"/>
  <c r="AI326" i="2"/>
  <c r="AG352" i="2"/>
  <c r="AI352" i="2"/>
  <c r="AI18" i="2"/>
  <c r="AG18" i="2"/>
  <c r="AI376" i="2"/>
  <c r="AG376" i="2"/>
  <c r="AI92" i="2"/>
  <c r="AG92" i="2"/>
  <c r="AG48" i="2"/>
  <c r="AI48" i="2"/>
  <c r="AG32" i="2"/>
  <c r="AI32" i="2"/>
  <c r="AG370" i="2"/>
  <c r="AI370" i="2"/>
  <c r="AG251" i="2"/>
  <c r="AI251" i="2"/>
  <c r="AG269" i="2"/>
  <c r="AI269" i="2"/>
  <c r="AG267" i="2"/>
  <c r="AI267" i="2"/>
  <c r="AG285" i="2"/>
  <c r="AI285" i="2"/>
  <c r="AI347" i="2"/>
  <c r="AG347" i="2"/>
  <c r="AI363" i="2"/>
  <c r="AG363" i="2"/>
  <c r="AG67" i="2"/>
  <c r="AI67" i="2"/>
  <c r="AI213" i="2"/>
  <c r="AG213" i="2"/>
  <c r="AI275" i="2"/>
  <c r="AG275" i="2"/>
  <c r="AG345" i="2"/>
  <c r="AI345" i="2"/>
  <c r="AG225" i="2"/>
  <c r="AI225" i="2"/>
  <c r="AG97" i="2"/>
  <c r="AI97" i="2"/>
  <c r="AI25" i="2"/>
  <c r="AG25" i="2"/>
  <c r="AG303" i="2"/>
  <c r="AI303" i="2"/>
  <c r="AI239" i="2"/>
  <c r="AG239" i="2"/>
  <c r="AI175" i="2"/>
  <c r="AG175" i="2"/>
  <c r="AI111" i="2"/>
  <c r="AG111" i="2"/>
  <c r="AI47" i="2"/>
  <c r="AG47" i="2"/>
  <c r="AG117" i="2"/>
  <c r="AI117" i="2"/>
  <c r="AG53" i="2"/>
  <c r="AI53" i="2"/>
  <c r="AG369" i="2"/>
  <c r="AI369" i="2"/>
  <c r="AG233" i="2"/>
  <c r="AI233" i="2"/>
  <c r="AG105" i="2"/>
  <c r="AI105" i="2"/>
  <c r="AG212" i="2"/>
  <c r="AI212" i="2"/>
  <c r="AG264" i="2"/>
  <c r="AI264" i="2"/>
  <c r="AG206" i="2"/>
  <c r="AI206" i="2"/>
  <c r="AI196" i="2"/>
  <c r="AG196" i="2"/>
  <c r="AG214" i="2"/>
  <c r="AI214" i="2"/>
  <c r="AG318" i="2"/>
  <c r="AI318" i="2"/>
  <c r="AI300" i="2"/>
  <c r="AG300" i="2"/>
  <c r="AG160" i="2"/>
  <c r="AI160" i="2"/>
  <c r="AI202" i="2"/>
  <c r="AG202" i="2"/>
  <c r="AI274" i="2"/>
  <c r="AG274" i="2"/>
  <c r="AI110" i="2"/>
  <c r="AG110" i="2"/>
  <c r="AI292" i="2"/>
  <c r="AG292" i="2"/>
  <c r="AG152" i="2"/>
  <c r="AI152" i="2"/>
  <c r="AG322" i="2"/>
  <c r="AI322" i="2"/>
  <c r="AI100" i="2"/>
  <c r="AG100" i="2"/>
  <c r="AG338" i="2"/>
  <c r="AI338" i="2"/>
  <c r="AG372" i="2"/>
  <c r="AI372" i="2"/>
  <c r="AG354" i="2"/>
  <c r="AI354" i="2"/>
  <c r="AI346" i="2"/>
  <c r="AG346" i="2"/>
  <c r="AI340" i="2"/>
  <c r="AG340" i="2"/>
  <c r="AI80" i="2"/>
  <c r="AG80" i="2"/>
  <c r="AG350" i="2"/>
  <c r="AI350" i="2"/>
  <c r="AG364" i="2"/>
  <c r="AI364" i="2"/>
  <c r="AI229" i="2"/>
  <c r="AG229" i="2"/>
  <c r="AG227" i="2"/>
  <c r="AI227" i="2"/>
  <c r="AG245" i="2"/>
  <c r="AI245" i="2"/>
  <c r="AI243" i="2"/>
  <c r="AG243" i="2"/>
  <c r="AG325" i="2"/>
  <c r="AI325" i="2"/>
  <c r="AG323" i="2"/>
  <c r="AI323" i="2"/>
  <c r="AG379" i="2"/>
  <c r="AI379" i="2"/>
  <c r="AI171" i="2"/>
  <c r="AG171" i="2"/>
  <c r="AI253" i="2"/>
  <c r="AG253" i="2"/>
  <c r="AI329" i="2"/>
  <c r="AG329" i="2"/>
  <c r="AI209" i="2"/>
  <c r="AG209" i="2"/>
  <c r="AG89" i="2"/>
  <c r="AI89" i="2"/>
  <c r="AI359" i="2"/>
  <c r="AG359" i="2"/>
  <c r="AI295" i="2"/>
  <c r="AG295" i="2"/>
  <c r="AG231" i="2"/>
  <c r="AI231" i="2"/>
  <c r="AG167" i="2"/>
  <c r="AI167" i="2"/>
  <c r="AG103" i="2"/>
  <c r="AI103" i="2"/>
  <c r="AI39" i="2"/>
  <c r="AG39" i="2"/>
  <c r="AI109" i="2"/>
  <c r="AG109" i="2"/>
  <c r="AI45" i="2"/>
  <c r="AG45" i="2"/>
  <c r="AI353" i="2"/>
  <c r="AG353" i="2"/>
  <c r="AG217" i="2"/>
  <c r="AI217" i="2"/>
  <c r="AG73" i="2"/>
  <c r="AI73" i="2"/>
  <c r="AI256" i="2"/>
  <c r="AG256" i="2"/>
  <c r="AG200" i="2"/>
  <c r="AI200" i="2"/>
  <c r="AG262" i="2"/>
  <c r="AI262" i="2"/>
  <c r="AI204" i="2"/>
  <c r="AG204" i="2"/>
  <c r="AG222" i="2"/>
  <c r="AI222" i="2"/>
  <c r="AG156" i="2"/>
  <c r="AI156" i="2"/>
  <c r="AG190" i="2"/>
  <c r="AI190" i="2"/>
  <c r="AG288" i="2"/>
  <c r="AI288" i="2"/>
  <c r="AI162" i="2"/>
  <c r="AG162" i="2"/>
  <c r="AI310" i="2"/>
  <c r="AG310" i="2"/>
  <c r="AG284" i="2"/>
  <c r="AI284" i="2"/>
  <c r="AI174" i="2"/>
  <c r="AG174" i="2"/>
  <c r="AG176" i="2"/>
  <c r="AI176" i="2"/>
  <c r="AI24" i="2"/>
  <c r="AG24" i="2"/>
  <c r="AG26" i="2"/>
  <c r="AI26" i="2"/>
  <c r="AI380" i="2"/>
  <c r="AG380" i="2"/>
  <c r="AG374" i="2"/>
  <c r="AI374" i="2"/>
  <c r="AI356" i="2"/>
  <c r="AG356" i="2"/>
  <c r="AI66" i="2"/>
  <c r="AG66" i="2"/>
  <c r="AI336" i="2"/>
  <c r="AG336" i="2"/>
  <c r="AG74" i="2"/>
  <c r="AI74" i="2"/>
  <c r="AI342" i="2"/>
  <c r="AG342" i="2"/>
  <c r="AG366" i="2"/>
  <c r="AI366" i="2"/>
  <c r="AI187" i="2"/>
  <c r="AG187" i="2"/>
  <c r="AI205" i="2"/>
  <c r="AG205" i="2"/>
  <c r="AG203" i="2"/>
  <c r="AI203" i="2"/>
  <c r="AG221" i="2"/>
  <c r="AI221" i="2"/>
  <c r="AI283" i="2"/>
  <c r="AG283" i="2"/>
  <c r="AG301" i="2"/>
  <c r="AI301" i="2"/>
  <c r="AI365" i="2"/>
  <c r="AG365" i="2"/>
  <c r="AG147" i="2"/>
  <c r="AI147" i="2"/>
  <c r="AG211" i="2"/>
  <c r="AI211" i="2"/>
  <c r="AI313" i="2"/>
  <c r="AG313" i="2"/>
  <c r="AG193" i="2"/>
  <c r="AI193" i="2"/>
  <c r="AI81" i="2"/>
  <c r="AG81" i="2"/>
  <c r="AI351" i="2"/>
  <c r="AG351" i="2"/>
  <c r="AI287" i="2"/>
  <c r="AG287" i="2"/>
  <c r="AI223" i="2"/>
  <c r="AG223" i="2"/>
  <c r="AI159" i="2"/>
  <c r="AG159" i="2"/>
  <c r="AG95" i="2"/>
  <c r="AI95" i="2"/>
  <c r="AI31" i="2"/>
  <c r="AG31" i="2"/>
  <c r="AG101" i="2"/>
  <c r="AI101" i="2"/>
  <c r="AG37" i="2"/>
  <c r="AI37" i="2"/>
  <c r="AI337" i="2"/>
  <c r="AG337" i="2"/>
  <c r="AI201" i="2"/>
  <c r="AG201" i="2"/>
  <c r="Z18" i="4"/>
  <c r="Z16" i="4"/>
  <c r="Z15" i="4"/>
  <c r="Z17" i="4"/>
  <c r="Z14" i="4"/>
  <c r="T19" i="2"/>
  <c r="Z218" i="4"/>
  <c r="Z291" i="4"/>
  <c r="Z342" i="4"/>
  <c r="Z141" i="4"/>
  <c r="Z211" i="4"/>
  <c r="Z28" i="4"/>
  <c r="Z95" i="4"/>
  <c r="Z230" i="4"/>
  <c r="Z255" i="4"/>
  <c r="Z328" i="4"/>
  <c r="Z308" i="4"/>
  <c r="Z29" i="4"/>
  <c r="Z31" i="4"/>
  <c r="Z42" i="4"/>
  <c r="Z62" i="4"/>
  <c r="Z151" i="4"/>
  <c r="Z71" i="4"/>
  <c r="Z327" i="4"/>
  <c r="Z205" i="4"/>
  <c r="Z128" i="4"/>
  <c r="Z350" i="4"/>
  <c r="Z236" i="4"/>
  <c r="Z13" i="4"/>
  <c r="Z96" i="4"/>
  <c r="Z9" i="4"/>
  <c r="Z281" i="4"/>
  <c r="Z156" i="4"/>
  <c r="Z309" i="4"/>
  <c r="Z200" i="4"/>
  <c r="Z113" i="4"/>
  <c r="Z262" i="4"/>
  <c r="Z67" i="4"/>
  <c r="Z91" i="4"/>
  <c r="Z144" i="4"/>
  <c r="Z338" i="4"/>
  <c r="Z25" i="4"/>
  <c r="Z59" i="4"/>
  <c r="Z168" i="4"/>
  <c r="Z111" i="4"/>
  <c r="Z103" i="4"/>
  <c r="Z20" i="4"/>
  <c r="Z278" i="4"/>
  <c r="Z41" i="4"/>
  <c r="Z150" i="4"/>
  <c r="Z88" i="4"/>
  <c r="Z343" i="4"/>
  <c r="Z68" i="4"/>
  <c r="Z261" i="4"/>
  <c r="Z72" i="4"/>
  <c r="Z35" i="4"/>
  <c r="Z231" i="4"/>
  <c r="Z217" i="4"/>
  <c r="Z195" i="4"/>
  <c r="Z172" i="4"/>
  <c r="Z314" i="4"/>
  <c r="Z223" i="4"/>
  <c r="Z241" i="4"/>
  <c r="Z198" i="4"/>
  <c r="Z194" i="4"/>
  <c r="Z7" i="4"/>
  <c r="Z79" i="4"/>
  <c r="Z63" i="4"/>
  <c r="Z174" i="4"/>
  <c r="Z301" i="4"/>
  <c r="Z158" i="4"/>
  <c r="Z274" i="4"/>
  <c r="Z273" i="4"/>
  <c r="Z82" i="4"/>
  <c r="Z131" i="4"/>
  <c r="Z52" i="4"/>
  <c r="Z26" i="4"/>
  <c r="Z40" i="4"/>
  <c r="Z214" i="4"/>
  <c r="Z70" i="4"/>
  <c r="Z160" i="4"/>
  <c r="Z271" i="4"/>
  <c r="Z6" i="4"/>
  <c r="Z287" i="4"/>
  <c r="Z30" i="4"/>
  <c r="Z221" i="4"/>
  <c r="Z264" i="4"/>
  <c r="Z43" i="4"/>
  <c r="Z57" i="4"/>
  <c r="Z356" i="4"/>
  <c r="Z206" i="4"/>
  <c r="Z359" i="4"/>
  <c r="Z279" i="4"/>
  <c r="Z179" i="4"/>
  <c r="Z44" i="4"/>
  <c r="Z251" i="4"/>
  <c r="Z348" i="4"/>
  <c r="Z331" i="4"/>
  <c r="Z204" i="4"/>
  <c r="Z191" i="4"/>
  <c r="Z120" i="4"/>
  <c r="Z368" i="4"/>
  <c r="Z112" i="4"/>
  <c r="Z219" i="4"/>
  <c r="Z129" i="4"/>
  <c r="Z330" i="4"/>
  <c r="Z254" i="4"/>
  <c r="Z152" i="4"/>
  <c r="Z8" i="4"/>
  <c r="Z242" i="4"/>
  <c r="Z197" i="4"/>
  <c r="Z361" i="4"/>
  <c r="Z153" i="4"/>
  <c r="Z10" i="4"/>
  <c r="Z302" i="4"/>
  <c r="Z293" i="4"/>
  <c r="Z192" i="4"/>
  <c r="Z210" i="4"/>
  <c r="Z27" i="4"/>
  <c r="Z225" i="4"/>
  <c r="Z87" i="4"/>
  <c r="Z32" i="4"/>
  <c r="Z292" i="4"/>
  <c r="Z64" i="4"/>
  <c r="Z133" i="4"/>
  <c r="Z300" i="4"/>
  <c r="Z322" i="4"/>
  <c r="Z126" i="4"/>
  <c r="Z332" i="4"/>
  <c r="Z315" i="4"/>
  <c r="Z178" i="4"/>
  <c r="Z247" i="4"/>
  <c r="Z252" i="4"/>
  <c r="Z187" i="4"/>
  <c r="Z23" i="4"/>
  <c r="Z349" i="4"/>
  <c r="Z118" i="4"/>
  <c r="Z24" i="4"/>
  <c r="Z109" i="4"/>
  <c r="Z243" i="4"/>
  <c r="Z346" i="4"/>
  <c r="Z146" i="4"/>
  <c r="Z51" i="4"/>
  <c r="Z55" i="4"/>
  <c r="Z108" i="4"/>
  <c r="Z258" i="4"/>
  <c r="Z39" i="4"/>
  <c r="Z66" i="4"/>
  <c r="Z260" i="4"/>
  <c r="Z323" i="4"/>
  <c r="Z329" i="4"/>
  <c r="Z240" i="4"/>
  <c r="Z333" i="4"/>
  <c r="Z257" i="4"/>
  <c r="Z122" i="4"/>
  <c r="Z37" i="4"/>
  <c r="Z326" i="4"/>
  <c r="Z145" i="4"/>
  <c r="Z259" i="4"/>
  <c r="Z220" i="4"/>
  <c r="Z296" i="4"/>
  <c r="Z157" i="4"/>
  <c r="Z335" i="4"/>
  <c r="Z337" i="4"/>
  <c r="Z170" i="4"/>
  <c r="Z167" i="4"/>
  <c r="Z148" i="4"/>
  <c r="Z50" i="4"/>
  <c r="Z104" i="4"/>
  <c r="Z94" i="4"/>
  <c r="Z155" i="4"/>
  <c r="Z290" i="4"/>
  <c r="Z265" i="4"/>
  <c r="Z216" i="4"/>
  <c r="Z286" i="4"/>
  <c r="Z21" i="4"/>
  <c r="Z305" i="4"/>
  <c r="Z283" i="4"/>
  <c r="Z213" i="4"/>
  <c r="Z124" i="4"/>
  <c r="Z320" i="4"/>
  <c r="Z147" i="4"/>
  <c r="Z277" i="4"/>
  <c r="Z65" i="4"/>
  <c r="Z162" i="4"/>
  <c r="Z78" i="4"/>
  <c r="Z73" i="4"/>
  <c r="Z99" i="4"/>
  <c r="Z121" i="4"/>
  <c r="Z19" i="4"/>
  <c r="Z139" i="4"/>
  <c r="Z282" i="4"/>
  <c r="Z303" i="4"/>
  <c r="Z353" i="4"/>
  <c r="Z272" i="4"/>
  <c r="Z345" i="4"/>
  <c r="Z233" i="4"/>
  <c r="Z175" i="4"/>
  <c r="Z339" i="4"/>
  <c r="Z89" i="4"/>
  <c r="Z336" i="4"/>
  <c r="Z97" i="4"/>
  <c r="Z166" i="4"/>
  <c r="Z84" i="4"/>
  <c r="Z203" i="4"/>
  <c r="Z136" i="4"/>
  <c r="Z173" i="4"/>
  <c r="Z325" i="4"/>
  <c r="Z193" i="4"/>
  <c r="Z114" i="4"/>
  <c r="Z140" i="4"/>
  <c r="Z310" i="4"/>
  <c r="Z317" i="4"/>
  <c r="Z321" i="4"/>
  <c r="Z250" i="4"/>
  <c r="Z76" i="4"/>
  <c r="Z36" i="4"/>
  <c r="Z276" i="4"/>
  <c r="Z132" i="4"/>
  <c r="Z92" i="4"/>
  <c r="Z69" i="4"/>
  <c r="Z176" i="4"/>
  <c r="Z177" i="4"/>
  <c r="Z253" i="4"/>
  <c r="Z245" i="4"/>
  <c r="Z142" i="4"/>
  <c r="Z365" i="4"/>
  <c r="Z237" i="4"/>
  <c r="Z306" i="4"/>
  <c r="Z143" i="4"/>
  <c r="Z364" i="4"/>
  <c r="Z119" i="4"/>
  <c r="Z106" i="4"/>
  <c r="Z159" i="4"/>
  <c r="Z46" i="4"/>
  <c r="Z125" i="4"/>
  <c r="Z319" i="4"/>
  <c r="Z116" i="4"/>
  <c r="Z215" i="4"/>
  <c r="Z358" i="4"/>
  <c r="Z341" i="4"/>
  <c r="Z249" i="4"/>
  <c r="Z138" i="4"/>
  <c r="Z360" i="4"/>
  <c r="Z33" i="4"/>
  <c r="Z229" i="4"/>
  <c r="Z312" i="4"/>
  <c r="Z184" i="4"/>
  <c r="Z107" i="4"/>
  <c r="Z280" i="4"/>
  <c r="Z149" i="4"/>
  <c r="Z256" i="4"/>
  <c r="Z304" i="4"/>
  <c r="Z123" i="4"/>
  <c r="Z347" i="4"/>
  <c r="Z344" i="4"/>
  <c r="Z267" i="4"/>
  <c r="Z22" i="4"/>
  <c r="Z86" i="4"/>
  <c r="Z74" i="4"/>
  <c r="Z130" i="4"/>
  <c r="Z100" i="4"/>
  <c r="Z316" i="4"/>
  <c r="Z93" i="4"/>
  <c r="Z54" i="4"/>
  <c r="Z270" i="4"/>
  <c r="Z239" i="4"/>
  <c r="Z324" i="4"/>
  <c r="Z209" i="4"/>
  <c r="Z284" i="4"/>
  <c r="Z154" i="4"/>
  <c r="Z85" i="4"/>
  <c r="Z48" i="4"/>
  <c r="Z268" i="4"/>
  <c r="Z354" i="4"/>
  <c r="Z222" i="4"/>
  <c r="Z47" i="4"/>
  <c r="Z75" i="4"/>
  <c r="Z60" i="4"/>
  <c r="Z165" i="4"/>
  <c r="Z81" i="4"/>
  <c r="Z127" i="4"/>
  <c r="Z297" i="4"/>
  <c r="Z269" i="4"/>
  <c r="Z307" i="4"/>
  <c r="Z53" i="4"/>
  <c r="Z61" i="4"/>
  <c r="Z275" i="4"/>
  <c r="Z45" i="4"/>
  <c r="Z248" i="4"/>
  <c r="Z207" i="4"/>
  <c r="Z185" i="4"/>
  <c r="Z196" i="4"/>
  <c r="Z11" i="4"/>
  <c r="Z311" i="4"/>
  <c r="Z295" i="4"/>
  <c r="Z294" i="4"/>
  <c r="Z83" i="4"/>
  <c r="Z366" i="4"/>
  <c r="Z98" i="4"/>
  <c r="Z367" i="4"/>
  <c r="Z289" i="4"/>
  <c r="Z90" i="4"/>
  <c r="Z135" i="4"/>
  <c r="Z188" i="4"/>
  <c r="Z171" i="4"/>
  <c r="Z227" i="4"/>
  <c r="Z190" i="4"/>
  <c r="Z180" i="4"/>
  <c r="Z181" i="4"/>
  <c r="Z352" i="4"/>
  <c r="Z34" i="4"/>
  <c r="Z355" i="4"/>
  <c r="Z5" i="4"/>
  <c r="Z244" i="4"/>
  <c r="Z161" i="4"/>
  <c r="Z235" i="4"/>
  <c r="Z362" i="4"/>
  <c r="Z182" i="4"/>
  <c r="Z234" i="4"/>
  <c r="Z285" i="4"/>
  <c r="Z137" i="4"/>
  <c r="Z313" i="4"/>
  <c r="Z164" i="4"/>
  <c r="Z232" i="4"/>
  <c r="Z340" i="4"/>
  <c r="Z212" i="4"/>
  <c r="Z266" i="4"/>
  <c r="Z202" i="4"/>
  <c r="Z101" i="4"/>
  <c r="Z199" i="4"/>
  <c r="Z298" i="4"/>
  <c r="Z263" i="4"/>
  <c r="Z363" i="4"/>
  <c r="Z134" i="4"/>
  <c r="Z117" i="4"/>
  <c r="Z169" i="4"/>
  <c r="Z105" i="4"/>
  <c r="Z318" i="4"/>
  <c r="Z208" i="4"/>
  <c r="Z201" i="4"/>
  <c r="Z357" i="4"/>
  <c r="Z58" i="4"/>
  <c r="Z228" i="4"/>
  <c r="Z49" i="4"/>
  <c r="Z224" i="4"/>
  <c r="Z299" i="4"/>
  <c r="Z102" i="4"/>
  <c r="Z238" i="4"/>
  <c r="Z351" i="4"/>
  <c r="Z189" i="4"/>
  <c r="Z334" i="4"/>
  <c r="Z186" i="4"/>
  <c r="Z226" i="4"/>
  <c r="Z56" i="4"/>
  <c r="Z163" i="4"/>
  <c r="Z288" i="4"/>
  <c r="Z80" i="4"/>
  <c r="Z183" i="4"/>
  <c r="Z246" i="4"/>
  <c r="Z12" i="4"/>
  <c r="Z115" i="4"/>
  <c r="Z38" i="4"/>
  <c r="Z110" i="4"/>
  <c r="Z77" i="4"/>
  <c r="AI241" i="2" l="1"/>
  <c r="AG241" i="2"/>
  <c r="AA17" i="2"/>
  <c r="AD17" i="2" s="1"/>
  <c r="Z4" i="2"/>
  <c r="AD16" i="2"/>
  <c r="AF16" i="2"/>
  <c r="AG17" i="2"/>
  <c r="AI17" i="2"/>
  <c r="AD378" i="2"/>
  <c r="AD324" i="2"/>
  <c r="AD371" i="2"/>
  <c r="AD190" i="2"/>
  <c r="AD329" i="2"/>
  <c r="AD192" i="2"/>
  <c r="AD83" i="2"/>
  <c r="AD283" i="2"/>
  <c r="AD212" i="2"/>
  <c r="AD82" i="2"/>
  <c r="AD221" i="2"/>
  <c r="AD359" i="2"/>
  <c r="AD197" i="2"/>
  <c r="AD62" i="2"/>
  <c r="AD351" i="2"/>
  <c r="AD313" i="2"/>
  <c r="AD203" i="2"/>
  <c r="AD74" i="2"/>
  <c r="AD24" i="2"/>
  <c r="AD284" i="2"/>
  <c r="AD109" i="2"/>
  <c r="AD253" i="2"/>
  <c r="AD292" i="2"/>
  <c r="AD233" i="2"/>
  <c r="AD117" i="2"/>
  <c r="AD67" i="2"/>
  <c r="AD68" i="2"/>
  <c r="AD244" i="2"/>
  <c r="AD121" i="2"/>
  <c r="AD55" i="2"/>
  <c r="AD361" i="2"/>
  <c r="AD102" i="2"/>
  <c r="AD191" i="2"/>
  <c r="AD319" i="2"/>
  <c r="AD257" i="2"/>
  <c r="AD339" i="2"/>
  <c r="AD349" i="2"/>
  <c r="AD112" i="2"/>
  <c r="AD254" i="2"/>
  <c r="AD71" i="2"/>
  <c r="AD195" i="2"/>
  <c r="AD107" i="2"/>
  <c r="AD143" i="2"/>
  <c r="AD161" i="2"/>
  <c r="AD91" i="2"/>
  <c r="AD96" i="2"/>
  <c r="AD52" i="2"/>
  <c r="AD270" i="2"/>
  <c r="AD59" i="2"/>
  <c r="AD261" i="2"/>
  <c r="AD170" i="2"/>
  <c r="AD37" i="2"/>
  <c r="AD223" i="2"/>
  <c r="AD187" i="2"/>
  <c r="AD66" i="2"/>
  <c r="AD380" i="2"/>
  <c r="AD288" i="2"/>
  <c r="AD229" i="2"/>
  <c r="AD80" i="2"/>
  <c r="AD206" i="2"/>
  <c r="AD369" i="2"/>
  <c r="AD251" i="2"/>
  <c r="AD312" i="2"/>
  <c r="AD138" i="2"/>
  <c r="AD123" i="2"/>
  <c r="AD348" i="2"/>
  <c r="AD296" i="2"/>
  <c r="AD277" i="2"/>
  <c r="AD331" i="2"/>
  <c r="AD298" i="2"/>
  <c r="AD188" i="2"/>
  <c r="AD281" i="2"/>
  <c r="AD131" i="2"/>
  <c r="AD98" i="2"/>
  <c r="AD85" i="2"/>
  <c r="AD237" i="2"/>
  <c r="AD141" i="2"/>
  <c r="AD316" i="2"/>
  <c r="AD150" i="2"/>
  <c r="AD228" i="2"/>
  <c r="AD23" i="2"/>
  <c r="AD215" i="2"/>
  <c r="AD90" i="2"/>
  <c r="AD86" i="2"/>
  <c r="AD136" i="2"/>
  <c r="AD182" i="2"/>
  <c r="AD95" i="2"/>
  <c r="AD176" i="2"/>
  <c r="AD262" i="2"/>
  <c r="AD256" i="2"/>
  <c r="AD338" i="2"/>
  <c r="AD160" i="2"/>
  <c r="AD318" i="2"/>
  <c r="AD225" i="2"/>
  <c r="AD275" i="2"/>
  <c r="AD363" i="2"/>
  <c r="AD326" i="2"/>
  <c r="AD166" i="2"/>
  <c r="AD247" i="2"/>
  <c r="AD307" i="2"/>
  <c r="AD332" i="2"/>
  <c r="AD280" i="2"/>
  <c r="AD230" i="2"/>
  <c r="AD114" i="2"/>
  <c r="AD216" i="2"/>
  <c r="AD145" i="2"/>
  <c r="AD357" i="2"/>
  <c r="AD22" i="2"/>
  <c r="AD330" i="2"/>
  <c r="AD282" i="2"/>
  <c r="AD258" i="2"/>
  <c r="AD232" i="2"/>
  <c r="AD297" i="2"/>
  <c r="AD335" i="2"/>
  <c r="AD289" i="2"/>
  <c r="AD88" i="2"/>
  <c r="AD304" i="2"/>
  <c r="AD134" i="2"/>
  <c r="AD201" i="2"/>
  <c r="AD81" i="2"/>
  <c r="AD211" i="2"/>
  <c r="AD205" i="2"/>
  <c r="AD156" i="2"/>
  <c r="AD353" i="2"/>
  <c r="AD39" i="2"/>
  <c r="AD167" i="2"/>
  <c r="AD209" i="2"/>
  <c r="AD171" i="2"/>
  <c r="AD354" i="2"/>
  <c r="AD110" i="2"/>
  <c r="AD47" i="2"/>
  <c r="AD25" i="2"/>
  <c r="AD48" i="2"/>
  <c r="AD18" i="2"/>
  <c r="AD154" i="2"/>
  <c r="AD208" i="2"/>
  <c r="AD249" i="2"/>
  <c r="AD242" i="2"/>
  <c r="AD69" i="2"/>
  <c r="AD63" i="2"/>
  <c r="AD255" i="2"/>
  <c r="AD334" i="2"/>
  <c r="AD194" i="2"/>
  <c r="AD327" i="2"/>
  <c r="AD273" i="2"/>
  <c r="AD367" i="2"/>
  <c r="AD50" i="2"/>
  <c r="AD368" i="2"/>
  <c r="AD21" i="2"/>
  <c r="AD219" i="2"/>
  <c r="AD210" i="2"/>
  <c r="AD29" i="2"/>
  <c r="AD279" i="2"/>
  <c r="AD28" i="2"/>
  <c r="AD101" i="2"/>
  <c r="AD310" i="2"/>
  <c r="AD231" i="2"/>
  <c r="AD325" i="2"/>
  <c r="AD364" i="2"/>
  <c r="AD274" i="2"/>
  <c r="AD175" i="2"/>
  <c r="AD314" i="2"/>
  <c r="AD248" i="2"/>
  <c r="AD311" i="2"/>
  <c r="AD113" i="2"/>
  <c r="AD58" i="2"/>
  <c r="AD72" i="2"/>
  <c r="AD246" i="2"/>
  <c r="AD137" i="2"/>
  <c r="AD41" i="2"/>
  <c r="AD173" i="2"/>
  <c r="AD358" i="2"/>
  <c r="AD360" i="2"/>
  <c r="AD116" i="2"/>
  <c r="AD306" i="2"/>
  <c r="AD35" i="2"/>
  <c r="AD149" i="2"/>
  <c r="AD199" i="2"/>
  <c r="AD54" i="2"/>
  <c r="AD290" i="2"/>
  <c r="AD207" i="2"/>
  <c r="AD341" i="2"/>
  <c r="AD139" i="2"/>
  <c r="AD122" i="2"/>
  <c r="AD40" i="2"/>
  <c r="AD78" i="2"/>
  <c r="AD308" i="2"/>
  <c r="AD142" i="2"/>
  <c r="AD87" i="2"/>
  <c r="AD189" i="2"/>
  <c r="AD179" i="2"/>
  <c r="AD165" i="2"/>
  <c r="AD34" i="2"/>
  <c r="AD301" i="2"/>
  <c r="AD336" i="2"/>
  <c r="AD222" i="2"/>
  <c r="AD200" i="2"/>
  <c r="AD73" i="2"/>
  <c r="AD103" i="2"/>
  <c r="AD227" i="2"/>
  <c r="AD152" i="2"/>
  <c r="AD300" i="2"/>
  <c r="AD214" i="2"/>
  <c r="AD239" i="2"/>
  <c r="AD345" i="2"/>
  <c r="AD269" i="2"/>
  <c r="AD370" i="2"/>
  <c r="AD294" i="2"/>
  <c r="AD125" i="2"/>
  <c r="AD317" i="2"/>
  <c r="AD75" i="2"/>
  <c r="AD293" i="2"/>
  <c r="AD265" i="2"/>
  <c r="AD129" i="2"/>
  <c r="AD377" i="2"/>
  <c r="AD126" i="2"/>
  <c r="AD276" i="2"/>
  <c r="AD252" i="2"/>
  <c r="AD104" i="2"/>
  <c r="AD164" i="2"/>
  <c r="AD186" i="2"/>
  <c r="AD224" i="2"/>
  <c r="AD43" i="2"/>
  <c r="AD115" i="2"/>
  <c r="AD157" i="2"/>
  <c r="AD56" i="2"/>
  <c r="AD144" i="2"/>
  <c r="AD168" i="2"/>
  <c r="AD151" i="2"/>
  <c r="AD177" i="2"/>
  <c r="AD259" i="2"/>
  <c r="AD64" i="2"/>
  <c r="AD198" i="2"/>
  <c r="AD337" i="2"/>
  <c r="AD159" i="2"/>
  <c r="AD287" i="2"/>
  <c r="AD26" i="2"/>
  <c r="AD162" i="2"/>
  <c r="AD217" i="2"/>
  <c r="AD379" i="2"/>
  <c r="AD350" i="2"/>
  <c r="AD340" i="2"/>
  <c r="AD196" i="2"/>
  <c r="AD264" i="2"/>
  <c r="AD347" i="2"/>
  <c r="AD32" i="2"/>
  <c r="AD92" i="2"/>
  <c r="AD148" i="2"/>
  <c r="AD19" i="2"/>
  <c r="AD183" i="2"/>
  <c r="AD76" i="2"/>
  <c r="AD132" i="2"/>
  <c r="AD130" i="2"/>
  <c r="AD146" i="2"/>
  <c r="AD133" i="2"/>
  <c r="AD127" i="2"/>
  <c r="AD70" i="2"/>
  <c r="AD278" i="2"/>
  <c r="AD153" i="2"/>
  <c r="AD49" i="2"/>
  <c r="AD51" i="2"/>
  <c r="AD99" i="2"/>
  <c r="AD120" i="2"/>
  <c r="AD79" i="2"/>
  <c r="AD140" i="2"/>
  <c r="AD343" i="2"/>
  <c r="AD181" i="2"/>
  <c r="AD328" i="2"/>
  <c r="AD234" i="2"/>
  <c r="AD147" i="2"/>
  <c r="AD342" i="2"/>
  <c r="AD204" i="2"/>
  <c r="AD295" i="2"/>
  <c r="AD243" i="2"/>
  <c r="AD100" i="2"/>
  <c r="AD111" i="2"/>
  <c r="AD97" i="2"/>
  <c r="AD376" i="2"/>
  <c r="AD260" i="2"/>
  <c r="AD226" i="2"/>
  <c r="AD33" i="2"/>
  <c r="AD235" i="2"/>
  <c r="AD375" i="2"/>
  <c r="AD94" i="2"/>
  <c r="AD42" i="2"/>
  <c r="AD218" i="2"/>
  <c r="AD315" i="2"/>
  <c r="AD362" i="2"/>
  <c r="AD344" i="2"/>
  <c r="AD77" i="2"/>
  <c r="AD263" i="2"/>
  <c r="AD299" i="2"/>
  <c r="AD178" i="2"/>
  <c r="AD169" i="2"/>
  <c r="AD124" i="2"/>
  <c r="AD220" i="2"/>
  <c r="AD321" i="2"/>
  <c r="AD20" i="2"/>
  <c r="AD268" i="2"/>
  <c r="AD236" i="2"/>
  <c r="AD240" i="2"/>
  <c r="AD53" i="2"/>
  <c r="AD373" i="2"/>
  <c r="AD158" i="2"/>
  <c r="AD108" i="2"/>
  <c r="AD291" i="2"/>
  <c r="AD356" i="2"/>
  <c r="AD305" i="2"/>
  <c r="AD238" i="2"/>
  <c r="AD57" i="2"/>
  <c r="AD118" i="2"/>
  <c r="AD44" i="2"/>
  <c r="AF50" i="2"/>
  <c r="AH50" i="2" s="1"/>
  <c r="AF363" i="2"/>
  <c r="AH363" i="2" s="1"/>
  <c r="AF70" i="2"/>
  <c r="AH70" i="2" s="1"/>
  <c r="AF146" i="2"/>
  <c r="AH146" i="2" s="1"/>
  <c r="AF224" i="2"/>
  <c r="AH224" i="2" s="1"/>
  <c r="AF194" i="2"/>
  <c r="AH194" i="2" s="1"/>
  <c r="AF364" i="2"/>
  <c r="AH364" i="2" s="1"/>
  <c r="AF102" i="2"/>
  <c r="AH102" i="2" s="1"/>
  <c r="AF323" i="2"/>
  <c r="AH323" i="2" s="1"/>
  <c r="AF73" i="2"/>
  <c r="AH73" i="2" s="1"/>
  <c r="AF72" i="2"/>
  <c r="AH72" i="2" s="1"/>
  <c r="AF97" i="2"/>
  <c r="AH97" i="2" s="1"/>
  <c r="AF105" i="2"/>
  <c r="AH105" i="2" s="1"/>
  <c r="AF356" i="2"/>
  <c r="AH356" i="2" s="1"/>
  <c r="AF196" i="2"/>
  <c r="AH196" i="2" s="1"/>
  <c r="AF370" i="2"/>
  <c r="AH370" i="2" s="1"/>
  <c r="AF131" i="2"/>
  <c r="AH131" i="2" s="1"/>
  <c r="AF265" i="2"/>
  <c r="AH265" i="2" s="1"/>
  <c r="AF88" i="2"/>
  <c r="AH88" i="2" s="1"/>
  <c r="AF337" i="2"/>
  <c r="AH337" i="2" s="1"/>
  <c r="AF348" i="2"/>
  <c r="AH348" i="2" s="1"/>
  <c r="AF365" i="2"/>
  <c r="AH365" i="2" s="1"/>
  <c r="AF90" i="2"/>
  <c r="AH90" i="2" s="1"/>
  <c r="AF295" i="2"/>
  <c r="AH295" i="2" s="1"/>
  <c r="AF106" i="2"/>
  <c r="AH106" i="2" s="1"/>
  <c r="AF169" i="2"/>
  <c r="AH169" i="2" s="1"/>
  <c r="AF269" i="2"/>
  <c r="AH269" i="2" s="1"/>
  <c r="AF51" i="2"/>
  <c r="AH51" i="2" s="1"/>
  <c r="AF29" i="2"/>
  <c r="AH29" i="2" s="1"/>
  <c r="AF259" i="2"/>
  <c r="AH259" i="2" s="1"/>
  <c r="AF76" i="2"/>
  <c r="AH76" i="2" s="1"/>
  <c r="AF305" i="2"/>
  <c r="AH305" i="2" s="1"/>
  <c r="AF164" i="2"/>
  <c r="AH164" i="2" s="1"/>
  <c r="AF203" i="2"/>
  <c r="AH203" i="2" s="1"/>
  <c r="AF371" i="2"/>
  <c r="AH371" i="2" s="1"/>
  <c r="AF299" i="2"/>
  <c r="AH299" i="2" s="1"/>
  <c r="AF64" i="2"/>
  <c r="AH64" i="2" s="1"/>
  <c r="AF75" i="2"/>
  <c r="AH75" i="2" s="1"/>
  <c r="AF184" i="2"/>
  <c r="AH184" i="2" s="1"/>
  <c r="AF355" i="2"/>
  <c r="AH355" i="2" s="1"/>
  <c r="AF180" i="2"/>
  <c r="AH180" i="2" s="1"/>
  <c r="AF125" i="2"/>
  <c r="AH125" i="2" s="1"/>
  <c r="AF248" i="2"/>
  <c r="AH248" i="2" s="1"/>
  <c r="AF54" i="2"/>
  <c r="AH54" i="2" s="1"/>
  <c r="AF40" i="2"/>
  <c r="AH40" i="2" s="1"/>
  <c r="AF310" i="2"/>
  <c r="AH310" i="2" s="1"/>
  <c r="AF300" i="2"/>
  <c r="AH300" i="2" s="1"/>
  <c r="AF369" i="2"/>
  <c r="AH369" i="2" s="1"/>
  <c r="AF352" i="2"/>
  <c r="AH352" i="2" s="1"/>
  <c r="AF374" i="2"/>
  <c r="AH374" i="2" s="1"/>
  <c r="AF193" i="2"/>
  <c r="AH193" i="2" s="1"/>
  <c r="AF301" i="2"/>
  <c r="AH301" i="2" s="1"/>
  <c r="AF23" i="2"/>
  <c r="AH23" i="2" s="1"/>
  <c r="AF65" i="2"/>
  <c r="AH65" i="2" s="1"/>
  <c r="AF87" i="2"/>
  <c r="AH87" i="2" s="1"/>
  <c r="AF166" i="2"/>
  <c r="AH166" i="2" s="1"/>
  <c r="AF328" i="2"/>
  <c r="AH328" i="2" s="1"/>
  <c r="AF359" i="2"/>
  <c r="AH359" i="2" s="1"/>
  <c r="AF324" i="2"/>
  <c r="AH324" i="2" s="1"/>
  <c r="AF227" i="2"/>
  <c r="AH227" i="2" s="1"/>
  <c r="AF376" i="2"/>
  <c r="AH376" i="2" s="1"/>
  <c r="AF189" i="2"/>
  <c r="AH189" i="2" s="1"/>
  <c r="AF262" i="2"/>
  <c r="AH262" i="2" s="1"/>
  <c r="AF185" i="2"/>
  <c r="AH185" i="2" s="1"/>
  <c r="AF101" i="2"/>
  <c r="AH101" i="2" s="1"/>
  <c r="AF315" i="2"/>
  <c r="AH315" i="2" s="1"/>
  <c r="AF174" i="2"/>
  <c r="AH174" i="2" s="1"/>
  <c r="AF317" i="2"/>
  <c r="AH317" i="2" s="1"/>
  <c r="AF116" i="2"/>
  <c r="AH116" i="2" s="1"/>
  <c r="AF308" i="2"/>
  <c r="AH308" i="2" s="1"/>
  <c r="AF345" i="2"/>
  <c r="AH345" i="2" s="1"/>
  <c r="AF270" i="2"/>
  <c r="AH270" i="2" s="1"/>
  <c r="AF121" i="2"/>
  <c r="AH121" i="2" s="1"/>
  <c r="AF190" i="2"/>
  <c r="AH190" i="2" s="1"/>
  <c r="AF304" i="2"/>
  <c r="AH304" i="2" s="1"/>
  <c r="AF314" i="2"/>
  <c r="AH314" i="2" s="1"/>
  <c r="AF266" i="2"/>
  <c r="AH266" i="2" s="1"/>
  <c r="AF216" i="2"/>
  <c r="AH216" i="2" s="1"/>
  <c r="AF218" i="2"/>
  <c r="AH218" i="2" s="1"/>
  <c r="AF18" i="2"/>
  <c r="AH18" i="2" s="1"/>
  <c r="AF143" i="2"/>
  <c r="AH143" i="2" s="1"/>
  <c r="AF91" i="2"/>
  <c r="AH91" i="2" s="1"/>
  <c r="AF207" i="2"/>
  <c r="AH207" i="2" s="1"/>
  <c r="AF100" i="2"/>
  <c r="AH100" i="2" s="1"/>
  <c r="AF71" i="2"/>
  <c r="AH71" i="2" s="1"/>
  <c r="AF212" i="2"/>
  <c r="AH212" i="2" s="1"/>
  <c r="AF362" i="2"/>
  <c r="AH362" i="2" s="1"/>
  <c r="AF43" i="2"/>
  <c r="AH43" i="2" s="1"/>
  <c r="AF223" i="2"/>
  <c r="AH223" i="2" s="1"/>
  <c r="AF92" i="2"/>
  <c r="AH92" i="2" s="1"/>
  <c r="AF89" i="2"/>
  <c r="AH89" i="2" s="1"/>
  <c r="AF250" i="2"/>
  <c r="AH250" i="2" s="1"/>
  <c r="AF375" i="2"/>
  <c r="AH375" i="2" s="1"/>
  <c r="AF122" i="2"/>
  <c r="AH122" i="2" s="1"/>
  <c r="AF175" i="2"/>
  <c r="AH175" i="2" s="1"/>
  <c r="AF114" i="2"/>
  <c r="AH114" i="2" s="1"/>
  <c r="AF213" i="2"/>
  <c r="AH213" i="2" s="1"/>
  <c r="AF275" i="2"/>
  <c r="AH275" i="2" s="1"/>
  <c r="AF244" i="2"/>
  <c r="AH244" i="2" s="1"/>
  <c r="AF247" i="2"/>
  <c r="AH247" i="2" s="1"/>
  <c r="AF192" i="2"/>
  <c r="AH192" i="2" s="1"/>
  <c r="AF379" i="2"/>
  <c r="AH379" i="2" s="1"/>
  <c r="AF208" i="2"/>
  <c r="AH208" i="2" s="1"/>
  <c r="AF319" i="2"/>
  <c r="AH319" i="2" s="1"/>
  <c r="AF59" i="2"/>
  <c r="AH59" i="2" s="1"/>
  <c r="AF296" i="2"/>
  <c r="AH296" i="2" s="1"/>
  <c r="AF112" i="2"/>
  <c r="AH112" i="2" s="1"/>
  <c r="AF135" i="2"/>
  <c r="AH135" i="2" s="1"/>
  <c r="AF241" i="2"/>
  <c r="AH241" i="2" s="1"/>
  <c r="AF128" i="2"/>
  <c r="AH128" i="2" s="1"/>
  <c r="AF155" i="2"/>
  <c r="AH155" i="2" s="1"/>
  <c r="AF188" i="2"/>
  <c r="AH188" i="2" s="1"/>
  <c r="AF333" i="2"/>
  <c r="AH333" i="2" s="1"/>
  <c r="AF148" i="2"/>
  <c r="AH148" i="2" s="1"/>
  <c r="AF351" i="2"/>
  <c r="AH351" i="2" s="1"/>
  <c r="AF294" i="2"/>
  <c r="AH294" i="2" s="1"/>
  <c r="AF77" i="2"/>
  <c r="AH77" i="2" s="1"/>
  <c r="AF33" i="2"/>
  <c r="AH33" i="2" s="1"/>
  <c r="AF62" i="2"/>
  <c r="AH62" i="2" s="1"/>
  <c r="AF232" i="2"/>
  <c r="AH232" i="2" s="1"/>
  <c r="AF252" i="2"/>
  <c r="AH252" i="2" s="1"/>
  <c r="AF120" i="2"/>
  <c r="AH120" i="2" s="1"/>
  <c r="AF36" i="2"/>
  <c r="AH36" i="2" s="1"/>
  <c r="AF327" i="2"/>
  <c r="AH327" i="2" s="1"/>
  <c r="AF44" i="2"/>
  <c r="AH44" i="2" s="1"/>
  <c r="AF22" i="2"/>
  <c r="AH22" i="2" s="1"/>
  <c r="AF342" i="2"/>
  <c r="AH342" i="2" s="1"/>
  <c r="AF343" i="2"/>
  <c r="AH343" i="2" s="1"/>
  <c r="AF368" i="2"/>
  <c r="AH368" i="2" s="1"/>
  <c r="AF283" i="2"/>
  <c r="AH283" i="2" s="1"/>
  <c r="AF94" i="2"/>
  <c r="AH94" i="2" s="1"/>
  <c r="AF19" i="2"/>
  <c r="AH19" i="2" s="1"/>
  <c r="AF229" i="2"/>
  <c r="AH229" i="2" s="1"/>
  <c r="AF162" i="2"/>
  <c r="AH162" i="2" s="1"/>
  <c r="AF37" i="2"/>
  <c r="AH37" i="2" s="1"/>
  <c r="AF321" i="2"/>
  <c r="AH321" i="2" s="1"/>
  <c r="AF140" i="2"/>
  <c r="AH140" i="2" s="1"/>
  <c r="AF41" i="2"/>
  <c r="AH41" i="2" s="1"/>
  <c r="AF153" i="2"/>
  <c r="AH153" i="2" s="1"/>
  <c r="AF220" i="2"/>
  <c r="AH220" i="2" s="1"/>
  <c r="AF173" i="2"/>
  <c r="AH173" i="2" s="1"/>
  <c r="AF202" i="2"/>
  <c r="AH202" i="2" s="1"/>
  <c r="AF110" i="2"/>
  <c r="AH110" i="2" s="1"/>
  <c r="AF197" i="2"/>
  <c r="AH197" i="2" s="1"/>
  <c r="AF281" i="2"/>
  <c r="AH281" i="2" s="1"/>
  <c r="AF234" i="2"/>
  <c r="AH234" i="2" s="1"/>
  <c r="AF221" i="2"/>
  <c r="AH221" i="2" s="1"/>
  <c r="AF142" i="2"/>
  <c r="AH142" i="2" s="1"/>
  <c r="AF316" i="2"/>
  <c r="AH316" i="2" s="1"/>
  <c r="AF45" i="2"/>
  <c r="AH45" i="2" s="1"/>
  <c r="AF331" i="2"/>
  <c r="AH331" i="2" s="1"/>
  <c r="AF318" i="2"/>
  <c r="AH318" i="2" s="1"/>
  <c r="AF81" i="2"/>
  <c r="AH81" i="2" s="1"/>
  <c r="AF329" i="2"/>
  <c r="AH329" i="2" s="1"/>
  <c r="AF27" i="2"/>
  <c r="AH27" i="2" s="1"/>
  <c r="AF187" i="2"/>
  <c r="AH187" i="2" s="1"/>
  <c r="AF151" i="2"/>
  <c r="AH151" i="2" s="1"/>
  <c r="AF289" i="2"/>
  <c r="AH289" i="2" s="1"/>
  <c r="AF298" i="2"/>
  <c r="AH298" i="2" s="1"/>
  <c r="AF160" i="2"/>
  <c r="AH160" i="2" s="1"/>
  <c r="AF271" i="2"/>
  <c r="AH271" i="2" s="1"/>
  <c r="AF30" i="2"/>
  <c r="AH30" i="2" s="1"/>
  <c r="AF67" i="2"/>
  <c r="AH67" i="2" s="1"/>
  <c r="AF130" i="2"/>
  <c r="AH130" i="2" s="1"/>
  <c r="AF344" i="2"/>
  <c r="AH344" i="2" s="1"/>
  <c r="AF99" i="2"/>
  <c r="AH99" i="2" s="1"/>
  <c r="AF165" i="2"/>
  <c r="AH165" i="2" s="1"/>
  <c r="AF141" i="2"/>
  <c r="AH141" i="2" s="1"/>
  <c r="AF360" i="2"/>
  <c r="AH360" i="2" s="1"/>
  <c r="AF69" i="2"/>
  <c r="AH69" i="2" s="1"/>
  <c r="AF172" i="2"/>
  <c r="AH172" i="2" s="1"/>
  <c r="AF285" i="2"/>
  <c r="AH285" i="2" s="1"/>
  <c r="AF206" i="2"/>
  <c r="AH206" i="2" s="1"/>
  <c r="AF243" i="2"/>
  <c r="AH243" i="2" s="1"/>
  <c r="AF53" i="2"/>
  <c r="AH53" i="2" s="1"/>
  <c r="AF350" i="2"/>
  <c r="AH350" i="2" s="1"/>
  <c r="AF168" i="2"/>
  <c r="AH168" i="2" s="1"/>
  <c r="AF217" i="2"/>
  <c r="AH217" i="2" s="1"/>
  <c r="AF320" i="2"/>
  <c r="AH320" i="2" s="1"/>
  <c r="AF354" i="2"/>
  <c r="AH354" i="2" s="1"/>
  <c r="AF68" i="2"/>
  <c r="AH68" i="2" s="1"/>
  <c r="AF238" i="2"/>
  <c r="AH238" i="2" s="1"/>
  <c r="AF330" i="2"/>
  <c r="AH330" i="2" s="1"/>
  <c r="AF211" i="2"/>
  <c r="AH211" i="2" s="1"/>
  <c r="AF325" i="2"/>
  <c r="AH325" i="2" s="1"/>
  <c r="AF256" i="2"/>
  <c r="AH256" i="2" s="1"/>
  <c r="AF239" i="2"/>
  <c r="AH239" i="2" s="1"/>
  <c r="AF378" i="2"/>
  <c r="AH378" i="2" s="1"/>
  <c r="AF219" i="2"/>
  <c r="AH219" i="2" s="1"/>
  <c r="AF309" i="2"/>
  <c r="AH309" i="2" s="1"/>
  <c r="AF336" i="2"/>
  <c r="AH336" i="2" s="1"/>
  <c r="AF86" i="2"/>
  <c r="AH86" i="2" s="1"/>
  <c r="AF268" i="2"/>
  <c r="AH268" i="2" s="1"/>
  <c r="AF372" i="2"/>
  <c r="AH372" i="2" s="1"/>
  <c r="AF137" i="2"/>
  <c r="AH137" i="2" s="1"/>
  <c r="AF249" i="2"/>
  <c r="AH249" i="2" s="1"/>
  <c r="AF104" i="2"/>
  <c r="AH104" i="2" s="1"/>
  <c r="AF322" i="2"/>
  <c r="AH322" i="2" s="1"/>
  <c r="AF215" i="2"/>
  <c r="AH215" i="2" s="1"/>
  <c r="AF245" i="2"/>
  <c r="AH245" i="2" s="1"/>
  <c r="AF31" i="2"/>
  <c r="AH31" i="2" s="1"/>
  <c r="AF159" i="2"/>
  <c r="AH159" i="2" s="1"/>
  <c r="AF228" i="2"/>
  <c r="AH228" i="2" s="1"/>
  <c r="AF179" i="2"/>
  <c r="AH179" i="2" s="1"/>
  <c r="AF157" i="2"/>
  <c r="AH157" i="2" s="1"/>
  <c r="AF341" i="2"/>
  <c r="AH341" i="2" s="1"/>
  <c r="AF63" i="2"/>
  <c r="AH63" i="2" s="1"/>
  <c r="AF361" i="2"/>
  <c r="AH361" i="2" s="1"/>
  <c r="AF138" i="2"/>
  <c r="AH138" i="2" s="1"/>
  <c r="AF237" i="2"/>
  <c r="AH237" i="2" s="1"/>
  <c r="AF373" i="2"/>
  <c r="AH373" i="2" s="1"/>
  <c r="AF231" i="2"/>
  <c r="AH231" i="2" s="1"/>
  <c r="AF263" i="2"/>
  <c r="AH263" i="2" s="1"/>
  <c r="AF55" i="2"/>
  <c r="AH55" i="2" s="1"/>
  <c r="AF82" i="2"/>
  <c r="AH82" i="2" s="1"/>
  <c r="AF286" i="2"/>
  <c r="AH286" i="2" s="1"/>
  <c r="AF210" i="2"/>
  <c r="AH210" i="2" s="1"/>
  <c r="AF47" i="2"/>
  <c r="AH47" i="2" s="1"/>
  <c r="AF290" i="2"/>
  <c r="AH290" i="2" s="1"/>
  <c r="AF156" i="2"/>
  <c r="AH156" i="2" s="1"/>
  <c r="AF293" i="2"/>
  <c r="AH293" i="2" s="1"/>
  <c r="AF339" i="2"/>
  <c r="AH339" i="2" s="1"/>
  <c r="AF340" i="2"/>
  <c r="AH340" i="2" s="1"/>
  <c r="AF303" i="2"/>
  <c r="AH303" i="2" s="1"/>
  <c r="AF311" i="2"/>
  <c r="AH311" i="2" s="1"/>
  <c r="AF236" i="2"/>
  <c r="AH236" i="2" s="1"/>
  <c r="AF149" i="2"/>
  <c r="AH149" i="2" s="1"/>
  <c r="AF183" i="2"/>
  <c r="AH183" i="2" s="1"/>
  <c r="AF260" i="2"/>
  <c r="AH260" i="2" s="1"/>
  <c r="AF139" i="2"/>
  <c r="AH139" i="2" s="1"/>
  <c r="AF366" i="2"/>
  <c r="AH366" i="2" s="1"/>
  <c r="AF251" i="2"/>
  <c r="AH251" i="2" s="1"/>
  <c r="AF98" i="2"/>
  <c r="AH98" i="2" s="1"/>
  <c r="AF161" i="2"/>
  <c r="AH161" i="2" s="1"/>
  <c r="AF150" i="2"/>
  <c r="AH150" i="2" s="1"/>
  <c r="AF58" i="2"/>
  <c r="AH58" i="2" s="1"/>
  <c r="AF377" i="2"/>
  <c r="AH377" i="2" s="1"/>
  <c r="AF144" i="2"/>
  <c r="AH144" i="2" s="1"/>
  <c r="AF152" i="2"/>
  <c r="AH152" i="2" s="1"/>
  <c r="AF96" i="2"/>
  <c r="AH96" i="2" s="1"/>
  <c r="AF357" i="2"/>
  <c r="AH357" i="2" s="1"/>
  <c r="AF133" i="2"/>
  <c r="AH133" i="2" s="1"/>
  <c r="AF332" i="2"/>
  <c r="AH332" i="2" s="1"/>
  <c r="AF277" i="2"/>
  <c r="AH277" i="2" s="1"/>
  <c r="AF182" i="2"/>
  <c r="AH182" i="2" s="1"/>
  <c r="AF338" i="2"/>
  <c r="AH338" i="2" s="1"/>
  <c r="AF335" i="2"/>
  <c r="AH335" i="2" s="1"/>
  <c r="AF158" i="2"/>
  <c r="AH158" i="2" s="1"/>
  <c r="AF35" i="2"/>
  <c r="AH35" i="2" s="1"/>
  <c r="AF334" i="2"/>
  <c r="AH334" i="2" s="1"/>
  <c r="AF39" i="2"/>
  <c r="AH39" i="2" s="1"/>
  <c r="AF209" i="2"/>
  <c r="AH209" i="2" s="1"/>
  <c r="AF124" i="2"/>
  <c r="AH124" i="2" s="1"/>
  <c r="AF56" i="2"/>
  <c r="AH56" i="2" s="1"/>
  <c r="AF276" i="2"/>
  <c r="AH276" i="2" s="1"/>
  <c r="AF226" i="2"/>
  <c r="AH226" i="2" s="1"/>
  <c r="AF170" i="2"/>
  <c r="AH170" i="2" s="1"/>
  <c r="AF253" i="2"/>
  <c r="AH253" i="2" s="1"/>
  <c r="AF84" i="2"/>
  <c r="AH84" i="2" s="1"/>
  <c r="AF32" i="2"/>
  <c r="AH32" i="2" s="1"/>
  <c r="AF103" i="2"/>
  <c r="AH103" i="2" s="1"/>
  <c r="AF21" i="2"/>
  <c r="AH21" i="2" s="1"/>
  <c r="AF83" i="2"/>
  <c r="AH83" i="2" s="1"/>
  <c r="AF267" i="2"/>
  <c r="AH267" i="2" s="1"/>
  <c r="AF230" i="2"/>
  <c r="AH230" i="2" s="1"/>
  <c r="AF176" i="2"/>
  <c r="AH176" i="2" s="1"/>
  <c r="AF198" i="2"/>
  <c r="AH198" i="2" s="1"/>
  <c r="AF113" i="2"/>
  <c r="AH113" i="2" s="1"/>
  <c r="AF17" i="2"/>
  <c r="AF258" i="2"/>
  <c r="AH258" i="2" s="1"/>
  <c r="AF214" i="2"/>
  <c r="AH214" i="2" s="1"/>
  <c r="AF200" i="2"/>
  <c r="AH200" i="2" s="1"/>
  <c r="AF57" i="2"/>
  <c r="AH57" i="2" s="1"/>
  <c r="AF280" i="2"/>
  <c r="AH280" i="2" s="1"/>
  <c r="AF282" i="2"/>
  <c r="AH282" i="2" s="1"/>
  <c r="AF34" i="2"/>
  <c r="AH34" i="2" s="1"/>
  <c r="AF292" i="2"/>
  <c r="AH292" i="2" s="1"/>
  <c r="AF261" i="2"/>
  <c r="AH261" i="2" s="1"/>
  <c r="AF171" i="2"/>
  <c r="AH171" i="2" s="1"/>
  <c r="AF154" i="2"/>
  <c r="AH154" i="2" s="1"/>
  <c r="AF288" i="2"/>
  <c r="AH288" i="2" s="1"/>
  <c r="AF126" i="2"/>
  <c r="AH126" i="2" s="1"/>
  <c r="AF178" i="2"/>
  <c r="AH178" i="2" s="1"/>
  <c r="AF28" i="2"/>
  <c r="AH28" i="2" s="1"/>
  <c r="AF111" i="2"/>
  <c r="AH111" i="2" s="1"/>
  <c r="AF136" i="2"/>
  <c r="AF302" i="2"/>
  <c r="AH302" i="2" s="1"/>
  <c r="AF349" i="2"/>
  <c r="AH349" i="2" s="1"/>
  <c r="AF49" i="2"/>
  <c r="AH49" i="2" s="1"/>
  <c r="AF272" i="2"/>
  <c r="AH272" i="2" s="1"/>
  <c r="AF358" i="2"/>
  <c r="AH358" i="2" s="1"/>
  <c r="AF199" i="2"/>
  <c r="AH199" i="2" s="1"/>
  <c r="AF312" i="2"/>
  <c r="AH312" i="2" s="1"/>
  <c r="AF222" i="2"/>
  <c r="AH222" i="2" s="1"/>
  <c r="AF254" i="2"/>
  <c r="AH254" i="2" s="1"/>
  <c r="AF380" i="2"/>
  <c r="AH380" i="2" s="1"/>
  <c r="AF191" i="2"/>
  <c r="AH191" i="2" s="1"/>
  <c r="AF233" i="2"/>
  <c r="AH233" i="2" s="1"/>
  <c r="AF52" i="2"/>
  <c r="AH52" i="2" s="1"/>
  <c r="AF313" i="2"/>
  <c r="AH313" i="2" s="1"/>
  <c r="AF235" i="2"/>
  <c r="AH235" i="2" s="1"/>
  <c r="AF273" i="2"/>
  <c r="AH273" i="2" s="1"/>
  <c r="AF115" i="2"/>
  <c r="AH115" i="2" s="1"/>
  <c r="AF79" i="2"/>
  <c r="AH79" i="2" s="1"/>
  <c r="AF108" i="2"/>
  <c r="AH108" i="2" s="1"/>
  <c r="AF163" i="2"/>
  <c r="AH163" i="2" s="1"/>
  <c r="AF242" i="2"/>
  <c r="AH242" i="2" s="1"/>
  <c r="AF26" i="2"/>
  <c r="AH26" i="2" s="1"/>
  <c r="AF127" i="2"/>
  <c r="AH127" i="2" s="1"/>
  <c r="AF24" i="2"/>
  <c r="AH24" i="2" s="1"/>
  <c r="AF117" i="2"/>
  <c r="AH117" i="2" s="1"/>
  <c r="AF95" i="2"/>
  <c r="AH95" i="2" s="1"/>
  <c r="AF346" i="2"/>
  <c r="AH346" i="2" s="1"/>
  <c r="AF61" i="2"/>
  <c r="AH61" i="2" s="1"/>
  <c r="AF181" i="2"/>
  <c r="AH181" i="2" s="1"/>
  <c r="AF297" i="2"/>
  <c r="AH297" i="2" s="1"/>
  <c r="AF367" i="2"/>
  <c r="AH367" i="2" s="1"/>
  <c r="AF306" i="2"/>
  <c r="AH306" i="2" s="1"/>
  <c r="AF93" i="2"/>
  <c r="AH93" i="2" s="1"/>
  <c r="AF195" i="2"/>
  <c r="AH195" i="2" s="1"/>
  <c r="AF201" i="2"/>
  <c r="AH201" i="2" s="1"/>
  <c r="AF240" i="2"/>
  <c r="AH240" i="2" s="1"/>
  <c r="AF129" i="2"/>
  <c r="AH129" i="2" s="1"/>
  <c r="AF278" i="2"/>
  <c r="AH278" i="2" s="1"/>
  <c r="AF246" i="2"/>
  <c r="AH246" i="2" s="1"/>
  <c r="AF46" i="2"/>
  <c r="AH46" i="2" s="1"/>
  <c r="AF147" i="2"/>
  <c r="AH147" i="2" s="1"/>
  <c r="AF307" i="2"/>
  <c r="AH307" i="2" s="1"/>
  <c r="AF287" i="2"/>
  <c r="AH287" i="2" s="1"/>
  <c r="AF177" i="2"/>
  <c r="AH177" i="2" s="1"/>
  <c r="AF60" i="2"/>
  <c r="AH60" i="2" s="1"/>
  <c r="AF66" i="2"/>
  <c r="AH66" i="2" s="1"/>
  <c r="AF279" i="2"/>
  <c r="AH279" i="2" s="1"/>
  <c r="AF119" i="2"/>
  <c r="AH119" i="2" s="1"/>
  <c r="AF353" i="2"/>
  <c r="AH353" i="2" s="1"/>
  <c r="AF118" i="2"/>
  <c r="AH118" i="2" s="1"/>
  <c r="AF257" i="2"/>
  <c r="AH257" i="2" s="1"/>
  <c r="AF48" i="2"/>
  <c r="AH48" i="2" s="1"/>
  <c r="AF205" i="2"/>
  <c r="AH205" i="2" s="1"/>
  <c r="AF109" i="2"/>
  <c r="AH109" i="2" s="1"/>
  <c r="AF284" i="2"/>
  <c r="AH284" i="2" s="1"/>
  <c r="AF85" i="2"/>
  <c r="AH85" i="2" s="1"/>
  <c r="AF225" i="2"/>
  <c r="AH225" i="2" s="1"/>
  <c r="AF167" i="2"/>
  <c r="AH167" i="2" s="1"/>
  <c r="AF347" i="2"/>
  <c r="AH347" i="2" s="1"/>
  <c r="AF134" i="2"/>
  <c r="AH134" i="2" s="1"/>
  <c r="AF78" i="2"/>
  <c r="AH78" i="2" s="1"/>
  <c r="AF255" i="2"/>
  <c r="AH255" i="2" s="1"/>
  <c r="AF264" i="2"/>
  <c r="AH264" i="2" s="1"/>
  <c r="AF145" i="2"/>
  <c r="AH145" i="2" s="1"/>
  <c r="AF204" i="2"/>
  <c r="AH204" i="2" s="1"/>
  <c r="AF20" i="2"/>
  <c r="AH20" i="2" s="1"/>
  <c r="AF132" i="2"/>
  <c r="AH132" i="2" s="1"/>
  <c r="AF291" i="2"/>
  <c r="AH291" i="2" s="1"/>
  <c r="AF42" i="2"/>
  <c r="AH42" i="2" s="1"/>
  <c r="AF38" i="2"/>
  <c r="AH38" i="2" s="1"/>
  <c r="AF186" i="2"/>
  <c r="AH186" i="2" s="1"/>
  <c r="AF326" i="2"/>
  <c r="AH326" i="2" s="1"/>
  <c r="AF80" i="2"/>
  <c r="AH80" i="2" s="1"/>
  <c r="AF123" i="2"/>
  <c r="AH123" i="2" s="1"/>
  <c r="AF274" i="2"/>
  <c r="AH274" i="2" s="1"/>
  <c r="AF25" i="2"/>
  <c r="AH25" i="2" s="1"/>
  <c r="AF74" i="2"/>
  <c r="AH74" i="2" s="1"/>
  <c r="AF107" i="2"/>
  <c r="AH107" i="2" s="1"/>
  <c r="AD36" i="2" l="1"/>
  <c r="AD250" i="2"/>
  <c r="AD105" i="2"/>
  <c r="AD302" i="2"/>
  <c r="AD366" i="2"/>
  <c r="AD180" i="2"/>
  <c r="AD135" i="2"/>
  <c r="AD45" i="2"/>
  <c r="AD320" i="2"/>
  <c r="AD355" i="2"/>
  <c r="AD346" i="2"/>
  <c r="AD245" i="2"/>
  <c r="AD193" i="2"/>
  <c r="AD202" i="2"/>
  <c r="AD365" i="2"/>
  <c r="AD322" i="2"/>
  <c r="AD309" i="2"/>
  <c r="AD267" i="2"/>
  <c r="AD185" i="2"/>
  <c r="AD266" i="2"/>
  <c r="AD65" i="2"/>
  <c r="AD119" i="2"/>
  <c r="AD272" i="2"/>
  <c r="AD163" i="2"/>
  <c r="AD31" i="2"/>
  <c r="AD89" i="2"/>
  <c r="AD172" i="2"/>
  <c r="AD271" i="2"/>
  <c r="AD106" i="2"/>
  <c r="AD60" i="2"/>
  <c r="AD61" i="2"/>
  <c r="AD38" i="2"/>
  <c r="AD372" i="2"/>
  <c r="AD303" i="2"/>
  <c r="AD333" i="2"/>
  <c r="AD174" i="2"/>
  <c r="AD93" i="2"/>
  <c r="AD286" i="2"/>
  <c r="AD352" i="2"/>
  <c r="AD84" i="2"/>
  <c r="AD155" i="2"/>
  <c r="AD46" i="2"/>
  <c r="AD128" i="2"/>
  <c r="AD30" i="2"/>
  <c r="AD323" i="2"/>
  <c r="AD213" i="2"/>
  <c r="AD241" i="2"/>
  <c r="AD374" i="2"/>
  <c r="AD184" i="2"/>
  <c r="AD285" i="2"/>
  <c r="AD27" i="2"/>
  <c r="C31" i="8"/>
  <c r="AH136" i="2"/>
  <c r="AH17" i="2"/>
  <c r="Q4" i="2" l="1"/>
  <c r="R7" i="2" l="1"/>
  <c r="T61" i="2"/>
  <c r="T52" i="2"/>
  <c r="T60" i="2"/>
  <c r="T54" i="2"/>
  <c r="T63" i="2"/>
  <c r="T49" i="2"/>
  <c r="R4" i="2"/>
  <c r="R5" i="2" s="1"/>
  <c r="T64" i="2"/>
  <c r="T55" i="2"/>
  <c r="T62" i="2"/>
  <c r="T57" i="2"/>
  <c r="T59" i="2"/>
  <c r="T56" i="2"/>
  <c r="T51" i="2"/>
  <c r="T50" i="2"/>
  <c r="T53" i="2"/>
  <c r="T58" i="2"/>
  <c r="Q5" i="2"/>
  <c r="S7" i="2" l="1"/>
  <c r="T65" i="2"/>
  <c r="U7" i="2" s="1"/>
  <c r="S4" i="2"/>
  <c r="S5" i="2" s="1"/>
  <c r="T5" i="2" s="1"/>
  <c r="R8" i="2" l="1"/>
  <c r="T4" i="2"/>
  <c r="M5" i="2" s="1"/>
  <c r="P8" i="2" l="1"/>
  <c r="Q8" i="2"/>
  <c r="S8" i="2"/>
  <c r="T8" i="2" l="1"/>
  <c r="AG16" i="2"/>
  <c r="B26" i="2" s="1"/>
  <c r="AI16" i="2"/>
  <c r="Z7" i="2"/>
  <c r="B24" i="2" l="1"/>
  <c r="F52" i="1" s="1"/>
  <c r="AH16" i="2"/>
  <c r="C30" i="8"/>
  <c r="AA4" i="2"/>
  <c r="AA5" i="2" s="1"/>
  <c r="Z5" i="2"/>
  <c r="AA7" i="2"/>
  <c r="B25" i="2" l="1"/>
  <c r="AD7" i="2"/>
  <c r="C32" i="8"/>
  <c r="AB4" i="2"/>
  <c r="AB5" i="2" s="1"/>
  <c r="AB7" i="2"/>
  <c r="D31" i="8" l="1"/>
  <c r="C36" i="8" s="1"/>
  <c r="D30" i="8"/>
  <c r="C35" i="8" s="1"/>
  <c r="AC7" i="2"/>
  <c r="B27" i="2" s="1"/>
  <c r="AC4" i="2"/>
  <c r="AC5" i="2" s="1"/>
  <c r="AD5" i="2" s="1"/>
  <c r="AE7" i="2"/>
  <c r="AG7" i="2" s="1"/>
  <c r="B33" i="2" l="1"/>
  <c r="B34" i="2" s="1"/>
  <c r="Y8" i="2"/>
  <c r="Z8" i="2"/>
  <c r="AA8" i="2"/>
  <c r="AB8" i="2"/>
  <c r="AD4" i="2"/>
  <c r="M6" i="2" s="1"/>
  <c r="AC8" i="2"/>
  <c r="AD8" i="2" l="1"/>
  <c r="B47" i="2"/>
  <c r="C47" i="2" s="1"/>
  <c r="B51" i="2"/>
  <c r="C51" i="2" s="1"/>
  <c r="B35" i="2"/>
  <c r="B52" i="2"/>
  <c r="C52" i="2" s="1"/>
  <c r="B36" i="2"/>
  <c r="B55" i="2"/>
  <c r="C55" i="2" s="1"/>
  <c r="B48" i="2"/>
  <c r="C48" i="2" s="1"/>
  <c r="B46" i="2"/>
  <c r="C46" i="2" s="1"/>
  <c r="B42" i="2"/>
  <c r="B49" i="2"/>
  <c r="C49" i="2" s="1"/>
  <c r="B56" i="2"/>
  <c r="C56" i="2" s="1"/>
  <c r="B45" i="2"/>
  <c r="C45" i="2" s="1"/>
  <c r="B44" i="2"/>
  <c r="C44" i="2" s="1"/>
  <c r="B43" i="2"/>
  <c r="C43" i="2" s="1"/>
  <c r="D34" i="2"/>
  <c r="B50" i="2"/>
  <c r="C50" i="2" s="1"/>
  <c r="B53" i="2"/>
  <c r="C53" i="2" s="1"/>
  <c r="B54" i="2"/>
  <c r="C54" i="2" s="1"/>
  <c r="B38" i="2" l="1"/>
  <c r="E50" i="1" s="1"/>
  <c r="C42" i="2"/>
  <c r="B37" i="2" l="1"/>
  <c r="C57" i="2"/>
  <c r="C58" i="2" s="1"/>
  <c r="C7" i="8"/>
  <c r="C22" i="8" s="1"/>
  <c r="D38"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tc={C97FF5F1-577A-4F03-8AC2-D311583775B4}</author>
    <author>tc={3FBCFE7B-159D-4963-B4F5-F1CEE4BEF07A}</author>
    <author>tc={F226E536-6311-4B2B-8924-4C7601FBAD47}</author>
  </authors>
  <commentList>
    <comment ref="F86" authorId="0" shapeId="0" xr:uid="{C97FF5F1-577A-4F03-8AC2-D311583775B4}">
      <text>
        <t>[Threaded comment]
Your version of Excel allows you to read this threaded comment; however, any edits to it will get removed if the file is opened in a newer version of Excel. Learn more: https://go.microsoft.com/fwlink/?linkid=870924
Comment:
    8 mill pr MW ved -1</t>
      </text>
    </comment>
    <comment ref="F97" authorId="1" shapeId="0" xr:uid="{3FBCFE7B-159D-4963-B4F5-F1CEE4BEF07A}">
      <text>
        <t>[Threaded comment]
Your version of Excel allows you to read this threaded comment; however, any edits to it will get removed if the file is opened in a newer version of Excel. Learn more: https://go.microsoft.com/fwlink/?linkid=870924
Comment:
    15000 pr. m^2</t>
      </text>
    </comment>
    <comment ref="F108" authorId="2" shapeId="0" xr:uid="{F226E536-6311-4B2B-8924-4C7601FBAD47}">
      <text>
        <t>[Threaded comment]
Your version of Excel allows you to read this threaded comment; however, any edits to it will get removed if the file is opened in a newer version of Excel. Learn more: https://go.microsoft.com/fwlink/?linkid=870924
Comment:
    1 mill pr MW ved -1 C</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tc={51137788-09A3-4BD9-B069-F19F4B50936C}</author>
    <author>Pernille Hartmund Jørgensen</author>
    <author>tc={6966E51B-C638-4225-8BAB-5903F07575D9}</author>
    <author>tc={4A32F72D-9D75-4E18-9BAA-2E87DB3709DD}</author>
  </authors>
  <commentList>
    <comment ref="D3" authorId="0" shapeId="0" xr:uid="{51137788-09A3-4BD9-B069-F19F4B50936C}">
      <text>
        <t>[Threaded comment]
Your version of Excel allows you to read this threaded comment; however, any edits to it will get removed if the file is opened in a newer version of Excel. Learn more: https://go.microsoft.com/fwlink/?linkid=870924
Comment:
    Solkorrektionsfaktor</t>
      </text>
    </comment>
    <comment ref="N3" authorId="1" shapeId="0" xr:uid="{75FB0F5E-AC6E-4352-8CF6-61F2AAE932EC}">
      <text>
        <r>
          <rPr>
            <b/>
            <sz val="9"/>
            <color indexed="81"/>
            <rFont val="Tahoma"/>
            <family val="2"/>
          </rPr>
          <t>Pernille Hartmund Jørgensen:</t>
        </r>
        <r>
          <rPr>
            <sz val="9"/>
            <color indexed="81"/>
            <rFont val="Tahoma"/>
            <family val="2"/>
          </rPr>
          <t xml:space="preserve">
Brug målsøgning under "what if" analyse til at opskalere varmebehovet. Forudsætninger for kurven der bliver skaleret kan ses under fanen "varmebehov". </t>
        </r>
      </text>
    </comment>
    <comment ref="E4" authorId="2" shapeId="0" xr:uid="{6966E51B-C638-4225-8BAB-5903F07575D9}">
      <text>
        <t>[Threaded comment]
Your version of Excel allows you to read this threaded comment; however, any edits to it will get removed if the file is opened in a newer version of Excel. Learn more: https://go.microsoft.com/fwlink/?linkid=870924
Comment:
    Ændret for at undgå cirkulært problem</t>
      </text>
    </comment>
    <comment ref="F4" authorId="3" shapeId="0" xr:uid="{4A32F72D-9D75-4E18-9BAA-2E87DB3709DD}">
      <text>
        <t>[Threaded comment]
Your version of Excel allows you to read this threaded comment; however, any edits to it will get removed if the file is opened in a newer version of Excel. Learn more: https://go.microsoft.com/fwlink/?linkid=870924
Comment:
    kr/MWh-el</t>
      </text>
    </comment>
    <comment ref="M14" authorId="1" shapeId="0" xr:uid="{3D1A3567-D91A-4C0D-9AAD-CFF66154BEB0}">
      <text>
        <r>
          <rPr>
            <b/>
            <sz val="9"/>
            <color indexed="81"/>
            <rFont val="Tahoma"/>
            <family val="2"/>
          </rPr>
          <t>Pernille Hartmund Jørgensen:</t>
        </r>
        <r>
          <rPr>
            <sz val="9"/>
            <color indexed="81"/>
            <rFont val="Tahoma"/>
            <family val="2"/>
          </rPr>
          <t xml:space="preserve">
Dette varmebehov er genereret i energyPRO ud fra et årligt varmebehov på 4242 MWh. Se fanen "varmebehov".</t>
        </r>
      </text>
    </comment>
    <comment ref="AF14" authorId="1" shapeId="0" xr:uid="{8CB5CD32-EBD6-4BFE-8241-91292E458BDC}">
      <text>
        <r>
          <rPr>
            <b/>
            <sz val="9"/>
            <color indexed="81"/>
            <rFont val="Tahoma"/>
            <family val="2"/>
          </rPr>
          <t>Pernille Hartmund Jørgensen:</t>
        </r>
        <r>
          <rPr>
            <sz val="9"/>
            <color indexed="81"/>
            <rFont val="Tahoma"/>
            <family val="2"/>
          </rPr>
          <t xml:space="preserve">
marginal pris pr. MWh varme * last i MW * 24
</t>
        </r>
      </text>
    </comment>
    <comment ref="AG14" authorId="1" shapeId="0" xr:uid="{B365E79E-15FC-43E3-934D-8474BBB5F4B5}">
      <text>
        <r>
          <rPr>
            <b/>
            <sz val="9"/>
            <color indexed="81"/>
            <rFont val="Tahoma"/>
            <family val="2"/>
          </rPr>
          <t>Pernille Hartmund Jørgensen:</t>
        </r>
        <r>
          <rPr>
            <sz val="9"/>
            <color indexed="81"/>
            <rFont val="Tahoma"/>
            <family val="2"/>
          </rPr>
          <t xml:space="preserve">
(aktuel Varmeeffekt/COP) * 24
</t>
        </r>
      </text>
    </comment>
    <comment ref="N15" authorId="1" shapeId="0" xr:uid="{CDEA294A-EF5D-436F-9266-6B3D0D949437}">
      <text>
        <r>
          <rPr>
            <b/>
            <sz val="9"/>
            <color indexed="81"/>
            <rFont val="Tahoma"/>
            <family val="2"/>
          </rPr>
          <t>Pernille Hartmund Jørgensen:</t>
        </r>
        <r>
          <rPr>
            <sz val="9"/>
            <color indexed="81"/>
            <rFont val="Tahoma"/>
            <family val="2"/>
          </rPr>
          <t xml:space="preserve">
Varmebehov der tilpasser sig ved ændring af skaleringsfaktor. Dette varmebehov indgår i beregningerne.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tc={32E9E82D-4D94-49FE-8404-2EF6D4F7849C}</author>
    <author>Pernille Hartmund Jørgensen</author>
  </authors>
  <commentList>
    <comment ref="V2" authorId="0" shapeId="0" xr:uid="{32E9E82D-4D94-49FE-8404-2EF6D4F7849C}">
      <text>
        <t>[Threaded comment]
Your version of Excel allows you to read this threaded comment; however, any edits to it will get removed if the file is opened in a newer version of Excel. Learn more: https://go.microsoft.com/fwlink/?linkid=870924
Comment:
    DRY Zone 2</t>
      </text>
    </comment>
    <comment ref="Z3" authorId="1" shapeId="0" xr:uid="{73EAC689-94E9-44D8-9FED-F2B5B4DAE109}">
      <text>
        <r>
          <rPr>
            <b/>
            <sz val="9"/>
            <color indexed="81"/>
            <rFont val="Tahoma"/>
            <family val="2"/>
          </rPr>
          <t>Pernille Hartmund Jørgensen:</t>
        </r>
        <r>
          <rPr>
            <sz val="9"/>
            <color indexed="81"/>
            <rFont val="Tahoma"/>
            <family val="2"/>
          </rPr>
          <t xml:space="preserve">
(Afgift+elpris)/COP+D&amp;V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tc={1FF32410-E68E-4F6A-99BE-27BE05A27C0A}</author>
    <author>tc={08F9CF4A-DEC0-4722-9396-79323B4A72D9}</author>
  </authors>
  <commentList>
    <comment ref="C2" authorId="0" shapeId="0" xr:uid="{1FF32410-E68E-4F6A-99BE-27BE05A27C0A}">
      <text>
        <t>[Threaded comment]
Your version of Excel allows you to read this threaded comment; however, any edits to it will get removed if the file is opened in a newer version of Excel. Learn more: https://go.microsoft.com/fwlink/?linkid=870924
Comment:
    Ingen sol i skanderborg</t>
      </text>
    </comment>
    <comment ref="D2" authorId="1" shapeId="0" xr:uid="{08F9CF4A-DEC0-4722-9396-79323B4A72D9}">
      <text>
        <t>[Threaded comment]
Your version of Excel allows you to read this threaded comment; however, any edits to it will get removed if the file is opened in a newer version of Excel. Learn more: https://go.microsoft.com/fwlink/?linkid=870924
Comment:
    bruges ikke</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tc={9BE5A5C1-BDAA-47A0-94D4-511CA4087888}</author>
    <author>tc={08C2E443-D7ED-44AA-BBAE-73D96355A9C0}</author>
    <author>tc={46BD1DE1-0517-453D-A105-9AED3C17545D}</author>
    <author>tc={5AA2A851-8677-4FBE-84C6-C13ED3CE879F}</author>
  </authors>
  <commentList>
    <comment ref="E2" authorId="0" shapeId="0" xr:uid="{9BE5A5C1-BDAA-47A0-94D4-511CA4087888}">
      <text>
        <t>[Threaded comment]
Your version of Excel allows you to read this threaded comment; however, any edits to it will get removed if the file is opened in a newer version of Excel. Learn more: https://go.microsoft.com/fwlink/?linkid=870924
Comment:
    Driftsvægtet gennemsnit fra EnergyPRO fil</t>
      </text>
    </comment>
    <comment ref="G2" authorId="1" shapeId="0" xr:uid="{08C2E443-D7ED-44AA-BBAE-73D96355A9C0}">
      <text>
        <t>[Threaded comment]
Your version of Excel allows you to read this threaded comment; however, any edits to it will get removed if the file is opened in a newer version of Excel. Learn more: https://go.microsoft.com/fwlink/?linkid=870924
Comment:
    Spot 2019 variation + samfundsøkonomisk pris</t>
      </text>
    </comment>
    <comment ref="G3" authorId="2" shapeId="0" xr:uid="{46BD1DE1-0517-453D-A105-9AED3C17545D}">
      <text>
        <t>[Threaded comment]
Your version of Excel allows you to read this threaded comment; however, any edits to it will get removed if the file is opened in a newer version of Excel. Learn more: https://go.microsoft.com/fwlink/?linkid=870924
Comment:
    ikke vægtet pris</t>
      </text>
    </comment>
    <comment ref="G4" authorId="3" shapeId="0" xr:uid="{5AA2A851-8677-4FBE-84C6-C13ED3CE879F}">
      <text>
        <t>[Threaded comment]
Your version of Excel allows you to read this threaded comment; however, any edits to it will get removed if the file is opened in a newer version of Excel. Learn more: https://go.microsoft.com/fwlink/?linkid=870924
Comment:
    Sat af bygherre da vi gennemgik VP01</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<sst xmlns="http://schemas.openxmlformats.org/spreadsheetml/2006/main" count="619" uniqueCount="422">
  <si>
    <t xml:space="preserve">TJEK LISTE </t>
  </si>
  <si>
    <t>Driftsdata</t>
  </si>
  <si>
    <t>At investeringen ændrer på NPV</t>
  </si>
  <si>
    <t xml:space="preserve">At serviceaftale ændrer på NPV. </t>
  </si>
  <si>
    <t xml:space="preserve">At kompressorarbejdet ændrer på NPV. </t>
  </si>
  <si>
    <t>Varmepumpeberegning</t>
  </si>
  <si>
    <t>Tabel til hældning</t>
  </si>
  <si>
    <t>Dellastpunkter</t>
  </si>
  <si>
    <t>Tabel til graf og beregninger</t>
  </si>
  <si>
    <t>tjek hældningen passer med temperaturerne</t>
  </si>
  <si>
    <t>Systemberegning</t>
  </si>
  <si>
    <t xml:space="preserve">Afskrivningsperiode </t>
  </si>
  <si>
    <t>At spidslast dækker varmebehov i reference</t>
  </si>
  <si>
    <t>krydstjek af beregning med EnergyPRO</t>
  </si>
  <si>
    <t>Produktionsomkostninger</t>
  </si>
  <si>
    <t>Haderslev Fjernvarme a.m.b.a.</t>
  </si>
  <si>
    <t xml:space="preserve">Tilbudsliste - Luftvarmepumpe, Totalentreprise </t>
  </si>
  <si>
    <t>Side 1</t>
  </si>
  <si>
    <t>dato:</t>
  </si>
  <si>
    <t>24.02.2023</t>
  </si>
  <si>
    <t>Undertegnede entreprenør tilbyder hermed opførelse af en komplet varmepumpeinstallation for Haderslev Fjernvarme i totalentreprise og bekræfter hermed, at der ikke er øvrige forbehold som ikke er beskrevet i denne tilbudsliste.</t>
  </si>
  <si>
    <t>Entreprenørens navn og CVR-nummer:</t>
  </si>
  <si>
    <t>  </t>
  </si>
  <si>
    <t>Adresse:</t>
  </si>
  <si>
    <t>Telefon:</t>
  </si>
  <si>
    <t>Dato:</t>
  </si>
  <si>
    <t xml:space="preserve">Underskrift ______________________________________ </t>
  </si>
  <si>
    <t>Evt. forbehold:</t>
  </si>
  <si>
    <t>Gule celler skal udfyldes manuelt</t>
  </si>
  <si>
    <t>Samlet tilbudssum 10-13 MW ekskl. moms kr. (overføres automatisk):</t>
  </si>
  <si>
    <t>Samlet tilbudssum 5-6.5 MW stipuleret ydelse ekskl. moms kr. (overføres automatisk):</t>
  </si>
  <si>
    <t>Samlet tilbudssum 10-13 MW + 5-6.5 MW</t>
  </si>
  <si>
    <t>COP-værdi i driftspunkt 9 jf. arket Driftsdataluft 10-13 MW (celle M41)</t>
  </si>
  <si>
    <t>Nutidsværdi jf. arket Driftsdataluft 10-13 MW (celle D:E50)</t>
  </si>
  <si>
    <t xml:space="preserve">COP-værdi i driftspunkt 9 jf. arket Driftsdataluft 5-6,5 MW (celle M41) </t>
  </si>
  <si>
    <t>Nutidsværdi jf. arket Driftsdataluft 5-6.5 MW (celle D:E50)</t>
  </si>
  <si>
    <t>Samlet vægtet nutidsværdi for 10-13 MW (70%)  og 5-6.5 MW (30%)</t>
  </si>
  <si>
    <t xml:space="preserve">Ved tilbuddets afgivelse kvitteres samtidig for modtagelse af rettelsesblade nr. </t>
  </si>
  <si>
    <t xml:space="preserve">Vælg én af to følgende muligheder jf. afsnit 1.6 i entreprisebeskrivelsen: </t>
  </si>
  <si>
    <t>Specifikationer i nærværende tilbudsliste skal være fuldstændig og korrekt udfyldte for at kunne betragtes som konditionsmæssige.</t>
  </si>
  <si>
    <t>De anførte del- og enhedspriser skal indeholde alle ydelser til fuldstændig færdiggørelse.</t>
  </si>
  <si>
    <t>Hvis der i tilbuddet er indregnet materialer eller leverancer, der afviger fra det i udbudsmaterialet beskrevne, skal oplysninger om, hvilke materialer eller fabrikater, der er indregnet, anføres på nærværende tilbudsliste eller med henvisning til bilag.</t>
  </si>
  <si>
    <t>Delpriser, enhedspriser og øvrige priser er bindende ved eventuelle ændringer af entreprisens omfang og skal efter bygherrens ønske kunne trækkes ud af tilbuddet uden forbehold. Delpriser og enhedspriser benyttes ved afregning af mer/mindre ydelser, herunder også for arbejder der ikke indgår i entreprisekontrakten.</t>
  </si>
  <si>
    <t>Side 2</t>
  </si>
  <si>
    <t>Pos.</t>
  </si>
  <si>
    <t>Ref.</t>
  </si>
  <si>
    <t>A. Hovedtilbud</t>
  </si>
  <si>
    <t>Sum (kr.) ekskl. moms</t>
  </si>
  <si>
    <t>1+2+3</t>
  </si>
  <si>
    <t>Generelle ydelser</t>
  </si>
  <si>
    <t>2.5</t>
  </si>
  <si>
    <t>Myndighedsforhold, byggetilladelse, dokumentation vedr. støj mv.</t>
  </si>
  <si>
    <t xml:space="preserve">Projektledelse </t>
  </si>
  <si>
    <t>2.7</t>
  </si>
  <si>
    <t>Opstart, indregulering, garantiprøvning og aflevering</t>
  </si>
  <si>
    <t>2.7.2</t>
  </si>
  <si>
    <t>Driftsoptimering og instruktion af driftspersonale</t>
  </si>
  <si>
    <t>2.7.8</t>
  </si>
  <si>
    <t>CE-mærkning, dokumentation og kvalitetssikring</t>
  </si>
  <si>
    <t>3.0</t>
  </si>
  <si>
    <t>Byggepladsforhold og sikkerhedskoordinering</t>
  </si>
  <si>
    <t>Øvrige generelle ydelser (specificeres i tilbudsbeskrivelse)</t>
  </si>
  <si>
    <t>Varmepumpeanlæg</t>
  </si>
  <si>
    <t>4.1</t>
  </si>
  <si>
    <t>Varmepumpeanlæg, maskinleverance</t>
  </si>
  <si>
    <t>4.4</t>
  </si>
  <si>
    <t>Styring og regulering af varmepumpen</t>
  </si>
  <si>
    <t>4.5</t>
  </si>
  <si>
    <t>Kompressor- og varmepumpestyringens sammenbygning med SRO-anlæg</t>
  </si>
  <si>
    <t>4.6</t>
  </si>
  <si>
    <t>Kølemiddel, olie</t>
  </si>
  <si>
    <t>4.7</t>
  </si>
  <si>
    <t xml:space="preserve">Pumper inkl. el-motorer </t>
  </si>
  <si>
    <t>4.8</t>
  </si>
  <si>
    <t>Rørinstallation</t>
  </si>
  <si>
    <t>4.8.2</t>
  </si>
  <si>
    <t>Ventiler og filtre</t>
  </si>
  <si>
    <t>4.9.1</t>
  </si>
  <si>
    <t>Rumventilation</t>
  </si>
  <si>
    <t>4.9.3</t>
  </si>
  <si>
    <t>Vibrationsdæmpende foranstaltninger</t>
  </si>
  <si>
    <t>4.11</t>
  </si>
  <si>
    <t>Stålkonstruktioner og gallerier for kølegård</t>
  </si>
  <si>
    <t>4.12</t>
  </si>
  <si>
    <t>Energioptagere til udeluft</t>
  </si>
  <si>
    <t>4.13</t>
  </si>
  <si>
    <t xml:space="preserve">Varmevekslere på varmepumpe </t>
  </si>
  <si>
    <t>Øvrige maskininstallationer for varmepumpe (specificeres i tilbudsbeskrivelse)</t>
  </si>
  <si>
    <t>4.14.2a</t>
  </si>
  <si>
    <t>Elforsyning (transformator, beskyttelse m.m. vedr. nettilslutning)</t>
  </si>
  <si>
    <t>4.14.2b</t>
  </si>
  <si>
    <t xml:space="preserve">koblingsanlæg? </t>
  </si>
  <si>
    <t>4.14.3</t>
  </si>
  <si>
    <t>Hovedfordelingstavle</t>
  </si>
  <si>
    <t>Maskinel i øvrigt (specificeres i tilbudsbeskrivelse)</t>
  </si>
  <si>
    <t>4.15</t>
  </si>
  <si>
    <t>Instrumentering inkl. energimålere</t>
  </si>
  <si>
    <t>Vejrstation inkl. opsætning</t>
  </si>
  <si>
    <t>4.16</t>
  </si>
  <si>
    <t>Detektionsudstyr for kølemiddellækage og nødventilation</t>
  </si>
  <si>
    <t>4.17</t>
  </si>
  <si>
    <t>Overfladebehandling</t>
  </si>
  <si>
    <t>4.18</t>
  </si>
  <si>
    <t>Isolering og beklædning af varmepumpe og rørinstallation</t>
  </si>
  <si>
    <t>Øvrige ydelser for varmepumpe (specificeres i tilbudsbeskrivelse)</t>
  </si>
  <si>
    <t>Teknikbygning</t>
  </si>
  <si>
    <t>5.3</t>
  </si>
  <si>
    <t>Kølegård, levering, indbygning og tilslutning af varmekreds omkring afløbsrende</t>
  </si>
  <si>
    <t>Kølegård, øvrige arbejder som ikke er prissat under pkt. 4.11+4.12</t>
  </si>
  <si>
    <t>5.5</t>
  </si>
  <si>
    <t>Maskinrum, levering og indbygning af væg- og loftbeklædning + vægmaling</t>
  </si>
  <si>
    <t>Maskinrum, epoxy-gulvmaling</t>
  </si>
  <si>
    <t>Maskinrum, levering og tilslutning af belysningsarmaturer</t>
  </si>
  <si>
    <t>5.6</t>
  </si>
  <si>
    <t>Trafo-rum, ventilering og koordinering med A2 samt øvrige arbejder, der ikke er prissat under 4.14</t>
  </si>
  <si>
    <t>5.7</t>
  </si>
  <si>
    <t>Tavlerum, stativer for tavler, edb-gulv og øvrige arbejder der ikke er prissat under 4.14</t>
  </si>
  <si>
    <t>xx</t>
  </si>
  <si>
    <t xml:space="preserve">Vindue i kontrolrum </t>
  </si>
  <si>
    <t>5.10+11</t>
  </si>
  <si>
    <t>Øvrige bygningsarbejer, beskriv arten</t>
  </si>
  <si>
    <t>Øvrige arbejder til entreprisens fulde færdiggørelse, anfør arten:</t>
  </si>
  <si>
    <t>SUM</t>
  </si>
  <si>
    <t xml:space="preserve"> A. Hovedtilbud ekskl. Moms</t>
  </si>
  <si>
    <t>Side 3</t>
  </si>
  <si>
    <r>
      <rPr>
        <b/>
        <sz val="11"/>
        <color theme="1"/>
        <rFont val="Calibri"/>
        <family val="2"/>
        <scheme val="minor"/>
      </rPr>
      <t>Pos.</t>
    </r>
    <r>
      <rPr>
        <sz val="11"/>
        <color theme="1"/>
        <rFont val="Calibri"/>
        <family val="2"/>
        <scheme val="minor"/>
      </rPr>
      <t xml:space="preserve"> </t>
    </r>
  </si>
  <si>
    <r>
      <t xml:space="preserve">B. Stipulerede ydelser: </t>
    </r>
    <r>
      <rPr>
        <sz val="11"/>
        <color theme="1"/>
        <rFont val="Calibri"/>
        <family val="2"/>
        <scheme val="minor"/>
      </rPr>
      <t>Nedenstående ydelser og enhedspriser indgår i den samlede tilbudssum, men vil ikke indgå i entreprisekontrakt. Enhedspriser vil blive benyttet til afregning af mer- mindre arbejder.</t>
    </r>
  </si>
  <si>
    <t>S1</t>
  </si>
  <si>
    <t>50 montørtimer, efter aflevering</t>
  </si>
  <si>
    <t>S2</t>
  </si>
  <si>
    <t>25 programmørtimer, efter aflevering</t>
  </si>
  <si>
    <t>S3</t>
  </si>
  <si>
    <t xml:space="preserve">3 stk. tryk- og temperaturfølere indbyggede og integreret med SRO (PT og TT). DN 15, PN 10. </t>
  </si>
  <si>
    <t>S4</t>
  </si>
  <si>
    <r>
      <t xml:space="preserve">Serviceaftale. Omfanget af servicekontrakten er beskrevet i nærværende totalentreprise under pkt. 6 i udbudsbeskrivelsen Serviceaftale omfattende samtlige lovpligtige og driftsmæssige eftersyn i en periode på 10 år med </t>
    </r>
    <r>
      <rPr>
        <sz val="11"/>
        <rFont val="Calibri"/>
        <family val="2"/>
        <scheme val="minor"/>
      </rPr>
      <t>60.000</t>
    </r>
    <r>
      <rPr>
        <sz val="11"/>
        <color theme="1"/>
        <rFont val="Calibri"/>
        <family val="2"/>
        <scheme val="minor"/>
      </rPr>
      <t xml:space="preserve"> driftstimer efter aflevering. Omkostninger til serviceaftale skal være udspecificeret med hensyn til anvendte reservedele, kølemiddel, olie og anvendt arbejdstid på de forskellige jobs.</t>
    </r>
  </si>
  <si>
    <t>S4a</t>
  </si>
  <si>
    <t>Samlet kostpris på 10 serviceudkald, med varighed af hver 2 timer</t>
  </si>
  <si>
    <t>S5</t>
  </si>
  <si>
    <t>Levering, indbygningog tilkobling  af ekstra varemeslanger i betonplade som supplement til varmeslanger omkring afløb jf. beskrivelse pkt. 5.3.</t>
  </si>
  <si>
    <t>S6</t>
  </si>
  <si>
    <t>Opkobling til hjemmesiden varmepumpedata.dk. Nødvendig ekstra hardware, software og opkoblingsgebyr til varmepumpedata.dk (4000 kr ex. moms) skal være indeholdt i prisen.</t>
  </si>
  <si>
    <t>Samlet tilbudssum, B. stipulerede ydelser</t>
  </si>
  <si>
    <t>Samlet Tilbudssum</t>
  </si>
  <si>
    <t xml:space="preserve">A. </t>
  </si>
  <si>
    <t>Delpriser, hovedtilbud</t>
  </si>
  <si>
    <t>B.</t>
  </si>
  <si>
    <t>Stipulerede ydelser</t>
  </si>
  <si>
    <t>Samlet tilbudssum, overføres til side 1</t>
  </si>
  <si>
    <t>Side 4</t>
  </si>
  <si>
    <r>
      <t>C. Optionspriser.</t>
    </r>
    <r>
      <rPr>
        <sz val="11"/>
        <color theme="1"/>
        <rFont val="Calibri"/>
        <family val="2"/>
        <scheme val="minor"/>
      </rPr>
      <t xml:space="preserve"> Nedenstående priser indgår </t>
    </r>
    <r>
      <rPr>
        <b/>
        <sz val="11"/>
        <color theme="1"/>
        <rFont val="Calibri"/>
        <family val="2"/>
        <scheme val="minor"/>
      </rPr>
      <t>ikke</t>
    </r>
    <r>
      <rPr>
        <sz val="11"/>
        <color theme="1"/>
        <rFont val="Calibri"/>
        <family val="2"/>
        <scheme val="minor"/>
      </rPr>
      <t xml:space="preserve"> i den samlede tilbudssum og vil ikke indgå i vurderingen af det totaløkonomiske mest fordelsagtige tilbud. Optionspriser kan til- eller fravælges af bygherre ved eventuel kontrahering.</t>
    </r>
  </si>
  <si>
    <t>O1</t>
  </si>
  <si>
    <t xml:space="preserve">Såfremt der kan tilbydes en serviceaftale, der dækker driftstimer ud over det estimerede årlige antal på 6.000 driftstimer, bedes dette angivet som en optionspris i kr. pr. driftstime. Omkostninger til serviceaftale skal være udspecificeret med hensyn til anvendte reservedele, kølemiddel, olie og anvendt arbejdstid på de forskellige jobs.
</t>
  </si>
  <si>
    <t>O2</t>
  </si>
  <si>
    <t>1.6</t>
  </si>
  <si>
    <t xml:space="preserve">Såfremt der tilbydes en alternativ rammetidsplan end den angivne i afsnit 1.6 i udbudsbeskrivelsen, bedes dette angivet som en reduktionspris ved forlængelse og merpris ved afkortning.
</t>
  </si>
  <si>
    <t>O3</t>
  </si>
  <si>
    <t>2.6</t>
  </si>
  <si>
    <t xml:space="preserve">Såfremt der kan tilbydes en anden betalingsplan end den angivne i afsnit 2.6 i udbudsbeskrivelsen, bedes dette angivet som en prisreduktion.
</t>
  </si>
  <si>
    <t>O6</t>
  </si>
  <si>
    <t>Mer/mindre pris hvis bygherre ønsker Danfoss frekvensomforemer i stedet for fabrikatet i tilbuddet. Anføresmed +/- pris</t>
  </si>
  <si>
    <t>O7</t>
  </si>
  <si>
    <t>Mer/mindre pris hvis bygherre ønsker PLC skal være Siemens S7  i stedet for fabrikatet i tilbuddet. Anføres med +/- pris</t>
  </si>
  <si>
    <t>O8</t>
  </si>
  <si>
    <t>Mer/mindre pris hvis bygherre ønsker pumper skal være Gundfoss pumper  i stedet for fabrikatet i tilbuddet. Anføres med +/- pris</t>
  </si>
  <si>
    <t>O9</t>
  </si>
  <si>
    <t>Vindskærm</t>
  </si>
  <si>
    <t>O10</t>
  </si>
  <si>
    <t>Øvrige valgfri optioner, anfør arten:</t>
  </si>
  <si>
    <t>O11</t>
  </si>
  <si>
    <t>Side 6</t>
  </si>
  <si>
    <t>Anlægsdata</t>
  </si>
  <si>
    <t>Nominel varmeydelse, kW</t>
  </si>
  <si>
    <t>Nominel virkningsgrad COP-varm</t>
  </si>
  <si>
    <t>Varmtvandsside (min. og maks.) afgangstemperatur °C</t>
  </si>
  <si>
    <t>Varmtvandsside (min. og maks.) tilgangstemperatur °C</t>
  </si>
  <si>
    <t>Luftside (min. og maks.) tilgangstemperatur °C</t>
  </si>
  <si>
    <t>Luftside (min. og maks.) afgangstemperatur °C</t>
  </si>
  <si>
    <t>Datablad for anvendt kølemiddel skal vedlægges tilbud</t>
  </si>
  <si>
    <t>Kølemiddelmængde for total fyldning</t>
  </si>
  <si>
    <t>Kompressor / El-motor fabrikat</t>
  </si>
  <si>
    <t>Kompressortype, cylinder/skrue antal</t>
  </si>
  <si>
    <t>Oliemængde for totalfyldning, kompressorer</t>
  </si>
  <si>
    <t>Antal kompressorer</t>
  </si>
  <si>
    <t>Antal køletrin</t>
  </si>
  <si>
    <t>Min. kompressorhastighed</t>
  </si>
  <si>
    <t>Max. Kompressorhastighed</t>
  </si>
  <si>
    <t>Pladevekslerfabrikat / plademateriale</t>
  </si>
  <si>
    <t>Fordamperfabrikat, type og antal</t>
  </si>
  <si>
    <t>Pladskrav for det samlede anlæg</t>
  </si>
  <si>
    <t>Vægt pr. unit og største enkelte hovedkomponenter</t>
  </si>
  <si>
    <t>Side 7</t>
  </si>
  <si>
    <t>D. Stipuleret ydelse 5-6.5 MW</t>
  </si>
  <si>
    <t xml:space="preserve"> Koblingsanlæg</t>
  </si>
  <si>
    <t>D. Hovedtilbud ekskl. Moms</t>
  </si>
  <si>
    <t>Side 8</t>
  </si>
  <si>
    <r>
      <t xml:space="preserve">E. Stipulerede ydelser: </t>
    </r>
    <r>
      <rPr>
        <sz val="11"/>
        <color theme="1"/>
        <rFont val="Calibri"/>
        <family val="2"/>
        <scheme val="minor"/>
      </rPr>
      <t>Nedenstående ydelser og enhedspriser indgår i den samlede tilbudssum, men vil ikke indgå i entreprisekontrakt. Enhedspriser vil blive benyttet til afregning af mer- mindre arbejder.</t>
    </r>
  </si>
  <si>
    <t>S1.1</t>
  </si>
  <si>
    <t>Serviceaftale. Omfanget af servicekontrakten er beskrevet i nærværende totalentreprise under pkt. 6 i udbudsbeskrivelsen Serviceaftale omfattende samtlige lovpligtige og driftsmæssige eftersyn i en periode på 10 år med 40.000 driftstimer efter aflevering. Omkostninger til serviceaftale skal være udspecificeret med hensyn til anvendte reservedele, kølemiddel, olie og anvendt arbejdstid på de forskellige jobs.</t>
  </si>
  <si>
    <t xml:space="preserve">Vindskærm </t>
  </si>
  <si>
    <t xml:space="preserve">D. </t>
  </si>
  <si>
    <t>E.</t>
  </si>
  <si>
    <t>kr.</t>
  </si>
  <si>
    <t>Last</t>
  </si>
  <si>
    <t>°C</t>
  </si>
  <si>
    <t>RH</t>
  </si>
  <si>
    <r>
      <t>m</t>
    </r>
    <r>
      <rPr>
        <vertAlign val="superscript"/>
        <sz val="11"/>
        <rFont val="Calibri"/>
        <family val="2"/>
      </rPr>
      <t>3</t>
    </r>
    <r>
      <rPr>
        <sz val="11"/>
        <rFont val="Calibri"/>
        <family val="2"/>
      </rPr>
      <t>/h</t>
    </r>
  </si>
  <si>
    <t>kW</t>
  </si>
  <si>
    <t>rpm</t>
  </si>
  <si>
    <t>K</t>
  </si>
  <si>
    <t>Flow</t>
  </si>
  <si>
    <t>kPa</t>
  </si>
  <si>
    <t>-</t>
  </si>
  <si>
    <t>Lorenz-COP</t>
  </si>
  <si>
    <t>%</t>
  </si>
  <si>
    <t>Nutidsværdi</t>
  </si>
  <si>
    <t>FLH</t>
  </si>
  <si>
    <t>Teknikbygning,SRO</t>
  </si>
  <si>
    <t>Akkumuleringstank</t>
  </si>
  <si>
    <t>Varmepumpe</t>
  </si>
  <si>
    <t>Naturgaskedel</t>
  </si>
  <si>
    <t>Forudsætninger</t>
  </si>
  <si>
    <t>Reference case</t>
  </si>
  <si>
    <t>VP case</t>
  </si>
  <si>
    <t>Prioritet</t>
  </si>
  <si>
    <t>Produktionsenhed navn</t>
  </si>
  <si>
    <t xml:space="preserve">Kapacitet [MW] </t>
  </si>
  <si>
    <t>Tilgængelighed</t>
  </si>
  <si>
    <t>D&amp;V [kr./MWh]</t>
  </si>
  <si>
    <t>Afgifter+tarif</t>
  </si>
  <si>
    <t>Brændsel pris [kr./MWh]</t>
  </si>
  <si>
    <t>Prod. pris [kr./MWh]</t>
  </si>
  <si>
    <t>Produktion [MWh]</t>
  </si>
  <si>
    <t>Total</t>
  </si>
  <si>
    <t>Ingen sol</t>
  </si>
  <si>
    <t>Tidsserie</t>
  </si>
  <si>
    <t>BENYTTES IKKE</t>
  </si>
  <si>
    <t>Skaleringsfaktor</t>
  </si>
  <si>
    <t>Årligt varmebehov</t>
  </si>
  <si>
    <t xml:space="preserve">Andel </t>
  </si>
  <si>
    <t>Ikke i brug</t>
  </si>
  <si>
    <t>Økonomi [DKK/år]</t>
  </si>
  <si>
    <t>Besparelse</t>
  </si>
  <si>
    <t>Max varmebehov [MW]</t>
  </si>
  <si>
    <t>Øvrige input</t>
  </si>
  <si>
    <t>Måned</t>
  </si>
  <si>
    <t>Dag</t>
  </si>
  <si>
    <t>Varmebehov til skalering</t>
  </si>
  <si>
    <t>Varmebehov</t>
  </si>
  <si>
    <t>Produktions omkostninger</t>
  </si>
  <si>
    <t>VP prod. Omk</t>
  </si>
  <si>
    <t>VP elforbrug</t>
  </si>
  <si>
    <t>Pris pr. MWh</t>
  </si>
  <si>
    <t>Uudnyttet varmeeffekt VP</t>
  </si>
  <si>
    <t>Afskrivningsperiode [år]</t>
  </si>
  <si>
    <t>Enhed</t>
  </si>
  <si>
    <t>gns MW/dag</t>
  </si>
  <si>
    <t>Gns MW/dag</t>
  </si>
  <si>
    <t>MW</t>
  </si>
  <si>
    <t>DDK/dag</t>
  </si>
  <si>
    <t xml:space="preserve">COP </t>
  </si>
  <si>
    <t>max varmeeffekt</t>
  </si>
  <si>
    <t>VP prod pris</t>
  </si>
  <si>
    <t>Mwh/dag</t>
  </si>
  <si>
    <t>DKK/MWh</t>
  </si>
  <si>
    <t>Rente [%]</t>
  </si>
  <si>
    <t>p.a.</t>
  </si>
  <si>
    <t>Liste over antagelser</t>
  </si>
  <si>
    <t>Gns elpris</t>
  </si>
  <si>
    <t>Løbetid serviceaftale [år]</t>
  </si>
  <si>
    <t>år</t>
  </si>
  <si>
    <t>Gns gaspris</t>
  </si>
  <si>
    <t>Bygherres øvrige omkostninger [DKK]</t>
  </si>
  <si>
    <t>Rente</t>
  </si>
  <si>
    <t>Ekstra udgifter i reference scenariet</t>
  </si>
  <si>
    <t>kr/år</t>
  </si>
  <si>
    <t>Økonomisk levetid</t>
  </si>
  <si>
    <t>Øvrige omkostninger</t>
  </si>
  <si>
    <t>Ekstra udgifter i reference</t>
  </si>
  <si>
    <t>Resultater</t>
  </si>
  <si>
    <t>VP fuldlasttimer</t>
  </si>
  <si>
    <t>VP gns. varmepris</t>
  </si>
  <si>
    <t>kr./MWh</t>
  </si>
  <si>
    <t>MWh/år</t>
  </si>
  <si>
    <t>Gns varmepris</t>
  </si>
  <si>
    <t>Brutto investering</t>
  </si>
  <si>
    <t>1. års kapitalomkostninger</t>
  </si>
  <si>
    <t>Driftsomkostninger uden VP</t>
  </si>
  <si>
    <t>kr./år</t>
  </si>
  <si>
    <t>Driftsomkostninger med VP</t>
  </si>
  <si>
    <t>Driftsbesparelse</t>
  </si>
  <si>
    <t>Simpel tilbagebetalingstid</t>
  </si>
  <si>
    <t>1. års nettobesparelse</t>
  </si>
  <si>
    <t>kr./1. år</t>
  </si>
  <si>
    <t>Intern rente</t>
  </si>
  <si>
    <t>År</t>
  </si>
  <si>
    <t>Indledende omkostninger for en forretning</t>
  </si>
  <si>
    <t>Nettoindtægt for det første år</t>
  </si>
  <si>
    <t>Nettoindtægt for det andet år</t>
  </si>
  <si>
    <t>Nettoindtægt for det tredje år</t>
  </si>
  <si>
    <t>Nettoindtægt for det fjerde år</t>
  </si>
  <si>
    <t>Nettoindtægt for det femte år</t>
  </si>
  <si>
    <t xml:space="preserve">Varmebehov er generet i energyPRO ud fra disse forudsætninger. </t>
  </si>
  <si>
    <t>Skalering af varmebehov</t>
  </si>
  <si>
    <t xml:space="preserve">Temperatur er valgt som DRY zone 2 (central jylland). </t>
  </si>
  <si>
    <t>Behovsprofilen, som er generet i energyPRO, kan skaleres her i VP01.</t>
  </si>
  <si>
    <t>Dette gøres ved at lave målsøgning på det årlige varmebehov (pink markering) ved ændring af skaleringsfaktoren (grøn markering)</t>
  </si>
  <si>
    <t>Varmebehovet i række N vil da ændre sig.</t>
  </si>
  <si>
    <t>Udetemp</t>
  </si>
  <si>
    <t>C</t>
  </si>
  <si>
    <t>COP</t>
  </si>
  <si>
    <t>Varmeeffekt [MW]</t>
  </si>
  <si>
    <t>Eleffekt [MW]</t>
  </si>
  <si>
    <t>Marginal Pris pr MWh varme</t>
  </si>
  <si>
    <t>Leverandør varmeeffekt</t>
  </si>
  <si>
    <t>Leverandør samlet eleffekt</t>
  </si>
  <si>
    <t>Leverandør COP</t>
  </si>
  <si>
    <t>Temperature</t>
  </si>
  <si>
    <t>Varmeeffekt</t>
  </si>
  <si>
    <t>Hældning</t>
  </si>
  <si>
    <t>Eleffekt</t>
  </si>
  <si>
    <t>Fra</t>
  </si>
  <si>
    <t>til</t>
  </si>
  <si>
    <t>kW/K</t>
  </si>
  <si>
    <t>fra</t>
  </si>
  <si>
    <t>Temperatur</t>
  </si>
  <si>
    <t>Tilgængelig produktions kapacitet</t>
  </si>
  <si>
    <t>Denne fane er kun aktuel i projekter med solvarme. Fanen skal ikke slettes. Bruges i systemberegning under solvarme</t>
  </si>
  <si>
    <t>Naturgasmotor</t>
  </si>
  <si>
    <t>Vest (1) / Øst (2)</t>
  </si>
  <si>
    <t>Anvendt ved</t>
  </si>
  <si>
    <t>Netselskab</t>
  </si>
  <si>
    <t>Transmission</t>
  </si>
  <si>
    <t>Distribution</t>
  </si>
  <si>
    <t>elafgift</t>
  </si>
  <si>
    <t>Spot</t>
  </si>
  <si>
    <t>Skanderborg 2022</t>
  </si>
  <si>
    <t>Din El (A-Lav)</t>
  </si>
  <si>
    <t>Aars FJV 2022</t>
  </si>
  <si>
    <t>N1 (A-lav)</t>
  </si>
  <si>
    <t>Haderslev 2023</t>
  </si>
  <si>
    <t xml:space="preserve">N1 </t>
  </si>
  <si>
    <t>Hunderup Sejstrup</t>
  </si>
  <si>
    <t>(B-lav)</t>
  </si>
  <si>
    <t>Helle energi</t>
  </si>
  <si>
    <t>N1 (b-lav)</t>
  </si>
  <si>
    <t>Kelvin</t>
  </si>
  <si>
    <t>Størrelsesfaktor</t>
  </si>
  <si>
    <t>El-faktor</t>
  </si>
  <si>
    <t>Effekt</t>
  </si>
  <si>
    <t>Lorenz</t>
  </si>
  <si>
    <t>Effekt / [kW]</t>
  </si>
  <si>
    <t>Nutidsværdi / [kr.]</t>
  </si>
  <si>
    <t>kr./%-point</t>
  </si>
  <si>
    <t>kr./ 0,01 %-point i gennemsnit</t>
  </si>
  <si>
    <t>Andel</t>
  </si>
  <si>
    <t>kr./ 0,01 %-point i gennemsnit efter et rimelighedsprincip</t>
  </si>
  <si>
    <t>VP prod vinter DDK</t>
  </si>
  <si>
    <t>VP prod sommer DDK</t>
  </si>
  <si>
    <t>Split af bod</t>
  </si>
  <si>
    <t>Vinterbod</t>
  </si>
  <si>
    <t>Sommerbod</t>
  </si>
  <si>
    <t>Operation point</t>
  </si>
  <si>
    <t>Load</t>
  </si>
  <si>
    <t>Outdoor temperature</t>
  </si>
  <si>
    <t>Relative humidity</t>
  </si>
  <si>
    <t>Air volume flow</t>
  </si>
  <si>
    <t>cooling load</t>
  </si>
  <si>
    <t>Fan speed</t>
  </si>
  <si>
    <t>Evaporation temperature</t>
  </si>
  <si>
    <t>Return temperature</t>
  </si>
  <si>
    <t>Supply temperature</t>
  </si>
  <si>
    <t>Temperature increase</t>
  </si>
  <si>
    <r>
      <t xml:space="preserve">Heat load </t>
    </r>
    <r>
      <rPr>
        <vertAlign val="superscript"/>
        <sz val="11"/>
        <rFont val="Calibri"/>
        <family val="2"/>
      </rPr>
      <t xml:space="preserve">1) </t>
    </r>
  </si>
  <si>
    <r>
      <t xml:space="preserve">Pressure loss </t>
    </r>
    <r>
      <rPr>
        <vertAlign val="superscript"/>
        <sz val="11"/>
        <rFont val="Calibri"/>
        <family val="2"/>
      </rPr>
      <t xml:space="preserve">1) </t>
    </r>
  </si>
  <si>
    <r>
      <t xml:space="preserve">Compressors </t>
    </r>
    <r>
      <rPr>
        <vertAlign val="superscript"/>
        <sz val="11"/>
        <rFont val="Calibri"/>
        <family val="2"/>
      </rPr>
      <t xml:space="preserve">1) </t>
    </r>
  </si>
  <si>
    <r>
      <t xml:space="preserve">All other electricity consumption </t>
    </r>
    <r>
      <rPr>
        <vertAlign val="superscript"/>
        <sz val="11"/>
        <rFont val="Calibri"/>
        <family val="2"/>
      </rPr>
      <t xml:space="preserve">1) </t>
    </r>
  </si>
  <si>
    <r>
      <t xml:space="preserve">In total </t>
    </r>
    <r>
      <rPr>
        <vertAlign val="superscript"/>
        <sz val="11"/>
        <rFont val="Calibri"/>
        <family val="2"/>
      </rPr>
      <t xml:space="preserve"> 4)</t>
    </r>
  </si>
  <si>
    <t>COP-warm</t>
  </si>
  <si>
    <t>LMTD cold</t>
  </si>
  <si>
    <t>LMTD warm</t>
  </si>
  <si>
    <r>
      <t xml:space="preserve">Lorenz-efficiency </t>
    </r>
    <r>
      <rPr>
        <vertAlign val="superscript"/>
        <sz val="11"/>
        <rFont val="Calibri"/>
        <family val="2"/>
      </rPr>
      <t>5)</t>
    </r>
  </si>
  <si>
    <t>Cold side</t>
  </si>
  <si>
    <t>Warm side</t>
  </si>
  <si>
    <t>Electricity consumption</t>
  </si>
  <si>
    <t>Effeciency</t>
  </si>
  <si>
    <t>Other calculations</t>
  </si>
  <si>
    <t>Net Present Value</t>
  </si>
  <si>
    <t>&lt;---  This net present value is used in the evaluation of the offer’s overall economic value (the higher, the better)</t>
  </si>
  <si>
    <t>Project name</t>
  </si>
  <si>
    <t>HP data - air/water heat pump</t>
  </si>
  <si>
    <t>Rev. date: 31/10-2024</t>
  </si>
  <si>
    <t>The tenderer is required to complete ALL the green cells</t>
  </si>
  <si>
    <t>All orange cells are pre defined.</t>
  </si>
  <si>
    <t>All white cells are calculated values</t>
  </si>
  <si>
    <t xml:space="preserve">See section 5.2.1 in document 0.3  and section 4.1 in document 4.1 for definitions. </t>
  </si>
  <si>
    <t>Tenderer</t>
  </si>
  <si>
    <t>Date for filling out</t>
  </si>
  <si>
    <t>Total tender amount</t>
  </si>
  <si>
    <r>
      <t xml:space="preserve">Price  for service agreement </t>
    </r>
    <r>
      <rPr>
        <b/>
        <sz val="11"/>
        <color theme="1"/>
        <rFont val="Calibri"/>
        <family val="2"/>
      </rPr>
      <t xml:space="preserve"> </t>
    </r>
    <r>
      <rPr>
        <b/>
        <vertAlign val="superscript"/>
        <sz val="11"/>
        <color theme="1"/>
        <rFont val="Calibri"/>
        <family val="2"/>
      </rPr>
      <t>1)</t>
    </r>
    <r>
      <rPr>
        <b/>
        <sz val="11"/>
        <color theme="1"/>
        <rFont val="Calibri"/>
        <family val="2"/>
      </rPr>
      <t xml:space="preserve"> </t>
    </r>
    <r>
      <rPr>
        <b/>
        <vertAlign val="superscript"/>
        <sz val="11"/>
        <rFont val="Calibri"/>
        <family val="2"/>
      </rPr>
      <t>3)</t>
    </r>
  </si>
  <si>
    <r>
      <t>Total tender amount without service argreement</t>
    </r>
    <r>
      <rPr>
        <b/>
        <vertAlign val="superscript"/>
        <sz val="11"/>
        <color theme="1"/>
        <rFont val="Calibri"/>
        <family val="2"/>
        <scheme val="minor"/>
      </rPr>
      <t xml:space="preserve"> 2)</t>
    </r>
  </si>
  <si>
    <r>
      <rPr>
        <vertAlign val="superscript"/>
        <sz val="11"/>
        <color theme="1"/>
        <rFont val="Calibri"/>
        <family val="2"/>
        <scheme val="minor"/>
      </rPr>
      <t xml:space="preserve">1) </t>
    </r>
    <r>
      <rPr>
        <sz val="11"/>
        <color theme="1"/>
        <rFont val="Calibri"/>
        <family val="2"/>
        <scheme val="minor"/>
      </rPr>
      <t>These lines affect the net present value</t>
    </r>
  </si>
  <si>
    <r>
      <rPr>
        <vertAlign val="superscript"/>
        <sz val="11"/>
        <color theme="1"/>
        <rFont val="Calibri"/>
        <family val="2"/>
        <scheme val="minor"/>
      </rPr>
      <t>2)</t>
    </r>
    <r>
      <rPr>
        <sz val="11"/>
        <color theme="1"/>
        <rFont val="Calibri"/>
        <family val="2"/>
        <scheme val="minor"/>
      </rPr>
      <t xml:space="preserve"> This price is included as an investment in the net present value calculation.</t>
    </r>
  </si>
  <si>
    <r>
      <rPr>
        <vertAlign val="superscript"/>
        <sz val="11"/>
        <color theme="1"/>
        <rFont val="Calibri"/>
        <family val="2"/>
        <scheme val="minor"/>
      </rPr>
      <t>3)</t>
    </r>
    <r>
      <rPr>
        <sz val="11"/>
        <color theme="1"/>
        <rFont val="Calibri"/>
        <family val="2"/>
        <scheme val="minor"/>
      </rPr>
      <t xml:space="preserve"> This price is used for the calculation of O&amp;M</t>
    </r>
  </si>
  <si>
    <r>
      <rPr>
        <vertAlign val="superscript"/>
        <sz val="11"/>
        <color theme="1"/>
        <rFont val="Calibri"/>
        <family val="2"/>
        <scheme val="minor"/>
      </rPr>
      <t>4)</t>
    </r>
    <r>
      <rPr>
        <sz val="11"/>
        <color theme="1"/>
        <rFont val="Calibri"/>
        <family val="2"/>
        <scheme val="minor"/>
      </rPr>
      <t xml:space="preserve"> Total electricity consumption, however with theoretically calculated electricity consumption for district heating pumps.</t>
    </r>
  </si>
  <si>
    <r>
      <rPr>
        <vertAlign val="superscript"/>
        <sz val="11"/>
        <color theme="1"/>
        <rFont val="Calibri"/>
        <family val="2"/>
        <scheme val="minor"/>
      </rPr>
      <t>5)</t>
    </r>
    <r>
      <rPr>
        <sz val="11"/>
        <color theme="1"/>
        <rFont val="Calibri"/>
        <family val="2"/>
        <scheme val="minor"/>
      </rPr>
      <t xml:space="preserve"> These are used for calculating penalties/bonuses in the guarantee tests</t>
    </r>
  </si>
  <si>
    <t>The heat pump’s full‑load hours</t>
  </si>
  <si>
    <t>Nominal operation point</t>
  </si>
  <si>
    <t>Company name</t>
  </si>
  <si>
    <t>date</t>
  </si>
  <si>
    <r>
      <t xml:space="preserve">Heat output </t>
    </r>
    <r>
      <rPr>
        <vertAlign val="superscript"/>
        <sz val="11"/>
        <rFont val="Calibri"/>
        <family val="2"/>
      </rPr>
      <t xml:space="preserve">5) </t>
    </r>
  </si>
  <si>
    <t>Heat loss</t>
  </si>
  <si>
    <t>Scale</t>
  </si>
  <si>
    <t>Heat pump</t>
  </si>
  <si>
    <t>Gas boiler</t>
  </si>
  <si>
    <t>EUR</t>
  </si>
  <si>
    <t>Holland</t>
  </si>
  <si>
    <t>Only for demonstation purpose:</t>
  </si>
  <si>
    <r>
      <t xml:space="preserve">Electrical power for fans, cold side </t>
    </r>
    <r>
      <rPr>
        <vertAlign val="superscript"/>
        <sz val="11"/>
        <rFont val="Calibri"/>
        <family val="2"/>
      </rPr>
      <t>1)</t>
    </r>
  </si>
  <si>
    <t xml:space="preserve">Electrical power for pump, warm side </t>
  </si>
  <si>
    <t>For demonstration purposes</t>
  </si>
  <si>
    <t>Final Version for Dutch market yet to be finalized</t>
  </si>
  <si>
    <t>In the tender documents, a how-to guide will be provided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</si>
</sst>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3" formatCode="_-* #,##0.00_-;\-* #,##0.00_-;_-* &quot;-&quot;??_-;_-@_-"/>
    <numFmt numFmtId="164" formatCode="#,##0.0"/>
    <numFmt numFmtId="165" formatCode="0.0"/>
    <numFmt numFmtId="166" formatCode="0.0%"/>
    <numFmt numFmtId="167" formatCode="0.000"/>
    <numFmt numFmtId="168" formatCode="_-* #,##0_-;\-* #,##0_-;_-* &quot;-&quot;??_-;_-@_-"/>
    <numFmt numFmtId="169" formatCode="#,##0.000"/>
    <numFmt numFmtId="170" formatCode="_-* #,##0.0_-;\-* #,##0.0_-;_-* &quot;-&quot;??_-;_-@_-"/>
    <numFmt numFmtId="171" formatCode="#,##0.00\ &quot;kr.&quot;"/>
    <numFmt numFmtId="172" formatCode="_-* #,##0.0000\ _k_r_._-;\-* #,##0.0000\ _k_r_._-;_-* &quot;-&quot;????\ _k_r_._-;_-@_-"/>
    <numFmt numFmtId="173" formatCode="_-* #,##0\ _k_r_._-;\-* #,##0\ _k_r_._-;_-* &quot;-&quot;??\ _k_r_._-;_-@_-"/>
    <numFmt numFmtId="174" formatCode="#,##0_ ;\-#,##0\ "/>
    <numFmt numFmtId="175" formatCode="#,##0.00_ ;\-#,##0.00\ "/>
  </numFmts>
  <fonts count="35" x14ac:knownFonts="1">
    <font>
      <sz val="11"/>
      <color theme="1"/>
      <name val="Calibri"/>
      <family val="2"/>
      <scheme val="minor"/>
    </font>
    <font>
      <sz val="11"/>
      <color theme="1"/>
      <name val="Calibri"/>
      <family val="2"/>
      <scheme val="minor"/>
    </font>
    <font>
      <b/>
      <sz val="11"/>
      <color theme="1"/>
      <name val="Calibri"/>
      <family val="2"/>
      <scheme val="minor"/>
    </font>
    <font>
      <b/>
      <sz val="11"/>
      <name val="Calibri"/>
      <family val="2"/>
    </font>
    <font>
      <sz val="11"/>
      <name val="Calibri"/>
      <family val="2"/>
    </font>
    <font>
      <sz val="11"/>
      <color theme="1"/>
      <name val="Calibri"/>
      <family val="2"/>
    </font>
    <font>
      <sz val="11"/>
      <color rgb="FFFF0000"/>
      <name val="Calibri"/>
      <family val="2"/>
      <scheme val="minor"/>
    </font>
    <font>
      <b/>
      <sz val="11"/>
      <color rgb="FFFF0000"/>
      <name val="Calibri"/>
      <family val="2"/>
    </font>
    <font>
      <sz val="11"/>
      <color rgb="FFFF0000"/>
      <name val="Calibri"/>
      <family val="2"/>
    </font>
    <font>
      <vertAlign val="superscript"/>
      <sz val="11"/>
      <name val="Calibri"/>
      <family val="2"/>
    </font>
    <font>
      <vertAlign val="superscript"/>
      <sz val="11"/>
      <color theme="1"/>
      <name val="Calibri"/>
      <family val="2"/>
      <scheme val="minor"/>
    </font>
    <font>
      <b/>
      <sz val="14"/>
      <color theme="1"/>
      <name val="Calibri"/>
      <family val="2"/>
      <scheme val="minor"/>
    </font>
    <font>
      <b/>
      <sz val="16"/>
      <color theme="1"/>
      <name val="Calibri"/>
      <family val="2"/>
      <scheme val="minor"/>
    </font>
    <font>
      <b/>
      <sz val="18"/>
      <color theme="1"/>
      <name val="Calibri"/>
      <family val="2"/>
      <scheme val="minor"/>
    </font>
    <font>
      <sz val="11"/>
      <name val="Calibri"/>
      <family val="2"/>
      <scheme val="minor"/>
    </font>
    <font>
      <b/>
      <sz val="11"/>
      <name val="Calibri"/>
      <family val="2"/>
      <scheme val="minor"/>
    </font>
    <font>
      <sz val="11"/>
      <color theme="3"/>
      <name val="Calibri"/>
      <family val="2"/>
      <scheme val="minor"/>
    </font>
    <font>
      <b/>
      <sz val="11"/>
      <color theme="1"/>
      <name val="Calibri"/>
      <family val="2"/>
    </font>
    <font>
      <b/>
      <u/>
      <sz val="11"/>
      <color theme="1"/>
      <name val="Calibri"/>
      <family val="2"/>
      <scheme val="minor"/>
    </font>
    <font>
      <sz val="8"/>
      <color theme="1"/>
      <name val="Courier New"/>
      <family val="3"/>
    </font>
    <font>
      <sz val="6"/>
      <color rgb="FF363636"/>
      <name val="Segoe UI"/>
      <family val="2"/>
    </font>
    <font>
      <sz val="17.600000000000001"/>
      <color rgb="FF1E1E1E"/>
      <name val="Segoe UI"/>
      <family val="2"/>
    </font>
    <font>
      <sz val="10"/>
      <color rgb="FF1E1E1E"/>
      <name val="Segoe UI"/>
      <family val="2"/>
    </font>
    <font>
      <b/>
      <vertAlign val="superscript"/>
      <sz val="11"/>
      <color theme="1"/>
      <name val="Calibri"/>
      <family val="2"/>
    </font>
    <font>
      <b/>
      <vertAlign val="superscript"/>
      <sz val="11"/>
      <name val="Calibri"/>
      <family val="2"/>
    </font>
    <font>
      <b/>
      <vertAlign val="superscript"/>
      <sz val="11"/>
      <color theme="1"/>
      <name val="Calibri"/>
      <family val="2"/>
      <scheme val="minor"/>
    </font>
    <font>
      <sz val="11"/>
      <color theme="0"/>
      <name val="Calibri"/>
      <family val="2"/>
      <scheme val="minor"/>
    </font>
    <font>
      <sz val="9"/>
      <color indexed="81"/>
      <name val="Tahoma"/>
      <family val="2"/>
    </font>
    <font>
      <b/>
      <sz val="9"/>
      <color indexed="81"/>
      <name val="Tahoma"/>
      <family val="2"/>
    </font>
    <font>
      <sz val="8"/>
      <color theme="1"/>
      <name val="Calibri"/>
      <family val="2"/>
      <scheme val="minor"/>
    </font>
    <font>
      <b/>
      <sz val="11"/>
      <color rgb="FFFF0000"/>
      <name val="Calibri"/>
      <family val="2"/>
      <scheme val="minor"/>
    </font>
    <font>
      <sz val="8"/>
      <color rgb="FF000000"/>
      <name val="Segoe UI"/>
      <family val="2"/>
    </font>
    <font>
      <b/>
      <sz val="12"/>
      <color rgb="FFFF0000"/>
      <name val="Calibri"/>
      <family val="2"/>
      <scheme val="minor"/>
    </font>
    <font>
      <b/>
      <i/>
      <sz val="12"/>
      <color rgb="FFFF0000"/>
      <name val="Calibri"/>
      <family val="2"/>
      <scheme val="minor"/>
    </font>
    <font>
      <i/>
      <sz val="11"/>
      <color rgb="FFFF0000"/>
      <name val="Calibri"/>
      <family val="2"/>
      <scheme val="minor"/>
    </font>
  </fonts>
  <fills count="25">
    <fill>
      <patternFill patternType="none"/>
    </fill>
    <fill>
      <patternFill patternType="gray125"/>
    </fill>
    <fill>
      <patternFill patternType="solid">
        <fgColor rgb="FF92D050"/>
        <bgColor indexed="64"/>
      </patternFill>
    </fill>
    <fill>
      <patternFill patternType="solid">
        <fgColor theme="0" tint="-0.14999847407452621"/>
        <bgColor indexed="64"/>
      </patternFill>
    </fill>
    <fill>
      <patternFill patternType="solid">
        <fgColor theme="7"/>
        <bgColor indexed="64"/>
      </patternFill>
    </fill>
    <fill>
      <patternFill patternType="solid">
        <fgColor theme="9"/>
        <bgColor indexed="64"/>
      </patternFill>
    </fill>
    <fill>
      <patternFill patternType="solid">
        <fgColor theme="2"/>
        <bgColor indexed="64"/>
      </patternFill>
    </fill>
    <fill>
      <patternFill patternType="solid">
        <fgColor rgb="FFFFFF0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5"/>
        <bgColor indexed="64"/>
      </patternFill>
    </fill>
    <fill>
      <patternFill patternType="solid">
        <fgColor rgb="FFFF0000"/>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5" tint="0.39997558519241921"/>
        <bgColor indexed="64"/>
      </patternFill>
    </fill>
    <fill>
      <patternFill patternType="solid">
        <fgColor theme="2" tint="-9.9978637043366805E-2"/>
        <bgColor indexed="64"/>
      </patternFill>
    </fill>
    <fill>
      <patternFill patternType="solid">
        <fgColor rgb="FF00B0F0"/>
        <bgColor indexed="64"/>
      </patternFill>
    </fill>
    <fill>
      <patternFill patternType="solid">
        <fgColor rgb="FFFF00FF"/>
        <bgColor indexed="64"/>
      </patternFill>
    </fill>
    <fill>
      <patternFill patternType="solid">
        <fgColor rgb="FFFFC000"/>
        <bgColor indexed="64"/>
      </patternFill>
    </fill>
    <fill>
      <patternFill patternType="solid">
        <fgColor theme="9" tint="0.59999389629810485"/>
        <bgColor indexed="64"/>
      </patternFill>
    </fill>
    <fill>
      <patternFill patternType="solid">
        <fgColor rgb="FFFFFFFF"/>
        <bgColor indexed="64"/>
      </patternFill>
    </fill>
    <fill>
      <patternFill patternType="solid">
        <fgColor rgb="FFF4F4F4"/>
        <bgColor indexed="64"/>
      </patternFill>
    </fill>
    <fill>
      <patternFill patternType="solid">
        <fgColor theme="0"/>
        <bgColor indexed="64"/>
      </patternFill>
    </fill>
    <fill>
      <patternFill patternType="solid">
        <fgColor theme="7" tint="0.79998168889431442"/>
        <bgColor indexed="64"/>
      </patternFill>
    </fill>
  </fills>
  <borders count="58">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style="thin">
        <color auto="1"/>
      </left>
      <right/>
      <top style="thin">
        <color auto="1"/>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rgb="FFCCCCCC"/>
      </top>
      <bottom style="medium">
        <color rgb="FFCCCCCC"/>
      </bottom>
      <diagonal/>
    </border>
    <border>
      <left/>
      <right/>
      <top/>
      <bottom style="medium">
        <color rgb="FFCCCCCC"/>
      </bottom>
      <diagonal/>
    </border>
    <border>
      <left style="medium">
        <color indexed="64"/>
      </left>
      <right/>
      <top/>
      <bottom style="thin">
        <color indexed="6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auto="1"/>
      </left>
      <right style="thin">
        <color auto="1"/>
      </right>
      <top style="thin">
        <color auto="1"/>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auto="1"/>
      </left>
      <right style="medium">
        <color indexed="64"/>
      </right>
      <top style="thin">
        <color auto="1"/>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409">
    <xf numFmtId="0" fontId="0" fillId="0" borderId="0" xfId="0"/>
    <xf numFmtId="3" fontId="0" fillId="0" borderId="0" xfId="0" applyNumberFormat="1"/>
    <xf numFmtId="3" fontId="4" fillId="2" borderId="0" xfId="1" applyNumberFormat="1" applyFont="1" applyFill="1" applyBorder="1" applyAlignment="1" applyProtection="1">
      <alignment horizontal="center" vertical="center"/>
      <protection locked="0"/>
    </xf>
    <xf numFmtId="3" fontId="4" fillId="2" borderId="3" xfId="1" applyNumberFormat="1" applyFont="1" applyFill="1" applyBorder="1" applyAlignment="1" applyProtection="1">
      <alignment horizontal="center" vertical="center"/>
      <protection locked="0"/>
    </xf>
    <xf numFmtId="3" fontId="4" fillId="2" borderId="3" xfId="0" applyNumberFormat="1" applyFont="1" applyFill="1" applyBorder="1" applyAlignment="1" applyProtection="1">
      <alignment horizontal="center"/>
      <protection locked="0"/>
    </xf>
    <xf numFmtId="0" fontId="2" fillId="0" borderId="0" xfId="0" applyFont="1"/>
    <xf numFmtId="3" fontId="0" fillId="0" borderId="10" xfId="0" applyNumberFormat="1" applyBorder="1"/>
    <xf numFmtId="0" fontId="0" fillId="0" borderId="10" xfId="0" applyBorder="1"/>
    <xf numFmtId="0" fontId="2" fillId="0" borderId="10" xfId="0" applyFont="1" applyBorder="1"/>
    <xf numFmtId="164" fontId="4" fillId="2" borderId="3" xfId="0" applyNumberFormat="1" applyFont="1" applyFill="1" applyBorder="1" applyAlignment="1" applyProtection="1">
      <alignment horizontal="center"/>
      <protection locked="0"/>
    </xf>
    <xf numFmtId="9" fontId="4" fillId="4" borderId="0" xfId="2" applyFont="1" applyFill="1" applyBorder="1" applyAlignment="1" applyProtection="1">
      <alignment horizontal="center"/>
    </xf>
    <xf numFmtId="9" fontId="4" fillId="4" borderId="3" xfId="2" applyFont="1" applyFill="1" applyBorder="1" applyAlignment="1" applyProtection="1">
      <alignment horizontal="center"/>
    </xf>
    <xf numFmtId="166" fontId="4" fillId="0" borderId="0" xfId="0" applyNumberFormat="1" applyFont="1"/>
    <xf numFmtId="0" fontId="0" fillId="7" borderId="0" xfId="0" applyFill="1"/>
    <xf numFmtId="0" fontId="0" fillId="8" borderId="0" xfId="0" applyFill="1"/>
    <xf numFmtId="2" fontId="0" fillId="0" borderId="0" xfId="0" applyNumberFormat="1"/>
    <xf numFmtId="165" fontId="0" fillId="0" borderId="0" xfId="0" applyNumberFormat="1"/>
    <xf numFmtId="1" fontId="0" fillId="0" borderId="0" xfId="0" applyNumberFormat="1"/>
    <xf numFmtId="0" fontId="0" fillId="0" borderId="0" xfId="0" applyAlignment="1">
      <alignment horizontal="center"/>
    </xf>
    <xf numFmtId="164" fontId="0" fillId="0" borderId="0" xfId="0" applyNumberFormat="1"/>
    <xf numFmtId="167" fontId="0" fillId="0" borderId="0" xfId="0" applyNumberFormat="1"/>
    <xf numFmtId="0" fontId="0" fillId="0" borderId="8" xfId="0" applyBorder="1"/>
    <xf numFmtId="4" fontId="0" fillId="0" borderId="0" xfId="0" applyNumberFormat="1"/>
    <xf numFmtId="2" fontId="2" fillId="0" borderId="10" xfId="0" applyNumberFormat="1" applyFont="1" applyBorder="1"/>
    <xf numFmtId="0" fontId="0" fillId="0" borderId="10" xfId="0" applyBorder="1" applyAlignment="1">
      <alignment horizontal="center"/>
    </xf>
    <xf numFmtId="0" fontId="2" fillId="0" borderId="10" xfId="0" applyFont="1" applyBorder="1" applyAlignment="1">
      <alignment horizontal="center"/>
    </xf>
    <xf numFmtId="165" fontId="2" fillId="0" borderId="10" xfId="0" applyNumberFormat="1" applyFont="1" applyBorder="1" applyAlignment="1">
      <alignment horizontal="center"/>
    </xf>
    <xf numFmtId="168" fontId="0" fillId="0" borderId="0" xfId="1" applyNumberFormat="1" applyFont="1"/>
    <xf numFmtId="0" fontId="0" fillId="13" borderId="0" xfId="0" applyFill="1"/>
    <xf numFmtId="0" fontId="2" fillId="0" borderId="16" xfId="0" applyFont="1" applyBorder="1"/>
    <xf numFmtId="0" fontId="2" fillId="0" borderId="17" xfId="0" applyFont="1" applyBorder="1"/>
    <xf numFmtId="0" fontId="2" fillId="0" borderId="18" xfId="0" applyFont="1" applyBorder="1"/>
    <xf numFmtId="0" fontId="0" fillId="0" borderId="2" xfId="0" applyBorder="1"/>
    <xf numFmtId="0" fontId="0" fillId="0" borderId="7" xfId="0" applyBorder="1"/>
    <xf numFmtId="10" fontId="0" fillId="13" borderId="14" xfId="0" applyNumberFormat="1" applyFill="1" applyBorder="1"/>
    <xf numFmtId="0" fontId="2" fillId="0" borderId="0" xfId="0" applyFont="1" applyAlignment="1">
      <alignment horizontal="right"/>
    </xf>
    <xf numFmtId="168" fontId="0" fillId="0" borderId="0" xfId="0" applyNumberFormat="1"/>
    <xf numFmtId="168" fontId="0" fillId="7" borderId="14" xfId="1" applyNumberFormat="1" applyFont="1" applyFill="1" applyBorder="1"/>
    <xf numFmtId="168" fontId="0" fillId="0" borderId="0" xfId="1" applyNumberFormat="1" applyFont="1" applyFill="1" applyBorder="1"/>
    <xf numFmtId="166" fontId="0" fillId="13" borderId="10" xfId="0" applyNumberFormat="1" applyFill="1" applyBorder="1"/>
    <xf numFmtId="168" fontId="0" fillId="0" borderId="10" xfId="1" applyNumberFormat="1" applyFont="1" applyBorder="1"/>
    <xf numFmtId="9" fontId="0" fillId="0" borderId="14" xfId="2" applyFont="1" applyBorder="1"/>
    <xf numFmtId="0" fontId="2" fillId="6" borderId="10" xfId="0" applyFont="1" applyFill="1" applyBorder="1" applyAlignment="1">
      <alignment horizontal="center"/>
    </xf>
    <xf numFmtId="9" fontId="0" fillId="6" borderId="10" xfId="2" applyFont="1" applyFill="1" applyBorder="1"/>
    <xf numFmtId="0" fontId="2" fillId="6" borderId="0" xfId="0" applyFont="1" applyFill="1"/>
    <xf numFmtId="168" fontId="0" fillId="6" borderId="10" xfId="0" applyNumberFormat="1" applyFill="1" applyBorder="1"/>
    <xf numFmtId="0" fontId="2" fillId="6" borderId="5" xfId="0" applyFont="1" applyFill="1" applyBorder="1"/>
    <xf numFmtId="9" fontId="0" fillId="6" borderId="0" xfId="2" applyFont="1" applyFill="1"/>
    <xf numFmtId="165" fontId="0" fillId="13" borderId="14" xfId="0" applyNumberFormat="1" applyFill="1" applyBorder="1"/>
    <xf numFmtId="165" fontId="0" fillId="13" borderId="10" xfId="0" applyNumberFormat="1" applyFill="1" applyBorder="1"/>
    <xf numFmtId="3" fontId="0" fillId="0" borderId="10" xfId="0" applyNumberFormat="1" applyBorder="1" applyAlignment="1" applyProtection="1">
      <alignment horizontal="right"/>
      <protection hidden="1"/>
    </xf>
    <xf numFmtId="3" fontId="0" fillId="0" borderId="0" xfId="0" applyNumberFormat="1" applyProtection="1">
      <protection hidden="1"/>
    </xf>
    <xf numFmtId="164" fontId="2" fillId="0" borderId="10" xfId="0" applyNumberFormat="1" applyFont="1" applyBorder="1" applyAlignment="1" applyProtection="1">
      <alignment horizontal="center"/>
      <protection hidden="1"/>
    </xf>
    <xf numFmtId="164" fontId="14" fillId="13" borderId="0" xfId="0" applyNumberFormat="1" applyFont="1" applyFill="1" applyProtection="1">
      <protection hidden="1"/>
    </xf>
    <xf numFmtId="168" fontId="0" fillId="13" borderId="0" xfId="0" applyNumberFormat="1" applyFill="1"/>
    <xf numFmtId="164" fontId="14" fillId="13" borderId="10" xfId="0" applyNumberFormat="1" applyFont="1" applyFill="1" applyBorder="1" applyProtection="1">
      <protection hidden="1"/>
    </xf>
    <xf numFmtId="164" fontId="15" fillId="13" borderId="0" xfId="0" applyNumberFormat="1" applyFont="1" applyFill="1" applyProtection="1">
      <protection hidden="1"/>
    </xf>
    <xf numFmtId="168" fontId="0" fillId="13" borderId="10" xfId="0" applyNumberFormat="1" applyFill="1" applyBorder="1"/>
    <xf numFmtId="0" fontId="13" fillId="0" borderId="0" xfId="0" applyFont="1"/>
    <xf numFmtId="0" fontId="0" fillId="0" borderId="8" xfId="0" applyBorder="1" applyAlignment="1">
      <alignment horizontal="center"/>
    </xf>
    <xf numFmtId="0" fontId="0" fillId="0" borderId="17" xfId="0" applyBorder="1"/>
    <xf numFmtId="0" fontId="0" fillId="11" borderId="0" xfId="0" applyFill="1"/>
    <xf numFmtId="169" fontId="0" fillId="0" borderId="0" xfId="0" applyNumberFormat="1" applyAlignment="1">
      <alignment horizontal="center"/>
    </xf>
    <xf numFmtId="169" fontId="0" fillId="10" borderId="0" xfId="0" applyNumberFormat="1" applyFill="1" applyAlignment="1">
      <alignment horizontal="center"/>
    </xf>
    <xf numFmtId="2" fontId="0" fillId="0" borderId="0" xfId="0" applyNumberFormat="1" applyAlignment="1">
      <alignment horizontal="center"/>
    </xf>
    <xf numFmtId="167" fontId="0" fillId="0" borderId="0" xfId="0" applyNumberFormat="1" applyAlignment="1">
      <alignment horizontal="center"/>
    </xf>
    <xf numFmtId="169" fontId="0" fillId="11" borderId="0" xfId="0" applyNumberFormat="1" applyFill="1" applyAlignment="1">
      <alignment horizontal="center"/>
    </xf>
    <xf numFmtId="0" fontId="0" fillId="0" borderId="11" xfId="0" applyBorder="1"/>
    <xf numFmtId="0" fontId="0" fillId="0" borderId="12" xfId="0" applyBorder="1"/>
    <xf numFmtId="0" fontId="0" fillId="0" borderId="18" xfId="0" applyBorder="1"/>
    <xf numFmtId="169" fontId="0" fillId="0" borderId="0" xfId="0" applyNumberFormat="1"/>
    <xf numFmtId="169" fontId="0" fillId="0" borderId="3" xfId="0" applyNumberFormat="1" applyBorder="1"/>
    <xf numFmtId="4" fontId="0" fillId="0" borderId="8" xfId="0" applyNumberFormat="1" applyBorder="1"/>
    <xf numFmtId="4" fontId="0" fillId="0" borderId="9" xfId="0" applyNumberFormat="1" applyBorder="1"/>
    <xf numFmtId="165" fontId="2" fillId="0" borderId="22" xfId="0" applyNumberFormat="1" applyFont="1" applyBorder="1" applyAlignment="1">
      <alignment horizontal="center"/>
    </xf>
    <xf numFmtId="165" fontId="0" fillId="0" borderId="22" xfId="0" applyNumberFormat="1" applyBorder="1" applyAlignment="1">
      <alignment horizontal="center"/>
    </xf>
    <xf numFmtId="0" fontId="2" fillId="0" borderId="0" xfId="0" applyFont="1" applyAlignment="1">
      <alignment horizontal="center"/>
    </xf>
    <xf numFmtId="0" fontId="0" fillId="0" borderId="14" xfId="0" applyBorder="1" applyAlignment="1">
      <alignment horizontal="center"/>
    </xf>
    <xf numFmtId="0" fontId="2" fillId="0" borderId="0" xfId="0" applyFont="1" applyAlignment="1">
      <alignment horizontal="left"/>
    </xf>
    <xf numFmtId="3" fontId="0" fillId="3" borderId="23" xfId="0" applyNumberFormat="1" applyFill="1" applyBorder="1"/>
    <xf numFmtId="3" fontId="0" fillId="3" borderId="5" xfId="0" applyNumberFormat="1" applyFill="1" applyBorder="1" applyAlignment="1">
      <alignment horizontal="center"/>
    </xf>
    <xf numFmtId="3" fontId="0" fillId="0" borderId="5" xfId="0" applyNumberFormat="1" applyBorder="1" applyAlignment="1">
      <alignment horizontal="center"/>
    </xf>
    <xf numFmtId="3" fontId="0" fillId="0" borderId="21" xfId="0" applyNumberFormat="1" applyBorder="1" applyAlignment="1">
      <alignment horizontal="center"/>
    </xf>
    <xf numFmtId="3" fontId="0" fillId="3" borderId="24" xfId="0" applyNumberFormat="1" applyFill="1" applyBorder="1"/>
    <xf numFmtId="3" fontId="0" fillId="3" borderId="0" xfId="0" applyNumberFormat="1" applyFill="1" applyAlignment="1">
      <alignment horizontal="center"/>
    </xf>
    <xf numFmtId="9" fontId="0" fillId="18" borderId="0" xfId="0" applyNumberFormat="1" applyFill="1" applyAlignment="1">
      <alignment horizontal="center"/>
    </xf>
    <xf numFmtId="9" fontId="0" fillId="0" borderId="0" xfId="0" applyNumberFormat="1" applyAlignment="1">
      <alignment horizontal="center"/>
    </xf>
    <xf numFmtId="9" fontId="0" fillId="18" borderId="22" xfId="0" applyNumberFormat="1" applyFill="1" applyBorder="1" applyAlignment="1">
      <alignment horizontal="center"/>
    </xf>
    <xf numFmtId="3" fontId="0" fillId="0" borderId="24" xfId="0" applyNumberFormat="1" applyBorder="1"/>
    <xf numFmtId="3" fontId="0" fillId="3" borderId="22" xfId="0" applyNumberFormat="1" applyFill="1" applyBorder="1" applyAlignment="1">
      <alignment horizontal="center"/>
    </xf>
    <xf numFmtId="3" fontId="0" fillId="0" borderId="25" xfId="0" applyNumberFormat="1" applyBorder="1"/>
    <xf numFmtId="9" fontId="0" fillId="18" borderId="10" xfId="0" applyNumberFormat="1" applyFill="1" applyBorder="1" applyAlignment="1">
      <alignment horizontal="center"/>
    </xf>
    <xf numFmtId="3" fontId="0" fillId="3" borderId="10" xfId="0" applyNumberFormat="1" applyFill="1" applyBorder="1" applyAlignment="1">
      <alignment horizontal="center"/>
    </xf>
    <xf numFmtId="3" fontId="0" fillId="3" borderId="26" xfId="0" applyNumberFormat="1" applyFill="1" applyBorder="1" applyAlignment="1">
      <alignment horizontal="center"/>
    </xf>
    <xf numFmtId="3" fontId="0" fillId="0" borderId="23" xfId="0" applyNumberFormat="1" applyBorder="1"/>
    <xf numFmtId="9" fontId="0" fillId="18" borderId="5" xfId="0" applyNumberFormat="1" applyFill="1" applyBorder="1" applyAlignment="1">
      <alignment horizontal="center"/>
    </xf>
    <xf numFmtId="3" fontId="0" fillId="0" borderId="22" xfId="0" applyNumberFormat="1" applyBorder="1" applyAlignment="1">
      <alignment horizontal="center"/>
    </xf>
    <xf numFmtId="10" fontId="0" fillId="3" borderId="0" xfId="0" applyNumberFormat="1" applyFill="1" applyAlignment="1">
      <alignment horizontal="center"/>
    </xf>
    <xf numFmtId="3" fontId="0" fillId="3" borderId="25" xfId="0" applyNumberFormat="1" applyFill="1" applyBorder="1"/>
    <xf numFmtId="168" fontId="0" fillId="7" borderId="0" xfId="0" applyNumberFormat="1" applyFill="1"/>
    <xf numFmtId="170" fontId="0" fillId="13" borderId="0" xfId="0" applyNumberFormat="1" applyFill="1"/>
    <xf numFmtId="10" fontId="0" fillId="0" borderId="0" xfId="0" applyNumberFormat="1" applyAlignment="1">
      <alignment horizontal="center"/>
    </xf>
    <xf numFmtId="10" fontId="0" fillId="3" borderId="22" xfId="0" applyNumberFormat="1" applyFill="1" applyBorder="1" applyAlignment="1">
      <alignment horizontal="center"/>
    </xf>
    <xf numFmtId="10" fontId="0" fillId="3" borderId="10" xfId="0" applyNumberFormat="1" applyFill="1" applyBorder="1" applyAlignment="1">
      <alignment horizontal="center"/>
    </xf>
    <xf numFmtId="10" fontId="0" fillId="3" borderId="26" xfId="0" applyNumberFormat="1" applyFill="1" applyBorder="1" applyAlignment="1">
      <alignment horizontal="center"/>
    </xf>
    <xf numFmtId="3" fontId="0" fillId="0" borderId="0" xfId="0" applyNumberFormat="1" applyAlignment="1">
      <alignment horizontal="center"/>
    </xf>
    <xf numFmtId="10" fontId="0" fillId="19" borderId="0" xfId="0" applyNumberFormat="1" applyFill="1" applyAlignment="1">
      <alignment horizontal="center"/>
    </xf>
    <xf numFmtId="3" fontId="0" fillId="19" borderId="0" xfId="0" applyNumberFormat="1" applyFill="1" applyAlignment="1">
      <alignment horizontal="center"/>
    </xf>
    <xf numFmtId="10" fontId="0" fillId="19" borderId="0" xfId="0" applyNumberFormat="1" applyFill="1" applyAlignment="1">
      <alignment horizontal="left"/>
    </xf>
    <xf numFmtId="10" fontId="0" fillId="5" borderId="0" xfId="0" applyNumberFormat="1" applyFill="1" applyAlignment="1">
      <alignment horizontal="left"/>
    </xf>
    <xf numFmtId="0" fontId="2" fillId="20" borderId="0" xfId="0" applyFont="1" applyFill="1"/>
    <xf numFmtId="9" fontId="0" fillId="0" borderId="0" xfId="0" applyNumberFormat="1"/>
    <xf numFmtId="9" fontId="0" fillId="0" borderId="3" xfId="0" applyNumberFormat="1" applyBorder="1"/>
    <xf numFmtId="0" fontId="0" fillId="0" borderId="4" xfId="0" applyBorder="1"/>
    <xf numFmtId="0" fontId="0" fillId="0" borderId="5" xfId="0" applyBorder="1"/>
    <xf numFmtId="1" fontId="0" fillId="7" borderId="10" xfId="0" applyNumberFormat="1" applyFill="1" applyBorder="1"/>
    <xf numFmtId="0" fontId="19" fillId="0" borderId="0" xfId="0" applyFont="1" applyAlignment="1">
      <alignment horizontal="left" vertical="center" indent="2"/>
    </xf>
    <xf numFmtId="0" fontId="0" fillId="7" borderId="0" xfId="0" applyFill="1" applyAlignment="1">
      <alignment horizontal="center"/>
    </xf>
    <xf numFmtId="43" fontId="0" fillId="0" borderId="0" xfId="1" applyFont="1"/>
    <xf numFmtId="43" fontId="0" fillId="7" borderId="0" xfId="0" applyNumberFormat="1" applyFill="1"/>
    <xf numFmtId="0" fontId="21" fillId="22" borderId="27" xfId="0" applyFont="1" applyFill="1" applyBorder="1" applyAlignment="1">
      <alignment vertical="center" wrapText="1"/>
    </xf>
    <xf numFmtId="0" fontId="20" fillId="22" borderId="27" xfId="0" applyFont="1" applyFill="1" applyBorder="1" applyAlignment="1">
      <alignment vertical="top" wrapText="1"/>
    </xf>
    <xf numFmtId="0" fontId="0" fillId="21" borderId="28" xfId="0" applyFill="1" applyBorder="1"/>
    <xf numFmtId="9" fontId="22" fillId="0" borderId="0" xfId="0" applyNumberFormat="1" applyFont="1"/>
    <xf numFmtId="171" fontId="0" fillId="0" borderId="0" xfId="0" applyNumberFormat="1"/>
    <xf numFmtId="0" fontId="0" fillId="11" borderId="0" xfId="0" applyFill="1" applyAlignment="1">
      <alignment horizontal="center"/>
    </xf>
    <xf numFmtId="0" fontId="0" fillId="11" borderId="3" xfId="0" applyFill="1" applyBorder="1" applyAlignment="1">
      <alignment horizontal="center"/>
    </xf>
    <xf numFmtId="167" fontId="0" fillId="11" borderId="0" xfId="0" applyNumberFormat="1" applyFill="1"/>
    <xf numFmtId="1" fontId="0" fillId="20" borderId="0" xfId="0" applyNumberFormat="1" applyFill="1" applyAlignment="1">
      <alignment horizontal="center"/>
    </xf>
    <xf numFmtId="0" fontId="0" fillId="20" borderId="0" xfId="0" applyFill="1" applyAlignment="1">
      <alignment horizontal="center"/>
    </xf>
    <xf numFmtId="0" fontId="0" fillId="20" borderId="3" xfId="0" applyFill="1" applyBorder="1" applyAlignment="1">
      <alignment horizontal="center"/>
    </xf>
    <xf numFmtId="0" fontId="0" fillId="20" borderId="9" xfId="0" applyFill="1" applyBorder="1" applyAlignment="1">
      <alignment horizontal="center"/>
    </xf>
    <xf numFmtId="0" fontId="0" fillId="20" borderId="8" xfId="0" applyFill="1" applyBorder="1" applyAlignment="1">
      <alignment horizontal="center"/>
    </xf>
    <xf numFmtId="0" fontId="0" fillId="0" borderId="22" xfId="0" applyBorder="1" applyAlignment="1">
      <alignment horizontal="center"/>
    </xf>
    <xf numFmtId="0" fontId="2" fillId="7" borderId="0" xfId="0" applyFont="1" applyFill="1"/>
    <xf numFmtId="168" fontId="18" fillId="0" borderId="0" xfId="1" applyNumberFormat="1" applyFont="1" applyAlignment="1">
      <alignment horizontal="center"/>
    </xf>
    <xf numFmtId="3" fontId="0" fillId="13" borderId="0" xfId="0" applyNumberFormat="1" applyFill="1" applyAlignment="1">
      <alignment horizontal="right"/>
    </xf>
    <xf numFmtId="0" fontId="0" fillId="20" borderId="0" xfId="0" applyFill="1"/>
    <xf numFmtId="168" fontId="0" fillId="0" borderId="10" xfId="0" applyNumberFormat="1" applyBorder="1"/>
    <xf numFmtId="168" fontId="0" fillId="0" borderId="0" xfId="1" applyNumberFormat="1" applyFont="1" applyAlignment="1">
      <alignment horizontal="center"/>
    </xf>
    <xf numFmtId="9" fontId="0" fillId="9" borderId="0" xfId="0" applyNumberFormat="1" applyFill="1"/>
    <xf numFmtId="172" fontId="0" fillId="0" borderId="0" xfId="0" applyNumberFormat="1"/>
    <xf numFmtId="0" fontId="13" fillId="0" borderId="0" xfId="0" applyFont="1" applyAlignment="1">
      <alignment horizontal="center"/>
    </xf>
    <xf numFmtId="0" fontId="0" fillId="0" borderId="10" xfId="0" applyBorder="1" applyAlignment="1">
      <alignment horizontal="right"/>
    </xf>
    <xf numFmtId="0" fontId="0" fillId="0" borderId="25" xfId="0" applyBorder="1" applyAlignment="1">
      <alignment horizontal="right"/>
    </xf>
    <xf numFmtId="165" fontId="0" fillId="0" borderId="24" xfId="0" applyNumberFormat="1" applyBorder="1"/>
    <xf numFmtId="0" fontId="2" fillId="0" borderId="24" xfId="0" applyFont="1" applyBorder="1" applyAlignment="1">
      <alignment horizontal="center"/>
    </xf>
    <xf numFmtId="168" fontId="0" fillId="13" borderId="10" xfId="1" applyNumberFormat="1" applyFont="1" applyFill="1" applyBorder="1"/>
    <xf numFmtId="168" fontId="0" fillId="13" borderId="14" xfId="1" applyNumberFormat="1" applyFont="1" applyFill="1" applyBorder="1"/>
    <xf numFmtId="173" fontId="0" fillId="0" borderId="0" xfId="0" applyNumberFormat="1"/>
    <xf numFmtId="9" fontId="0" fillId="0" borderId="0" xfId="2" applyFont="1"/>
    <xf numFmtId="166" fontId="0" fillId="13" borderId="0" xfId="0" applyNumberFormat="1" applyFill="1"/>
    <xf numFmtId="0" fontId="2" fillId="13" borderId="0" xfId="0" applyFont="1" applyFill="1"/>
    <xf numFmtId="3" fontId="2" fillId="13" borderId="0" xfId="0" applyNumberFormat="1" applyFont="1" applyFill="1"/>
    <xf numFmtId="164" fontId="4" fillId="2" borderId="10" xfId="0" applyNumberFormat="1" applyFont="1" applyFill="1" applyBorder="1" applyAlignment="1" applyProtection="1">
      <alignment horizontal="center"/>
      <protection locked="0"/>
    </xf>
    <xf numFmtId="164" fontId="4" fillId="2" borderId="15" xfId="0" applyNumberFormat="1" applyFont="1" applyFill="1" applyBorder="1" applyAlignment="1" applyProtection="1">
      <alignment horizontal="center"/>
      <protection locked="0"/>
    </xf>
    <xf numFmtId="9" fontId="0" fillId="0" borderId="0" xfId="0" quotePrefix="1" applyNumberFormat="1" applyAlignment="1">
      <alignment horizontal="center"/>
    </xf>
    <xf numFmtId="168" fontId="0" fillId="0" borderId="0" xfId="1" applyNumberFormat="1" applyFont="1" applyFill="1"/>
    <xf numFmtId="0" fontId="0" fillId="8" borderId="0" xfId="0" quotePrefix="1" applyFill="1"/>
    <xf numFmtId="0" fontId="0" fillId="8" borderId="8" xfId="0" quotePrefix="1" applyFill="1" applyBorder="1"/>
    <xf numFmtId="170" fontId="0" fillId="0" borderId="24" xfId="1" applyNumberFormat="1" applyFont="1" applyBorder="1"/>
    <xf numFmtId="0" fontId="0" fillId="14" borderId="0" xfId="0" applyFill="1"/>
    <xf numFmtId="0" fontId="0" fillId="0" borderId="0" xfId="0" applyAlignment="1">
      <alignment wrapText="1"/>
    </xf>
    <xf numFmtId="0" fontId="0" fillId="0" borderId="0" xfId="0" applyAlignment="1">
      <alignment horizontal="right" wrapText="1"/>
    </xf>
    <xf numFmtId="4" fontId="0" fillId="0" borderId="0" xfId="0" quotePrefix="1" applyNumberFormat="1"/>
    <xf numFmtId="0" fontId="0" fillId="0" borderId="0" xfId="0" applyAlignment="1">
      <alignment horizontal="left" wrapText="1"/>
    </xf>
    <xf numFmtId="0" fontId="0" fillId="0" borderId="0" xfId="0" applyAlignment="1" applyProtection="1">
      <alignment wrapText="1"/>
      <protection locked="0"/>
    </xf>
    <xf numFmtId="0" fontId="0" fillId="0" borderId="10" xfId="0" applyBorder="1" applyAlignment="1" applyProtection="1">
      <alignment horizontal="center" wrapText="1"/>
      <protection locked="0"/>
    </xf>
    <xf numFmtId="0" fontId="0" fillId="0" borderId="10" xfId="0" applyBorder="1" applyAlignment="1" applyProtection="1">
      <alignment wrapText="1"/>
      <protection locked="0"/>
    </xf>
    <xf numFmtId="0" fontId="0" fillId="0" borderId="5" xfId="0" applyBorder="1" applyAlignment="1" applyProtection="1">
      <alignment wrapText="1"/>
      <protection locked="0"/>
    </xf>
    <xf numFmtId="0" fontId="0" fillId="23" borderId="0" xfId="0" applyFill="1" applyAlignment="1">
      <alignment wrapText="1"/>
    </xf>
    <xf numFmtId="0" fontId="26" fillId="0" borderId="0" xfId="0" applyFont="1"/>
    <xf numFmtId="0" fontId="0" fillId="0" borderId="0" xfId="0" applyAlignment="1">
      <alignment vertical="top"/>
    </xf>
    <xf numFmtId="0" fontId="0" fillId="0" borderId="0" xfId="0" applyAlignment="1">
      <alignment vertical="top" wrapText="1"/>
    </xf>
    <xf numFmtId="4" fontId="0" fillId="0" borderId="0" xfId="0" applyNumberFormat="1" applyProtection="1">
      <protection locked="0"/>
    </xf>
    <xf numFmtId="0" fontId="2" fillId="0" borderId="33" xfId="0" applyFont="1" applyBorder="1" applyAlignment="1">
      <alignment horizontal="center" vertical="center"/>
    </xf>
    <xf numFmtId="0" fontId="2" fillId="0" borderId="34" xfId="0" applyFont="1" applyBorder="1" applyAlignment="1">
      <alignment vertical="center"/>
    </xf>
    <xf numFmtId="0" fontId="2" fillId="0" borderId="35" xfId="0" applyFont="1" applyBorder="1" applyAlignment="1">
      <alignment vertical="center" wrapText="1"/>
    </xf>
    <xf numFmtId="4" fontId="2" fillId="0" borderId="36" xfId="0" applyNumberFormat="1" applyFont="1" applyBorder="1" applyAlignment="1">
      <alignment horizontal="center" vertical="center" wrapText="1"/>
    </xf>
    <xf numFmtId="0" fontId="0" fillId="3" borderId="37" xfId="0" applyFill="1" applyBorder="1" applyAlignment="1">
      <alignment horizontal="center" vertical="top"/>
    </xf>
    <xf numFmtId="0" fontId="2" fillId="3" borderId="10" xfId="0" applyFont="1" applyFill="1" applyBorder="1" applyAlignment="1">
      <alignment horizontal="left" vertical="top"/>
    </xf>
    <xf numFmtId="0" fontId="2" fillId="3" borderId="38" xfId="0" applyFont="1" applyFill="1" applyBorder="1" applyAlignment="1">
      <alignment vertical="top" wrapText="1"/>
    </xf>
    <xf numFmtId="4" fontId="0" fillId="3" borderId="39" xfId="0" applyNumberFormat="1" applyFill="1" applyBorder="1" applyAlignment="1" applyProtection="1">
      <alignment horizontal="right" vertical="top" wrapText="1"/>
      <protection locked="0"/>
    </xf>
    <xf numFmtId="0" fontId="0" fillId="0" borderId="37" xfId="0" applyBorder="1" applyAlignment="1">
      <alignment horizontal="center" vertical="top"/>
    </xf>
    <xf numFmtId="0" fontId="0" fillId="0" borderId="10" xfId="0" applyBorder="1" applyAlignment="1">
      <alignment horizontal="left" vertical="top"/>
    </xf>
    <xf numFmtId="0" fontId="0" fillId="0" borderId="38" xfId="0" applyBorder="1" applyAlignment="1">
      <alignment vertical="top" wrapText="1"/>
    </xf>
    <xf numFmtId="4" fontId="0" fillId="0" borderId="39" xfId="0" applyNumberFormat="1" applyBorder="1" applyAlignment="1" applyProtection="1">
      <alignment horizontal="right" vertical="top" wrapText="1"/>
      <protection locked="0"/>
    </xf>
    <xf numFmtId="0" fontId="0" fillId="0" borderId="40" xfId="0" applyBorder="1" applyAlignment="1">
      <alignment horizontal="left" vertical="top"/>
    </xf>
    <xf numFmtId="0" fontId="0" fillId="0" borderId="41" xfId="0" applyBorder="1"/>
    <xf numFmtId="4" fontId="0" fillId="0" borderId="42" xfId="0" applyNumberFormat="1" applyBorder="1" applyAlignment="1" applyProtection="1">
      <alignment horizontal="right"/>
      <protection locked="0"/>
    </xf>
    <xf numFmtId="0" fontId="2" fillId="3" borderId="40" xfId="0" applyFont="1" applyFill="1" applyBorder="1" applyAlignment="1">
      <alignment horizontal="left" vertical="top"/>
    </xf>
    <xf numFmtId="0" fontId="2" fillId="3" borderId="41" xfId="0" applyFont="1" applyFill="1" applyBorder="1"/>
    <xf numFmtId="4" fontId="0" fillId="3" borderId="42" xfId="0" applyNumberFormat="1" applyFill="1" applyBorder="1" applyAlignment="1" applyProtection="1">
      <alignment horizontal="right"/>
      <protection locked="0"/>
    </xf>
    <xf numFmtId="0" fontId="0" fillId="0" borderId="41" xfId="0" applyBorder="1" applyAlignment="1">
      <alignment wrapText="1"/>
    </xf>
    <xf numFmtId="0" fontId="0" fillId="0" borderId="41" xfId="0" applyBorder="1" applyAlignment="1">
      <alignment horizontal="left" vertical="top"/>
    </xf>
    <xf numFmtId="0" fontId="2" fillId="3" borderId="41" xfId="0" applyFont="1" applyFill="1" applyBorder="1" applyAlignment="1">
      <alignment horizontal="left" vertical="top"/>
    </xf>
    <xf numFmtId="0" fontId="2" fillId="3" borderId="43" xfId="0" applyFont="1" applyFill="1" applyBorder="1"/>
    <xf numFmtId="0" fontId="0" fillId="0" borderId="37" xfId="0" applyBorder="1" applyAlignment="1">
      <alignment horizontal="center" vertical="center"/>
    </xf>
    <xf numFmtId="0" fontId="0" fillId="0" borderId="22" xfId="0" applyBorder="1" applyAlignment="1">
      <alignment horizontal="left" vertical="top"/>
    </xf>
    <xf numFmtId="0" fontId="0" fillId="0" borderId="44" xfId="0" applyBorder="1" applyAlignment="1" applyProtection="1">
      <alignment vertical="top" wrapText="1"/>
      <protection locked="0"/>
    </xf>
    <xf numFmtId="0" fontId="2" fillId="3" borderId="45" xfId="0" applyFont="1" applyFill="1" applyBorder="1" applyAlignment="1">
      <alignment horizontal="center"/>
    </xf>
    <xf numFmtId="0" fontId="2" fillId="3" borderId="46" xfId="0" applyFont="1" applyFill="1" applyBorder="1"/>
    <xf numFmtId="0" fontId="2" fillId="3" borderId="46" xfId="0" applyFont="1" applyFill="1" applyBorder="1" applyAlignment="1">
      <alignment vertical="top" wrapText="1"/>
    </xf>
    <xf numFmtId="4" fontId="2" fillId="3" borderId="47" xfId="0" applyNumberFormat="1" applyFont="1" applyFill="1" applyBorder="1" applyAlignment="1">
      <alignment horizontal="right"/>
    </xf>
    <xf numFmtId="0" fontId="2" fillId="0" borderId="0" xfId="0" applyFont="1" applyAlignment="1">
      <alignment vertical="top" wrapText="1"/>
    </xf>
    <xf numFmtId="0" fontId="2" fillId="0" borderId="0" xfId="0" applyFont="1" applyAlignment="1">
      <alignment wrapText="1"/>
    </xf>
    <xf numFmtId="0" fontId="0" fillId="3" borderId="33" xfId="0" applyFill="1" applyBorder="1" applyAlignment="1">
      <alignment horizontal="center"/>
    </xf>
    <xf numFmtId="0" fontId="0" fillId="3" borderId="34" xfId="0" applyFill="1" applyBorder="1"/>
    <xf numFmtId="0" fontId="2" fillId="3" borderId="35" xfId="0" applyFont="1" applyFill="1" applyBorder="1" applyAlignment="1">
      <alignment vertical="top" wrapText="1"/>
    </xf>
    <xf numFmtId="4" fontId="2" fillId="3" borderId="36" xfId="0" applyNumberFormat="1" applyFont="1" applyFill="1" applyBorder="1" applyAlignment="1">
      <alignment horizontal="center" vertical="center" wrapText="1"/>
    </xf>
    <xf numFmtId="0" fontId="0" fillId="0" borderId="48" xfId="0" applyBorder="1" applyAlignment="1">
      <alignment horizontal="left" vertical="top"/>
    </xf>
    <xf numFmtId="0" fontId="0" fillId="0" borderId="41" xfId="0" applyBorder="1" applyAlignment="1">
      <alignment horizontal="left" vertical="top" wrapText="1"/>
    </xf>
    <xf numFmtId="0" fontId="0" fillId="0" borderId="49" xfId="0" applyBorder="1" applyAlignment="1">
      <alignment horizontal="center" vertical="center"/>
    </xf>
    <xf numFmtId="0" fontId="2" fillId="3" borderId="50" xfId="0" applyFont="1" applyFill="1" applyBorder="1"/>
    <xf numFmtId="4" fontId="2" fillId="3" borderId="47" xfId="0" applyNumberFormat="1" applyFont="1" applyFill="1" applyBorder="1"/>
    <xf numFmtId="0" fontId="2" fillId="3" borderId="35" xfId="0" applyFont="1" applyFill="1" applyBorder="1" applyAlignment="1">
      <alignment vertical="center" wrapText="1"/>
    </xf>
    <xf numFmtId="4" fontId="2" fillId="3" borderId="36" xfId="0" applyNumberFormat="1" applyFont="1" applyFill="1" applyBorder="1" applyAlignment="1">
      <alignment horizontal="center" vertical="top" wrapText="1"/>
    </xf>
    <xf numFmtId="0" fontId="0" fillId="0" borderId="49" xfId="0" applyBorder="1" applyAlignment="1">
      <alignment horizontal="center"/>
    </xf>
    <xf numFmtId="0" fontId="0" fillId="0" borderId="48" xfId="0" applyBorder="1"/>
    <xf numFmtId="0" fontId="0" fillId="0" borderId="41" xfId="0" applyBorder="1" applyAlignment="1">
      <alignment vertical="top" wrapText="1"/>
    </xf>
    <xf numFmtId="4" fontId="0" fillId="0" borderId="42" xfId="0" applyNumberFormat="1" applyBorder="1"/>
    <xf numFmtId="0" fontId="0" fillId="0" borderId="51" xfId="0" applyBorder="1" applyAlignment="1">
      <alignment horizontal="center"/>
    </xf>
    <xf numFmtId="0" fontId="0" fillId="0" borderId="21" xfId="0" applyBorder="1"/>
    <xf numFmtId="0" fontId="0" fillId="0" borderId="44" xfId="0" applyBorder="1" applyAlignment="1">
      <alignment vertical="top" wrapText="1"/>
    </xf>
    <xf numFmtId="4" fontId="0" fillId="0" borderId="52" xfId="0" applyNumberFormat="1" applyBorder="1"/>
    <xf numFmtId="0" fontId="2" fillId="3" borderId="33" xfId="0" applyFont="1" applyFill="1" applyBorder="1" applyAlignment="1">
      <alignment horizontal="center" vertical="center"/>
    </xf>
    <xf numFmtId="0" fontId="2" fillId="3" borderId="35" xfId="0" applyFont="1" applyFill="1" applyBorder="1" applyAlignment="1">
      <alignment horizontal="center" vertical="center"/>
    </xf>
    <xf numFmtId="4" fontId="0" fillId="0" borderId="42" xfId="0" applyNumberFormat="1" applyBorder="1" applyAlignment="1" applyProtection="1">
      <alignment horizontal="right" vertical="top"/>
      <protection locked="0"/>
    </xf>
    <xf numFmtId="0" fontId="0" fillId="0" borderId="41" xfId="0" applyBorder="1" applyAlignment="1">
      <alignment horizontal="center" vertical="center"/>
    </xf>
    <xf numFmtId="0" fontId="0" fillId="0" borderId="53" xfId="0" applyBorder="1" applyAlignment="1">
      <alignment horizontal="center" vertical="center"/>
    </xf>
    <xf numFmtId="4" fontId="0" fillId="0" borderId="55" xfId="0" applyNumberFormat="1" applyBorder="1" applyAlignment="1" applyProtection="1">
      <alignment horizontal="right" vertical="top"/>
      <protection locked="0"/>
    </xf>
    <xf numFmtId="0" fontId="0" fillId="3" borderId="33" xfId="0" applyFill="1" applyBorder="1"/>
    <xf numFmtId="0" fontId="0" fillId="0" borderId="37" xfId="0" applyBorder="1"/>
    <xf numFmtId="0" fontId="0" fillId="0" borderId="26" xfId="0" applyBorder="1"/>
    <xf numFmtId="4" fontId="2" fillId="0" borderId="39" xfId="0" applyNumberFormat="1" applyFont="1" applyBorder="1" applyAlignment="1" applyProtection="1">
      <alignment horizontal="center" vertical="top" wrapText="1"/>
      <protection locked="0"/>
    </xf>
    <xf numFmtId="0" fontId="0" fillId="0" borderId="49" xfId="0" applyBorder="1" applyAlignment="1">
      <alignment horizontal="left" vertical="top"/>
    </xf>
    <xf numFmtId="4" fontId="0" fillId="0" borderId="42" xfId="0" applyNumberFormat="1" applyBorder="1" applyAlignment="1" applyProtection="1">
      <alignment horizontal="left" vertical="top"/>
      <protection locked="0"/>
    </xf>
    <xf numFmtId="4" fontId="0" fillId="0" borderId="42" xfId="0" applyNumberFormat="1" applyBorder="1" applyProtection="1">
      <protection locked="0"/>
    </xf>
    <xf numFmtId="0" fontId="0" fillId="0" borderId="41" xfId="0" applyBorder="1" applyAlignment="1" applyProtection="1">
      <alignment wrapText="1"/>
      <protection locked="0"/>
    </xf>
    <xf numFmtId="0" fontId="0" fillId="0" borderId="41" xfId="0" applyBorder="1" applyAlignment="1" applyProtection="1">
      <alignment horizontal="left" vertical="top" wrapText="1"/>
      <protection locked="0"/>
    </xf>
    <xf numFmtId="0" fontId="0" fillId="0" borderId="38" xfId="0" applyBorder="1" applyAlignment="1" applyProtection="1">
      <alignment vertical="top" wrapText="1"/>
      <protection locked="0"/>
    </xf>
    <xf numFmtId="0" fontId="0" fillId="0" borderId="53" xfId="0" applyBorder="1" applyAlignment="1">
      <alignment horizontal="left" vertical="top"/>
    </xf>
    <xf numFmtId="0" fontId="0" fillId="0" borderId="56" xfId="0" applyBorder="1" applyAlignment="1">
      <alignment horizontal="left" vertical="top"/>
    </xf>
    <xf numFmtId="0" fontId="0" fillId="0" borderId="54" xfId="0" applyBorder="1" applyAlignment="1" applyProtection="1">
      <alignment horizontal="left" vertical="top" wrapText="1"/>
      <protection locked="0"/>
    </xf>
    <xf numFmtId="4" fontId="0" fillId="0" borderId="55" xfId="0" applyNumberFormat="1" applyBorder="1" applyProtection="1">
      <protection locked="0"/>
    </xf>
    <xf numFmtId="9" fontId="5" fillId="4" borderId="0" xfId="2" applyFont="1" applyFill="1" applyBorder="1" applyAlignment="1" applyProtection="1">
      <alignment horizontal="center"/>
    </xf>
    <xf numFmtId="164" fontId="4" fillId="2" borderId="0" xfId="0" applyNumberFormat="1" applyFont="1" applyFill="1" applyProtection="1">
      <protection locked="0"/>
    </xf>
    <xf numFmtId="0" fontId="0" fillId="0" borderId="51" xfId="0" applyBorder="1" applyAlignment="1">
      <alignment horizontal="center" vertical="center"/>
    </xf>
    <xf numFmtId="0" fontId="0" fillId="0" borderId="44" xfId="0" applyBorder="1" applyAlignment="1">
      <alignment horizontal="center" vertical="center"/>
    </xf>
    <xf numFmtId="4" fontId="0" fillId="0" borderId="52" xfId="0" applyNumberFormat="1" applyBorder="1" applyAlignment="1" applyProtection="1">
      <alignment horizontal="right" vertical="top"/>
      <protection locked="0"/>
    </xf>
    <xf numFmtId="0" fontId="0" fillId="0" borderId="54" xfId="0" applyBorder="1" applyAlignment="1" applyProtection="1">
      <alignment vertical="top" wrapText="1"/>
      <protection locked="0"/>
    </xf>
    <xf numFmtId="0" fontId="0" fillId="0" borderId="54" xfId="0" applyBorder="1" applyAlignment="1">
      <alignment horizontal="center" vertical="top"/>
    </xf>
    <xf numFmtId="2" fontId="0" fillId="14" borderId="0" xfId="0" applyNumberFormat="1" applyFill="1"/>
    <xf numFmtId="0" fontId="0" fillId="4" borderId="0" xfId="0" applyFill="1"/>
    <xf numFmtId="0" fontId="14" fillId="0" borderId="41" xfId="0" applyFont="1" applyBorder="1" applyAlignment="1">
      <alignment horizontal="left" vertical="top" wrapText="1"/>
    </xf>
    <xf numFmtId="4" fontId="0" fillId="0" borderId="1" xfId="0" applyNumberFormat="1" applyBorder="1"/>
    <xf numFmtId="0" fontId="0" fillId="0" borderId="37" xfId="0" applyBorder="1" applyAlignment="1" applyProtection="1">
      <alignment horizontal="center" vertical="center"/>
      <protection locked="0"/>
    </xf>
    <xf numFmtId="0" fontId="0" fillId="0" borderId="48" xfId="0" applyBorder="1" applyAlignment="1" applyProtection="1">
      <alignment horizontal="left" vertical="top"/>
      <protection locked="0"/>
    </xf>
    <xf numFmtId="4" fontId="0" fillId="0" borderId="39" xfId="0" applyNumberFormat="1" applyBorder="1" applyAlignment="1" applyProtection="1">
      <alignment horizontal="center" vertical="top" wrapText="1"/>
      <protection locked="0"/>
    </xf>
    <xf numFmtId="0" fontId="0" fillId="0" borderId="0" xfId="0" applyProtection="1">
      <protection locked="0"/>
    </xf>
    <xf numFmtId="49" fontId="0" fillId="0" borderId="10" xfId="0" applyNumberFormat="1" applyBorder="1" applyProtection="1">
      <protection locked="0"/>
    </xf>
    <xf numFmtId="0" fontId="2" fillId="12" borderId="10" xfId="0" applyFont="1" applyFill="1" applyBorder="1" applyAlignment="1">
      <alignment horizontal="center"/>
    </xf>
    <xf numFmtId="0" fontId="2" fillId="14" borderId="5" xfId="0" applyFont="1" applyFill="1" applyBorder="1" applyAlignment="1">
      <alignment horizontal="center"/>
    </xf>
    <xf numFmtId="9" fontId="0" fillId="0" borderId="0" xfId="2" applyFont="1" applyAlignment="1">
      <alignment horizontal="center"/>
    </xf>
    <xf numFmtId="0" fontId="2" fillId="14" borderId="0" xfId="0" applyFont="1" applyFill="1" applyAlignment="1">
      <alignment horizontal="center"/>
    </xf>
    <xf numFmtId="0" fontId="2" fillId="3" borderId="0" xfId="0" applyFont="1" applyFill="1" applyAlignment="1">
      <alignment horizontal="center"/>
    </xf>
    <xf numFmtId="0" fontId="2" fillId="3" borderId="0" xfId="0" applyFont="1" applyFill="1"/>
    <xf numFmtId="0" fontId="2" fillId="3" borderId="0" xfId="0" applyFont="1" applyFill="1" applyAlignment="1">
      <alignment vertical="top" wrapText="1"/>
    </xf>
    <xf numFmtId="4" fontId="2" fillId="3" borderId="0" xfId="0" applyNumberFormat="1" applyFont="1" applyFill="1" applyAlignment="1">
      <alignment horizontal="right"/>
    </xf>
    <xf numFmtId="4" fontId="0" fillId="7" borderId="1" xfId="0" applyNumberFormat="1" applyFill="1" applyBorder="1"/>
    <xf numFmtId="0" fontId="0" fillId="5" borderId="3" xfId="0" applyFill="1" applyBorder="1" applyAlignment="1">
      <alignment horizontal="center"/>
    </xf>
    <xf numFmtId="0" fontId="0" fillId="5" borderId="0" xfId="0" applyFill="1" applyAlignment="1">
      <alignment horizontal="center"/>
    </xf>
    <xf numFmtId="3" fontId="16" fillId="0" borderId="0" xfId="0" applyNumberFormat="1" applyFont="1" applyProtection="1">
      <protection hidden="1"/>
    </xf>
    <xf numFmtId="168" fontId="0" fillId="0" borderId="0" xfId="1" applyNumberFormat="1" applyFont="1" applyBorder="1"/>
    <xf numFmtId="166" fontId="1" fillId="0" borderId="0" xfId="2" applyNumberFormat="1" applyFont="1"/>
    <xf numFmtId="4" fontId="29" fillId="0" borderId="0" xfId="0" applyNumberFormat="1" applyFont="1" applyAlignment="1">
      <alignment horizontal="center"/>
    </xf>
    <xf numFmtId="0" fontId="6" fillId="0" borderId="41" xfId="0" applyFont="1" applyBorder="1" applyAlignment="1">
      <alignment wrapText="1"/>
    </xf>
    <xf numFmtId="0" fontId="6" fillId="0" borderId="38" xfId="0" applyFont="1" applyBorder="1" applyAlignment="1">
      <alignment vertical="top" wrapText="1"/>
    </xf>
    <xf numFmtId="0" fontId="6" fillId="0" borderId="41" xfId="0" applyFont="1" applyBorder="1"/>
    <xf numFmtId="0" fontId="30" fillId="3" borderId="41" xfId="0" applyFont="1" applyFill="1" applyBorder="1"/>
    <xf numFmtId="0" fontId="6" fillId="7" borderId="41" xfId="0" applyFont="1" applyFill="1" applyBorder="1" applyAlignment="1">
      <alignment wrapText="1"/>
    </xf>
    <xf numFmtId="0" fontId="30" fillId="3" borderId="43" xfId="0" applyFont="1" applyFill="1" applyBorder="1"/>
    <xf numFmtId="0" fontId="6" fillId="0" borderId="44" xfId="0" applyFont="1" applyBorder="1" applyAlignment="1" applyProtection="1">
      <alignment vertical="top" wrapText="1"/>
      <protection locked="0"/>
    </xf>
    <xf numFmtId="0" fontId="6" fillId="0" borderId="41" xfId="0" applyFont="1" applyBorder="1" applyAlignment="1">
      <alignment horizontal="left" vertical="top" wrapText="1"/>
    </xf>
    <xf numFmtId="168" fontId="0" fillId="13" borderId="10" xfId="1" applyNumberFormat="1" applyFont="1" applyFill="1" applyBorder="1" applyAlignment="1">
      <alignment horizontal="center"/>
    </xf>
    <xf numFmtId="0" fontId="6" fillId="0" borderId="41" xfId="0" applyFont="1" applyBorder="1" applyAlignment="1">
      <alignment horizontal="left" vertical="top"/>
    </xf>
    <xf numFmtId="4" fontId="3" fillId="2" borderId="0" xfId="0" applyNumberFormat="1" applyFont="1" applyFill="1" applyAlignment="1" applyProtection="1">
      <alignment horizontal="center" vertical="center"/>
      <protection locked="0"/>
    </xf>
    <xf numFmtId="0" fontId="2" fillId="24" borderId="10" xfId="0" applyFont="1" applyFill="1" applyBorder="1" applyAlignment="1">
      <alignment horizontal="right"/>
    </xf>
    <xf numFmtId="0" fontId="2" fillId="24" borderId="10" xfId="0" applyFont="1" applyFill="1" applyBorder="1"/>
    <xf numFmtId="2" fontId="0" fillId="24" borderId="0" xfId="0" applyNumberFormat="1" applyFill="1"/>
    <xf numFmtId="0" fontId="0" fillId="24" borderId="0" xfId="0" applyFill="1"/>
    <xf numFmtId="1" fontId="0" fillId="24" borderId="1" xfId="0" applyNumberFormat="1" applyFill="1" applyBorder="1"/>
    <xf numFmtId="0" fontId="2" fillId="24" borderId="0" xfId="0" applyFont="1" applyFill="1" applyAlignment="1">
      <alignment horizontal="right"/>
    </xf>
    <xf numFmtId="0" fontId="0" fillId="9" borderId="0" xfId="0" applyFill="1"/>
    <xf numFmtId="0" fontId="2" fillId="0" borderId="11" xfId="0" applyFont="1" applyBorder="1"/>
    <xf numFmtId="0" fontId="0" fillId="0" borderId="57" xfId="0" applyBorder="1"/>
    <xf numFmtId="0" fontId="0" fillId="0" borderId="3" xfId="0" applyBorder="1"/>
    <xf numFmtId="0" fontId="0" fillId="0" borderId="9" xfId="0" applyBorder="1"/>
    <xf numFmtId="1" fontId="0" fillId="7" borderId="14" xfId="0" applyNumberFormat="1" applyFill="1" applyBorder="1"/>
    <xf numFmtId="0" fontId="0" fillId="0" borderId="14" xfId="0" applyBorder="1"/>
    <xf numFmtId="0" fontId="2" fillId="19" borderId="0" xfId="0" applyFont="1" applyFill="1" applyAlignment="1">
      <alignment vertical="top"/>
    </xf>
    <xf numFmtId="9" fontId="0" fillId="0" borderId="10" xfId="0" applyNumberFormat="1" applyBorder="1" applyAlignment="1">
      <alignment horizontal="center"/>
    </xf>
    <xf numFmtId="9" fontId="0" fillId="0" borderId="22" xfId="0" applyNumberFormat="1" applyBorder="1" applyAlignment="1">
      <alignment horizontal="center"/>
    </xf>
    <xf numFmtId="174" fontId="0" fillId="0" borderId="0" xfId="0" applyNumberFormat="1"/>
    <xf numFmtId="175" fontId="2" fillId="2" borderId="0" xfId="0" applyNumberFormat="1" applyFont="1" applyFill="1" applyAlignment="1" applyProtection="1">
      <alignment horizontal="center"/>
      <protection locked="0"/>
    </xf>
    <xf numFmtId="164" fontId="5" fillId="2" borderId="0" xfId="1" applyNumberFormat="1" applyFont="1" applyFill="1" applyBorder="1" applyAlignment="1" applyProtection="1">
      <alignment horizontal="center" vertical="center"/>
      <protection locked="0"/>
    </xf>
    <xf numFmtId="164" fontId="5" fillId="2" borderId="3" xfId="1" applyNumberFormat="1" applyFont="1" applyFill="1" applyBorder="1" applyAlignment="1" applyProtection="1">
      <alignment horizontal="center" vertical="center"/>
      <protection locked="0"/>
    </xf>
    <xf numFmtId="3" fontId="16" fillId="0" borderId="10" xfId="0" applyNumberFormat="1" applyFont="1" applyBorder="1" applyProtection="1">
      <protection hidden="1"/>
    </xf>
    <xf numFmtId="0" fontId="6" fillId="0" borderId="0" xfId="0" applyFont="1" applyAlignment="1">
      <alignment wrapText="1"/>
    </xf>
    <xf numFmtId="0" fontId="6" fillId="0" borderId="10" xfId="0" applyFont="1" applyBorder="1"/>
    <xf numFmtId="167" fontId="6" fillId="0" borderId="0" xfId="0" applyNumberFormat="1" applyFont="1"/>
    <xf numFmtId="0" fontId="6" fillId="24" borderId="0" xfId="0" applyFont="1" applyFill="1"/>
    <xf numFmtId="164" fontId="3" fillId="7" borderId="19" xfId="0" applyNumberFormat="1" applyFont="1" applyFill="1" applyBorder="1"/>
    <xf numFmtId="164" fontId="4" fillId="7" borderId="20" xfId="0" applyNumberFormat="1" applyFont="1" applyFill="1" applyBorder="1" applyAlignment="1">
      <alignment horizontal="center"/>
    </xf>
    <xf numFmtId="164" fontId="4" fillId="0" borderId="0" xfId="0" applyNumberFormat="1" applyFont="1"/>
    <xf numFmtId="164" fontId="4" fillId="0" borderId="0" xfId="0" applyNumberFormat="1" applyFont="1" applyAlignment="1">
      <alignment horizontal="center"/>
    </xf>
    <xf numFmtId="164" fontId="17" fillId="0" borderId="0" xfId="0" applyNumberFormat="1" applyFont="1"/>
    <xf numFmtId="164" fontId="3" fillId="0" borderId="0" xfId="0" applyNumberFormat="1" applyFont="1"/>
    <xf numFmtId="0" fontId="3" fillId="0" borderId="0" xfId="0" applyFont="1"/>
    <xf numFmtId="3" fontId="3" fillId="0" borderId="0" xfId="0" applyNumberFormat="1" applyFont="1" applyAlignment="1">
      <alignment horizontal="center"/>
    </xf>
    <xf numFmtId="3" fontId="3" fillId="0" borderId="0" xfId="0" applyNumberFormat="1" applyFont="1"/>
    <xf numFmtId="4" fontId="2" fillId="0" borderId="0" xfId="0" applyNumberFormat="1" applyFont="1" applyAlignment="1">
      <alignment horizontal="center"/>
    </xf>
    <xf numFmtId="3" fontId="4" fillId="0" borderId="0" xfId="0" applyNumberFormat="1" applyFont="1" applyAlignment="1">
      <alignment horizontal="center"/>
    </xf>
    <xf numFmtId="3" fontId="4" fillId="0" borderId="0" xfId="0" applyNumberFormat="1" applyFont="1"/>
    <xf numFmtId="0" fontId="0" fillId="7" borderId="0" xfId="0" applyFill="1" applyAlignment="1">
      <alignment wrapText="1"/>
    </xf>
    <xf numFmtId="3" fontId="3" fillId="3" borderId="11" xfId="0" applyNumberFormat="1" applyFont="1" applyFill="1" applyBorder="1"/>
    <xf numFmtId="0" fontId="2" fillId="3" borderId="12" xfId="0" applyFont="1" applyFill="1" applyBorder="1"/>
    <xf numFmtId="0" fontId="2" fillId="3" borderId="17" xfId="0" applyFont="1" applyFill="1" applyBorder="1"/>
    <xf numFmtId="0" fontId="2" fillId="3" borderId="17" xfId="0" applyFont="1" applyFill="1" applyBorder="1" applyAlignment="1">
      <alignment horizontal="center"/>
    </xf>
    <xf numFmtId="0" fontId="2" fillId="3" borderId="18" xfId="0" applyFont="1" applyFill="1" applyBorder="1" applyAlignment="1">
      <alignment horizontal="center"/>
    </xf>
    <xf numFmtId="9" fontId="3" fillId="0" borderId="13" xfId="0" applyNumberFormat="1" applyFont="1" applyBorder="1"/>
    <xf numFmtId="0" fontId="2" fillId="0" borderId="14" xfId="0" applyFont="1" applyBorder="1"/>
    <xf numFmtId="9" fontId="4" fillId="4" borderId="3" xfId="0" applyNumberFormat="1" applyFont="1" applyFill="1" applyBorder="1" applyAlignment="1">
      <alignment horizontal="center"/>
    </xf>
    <xf numFmtId="9" fontId="4" fillId="0" borderId="0" xfId="0" applyNumberFormat="1" applyFont="1"/>
    <xf numFmtId="164" fontId="3" fillId="3" borderId="4" xfId="0" applyNumberFormat="1" applyFont="1" applyFill="1" applyBorder="1"/>
    <xf numFmtId="164" fontId="4" fillId="3" borderId="5" xfId="0" applyNumberFormat="1" applyFont="1" applyFill="1" applyBorder="1"/>
    <xf numFmtId="164" fontId="4" fillId="3" borderId="5" xfId="0" applyNumberFormat="1" applyFont="1" applyFill="1" applyBorder="1" applyAlignment="1">
      <alignment horizontal="center"/>
    </xf>
    <xf numFmtId="164" fontId="4" fillId="3" borderId="6" xfId="0" applyNumberFormat="1" applyFont="1" applyFill="1" applyBorder="1" applyAlignment="1">
      <alignment horizontal="center"/>
    </xf>
    <xf numFmtId="164" fontId="3" fillId="0" borderId="2" xfId="0" applyNumberFormat="1" applyFont="1" applyBorder="1"/>
    <xf numFmtId="164" fontId="4" fillId="4" borderId="3" xfId="0" applyNumberFormat="1" applyFont="1" applyFill="1" applyBorder="1" applyAlignment="1">
      <alignment horizontal="center"/>
    </xf>
    <xf numFmtId="3" fontId="3" fillId="0" borderId="2" xfId="0" applyNumberFormat="1" applyFont="1" applyBorder="1"/>
    <xf numFmtId="164" fontId="4" fillId="0" borderId="3" xfId="0" applyNumberFormat="1" applyFont="1" applyBorder="1" applyAlignment="1">
      <alignment horizontal="center"/>
    </xf>
    <xf numFmtId="3" fontId="4" fillId="0" borderId="3" xfId="0" applyNumberFormat="1" applyFont="1" applyBorder="1" applyAlignment="1">
      <alignment horizontal="center"/>
    </xf>
    <xf numFmtId="3" fontId="3" fillId="3" borderId="4" xfId="0" applyNumberFormat="1" applyFont="1" applyFill="1" applyBorder="1"/>
    <xf numFmtId="4" fontId="4" fillId="0" borderId="3" xfId="0" applyNumberFormat="1" applyFont="1" applyBorder="1" applyAlignment="1">
      <alignment horizontal="center"/>
    </xf>
    <xf numFmtId="164" fontId="4" fillId="0" borderId="10" xfId="0" applyNumberFormat="1" applyFont="1" applyBorder="1"/>
    <xf numFmtId="164" fontId="4" fillId="0" borderId="10" xfId="0" applyNumberFormat="1" applyFont="1" applyBorder="1" applyAlignment="1">
      <alignment horizontal="center"/>
    </xf>
    <xf numFmtId="164" fontId="3" fillId="0" borderId="29" xfId="0" applyNumberFormat="1" applyFont="1" applyBorder="1"/>
    <xf numFmtId="164" fontId="4" fillId="0" borderId="15" xfId="0" applyNumberFormat="1" applyFont="1" applyBorder="1" applyAlignment="1">
      <alignment horizontal="center"/>
    </xf>
    <xf numFmtId="164" fontId="3" fillId="3" borderId="2" xfId="0" applyNumberFormat="1" applyFont="1" applyFill="1" applyBorder="1"/>
    <xf numFmtId="3" fontId="4" fillId="3" borderId="3" xfId="0" applyNumberFormat="1" applyFont="1" applyFill="1" applyBorder="1" applyAlignment="1">
      <alignment horizontal="center"/>
    </xf>
    <xf numFmtId="4" fontId="5" fillId="0" borderId="3" xfId="0" applyNumberFormat="1" applyFont="1" applyBorder="1" applyAlignment="1">
      <alignment horizontal="center"/>
    </xf>
    <xf numFmtId="4" fontId="3" fillId="0" borderId="2" xfId="0" applyNumberFormat="1" applyFont="1" applyBorder="1"/>
    <xf numFmtId="4" fontId="4" fillId="0" borderId="0" xfId="0" applyNumberFormat="1" applyFont="1"/>
    <xf numFmtId="164" fontId="7" fillId="0" borderId="2" xfId="0" applyNumberFormat="1" applyFont="1" applyBorder="1"/>
    <xf numFmtId="164" fontId="5" fillId="0" borderId="3" xfId="0" applyNumberFormat="1" applyFont="1" applyBorder="1" applyAlignment="1">
      <alignment horizontal="center"/>
    </xf>
    <xf numFmtId="164" fontId="8" fillId="0" borderId="0" xfId="0" applyNumberFormat="1" applyFont="1"/>
    <xf numFmtId="0" fontId="6" fillId="0" borderId="0" xfId="0" applyFont="1"/>
    <xf numFmtId="10" fontId="3" fillId="0" borderId="29" xfId="0" applyNumberFormat="1" applyFont="1" applyBorder="1"/>
    <xf numFmtId="10" fontId="4" fillId="0" borderId="10" xfId="0" applyNumberFormat="1" applyFont="1" applyBorder="1"/>
    <xf numFmtId="10" fontId="4" fillId="0" borderId="10" xfId="0" applyNumberFormat="1" applyFont="1" applyBorder="1" applyAlignment="1">
      <alignment horizontal="center"/>
    </xf>
    <xf numFmtId="10" fontId="4" fillId="0" borderId="15" xfId="0" applyNumberFormat="1" applyFont="1" applyBorder="1" applyAlignment="1">
      <alignment horizontal="center"/>
    </xf>
    <xf numFmtId="10" fontId="4" fillId="0" borderId="0" xfId="0" applyNumberFormat="1" applyFont="1"/>
    <xf numFmtId="3" fontId="0" fillId="0" borderId="10" xfId="0" applyNumberFormat="1" applyBorder="1" applyAlignment="1">
      <alignment horizontal="center"/>
    </xf>
    <xf numFmtId="3" fontId="0" fillId="0" borderId="15" xfId="0" applyNumberFormat="1" applyBorder="1" applyAlignment="1">
      <alignment horizontal="center"/>
    </xf>
    <xf numFmtId="3" fontId="3" fillId="3" borderId="2" xfId="0" applyNumberFormat="1" applyFont="1" applyFill="1" applyBorder="1"/>
    <xf numFmtId="3" fontId="4" fillId="0" borderId="8" xfId="0" applyNumberFormat="1" applyFont="1" applyBorder="1"/>
    <xf numFmtId="3" fontId="17" fillId="17" borderId="8" xfId="0" applyNumberFormat="1" applyFont="1" applyFill="1" applyBorder="1" applyAlignment="1">
      <alignment horizontal="center"/>
    </xf>
    <xf numFmtId="3" fontId="3" fillId="0" borderId="8" xfId="0" applyNumberFormat="1" applyFont="1" applyBorder="1" applyAlignment="1">
      <alignment horizontal="center"/>
    </xf>
    <xf numFmtId="3" fontId="4" fillId="0" borderId="8" xfId="0" applyNumberFormat="1" applyFont="1" applyBorder="1" applyAlignment="1">
      <alignment horizontal="left"/>
    </xf>
    <xf numFmtId="164" fontId="4" fillId="0" borderId="8" xfId="0" applyNumberFormat="1" applyFont="1" applyBorder="1" applyAlignment="1">
      <alignment horizontal="center"/>
    </xf>
    <xf numFmtId="164" fontId="4" fillId="0" borderId="9" xfId="0" applyNumberFormat="1" applyFont="1" applyBorder="1" applyAlignment="1">
      <alignment horizontal="center"/>
    </xf>
    <xf numFmtId="0" fontId="2" fillId="7" borderId="30" xfId="0" applyFont="1" applyFill="1" applyBorder="1"/>
    <xf numFmtId="0" fontId="2" fillId="7" borderId="31" xfId="0" applyFont="1" applyFill="1" applyBorder="1"/>
    <xf numFmtId="3" fontId="0" fillId="7" borderId="31" xfId="0" applyNumberFormat="1" applyFill="1" applyBorder="1" applyAlignment="1">
      <alignment horizontal="center"/>
    </xf>
    <xf numFmtId="0" fontId="0" fillId="7" borderId="32" xfId="0" applyFill="1" applyBorder="1" applyAlignment="1">
      <alignment horizontal="center"/>
    </xf>
    <xf numFmtId="1" fontId="0" fillId="2" borderId="3" xfId="0" applyNumberFormat="1" applyFill="1" applyBorder="1" applyAlignment="1" applyProtection="1">
      <alignment horizontal="center"/>
      <protection locked="0"/>
    </xf>
    <xf numFmtId="164" fontId="0" fillId="2" borderId="3" xfId="0" applyNumberFormat="1" applyFill="1" applyBorder="1" applyAlignment="1" applyProtection="1">
      <alignment horizontal="center"/>
      <protection locked="0"/>
    </xf>
    <xf numFmtId="14" fontId="0" fillId="2" borderId="0" xfId="0" applyNumberFormat="1" applyFill="1" applyProtection="1">
      <protection locked="0"/>
    </xf>
    <xf numFmtId="9" fontId="4" fillId="4" borderId="0" xfId="0" applyNumberFormat="1" applyFont="1" applyFill="1" applyAlignment="1">
      <alignment horizontal="center"/>
    </xf>
    <xf numFmtId="164" fontId="4" fillId="4" borderId="0" xfId="0" applyNumberFormat="1" applyFont="1" applyFill="1" applyAlignment="1">
      <alignment horizontal="center"/>
    </xf>
    <xf numFmtId="3" fontId="4" fillId="2" borderId="0" xfId="0" applyNumberFormat="1" applyFont="1" applyFill="1" applyAlignment="1" applyProtection="1">
      <alignment horizontal="center"/>
      <protection locked="0"/>
    </xf>
    <xf numFmtId="164" fontId="4" fillId="2" borderId="0" xfId="0" applyNumberFormat="1" applyFont="1" applyFill="1" applyAlignment="1" applyProtection="1">
      <alignment horizontal="center"/>
      <protection locked="0"/>
    </xf>
    <xf numFmtId="1" fontId="0" fillId="2" borderId="0" xfId="0" applyNumberFormat="1" applyFill="1" applyAlignment="1" applyProtection="1">
      <alignment horizontal="center"/>
      <protection locked="0"/>
    </xf>
    <xf numFmtId="164" fontId="0" fillId="2" borderId="0" xfId="0" applyNumberFormat="1" applyFill="1" applyAlignment="1" applyProtection="1">
      <alignment horizontal="center"/>
      <protection locked="0"/>
    </xf>
    <xf numFmtId="164" fontId="5" fillId="0" borderId="0" xfId="0" applyNumberFormat="1" applyFont="1"/>
    <xf numFmtId="4" fontId="4" fillId="0" borderId="0" xfId="0" applyNumberFormat="1" applyFont="1" applyAlignment="1">
      <alignment horizontal="center"/>
    </xf>
    <xf numFmtId="3" fontId="4" fillId="3" borderId="0" xfId="0" applyNumberFormat="1" applyFont="1" applyFill="1"/>
    <xf numFmtId="3" fontId="4" fillId="3" borderId="0" xfId="0" applyNumberFormat="1" applyFont="1" applyFill="1" applyAlignment="1">
      <alignment horizontal="center"/>
    </xf>
    <xf numFmtId="164" fontId="5" fillId="0" borderId="0" xfId="0" applyNumberFormat="1" applyFont="1" applyAlignment="1">
      <alignment horizontal="center"/>
    </xf>
    <xf numFmtId="4" fontId="5" fillId="0" borderId="0" xfId="0" applyNumberFormat="1" applyFont="1" applyAlignment="1">
      <alignment horizontal="center"/>
    </xf>
    <xf numFmtId="4" fontId="5" fillId="0" borderId="0" xfId="0" applyNumberFormat="1" applyFont="1"/>
    <xf numFmtId="166" fontId="5" fillId="0" borderId="0" xfId="0" applyNumberFormat="1" applyFont="1"/>
    <xf numFmtId="2" fontId="0" fillId="20" borderId="0" xfId="0" applyNumberFormat="1" applyFill="1" applyAlignment="1">
      <alignment horizontal="center"/>
    </xf>
    <xf numFmtId="0" fontId="0" fillId="24" borderId="11" xfId="0" applyFill="1" applyBorder="1"/>
    <xf numFmtId="0" fontId="0" fillId="24" borderId="57" xfId="0" applyFill="1" applyBorder="1"/>
    <xf numFmtId="0" fontId="32" fillId="0" borderId="0" xfId="0" applyFont="1"/>
    <xf numFmtId="0" fontId="33" fillId="0" borderId="0" xfId="0" applyFont="1"/>
    <xf numFmtId="0" fontId="34" fillId="0" borderId="0" xfId="0" applyFont="1"/>
    <xf numFmtId="3" fontId="3" fillId="0" borderId="0" xfId="0" applyNumberFormat="1" applyFont="1" applyAlignment="1">
      <alignment horizontal="left" wrapText="1"/>
    </xf>
    <xf numFmtId="3" fontId="17" fillId="0" borderId="0" xfId="0" applyNumberFormat="1" applyFont="1" applyAlignment="1">
      <alignment horizontal="left"/>
    </xf>
    <xf numFmtId="0" fontId="0" fillId="0" borderId="0" xfId="0" applyAlignment="1">
      <alignment horizontal="left" wrapText="1"/>
    </xf>
    <xf numFmtId="0" fontId="13" fillId="16" borderId="0" xfId="0" applyFont="1" applyFill="1" applyAlignment="1">
      <alignment horizontal="center"/>
    </xf>
    <xf numFmtId="0" fontId="2" fillId="12" borderId="10" xfId="0" applyFont="1" applyFill="1" applyBorder="1" applyAlignment="1">
      <alignment horizontal="center"/>
    </xf>
    <xf numFmtId="0" fontId="2" fillId="14" borderId="5" xfId="0" applyFont="1" applyFill="1" applyBorder="1" applyAlignment="1">
      <alignment horizontal="center"/>
    </xf>
    <xf numFmtId="0" fontId="12" fillId="15" borderId="8" xfId="0" applyFont="1" applyFill="1" applyBorder="1" applyAlignment="1">
      <alignment horizontal="center"/>
    </xf>
    <xf numFmtId="0" fontId="11" fillId="5" borderId="0" xfId="0" applyFont="1" applyFill="1" applyAlignment="1">
      <alignment horizontal="center"/>
    </xf>
    <xf numFmtId="0" fontId="2" fillId="0" borderId="10" xfId="0" applyFont="1" applyBorder="1" applyAlignment="1">
      <alignment horizontal="center"/>
    </xf>
    <xf numFmtId="0" fontId="11" fillId="7" borderId="0" xfId="0" applyFont="1" applyFill="1" applyAlignment="1">
      <alignment horizontal="center"/>
    </xf>
  </cellXfs>
  <cellStyles count="3">
    <cellStyle name="Comma" xfId="1" builtinId="3"/>
    <cellStyle name="Normal" xfId="0" builtinId="0"/>
    <cellStyle name="Per cent" xfId="2" builtinId="5"/>
  </cellStyles>
  <dxfs count="1">
    <dxf>
      <fill>
        <patternFill>
          <bgColor rgb="FF00B050"/>
        </patternFill>
      </fill>
    </dxf>
  </dxfs>
  <tableStyles count="0" defaultTableStyle="TableStyleMedium2" defaultPivotStyle="PivotStyleLight16"/>
  <colors>
    <mruColors>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11.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5.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8.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9.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solidFill>
                <a:latin typeface="+mn-lt"/>
                <a:ea typeface="+mn-ea"/>
                <a:cs typeface="+mn-cs"/>
              </a:defRPr>
            </a:pPr>
            <a:r>
              <a:rPr lang="da-DK" sz="2000">
                <a:solidFill>
                  <a:schemeClr val="tx1"/>
                </a:solidFill>
              </a:rPr>
              <a:t>Lorenz</a:t>
            </a:r>
            <a:r>
              <a:rPr lang="da-DK" sz="2000" baseline="0">
                <a:solidFill>
                  <a:schemeClr val="tx1"/>
                </a:solidFill>
              </a:rPr>
              <a:t> efficiency </a:t>
            </a:r>
            <a:endParaRPr lang="da-DK" sz="2000">
              <a:solidFill>
                <a:schemeClr val="tx1"/>
              </a:solidFill>
            </a:endParaRPr>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solidFill>
              <a:latin typeface="+mn-lt"/>
              <a:ea typeface="+mn-ea"/>
              <a:cs typeface="+mn-cs"/>
            </a:defRPr>
          </a:pPr>
          <a:endParaRPr lang="da-DK"/>
        </a:p>
      </c:txPr>
    </c:title>
    <c:autoTitleDeleted val="0"/>
    <c:plotArea>
      <c:layout/>
      <c:barChart>
        <c:barDir val="col"/>
        <c:grouping val="clustered"/>
        <c:varyColors val="0"/>
        <c:ser>
          <c:idx val="0"/>
          <c:order val="0"/>
          <c:spPr>
            <a:solidFill>
              <a:schemeClr val="accent1"/>
            </a:solidFill>
            <a:ln>
              <a:noFill/>
            </a:ln>
            <a:effectLst/>
          </c:spPr>
          <c:invertIfNegative val="0"/>
          <c:val>
            <c:numRef>
              <c:f>'Driftsdata LUFT VP'!$E$45:$N$45</c:f>
              <c:numCache>
                <c:formatCode>0.00%</c:formatCode>
                <c:ptCount val="10"/>
                <c:pt idx="0">
                  <c:v>0.43995782455742932</c:v>
                </c:pt>
                <c:pt idx="1">
                  <c:v>0.42085000391846444</c:v>
                </c:pt>
                <c:pt idx="2">
                  <c:v>0.4652811913202668</c:v>
                </c:pt>
                <c:pt idx="3">
                  <c:v>0.45248537454002569</c:v>
                </c:pt>
                <c:pt idx="4">
                  <c:v>0.47298373123142978</c:v>
                </c:pt>
                <c:pt idx="5">
                  <c:v>0.46209664780196624</c:v>
                </c:pt>
                <c:pt idx="6">
                  <c:v>0.4743085325063231</c:v>
                </c:pt>
                <c:pt idx="7">
                  <c:v>0.46595223750062342</c:v>
                </c:pt>
                <c:pt idx="8">
                  <c:v>0.46959706972563314</c:v>
                </c:pt>
                <c:pt idx="9">
                  <c:v>0.47203676511061388</c:v>
                </c:pt>
              </c:numCache>
            </c:numRef>
          </c:val>
          <c:extLst>
            <c:ext xmlns:c16="http://schemas.microsoft.com/office/drawing/2014/chart" uri="{C3380CC4-5D6E-409C-BE32-E72D297353CC}">
              <c16:uniqueId val="{00000000-E400-4659-A85D-C66E046E0F67}"/>
            </c:ext>
          </c:extLst>
        </c:ser>
        <c:dLbls>
          <c:showLegendKey val="0"/>
          <c:showVal val="0"/>
          <c:showCatName val="0"/>
          <c:showSerName val="0"/>
          <c:showPercent val="0"/>
          <c:showBubbleSize val="0"/>
        </c:dLbls>
        <c:gapWidth val="100"/>
        <c:overlap val="-27"/>
        <c:axId val="524665760"/>
        <c:axId val="524660768"/>
      </c:barChart>
      <c:catAx>
        <c:axId val="524665760"/>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r>
                  <a:rPr lang="da-DK" sz="1200">
                    <a:solidFill>
                      <a:schemeClr val="tx1"/>
                    </a:solidFill>
                  </a:rPr>
                  <a:t>Operation</a:t>
                </a:r>
                <a:r>
                  <a:rPr lang="da-DK" sz="1200" baseline="0">
                    <a:solidFill>
                      <a:schemeClr val="tx1"/>
                    </a:solidFill>
                  </a:rPr>
                  <a:t> point #</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da-DK"/>
            </a:p>
          </c:txPr>
        </c:title>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da-DK"/>
          </a:p>
        </c:txPr>
        <c:crossAx val="524660768"/>
        <c:crosses val="autoZero"/>
        <c:auto val="1"/>
        <c:lblAlgn val="ctr"/>
        <c:lblOffset val="100"/>
        <c:noMultiLvlLbl val="0"/>
      </c:catAx>
      <c:valAx>
        <c:axId val="52466076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da-DK"/>
          </a:p>
        </c:txPr>
        <c:crossAx val="524665760"/>
        <c:crosses val="autoZero"/>
        <c:crossBetween val="between"/>
      </c:valAx>
      <c:spPr>
        <a:solidFill>
          <a:schemeClr val="bg1"/>
        </a:solidFill>
        <a:ln>
          <a:solidFill>
            <a:schemeClr val="tx1"/>
          </a:solid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85000"/>
      </a:schemeClr>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scatterChart>
        <c:scatterStyle val="lineMarker"/>
        <c:varyColors val="0"/>
        <c:ser>
          <c:idx val="0"/>
          <c:order val="0"/>
          <c:tx>
            <c:strRef>
              <c:f>'Varmepumpeberegning VP1'!$Y$3</c:f>
              <c:strCache>
                <c:ptCount val="1"/>
                <c:pt idx="0">
                  <c:v>Eleffekt [MW]</c:v>
                </c:pt>
              </c:strCache>
            </c:strRef>
          </c:tx>
          <c:spPr>
            <a:ln w="25400" cap="rnd">
              <a:noFill/>
              <a:round/>
            </a:ln>
            <a:effectLst/>
          </c:spPr>
          <c:marker>
            <c:symbol val="circle"/>
            <c:size val="5"/>
            <c:spPr>
              <a:solidFill>
                <a:schemeClr val="accent1"/>
              </a:solidFill>
              <a:ln w="9525">
                <a:solidFill>
                  <a:schemeClr val="accent1"/>
                </a:solidFill>
              </a:ln>
              <a:effectLst/>
            </c:spPr>
          </c:marker>
          <c:yVal>
            <c:numRef>
              <c:f>'Varmepumpeberegning VP1'!$Y$4:$Y$368</c:f>
              <c:numCache>
                <c:formatCode>0.000</c:formatCode>
                <c:ptCount val="365"/>
                <c:pt idx="0">
                  <c:v>3.0421596091764904</c:v>
                </c:pt>
                <c:pt idx="1">
                  <c:v>3.0259622595349747</c:v>
                </c:pt>
                <c:pt idx="2">
                  <c:v>3.0259622595349747</c:v>
                </c:pt>
                <c:pt idx="3">
                  <c:v>3.062030207362016</c:v>
                </c:pt>
                <c:pt idx="4">
                  <c:v>3.062030207362016</c:v>
                </c:pt>
                <c:pt idx="5">
                  <c:v>3.1024809795575234</c:v>
                </c:pt>
                <c:pt idx="6">
                  <c:v>3.1329964526602683</c:v>
                </c:pt>
                <c:pt idx="7">
                  <c:v>3.1482541892116407</c:v>
                </c:pt>
                <c:pt idx="8">
                  <c:v>3.2037477211906382</c:v>
                </c:pt>
                <c:pt idx="9">
                  <c:v>3.2037477211906382</c:v>
                </c:pt>
                <c:pt idx="10">
                  <c:v>3.1482541892116407</c:v>
                </c:pt>
                <c:pt idx="11">
                  <c:v>3.087223243006151</c:v>
                </c:pt>
                <c:pt idx="12">
                  <c:v>3.0719655064547786</c:v>
                </c:pt>
                <c:pt idx="13">
                  <c:v>3.0719655064547786</c:v>
                </c:pt>
                <c:pt idx="14">
                  <c:v>3.1024809795575234</c:v>
                </c:pt>
                <c:pt idx="15">
                  <c:v>3.1177387161088959</c:v>
                </c:pt>
                <c:pt idx="16">
                  <c:v>3.1482541892116407</c:v>
                </c:pt>
                <c:pt idx="17">
                  <c:v>3.1482541892116407</c:v>
                </c:pt>
                <c:pt idx="18">
                  <c:v>3.1024809795575234</c:v>
                </c:pt>
                <c:pt idx="19">
                  <c:v>3.1177387161088959</c:v>
                </c:pt>
                <c:pt idx="20">
                  <c:v>3.087223243006151</c:v>
                </c:pt>
                <c:pt idx="21">
                  <c:v>3.0340609343557325</c:v>
                </c:pt>
                <c:pt idx="22">
                  <c:v>3.0421596091764904</c:v>
                </c:pt>
                <c:pt idx="23">
                  <c:v>3.0259622595349747</c:v>
                </c:pt>
                <c:pt idx="24">
                  <c:v>3.052094908269253</c:v>
                </c:pt>
                <c:pt idx="25">
                  <c:v>3.0340609343557325</c:v>
                </c:pt>
                <c:pt idx="26">
                  <c:v>3.062030207362016</c:v>
                </c:pt>
                <c:pt idx="27">
                  <c:v>3.0719655064547786</c:v>
                </c:pt>
                <c:pt idx="28">
                  <c:v>3.052094908269253</c:v>
                </c:pt>
                <c:pt idx="29">
                  <c:v>3.0421596091764904</c:v>
                </c:pt>
                <c:pt idx="30">
                  <c:v>3.052094908269253</c:v>
                </c:pt>
                <c:pt idx="31">
                  <c:v>3.052094908269253</c:v>
                </c:pt>
                <c:pt idx="32">
                  <c:v>3.0421596091764904</c:v>
                </c:pt>
                <c:pt idx="33">
                  <c:v>3.0259622595349747</c:v>
                </c:pt>
                <c:pt idx="34">
                  <c:v>3.0259622595349747</c:v>
                </c:pt>
                <c:pt idx="35">
                  <c:v>3.0259622595349747</c:v>
                </c:pt>
                <c:pt idx="36">
                  <c:v>3.0259622595349747</c:v>
                </c:pt>
                <c:pt idx="37">
                  <c:v>3.062030207362016</c:v>
                </c:pt>
                <c:pt idx="38">
                  <c:v>3.1024809795575234</c:v>
                </c:pt>
                <c:pt idx="39">
                  <c:v>3.0421596091764904</c:v>
                </c:pt>
                <c:pt idx="40">
                  <c:v>3.0259622595349747</c:v>
                </c:pt>
                <c:pt idx="41">
                  <c:v>3.0340609343557325</c:v>
                </c:pt>
                <c:pt idx="42">
                  <c:v>3.0421596091764904</c:v>
                </c:pt>
                <c:pt idx="43">
                  <c:v>3.0421596091764904</c:v>
                </c:pt>
                <c:pt idx="44">
                  <c:v>3.0178635847142163</c:v>
                </c:pt>
                <c:pt idx="45">
                  <c:v>3.0016662350727006</c:v>
                </c:pt>
                <c:pt idx="46">
                  <c:v>3.0178635847142163</c:v>
                </c:pt>
                <c:pt idx="47">
                  <c:v>3.0259622595349747</c:v>
                </c:pt>
                <c:pt idx="48">
                  <c:v>3.0259622595349747</c:v>
                </c:pt>
                <c:pt idx="49">
                  <c:v>3.0340609343557325</c:v>
                </c:pt>
                <c:pt idx="50">
                  <c:v>3.0340609343557325</c:v>
                </c:pt>
                <c:pt idx="51">
                  <c:v>3.0259622595349747</c:v>
                </c:pt>
                <c:pt idx="52">
                  <c:v>3.0178635847142163</c:v>
                </c:pt>
                <c:pt idx="53">
                  <c:v>3.052094908269253</c:v>
                </c:pt>
                <c:pt idx="54">
                  <c:v>3.062030207362016</c:v>
                </c:pt>
                <c:pt idx="55">
                  <c:v>3.062030207362016</c:v>
                </c:pt>
                <c:pt idx="56">
                  <c:v>3.0719655064547786</c:v>
                </c:pt>
                <c:pt idx="57">
                  <c:v>3.0719655064547786</c:v>
                </c:pt>
                <c:pt idx="58">
                  <c:v>3.052094908269253</c:v>
                </c:pt>
                <c:pt idx="59">
                  <c:v>3.0340609343557325</c:v>
                </c:pt>
                <c:pt idx="60">
                  <c:v>3.0340609343557325</c:v>
                </c:pt>
                <c:pt idx="61">
                  <c:v>3.0178635847142163</c:v>
                </c:pt>
                <c:pt idx="62">
                  <c:v>3.0178635847142163</c:v>
                </c:pt>
                <c:pt idx="63">
                  <c:v>3.0421596091764904</c:v>
                </c:pt>
                <c:pt idx="64">
                  <c:v>3.0421596091764904</c:v>
                </c:pt>
                <c:pt idx="65">
                  <c:v>3.052094908269253</c:v>
                </c:pt>
                <c:pt idx="66">
                  <c:v>3.0719655064547786</c:v>
                </c:pt>
                <c:pt idx="67">
                  <c:v>3.0719655064547786</c:v>
                </c:pt>
                <c:pt idx="68">
                  <c:v>3.052094908269253</c:v>
                </c:pt>
                <c:pt idx="69">
                  <c:v>3.0421596091764904</c:v>
                </c:pt>
                <c:pt idx="70">
                  <c:v>3.0421596091764904</c:v>
                </c:pt>
                <c:pt idx="71">
                  <c:v>3.0421596091764904</c:v>
                </c:pt>
                <c:pt idx="72">
                  <c:v>3.0259622595349747</c:v>
                </c:pt>
                <c:pt idx="73">
                  <c:v>3.0016662350727006</c:v>
                </c:pt>
                <c:pt idx="74">
                  <c:v>3.0016662350727006</c:v>
                </c:pt>
                <c:pt idx="75">
                  <c:v>3.0340609343557325</c:v>
                </c:pt>
                <c:pt idx="76">
                  <c:v>3.0340609343557325</c:v>
                </c:pt>
                <c:pt idx="77">
                  <c:v>3.0178635847142163</c:v>
                </c:pt>
                <c:pt idx="78">
                  <c:v>3.0097649098934585</c:v>
                </c:pt>
                <c:pt idx="79">
                  <c:v>3.0097649098934585</c:v>
                </c:pt>
                <c:pt idx="80">
                  <c:v>3.0259622595349747</c:v>
                </c:pt>
                <c:pt idx="81">
                  <c:v>3.0259622595349747</c:v>
                </c:pt>
                <c:pt idx="82">
                  <c:v>3.052094908269253</c:v>
                </c:pt>
                <c:pt idx="83">
                  <c:v>3.0421596091764904</c:v>
                </c:pt>
                <c:pt idx="84">
                  <c:v>3.0421596091764904</c:v>
                </c:pt>
                <c:pt idx="85">
                  <c:v>3.0340609343557325</c:v>
                </c:pt>
                <c:pt idx="86">
                  <c:v>3.0259622595349747</c:v>
                </c:pt>
                <c:pt idx="87">
                  <c:v>3.0340609343557325</c:v>
                </c:pt>
                <c:pt idx="88">
                  <c:v>3.0178635847142163</c:v>
                </c:pt>
                <c:pt idx="89">
                  <c:v>3.0259622595349747</c:v>
                </c:pt>
                <c:pt idx="90">
                  <c:v>3.0259622595349747</c:v>
                </c:pt>
                <c:pt idx="91">
                  <c:v>3.0178635847142163</c:v>
                </c:pt>
                <c:pt idx="92">
                  <c:v>3.0259622595349747</c:v>
                </c:pt>
                <c:pt idx="93">
                  <c:v>3.0178635847142163</c:v>
                </c:pt>
                <c:pt idx="94">
                  <c:v>3.0097649098934585</c:v>
                </c:pt>
                <c:pt idx="95">
                  <c:v>3.0016662350727006</c:v>
                </c:pt>
                <c:pt idx="96">
                  <c:v>2.9773702106104265</c:v>
                </c:pt>
                <c:pt idx="97">
                  <c:v>2.9773702106104265</c:v>
                </c:pt>
                <c:pt idx="98">
                  <c:v>2.9854688854311844</c:v>
                </c:pt>
                <c:pt idx="99">
                  <c:v>3.0016662350727006</c:v>
                </c:pt>
                <c:pt idx="100">
                  <c:v>3.0097649098934585</c:v>
                </c:pt>
                <c:pt idx="101">
                  <c:v>3.0016662350727006</c:v>
                </c:pt>
                <c:pt idx="102">
                  <c:v>2.9854688854311844</c:v>
                </c:pt>
                <c:pt idx="103">
                  <c:v>2.9773702106104265</c:v>
                </c:pt>
                <c:pt idx="104">
                  <c:v>3.0097649098934585</c:v>
                </c:pt>
                <c:pt idx="105">
                  <c:v>3.0340609343557325</c:v>
                </c:pt>
                <c:pt idx="106">
                  <c:v>3.0340609343557325</c:v>
                </c:pt>
                <c:pt idx="107">
                  <c:v>3.052094908269253</c:v>
                </c:pt>
                <c:pt idx="108">
                  <c:v>3.0421596091764904</c:v>
                </c:pt>
                <c:pt idx="109">
                  <c:v>3.0340609343557325</c:v>
                </c:pt>
                <c:pt idx="110">
                  <c:v>3.0421596091764904</c:v>
                </c:pt>
                <c:pt idx="111">
                  <c:v>3.052094908269253</c:v>
                </c:pt>
                <c:pt idx="112">
                  <c:v>3.052094908269253</c:v>
                </c:pt>
                <c:pt idx="113">
                  <c:v>3.062030207362016</c:v>
                </c:pt>
                <c:pt idx="114">
                  <c:v>3.052094908269253</c:v>
                </c:pt>
                <c:pt idx="115">
                  <c:v>3.052094908269253</c:v>
                </c:pt>
                <c:pt idx="116">
                  <c:v>3.0421596091764904</c:v>
                </c:pt>
                <c:pt idx="117">
                  <c:v>3.0178635847142163</c:v>
                </c:pt>
                <c:pt idx="118">
                  <c:v>2.9935675602519423</c:v>
                </c:pt>
                <c:pt idx="119">
                  <c:v>3.0016662350727006</c:v>
                </c:pt>
                <c:pt idx="120">
                  <c:v>2.9773702106104265</c:v>
                </c:pt>
                <c:pt idx="121">
                  <c:v>2.9773702106104265</c:v>
                </c:pt>
                <c:pt idx="122">
                  <c:v>2.9773702106104265</c:v>
                </c:pt>
                <c:pt idx="123">
                  <c:v>2.9935675602519423</c:v>
                </c:pt>
                <c:pt idx="124">
                  <c:v>3.0016662350727006</c:v>
                </c:pt>
                <c:pt idx="125">
                  <c:v>3.0016662350727006</c:v>
                </c:pt>
                <c:pt idx="126">
                  <c:v>3.0016662350727006</c:v>
                </c:pt>
                <c:pt idx="127">
                  <c:v>2.9935675602519423</c:v>
                </c:pt>
                <c:pt idx="128">
                  <c:v>3.0016662350727006</c:v>
                </c:pt>
                <c:pt idx="129">
                  <c:v>3.0016662350727006</c:v>
                </c:pt>
                <c:pt idx="130">
                  <c:v>2.9854688854311844</c:v>
                </c:pt>
                <c:pt idx="131">
                  <c:v>2.9773702106104265</c:v>
                </c:pt>
                <c:pt idx="132">
                  <c:v>2.9773702106104265</c:v>
                </c:pt>
                <c:pt idx="133">
                  <c:v>2.9773702106104265</c:v>
                </c:pt>
                <c:pt idx="134">
                  <c:v>2.9773702106104265</c:v>
                </c:pt>
                <c:pt idx="135">
                  <c:v>2.9773702106104265</c:v>
                </c:pt>
                <c:pt idx="136">
                  <c:v>2.9773702106104265</c:v>
                </c:pt>
                <c:pt idx="137">
                  <c:v>2.9773702106104265</c:v>
                </c:pt>
                <c:pt idx="138">
                  <c:v>2.9773702106104265</c:v>
                </c:pt>
                <c:pt idx="139">
                  <c:v>2.9773702106104265</c:v>
                </c:pt>
                <c:pt idx="140">
                  <c:v>2.9773702106104265</c:v>
                </c:pt>
                <c:pt idx="141">
                  <c:v>2.9773702106104265</c:v>
                </c:pt>
                <c:pt idx="142">
                  <c:v>2.9773702106104265</c:v>
                </c:pt>
                <c:pt idx="143">
                  <c:v>2.9773702106104265</c:v>
                </c:pt>
                <c:pt idx="144">
                  <c:v>2.9773702106104265</c:v>
                </c:pt>
                <c:pt idx="145">
                  <c:v>2.9773702106104265</c:v>
                </c:pt>
                <c:pt idx="146">
                  <c:v>2.9773702106104265</c:v>
                </c:pt>
                <c:pt idx="147">
                  <c:v>2.9773702106104265</c:v>
                </c:pt>
                <c:pt idx="148">
                  <c:v>2.9854688854311844</c:v>
                </c:pt>
                <c:pt idx="149">
                  <c:v>2.9773702106104265</c:v>
                </c:pt>
                <c:pt idx="150">
                  <c:v>2.9854688854311844</c:v>
                </c:pt>
                <c:pt idx="151">
                  <c:v>2.9773702106104265</c:v>
                </c:pt>
                <c:pt idx="152">
                  <c:v>2.9773702106104265</c:v>
                </c:pt>
                <c:pt idx="153">
                  <c:v>2.9854688854311844</c:v>
                </c:pt>
                <c:pt idx="154">
                  <c:v>2.9854688854311844</c:v>
                </c:pt>
                <c:pt idx="155">
                  <c:v>2.9773702106104265</c:v>
                </c:pt>
                <c:pt idx="156">
                  <c:v>2.9935675602519423</c:v>
                </c:pt>
                <c:pt idx="157">
                  <c:v>2.9935675602519423</c:v>
                </c:pt>
                <c:pt idx="158">
                  <c:v>2.9935675602519423</c:v>
                </c:pt>
                <c:pt idx="159">
                  <c:v>2.9935675602519423</c:v>
                </c:pt>
                <c:pt idx="160">
                  <c:v>3.0016662350727006</c:v>
                </c:pt>
                <c:pt idx="161">
                  <c:v>3.0097649098934585</c:v>
                </c:pt>
                <c:pt idx="162">
                  <c:v>3.0016662350727006</c:v>
                </c:pt>
                <c:pt idx="163">
                  <c:v>3.0097649098934585</c:v>
                </c:pt>
                <c:pt idx="164">
                  <c:v>2.9935675602519423</c:v>
                </c:pt>
                <c:pt idx="165">
                  <c:v>2.9773702106104265</c:v>
                </c:pt>
                <c:pt idx="166">
                  <c:v>2.9854688854311844</c:v>
                </c:pt>
                <c:pt idx="167">
                  <c:v>2.9854688854311844</c:v>
                </c:pt>
                <c:pt idx="168">
                  <c:v>2.9773702106104265</c:v>
                </c:pt>
                <c:pt idx="169">
                  <c:v>2.9773702106104265</c:v>
                </c:pt>
                <c:pt idx="170">
                  <c:v>2.9773702106104265</c:v>
                </c:pt>
                <c:pt idx="171">
                  <c:v>2.9854688854311844</c:v>
                </c:pt>
                <c:pt idx="172">
                  <c:v>2.9773702106104265</c:v>
                </c:pt>
                <c:pt idx="173">
                  <c:v>2.9773702106104265</c:v>
                </c:pt>
                <c:pt idx="174">
                  <c:v>2.9773702106104265</c:v>
                </c:pt>
                <c:pt idx="175">
                  <c:v>2.9773702106104265</c:v>
                </c:pt>
                <c:pt idx="176">
                  <c:v>2.9773702106104265</c:v>
                </c:pt>
                <c:pt idx="177">
                  <c:v>2.9773702106104265</c:v>
                </c:pt>
                <c:pt idx="178">
                  <c:v>2.9773702106104265</c:v>
                </c:pt>
                <c:pt idx="179">
                  <c:v>2.9773702106104265</c:v>
                </c:pt>
                <c:pt idx="180">
                  <c:v>2.9773702106104265</c:v>
                </c:pt>
                <c:pt idx="181">
                  <c:v>2.9773702106104265</c:v>
                </c:pt>
                <c:pt idx="182">
                  <c:v>2.9773702106104265</c:v>
                </c:pt>
                <c:pt idx="183">
                  <c:v>2.9773702106104265</c:v>
                </c:pt>
                <c:pt idx="184">
                  <c:v>2.9935675602519423</c:v>
                </c:pt>
                <c:pt idx="185">
                  <c:v>2.9773702106104265</c:v>
                </c:pt>
                <c:pt idx="186">
                  <c:v>2.9773702106104265</c:v>
                </c:pt>
                <c:pt idx="187">
                  <c:v>2.9773702106104265</c:v>
                </c:pt>
                <c:pt idx="188">
                  <c:v>2.9854688854311844</c:v>
                </c:pt>
                <c:pt idx="189">
                  <c:v>2.9773702106104265</c:v>
                </c:pt>
                <c:pt idx="190">
                  <c:v>2.9773702106104265</c:v>
                </c:pt>
                <c:pt idx="191">
                  <c:v>2.9773702106104265</c:v>
                </c:pt>
                <c:pt idx="192">
                  <c:v>2.9773702106104265</c:v>
                </c:pt>
                <c:pt idx="193">
                  <c:v>2.9854688854311844</c:v>
                </c:pt>
                <c:pt idx="194">
                  <c:v>2.9773702106104265</c:v>
                </c:pt>
                <c:pt idx="195">
                  <c:v>2.9773702106104265</c:v>
                </c:pt>
                <c:pt idx="196">
                  <c:v>2.9773702106104265</c:v>
                </c:pt>
                <c:pt idx="197">
                  <c:v>2.9773702106104265</c:v>
                </c:pt>
                <c:pt idx="198">
                  <c:v>2.9773702106104265</c:v>
                </c:pt>
                <c:pt idx="199">
                  <c:v>2.9773702106104265</c:v>
                </c:pt>
                <c:pt idx="200">
                  <c:v>2.9773702106104265</c:v>
                </c:pt>
                <c:pt idx="201">
                  <c:v>2.9773702106104265</c:v>
                </c:pt>
                <c:pt idx="202">
                  <c:v>2.9773702106104265</c:v>
                </c:pt>
                <c:pt idx="203">
                  <c:v>2.9773702106104265</c:v>
                </c:pt>
                <c:pt idx="204">
                  <c:v>2.9773702106104265</c:v>
                </c:pt>
                <c:pt idx="205">
                  <c:v>2.9773702106104265</c:v>
                </c:pt>
                <c:pt idx="206">
                  <c:v>2.9773702106104265</c:v>
                </c:pt>
                <c:pt idx="207">
                  <c:v>2.9773702106104265</c:v>
                </c:pt>
                <c:pt idx="208">
                  <c:v>2.9773702106104265</c:v>
                </c:pt>
                <c:pt idx="209">
                  <c:v>2.9773702106104265</c:v>
                </c:pt>
                <c:pt idx="210">
                  <c:v>2.9773702106104265</c:v>
                </c:pt>
                <c:pt idx="211">
                  <c:v>2.9773702106104265</c:v>
                </c:pt>
                <c:pt idx="212">
                  <c:v>2.9773702106104265</c:v>
                </c:pt>
                <c:pt idx="213">
                  <c:v>2.9773702106104265</c:v>
                </c:pt>
                <c:pt idx="214">
                  <c:v>2.9773702106104265</c:v>
                </c:pt>
                <c:pt idx="215">
                  <c:v>2.9773702106104265</c:v>
                </c:pt>
                <c:pt idx="216">
                  <c:v>2.9773702106104265</c:v>
                </c:pt>
                <c:pt idx="217">
                  <c:v>2.9773702106104265</c:v>
                </c:pt>
                <c:pt idx="218">
                  <c:v>2.9773702106104265</c:v>
                </c:pt>
                <c:pt idx="219">
                  <c:v>2.9773702106104265</c:v>
                </c:pt>
                <c:pt idx="220">
                  <c:v>2.9773702106104265</c:v>
                </c:pt>
                <c:pt idx="221">
                  <c:v>2.9773702106104265</c:v>
                </c:pt>
                <c:pt idx="222">
                  <c:v>2.9773702106104265</c:v>
                </c:pt>
                <c:pt idx="223">
                  <c:v>2.9773702106104265</c:v>
                </c:pt>
                <c:pt idx="224">
                  <c:v>2.9773702106104265</c:v>
                </c:pt>
                <c:pt idx="225">
                  <c:v>2.9773702106104265</c:v>
                </c:pt>
                <c:pt idx="226">
                  <c:v>2.9773702106104265</c:v>
                </c:pt>
                <c:pt idx="227">
                  <c:v>2.9773702106104265</c:v>
                </c:pt>
                <c:pt idx="228">
                  <c:v>2.9773702106104265</c:v>
                </c:pt>
                <c:pt idx="229">
                  <c:v>2.9773702106104265</c:v>
                </c:pt>
                <c:pt idx="230">
                  <c:v>2.9773702106104265</c:v>
                </c:pt>
                <c:pt idx="231">
                  <c:v>2.9773702106104265</c:v>
                </c:pt>
                <c:pt idx="232">
                  <c:v>2.9773702106104265</c:v>
                </c:pt>
                <c:pt idx="233">
                  <c:v>2.9773702106104265</c:v>
                </c:pt>
                <c:pt idx="234">
                  <c:v>2.9773702106104265</c:v>
                </c:pt>
                <c:pt idx="235">
                  <c:v>2.9773702106104265</c:v>
                </c:pt>
                <c:pt idx="236">
                  <c:v>2.9773702106104265</c:v>
                </c:pt>
                <c:pt idx="237">
                  <c:v>2.9773702106104265</c:v>
                </c:pt>
                <c:pt idx="238">
                  <c:v>2.9773702106104265</c:v>
                </c:pt>
                <c:pt idx="239">
                  <c:v>2.9773702106104265</c:v>
                </c:pt>
                <c:pt idx="240">
                  <c:v>2.9773702106104265</c:v>
                </c:pt>
                <c:pt idx="241">
                  <c:v>2.9773702106104265</c:v>
                </c:pt>
                <c:pt idx="242">
                  <c:v>2.9773702106104265</c:v>
                </c:pt>
                <c:pt idx="243">
                  <c:v>2.9773702106104265</c:v>
                </c:pt>
                <c:pt idx="244">
                  <c:v>2.9773702106104265</c:v>
                </c:pt>
                <c:pt idx="245">
                  <c:v>2.9773702106104265</c:v>
                </c:pt>
                <c:pt idx="246">
                  <c:v>2.9773702106104265</c:v>
                </c:pt>
                <c:pt idx="247">
                  <c:v>2.9773702106104265</c:v>
                </c:pt>
                <c:pt idx="248">
                  <c:v>2.9773702106104265</c:v>
                </c:pt>
                <c:pt idx="249">
                  <c:v>2.9773702106104265</c:v>
                </c:pt>
                <c:pt idx="250">
                  <c:v>2.9773702106104265</c:v>
                </c:pt>
                <c:pt idx="251">
                  <c:v>2.9773702106104265</c:v>
                </c:pt>
                <c:pt idx="252">
                  <c:v>2.9773702106104265</c:v>
                </c:pt>
                <c:pt idx="253">
                  <c:v>2.9773702106104265</c:v>
                </c:pt>
                <c:pt idx="254">
                  <c:v>3.0097649098934585</c:v>
                </c:pt>
                <c:pt idx="255">
                  <c:v>3.0178635847142163</c:v>
                </c:pt>
                <c:pt idx="256">
                  <c:v>3.0097649098934585</c:v>
                </c:pt>
                <c:pt idx="257">
                  <c:v>3.0097649098934585</c:v>
                </c:pt>
                <c:pt idx="258">
                  <c:v>2.9935675602519423</c:v>
                </c:pt>
                <c:pt idx="259">
                  <c:v>2.9773702106104265</c:v>
                </c:pt>
                <c:pt idx="260">
                  <c:v>2.9773702106104265</c:v>
                </c:pt>
                <c:pt idx="261">
                  <c:v>2.9773702106104265</c:v>
                </c:pt>
                <c:pt idx="262">
                  <c:v>2.9773702106104265</c:v>
                </c:pt>
                <c:pt idx="263">
                  <c:v>2.9773702106104265</c:v>
                </c:pt>
                <c:pt idx="264">
                  <c:v>2.9773702106104265</c:v>
                </c:pt>
                <c:pt idx="265">
                  <c:v>2.9773702106104265</c:v>
                </c:pt>
                <c:pt idx="266">
                  <c:v>2.9773702106104265</c:v>
                </c:pt>
                <c:pt idx="267">
                  <c:v>2.9773702106104265</c:v>
                </c:pt>
                <c:pt idx="268">
                  <c:v>2.9854688854311844</c:v>
                </c:pt>
                <c:pt idx="269">
                  <c:v>2.9773702106104265</c:v>
                </c:pt>
                <c:pt idx="270">
                  <c:v>2.9935675602519423</c:v>
                </c:pt>
                <c:pt idx="271">
                  <c:v>3.0178635847142163</c:v>
                </c:pt>
                <c:pt idx="272">
                  <c:v>3.0178635847142163</c:v>
                </c:pt>
                <c:pt idx="273">
                  <c:v>3.0097649098934585</c:v>
                </c:pt>
                <c:pt idx="274">
                  <c:v>2.9935675602519423</c:v>
                </c:pt>
                <c:pt idx="275">
                  <c:v>3.0097649098934585</c:v>
                </c:pt>
                <c:pt idx="276">
                  <c:v>3.0259622595349747</c:v>
                </c:pt>
                <c:pt idx="277">
                  <c:v>3.0340609343557325</c:v>
                </c:pt>
                <c:pt idx="278">
                  <c:v>3.0259622595349747</c:v>
                </c:pt>
                <c:pt idx="279">
                  <c:v>3.0178635847142163</c:v>
                </c:pt>
                <c:pt idx="280">
                  <c:v>2.9854688854311844</c:v>
                </c:pt>
                <c:pt idx="281">
                  <c:v>2.9773702106104265</c:v>
                </c:pt>
                <c:pt idx="282">
                  <c:v>2.9854688854311844</c:v>
                </c:pt>
                <c:pt idx="283">
                  <c:v>3.0016662350727006</c:v>
                </c:pt>
                <c:pt idx="284">
                  <c:v>3.0259622595349747</c:v>
                </c:pt>
                <c:pt idx="285">
                  <c:v>3.0340609343557325</c:v>
                </c:pt>
                <c:pt idx="286">
                  <c:v>3.0178635847142163</c:v>
                </c:pt>
                <c:pt idx="287">
                  <c:v>3.0340609343557325</c:v>
                </c:pt>
                <c:pt idx="288">
                  <c:v>3.0340609343557325</c:v>
                </c:pt>
                <c:pt idx="289">
                  <c:v>2.9935675602519423</c:v>
                </c:pt>
                <c:pt idx="290">
                  <c:v>2.9773702106104265</c:v>
                </c:pt>
                <c:pt idx="291">
                  <c:v>2.9773702106104265</c:v>
                </c:pt>
                <c:pt idx="292">
                  <c:v>2.9935675602519423</c:v>
                </c:pt>
                <c:pt idx="293">
                  <c:v>2.9773702106104265</c:v>
                </c:pt>
                <c:pt idx="294">
                  <c:v>2.9854688854311844</c:v>
                </c:pt>
                <c:pt idx="295">
                  <c:v>3.0016662350727006</c:v>
                </c:pt>
                <c:pt idx="296">
                  <c:v>3.0178635847142163</c:v>
                </c:pt>
                <c:pt idx="297">
                  <c:v>3.0178635847142163</c:v>
                </c:pt>
                <c:pt idx="298">
                  <c:v>3.0016662350727006</c:v>
                </c:pt>
                <c:pt idx="299">
                  <c:v>2.9935675602519423</c:v>
                </c:pt>
                <c:pt idx="300">
                  <c:v>3.0016662350727006</c:v>
                </c:pt>
                <c:pt idx="301">
                  <c:v>3.0016662350727006</c:v>
                </c:pt>
                <c:pt idx="302">
                  <c:v>2.9854688854311844</c:v>
                </c:pt>
                <c:pt idx="303">
                  <c:v>2.9935675602519423</c:v>
                </c:pt>
                <c:pt idx="304">
                  <c:v>3.0016662350727006</c:v>
                </c:pt>
                <c:pt idx="305">
                  <c:v>3.0016662350727006</c:v>
                </c:pt>
                <c:pt idx="306">
                  <c:v>3.0259622595349747</c:v>
                </c:pt>
                <c:pt idx="307">
                  <c:v>3.0719655064547786</c:v>
                </c:pt>
                <c:pt idx="308">
                  <c:v>3.052094908269253</c:v>
                </c:pt>
                <c:pt idx="309">
                  <c:v>3.062030207362016</c:v>
                </c:pt>
                <c:pt idx="310">
                  <c:v>3.0421596091764904</c:v>
                </c:pt>
                <c:pt idx="311">
                  <c:v>3.062030207362016</c:v>
                </c:pt>
                <c:pt idx="312">
                  <c:v>3.0719655064547786</c:v>
                </c:pt>
                <c:pt idx="313">
                  <c:v>3.052094908269253</c:v>
                </c:pt>
                <c:pt idx="314">
                  <c:v>3.0340609343557325</c:v>
                </c:pt>
                <c:pt idx="315">
                  <c:v>3.0178635847142163</c:v>
                </c:pt>
                <c:pt idx="316">
                  <c:v>3.0340609343557325</c:v>
                </c:pt>
                <c:pt idx="317">
                  <c:v>3.0259622595349747</c:v>
                </c:pt>
                <c:pt idx="318">
                  <c:v>3.0178635847142163</c:v>
                </c:pt>
                <c:pt idx="319">
                  <c:v>3.0259622595349747</c:v>
                </c:pt>
                <c:pt idx="320">
                  <c:v>3.0259622595349747</c:v>
                </c:pt>
                <c:pt idx="321">
                  <c:v>3.0421596091764904</c:v>
                </c:pt>
                <c:pt idx="322">
                  <c:v>3.062030207362016</c:v>
                </c:pt>
                <c:pt idx="323">
                  <c:v>3.087223243006151</c:v>
                </c:pt>
                <c:pt idx="324">
                  <c:v>3.087223243006151</c:v>
                </c:pt>
                <c:pt idx="325">
                  <c:v>3.1024809795575234</c:v>
                </c:pt>
                <c:pt idx="326">
                  <c:v>3.087223243006151</c:v>
                </c:pt>
                <c:pt idx="327">
                  <c:v>3.0719655064547786</c:v>
                </c:pt>
                <c:pt idx="328">
                  <c:v>2.9935675602519423</c:v>
                </c:pt>
                <c:pt idx="329">
                  <c:v>3.0016662350727006</c:v>
                </c:pt>
                <c:pt idx="330">
                  <c:v>3.0421596091764904</c:v>
                </c:pt>
                <c:pt idx="331">
                  <c:v>3.052094908269253</c:v>
                </c:pt>
                <c:pt idx="332">
                  <c:v>3.0421596091764904</c:v>
                </c:pt>
                <c:pt idx="333">
                  <c:v>3.062030207362016</c:v>
                </c:pt>
                <c:pt idx="334">
                  <c:v>3.0719655064547786</c:v>
                </c:pt>
                <c:pt idx="335">
                  <c:v>3.052094908269253</c:v>
                </c:pt>
                <c:pt idx="336">
                  <c:v>3.0259622595349747</c:v>
                </c:pt>
                <c:pt idx="337">
                  <c:v>3.052094908269253</c:v>
                </c:pt>
                <c:pt idx="338">
                  <c:v>3.0719655064547786</c:v>
                </c:pt>
                <c:pt idx="339">
                  <c:v>3.052094908269253</c:v>
                </c:pt>
                <c:pt idx="340">
                  <c:v>3.0340609343557325</c:v>
                </c:pt>
                <c:pt idx="341">
                  <c:v>3.0421596091764904</c:v>
                </c:pt>
                <c:pt idx="342">
                  <c:v>3.052094908269253</c:v>
                </c:pt>
                <c:pt idx="343">
                  <c:v>3.052094908269253</c:v>
                </c:pt>
                <c:pt idx="344">
                  <c:v>3.062030207362016</c:v>
                </c:pt>
                <c:pt idx="345">
                  <c:v>3.0719655064547786</c:v>
                </c:pt>
                <c:pt idx="346">
                  <c:v>3.062030207362016</c:v>
                </c:pt>
                <c:pt idx="347">
                  <c:v>3.1024809795575234</c:v>
                </c:pt>
                <c:pt idx="348">
                  <c:v>3.0719655064547786</c:v>
                </c:pt>
                <c:pt idx="349">
                  <c:v>3.0340609343557325</c:v>
                </c:pt>
                <c:pt idx="350">
                  <c:v>3.0178635847142163</c:v>
                </c:pt>
                <c:pt idx="351">
                  <c:v>3.0340609343557325</c:v>
                </c:pt>
                <c:pt idx="352">
                  <c:v>3.0178635847142163</c:v>
                </c:pt>
                <c:pt idx="353">
                  <c:v>3.0340609343557325</c:v>
                </c:pt>
                <c:pt idx="354">
                  <c:v>3.052094908269253</c:v>
                </c:pt>
                <c:pt idx="355">
                  <c:v>3.0340609343557325</c:v>
                </c:pt>
                <c:pt idx="356">
                  <c:v>3.052094908269253</c:v>
                </c:pt>
                <c:pt idx="357">
                  <c:v>3.052094908269253</c:v>
                </c:pt>
                <c:pt idx="358">
                  <c:v>3.062030207362016</c:v>
                </c:pt>
                <c:pt idx="359">
                  <c:v>3.0340609343557325</c:v>
                </c:pt>
                <c:pt idx="360">
                  <c:v>3.0421596091764904</c:v>
                </c:pt>
                <c:pt idx="361">
                  <c:v>3.0719655064547786</c:v>
                </c:pt>
                <c:pt idx="362">
                  <c:v>3.1177387161088959</c:v>
                </c:pt>
                <c:pt idx="363">
                  <c:v>3.062030207362016</c:v>
                </c:pt>
                <c:pt idx="364">
                  <c:v>3.0421596091764904</c:v>
                </c:pt>
              </c:numCache>
            </c:numRef>
          </c:yVal>
          <c:smooth val="0"/>
          <c:extLst>
            <c:ext xmlns:c16="http://schemas.microsoft.com/office/drawing/2014/chart" uri="{C3380CC4-5D6E-409C-BE32-E72D297353CC}">
              <c16:uniqueId val="{00000000-8B33-4C8C-BF63-FF6FF2384918}"/>
            </c:ext>
          </c:extLst>
        </c:ser>
        <c:dLbls>
          <c:showLegendKey val="0"/>
          <c:showVal val="0"/>
          <c:showCatName val="0"/>
          <c:showSerName val="0"/>
          <c:showPercent val="0"/>
          <c:showBubbleSize val="0"/>
        </c:dLbls>
        <c:axId val="767106144"/>
        <c:axId val="767111136"/>
      </c:scatterChart>
      <c:valAx>
        <c:axId val="767106144"/>
        <c:scaling>
          <c:orientation val="minMax"/>
        </c:scaling>
        <c:delete val="0"/>
        <c:axPos val="b"/>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767111136"/>
        <c:crosses val="autoZero"/>
        <c:crossBetween val="midCat"/>
      </c:valAx>
      <c:valAx>
        <c:axId val="767111136"/>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767106144"/>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scatterChart>
        <c:scatterStyle val="lineMarker"/>
        <c:varyColors val="0"/>
        <c:ser>
          <c:idx val="0"/>
          <c:order val="0"/>
          <c:tx>
            <c:strRef>
              <c:f>'Varmepumpeberegning VP1'!$Z$3</c:f>
              <c:strCache>
                <c:ptCount val="1"/>
                <c:pt idx="0">
                  <c:v>Marginal Pris pr MWh varme</c:v>
                </c:pt>
              </c:strCache>
            </c:strRef>
          </c:tx>
          <c:spPr>
            <a:ln w="25400" cap="rnd">
              <a:noFill/>
              <a:round/>
            </a:ln>
            <a:effectLst/>
          </c:spPr>
          <c:marker>
            <c:symbol val="circle"/>
            <c:size val="5"/>
            <c:spPr>
              <a:solidFill>
                <a:schemeClr val="accent1"/>
              </a:solidFill>
              <a:ln w="9525">
                <a:solidFill>
                  <a:schemeClr val="accent1"/>
                </a:solidFill>
              </a:ln>
              <a:effectLst/>
            </c:spPr>
          </c:marker>
          <c:yVal>
            <c:numRef>
              <c:f>'Varmepumpeberegning VP1'!$Z$4:$Z$368</c:f>
              <c:numCache>
                <c:formatCode>0.00</c:formatCode>
                <c:ptCount val="365"/>
                <c:pt idx="0">
                  <c:v>48.195176072664189</c:v>
                </c:pt>
                <c:pt idx="1">
                  <c:v>46.906085468567859</c:v>
                </c:pt>
                <c:pt idx="2">
                  <c:v>46.906085468567859</c:v>
                </c:pt>
                <c:pt idx="3">
                  <c:v>49.428261889997998</c:v>
                </c:pt>
                <c:pt idx="4">
                  <c:v>49.428261889997998</c:v>
                </c:pt>
                <c:pt idx="5">
                  <c:v>51.705110358037601</c:v>
                </c:pt>
                <c:pt idx="6">
                  <c:v>53.426917267849994</c:v>
                </c:pt>
                <c:pt idx="7">
                  <c:v>54.319702394001482</c:v>
                </c:pt>
                <c:pt idx="8">
                  <c:v>57.170372102086262</c:v>
                </c:pt>
                <c:pt idx="9">
                  <c:v>57.170372102086262</c:v>
                </c:pt>
                <c:pt idx="10">
                  <c:v>54.319702394001482</c:v>
                </c:pt>
                <c:pt idx="11">
                  <c:v>50.874588423736348</c:v>
                </c:pt>
                <c:pt idx="12">
                  <c:v>50.063378875196641</c:v>
                </c:pt>
                <c:pt idx="13">
                  <c:v>50.063378875196641</c:v>
                </c:pt>
                <c:pt idx="14">
                  <c:v>51.705110358037601</c:v>
                </c:pt>
                <c:pt idx="15">
                  <c:v>52.555642638331904</c:v>
                </c:pt>
                <c:pt idx="16">
                  <c:v>54.319702394001482</c:v>
                </c:pt>
                <c:pt idx="17">
                  <c:v>54.319702394001482</c:v>
                </c:pt>
                <c:pt idx="18">
                  <c:v>51.705110358037601</c:v>
                </c:pt>
                <c:pt idx="19">
                  <c:v>52.555642638331904</c:v>
                </c:pt>
                <c:pt idx="20">
                  <c:v>50.874588423736348</c:v>
                </c:pt>
                <c:pt idx="21">
                  <c:v>47.54328147744701</c:v>
                </c:pt>
                <c:pt idx="22">
                  <c:v>48.195176072664189</c:v>
                </c:pt>
                <c:pt idx="23">
                  <c:v>46.906085468567859</c:v>
                </c:pt>
                <c:pt idx="24">
                  <c:v>48.805649522192738</c:v>
                </c:pt>
                <c:pt idx="25">
                  <c:v>47.54328147744701</c:v>
                </c:pt>
                <c:pt idx="26">
                  <c:v>49.428261889997998</c:v>
                </c:pt>
                <c:pt idx="27">
                  <c:v>50.063378875196641</c:v>
                </c:pt>
                <c:pt idx="28">
                  <c:v>48.805649522192738</c:v>
                </c:pt>
                <c:pt idx="29">
                  <c:v>48.195176072664189</c:v>
                </c:pt>
                <c:pt idx="30">
                  <c:v>48.805649522192738</c:v>
                </c:pt>
                <c:pt idx="31">
                  <c:v>48.805649522192738</c:v>
                </c:pt>
                <c:pt idx="32">
                  <c:v>48.195176072664189</c:v>
                </c:pt>
                <c:pt idx="33">
                  <c:v>46.906085468567859</c:v>
                </c:pt>
                <c:pt idx="34">
                  <c:v>46.906085468567859</c:v>
                </c:pt>
                <c:pt idx="35">
                  <c:v>46.906085468567859</c:v>
                </c:pt>
                <c:pt idx="36">
                  <c:v>46.906085468567859</c:v>
                </c:pt>
                <c:pt idx="37">
                  <c:v>49.428261889997998</c:v>
                </c:pt>
                <c:pt idx="38">
                  <c:v>51.705110358037601</c:v>
                </c:pt>
                <c:pt idx="39">
                  <c:v>48.195176072664189</c:v>
                </c:pt>
                <c:pt idx="40">
                  <c:v>46.906085468567859</c:v>
                </c:pt>
                <c:pt idx="41">
                  <c:v>47.54328147744701</c:v>
                </c:pt>
                <c:pt idx="42">
                  <c:v>48.195176072664189</c:v>
                </c:pt>
                <c:pt idx="43">
                  <c:v>48.195176072664189</c:v>
                </c:pt>
                <c:pt idx="44">
                  <c:v>46.283096463675768</c:v>
                </c:pt>
                <c:pt idx="45">
                  <c:v>45.077880349837372</c:v>
                </c:pt>
                <c:pt idx="46">
                  <c:v>46.283096463675768</c:v>
                </c:pt>
                <c:pt idx="47">
                  <c:v>46.906085468567859</c:v>
                </c:pt>
                <c:pt idx="48">
                  <c:v>46.906085468567859</c:v>
                </c:pt>
                <c:pt idx="49">
                  <c:v>47.54328147744701</c:v>
                </c:pt>
                <c:pt idx="50">
                  <c:v>47.54328147744701</c:v>
                </c:pt>
                <c:pt idx="51">
                  <c:v>46.906085468567859</c:v>
                </c:pt>
                <c:pt idx="52">
                  <c:v>46.283096463675768</c:v>
                </c:pt>
                <c:pt idx="53">
                  <c:v>48.805649522192738</c:v>
                </c:pt>
                <c:pt idx="54">
                  <c:v>49.428261889997998</c:v>
                </c:pt>
                <c:pt idx="55">
                  <c:v>49.428261889997998</c:v>
                </c:pt>
                <c:pt idx="56">
                  <c:v>50.063378875196641</c:v>
                </c:pt>
                <c:pt idx="57">
                  <c:v>50.063378875196641</c:v>
                </c:pt>
                <c:pt idx="58">
                  <c:v>48.805649522192738</c:v>
                </c:pt>
                <c:pt idx="59">
                  <c:v>47.54328147744701</c:v>
                </c:pt>
                <c:pt idx="60">
                  <c:v>47.54328147744701</c:v>
                </c:pt>
                <c:pt idx="61">
                  <c:v>46.283096463675768</c:v>
                </c:pt>
                <c:pt idx="62">
                  <c:v>46.283096463675768</c:v>
                </c:pt>
                <c:pt idx="63">
                  <c:v>48.195176072664189</c:v>
                </c:pt>
                <c:pt idx="64">
                  <c:v>48.195176072664189</c:v>
                </c:pt>
                <c:pt idx="65">
                  <c:v>48.805649522192738</c:v>
                </c:pt>
                <c:pt idx="66">
                  <c:v>50.063378875196641</c:v>
                </c:pt>
                <c:pt idx="67">
                  <c:v>50.063378875196641</c:v>
                </c:pt>
                <c:pt idx="68">
                  <c:v>48.805649522192738</c:v>
                </c:pt>
                <c:pt idx="69">
                  <c:v>48.195176072664189</c:v>
                </c:pt>
                <c:pt idx="70">
                  <c:v>48.195176072664189</c:v>
                </c:pt>
                <c:pt idx="71">
                  <c:v>48.195176072664189</c:v>
                </c:pt>
                <c:pt idx="72">
                  <c:v>46.906085468567859</c:v>
                </c:pt>
                <c:pt idx="73">
                  <c:v>45.077880349837372</c:v>
                </c:pt>
                <c:pt idx="74">
                  <c:v>45.077880349837372</c:v>
                </c:pt>
                <c:pt idx="75">
                  <c:v>47.54328147744701</c:v>
                </c:pt>
                <c:pt idx="76">
                  <c:v>47.54328147744701</c:v>
                </c:pt>
                <c:pt idx="77">
                  <c:v>46.283096463675768</c:v>
                </c:pt>
                <c:pt idx="78">
                  <c:v>45.673844559506328</c:v>
                </c:pt>
                <c:pt idx="79">
                  <c:v>45.673844559506328</c:v>
                </c:pt>
                <c:pt idx="80">
                  <c:v>46.906085468567859</c:v>
                </c:pt>
                <c:pt idx="81">
                  <c:v>46.906085468567859</c:v>
                </c:pt>
                <c:pt idx="82">
                  <c:v>48.805649522192738</c:v>
                </c:pt>
                <c:pt idx="83">
                  <c:v>48.195176072664189</c:v>
                </c:pt>
                <c:pt idx="84">
                  <c:v>48.195176072664189</c:v>
                </c:pt>
                <c:pt idx="85">
                  <c:v>47.54328147744701</c:v>
                </c:pt>
                <c:pt idx="86">
                  <c:v>46.906085468567859</c:v>
                </c:pt>
                <c:pt idx="87">
                  <c:v>47.54328147744701</c:v>
                </c:pt>
                <c:pt idx="88">
                  <c:v>46.283096463675768</c:v>
                </c:pt>
                <c:pt idx="89">
                  <c:v>46.906085468567859</c:v>
                </c:pt>
                <c:pt idx="90">
                  <c:v>46.906085468567859</c:v>
                </c:pt>
                <c:pt idx="91">
                  <c:v>46.283096463675768</c:v>
                </c:pt>
                <c:pt idx="92">
                  <c:v>46.906085468567859</c:v>
                </c:pt>
                <c:pt idx="93">
                  <c:v>46.283096463675768</c:v>
                </c:pt>
                <c:pt idx="94">
                  <c:v>45.673844559506328</c:v>
                </c:pt>
                <c:pt idx="95">
                  <c:v>45.077880349837372</c:v>
                </c:pt>
                <c:pt idx="96">
                  <c:v>43.365504555254446</c:v>
                </c:pt>
                <c:pt idx="97">
                  <c:v>43.365504555254446</c:v>
                </c:pt>
                <c:pt idx="98">
                  <c:v>43.924113311887368</c:v>
                </c:pt>
                <c:pt idx="99">
                  <c:v>45.077880349837372</c:v>
                </c:pt>
                <c:pt idx="100">
                  <c:v>45.673844559506328</c:v>
                </c:pt>
                <c:pt idx="101">
                  <c:v>45.077880349837372</c:v>
                </c:pt>
                <c:pt idx="102">
                  <c:v>43.924113311887368</c:v>
                </c:pt>
                <c:pt idx="103">
                  <c:v>43.365504555254446</c:v>
                </c:pt>
                <c:pt idx="104">
                  <c:v>45.673844559506328</c:v>
                </c:pt>
                <c:pt idx="105">
                  <c:v>47.54328147744701</c:v>
                </c:pt>
                <c:pt idx="106">
                  <c:v>47.54328147744701</c:v>
                </c:pt>
                <c:pt idx="107">
                  <c:v>48.805649522192738</c:v>
                </c:pt>
                <c:pt idx="108">
                  <c:v>48.195176072664189</c:v>
                </c:pt>
                <c:pt idx="109">
                  <c:v>47.54328147744701</c:v>
                </c:pt>
                <c:pt idx="110">
                  <c:v>48.195176072664189</c:v>
                </c:pt>
                <c:pt idx="111">
                  <c:v>48.805649522192738</c:v>
                </c:pt>
                <c:pt idx="112">
                  <c:v>48.805649522192738</c:v>
                </c:pt>
                <c:pt idx="113">
                  <c:v>49.428261889997998</c:v>
                </c:pt>
                <c:pt idx="114">
                  <c:v>48.805649522192738</c:v>
                </c:pt>
                <c:pt idx="115">
                  <c:v>48.805649522192738</c:v>
                </c:pt>
                <c:pt idx="116">
                  <c:v>48.195176072664189</c:v>
                </c:pt>
                <c:pt idx="117">
                  <c:v>46.283096463675768</c:v>
                </c:pt>
                <c:pt idx="118">
                  <c:v>44.494773819951156</c:v>
                </c:pt>
                <c:pt idx="119">
                  <c:v>45.077880349837372</c:v>
                </c:pt>
                <c:pt idx="120">
                  <c:v>43.365504555254446</c:v>
                </c:pt>
                <c:pt idx="121">
                  <c:v>43.365504555254446</c:v>
                </c:pt>
                <c:pt idx="122">
                  <c:v>43.365504555254446</c:v>
                </c:pt>
                <c:pt idx="123">
                  <c:v>44.494773819951156</c:v>
                </c:pt>
                <c:pt idx="124">
                  <c:v>45.077880349837372</c:v>
                </c:pt>
                <c:pt idx="125">
                  <c:v>45.077880349837372</c:v>
                </c:pt>
                <c:pt idx="126">
                  <c:v>45.077880349837372</c:v>
                </c:pt>
                <c:pt idx="127">
                  <c:v>44.494773819951156</c:v>
                </c:pt>
                <c:pt idx="128">
                  <c:v>45.077880349837372</c:v>
                </c:pt>
                <c:pt idx="129">
                  <c:v>45.077880349837372</c:v>
                </c:pt>
                <c:pt idx="130">
                  <c:v>43.924113311887368</c:v>
                </c:pt>
                <c:pt idx="131">
                  <c:v>43.365504555254446</c:v>
                </c:pt>
                <c:pt idx="132">
                  <c:v>43.365504555254446</c:v>
                </c:pt>
                <c:pt idx="133">
                  <c:v>43.365504555254446</c:v>
                </c:pt>
                <c:pt idx="134">
                  <c:v>43.365504555254446</c:v>
                </c:pt>
                <c:pt idx="135">
                  <c:v>43.365504555254446</c:v>
                </c:pt>
                <c:pt idx="136">
                  <c:v>43.365504555254446</c:v>
                </c:pt>
                <c:pt idx="137">
                  <c:v>43.365504555254446</c:v>
                </c:pt>
                <c:pt idx="138">
                  <c:v>43.365504555254446</c:v>
                </c:pt>
                <c:pt idx="139">
                  <c:v>43.365504555254446</c:v>
                </c:pt>
                <c:pt idx="140">
                  <c:v>43.365504555254446</c:v>
                </c:pt>
                <c:pt idx="141">
                  <c:v>43.365504555254446</c:v>
                </c:pt>
                <c:pt idx="142">
                  <c:v>43.365504555254446</c:v>
                </c:pt>
                <c:pt idx="143">
                  <c:v>43.365504555254446</c:v>
                </c:pt>
                <c:pt idx="144">
                  <c:v>43.365504555254446</c:v>
                </c:pt>
                <c:pt idx="145">
                  <c:v>43.365504555254446</c:v>
                </c:pt>
                <c:pt idx="146">
                  <c:v>43.365504555254446</c:v>
                </c:pt>
                <c:pt idx="147">
                  <c:v>43.365504555254446</c:v>
                </c:pt>
                <c:pt idx="148">
                  <c:v>43.924113311887368</c:v>
                </c:pt>
                <c:pt idx="149">
                  <c:v>43.365504555254446</c:v>
                </c:pt>
                <c:pt idx="150">
                  <c:v>43.924113311887368</c:v>
                </c:pt>
                <c:pt idx="151">
                  <c:v>43.365504555254446</c:v>
                </c:pt>
                <c:pt idx="152">
                  <c:v>43.365504555254446</c:v>
                </c:pt>
                <c:pt idx="153">
                  <c:v>43.924113311887368</c:v>
                </c:pt>
                <c:pt idx="154">
                  <c:v>43.924113311887368</c:v>
                </c:pt>
                <c:pt idx="155">
                  <c:v>43.365504555254446</c:v>
                </c:pt>
                <c:pt idx="156">
                  <c:v>44.494773819951156</c:v>
                </c:pt>
                <c:pt idx="157">
                  <c:v>44.494773819951156</c:v>
                </c:pt>
                <c:pt idx="158">
                  <c:v>44.494773819951156</c:v>
                </c:pt>
                <c:pt idx="159">
                  <c:v>44.494773819951156</c:v>
                </c:pt>
                <c:pt idx="160">
                  <c:v>45.077880349837372</c:v>
                </c:pt>
                <c:pt idx="161">
                  <c:v>45.673844559506328</c:v>
                </c:pt>
                <c:pt idx="162">
                  <c:v>45.077880349837372</c:v>
                </c:pt>
                <c:pt idx="163">
                  <c:v>45.673844559506328</c:v>
                </c:pt>
                <c:pt idx="164">
                  <c:v>44.494773819951156</c:v>
                </c:pt>
                <c:pt idx="165">
                  <c:v>43.365504555254446</c:v>
                </c:pt>
                <c:pt idx="166">
                  <c:v>43.924113311887368</c:v>
                </c:pt>
                <c:pt idx="167">
                  <c:v>43.924113311887368</c:v>
                </c:pt>
                <c:pt idx="168">
                  <c:v>43.365504555254446</c:v>
                </c:pt>
                <c:pt idx="169">
                  <c:v>43.365504555254446</c:v>
                </c:pt>
                <c:pt idx="170">
                  <c:v>43.365504555254446</c:v>
                </c:pt>
                <c:pt idx="171">
                  <c:v>43.924113311887368</c:v>
                </c:pt>
                <c:pt idx="172">
                  <c:v>43.365504555254446</c:v>
                </c:pt>
                <c:pt idx="173">
                  <c:v>43.365504555254446</c:v>
                </c:pt>
                <c:pt idx="174">
                  <c:v>43.365504555254446</c:v>
                </c:pt>
                <c:pt idx="175">
                  <c:v>43.365504555254446</c:v>
                </c:pt>
                <c:pt idx="176">
                  <c:v>43.365504555254446</c:v>
                </c:pt>
                <c:pt idx="177">
                  <c:v>43.365504555254446</c:v>
                </c:pt>
                <c:pt idx="178">
                  <c:v>43.365504555254446</c:v>
                </c:pt>
                <c:pt idx="179">
                  <c:v>43.365504555254446</c:v>
                </c:pt>
                <c:pt idx="180">
                  <c:v>43.365504555254446</c:v>
                </c:pt>
                <c:pt idx="181">
                  <c:v>43.365504555254446</c:v>
                </c:pt>
                <c:pt idx="182">
                  <c:v>43.365504555254446</c:v>
                </c:pt>
                <c:pt idx="183">
                  <c:v>43.365504555254446</c:v>
                </c:pt>
                <c:pt idx="184">
                  <c:v>44.494773819951156</c:v>
                </c:pt>
                <c:pt idx="185">
                  <c:v>43.365504555254446</c:v>
                </c:pt>
                <c:pt idx="186">
                  <c:v>43.365504555254446</c:v>
                </c:pt>
                <c:pt idx="187">
                  <c:v>43.365504555254446</c:v>
                </c:pt>
                <c:pt idx="188">
                  <c:v>43.924113311887368</c:v>
                </c:pt>
                <c:pt idx="189">
                  <c:v>43.365504555254446</c:v>
                </c:pt>
                <c:pt idx="190">
                  <c:v>43.365504555254446</c:v>
                </c:pt>
                <c:pt idx="191">
                  <c:v>43.365504555254446</c:v>
                </c:pt>
                <c:pt idx="192">
                  <c:v>43.365504555254446</c:v>
                </c:pt>
                <c:pt idx="193">
                  <c:v>43.924113311887368</c:v>
                </c:pt>
                <c:pt idx="194">
                  <c:v>43.365504555254446</c:v>
                </c:pt>
                <c:pt idx="195">
                  <c:v>43.365504555254446</c:v>
                </c:pt>
                <c:pt idx="196">
                  <c:v>43.365504555254446</c:v>
                </c:pt>
                <c:pt idx="197">
                  <c:v>43.365504555254446</c:v>
                </c:pt>
                <c:pt idx="198">
                  <c:v>43.365504555254446</c:v>
                </c:pt>
                <c:pt idx="199">
                  <c:v>43.365504555254446</c:v>
                </c:pt>
                <c:pt idx="200">
                  <c:v>43.365504555254446</c:v>
                </c:pt>
                <c:pt idx="201">
                  <c:v>43.365504555254446</c:v>
                </c:pt>
                <c:pt idx="202">
                  <c:v>43.365504555254446</c:v>
                </c:pt>
                <c:pt idx="203">
                  <c:v>43.365504555254446</c:v>
                </c:pt>
                <c:pt idx="204">
                  <c:v>43.365504555254446</c:v>
                </c:pt>
                <c:pt idx="205">
                  <c:v>43.365504555254446</c:v>
                </c:pt>
                <c:pt idx="206">
                  <c:v>43.365504555254446</c:v>
                </c:pt>
                <c:pt idx="207">
                  <c:v>43.365504555254446</c:v>
                </c:pt>
                <c:pt idx="208">
                  <c:v>43.365504555254446</c:v>
                </c:pt>
                <c:pt idx="209">
                  <c:v>43.365504555254446</c:v>
                </c:pt>
                <c:pt idx="210">
                  <c:v>43.365504555254446</c:v>
                </c:pt>
                <c:pt idx="211">
                  <c:v>43.365504555254446</c:v>
                </c:pt>
                <c:pt idx="212">
                  <c:v>43.365504555254446</c:v>
                </c:pt>
                <c:pt idx="213">
                  <c:v>43.365504555254446</c:v>
                </c:pt>
                <c:pt idx="214">
                  <c:v>43.365504555254446</c:v>
                </c:pt>
                <c:pt idx="215">
                  <c:v>43.365504555254446</c:v>
                </c:pt>
                <c:pt idx="216">
                  <c:v>43.365504555254446</c:v>
                </c:pt>
                <c:pt idx="217">
                  <c:v>43.365504555254446</c:v>
                </c:pt>
                <c:pt idx="218">
                  <c:v>43.365504555254446</c:v>
                </c:pt>
                <c:pt idx="219">
                  <c:v>43.365504555254446</c:v>
                </c:pt>
                <c:pt idx="220">
                  <c:v>43.365504555254446</c:v>
                </c:pt>
                <c:pt idx="221">
                  <c:v>43.365504555254446</c:v>
                </c:pt>
                <c:pt idx="222">
                  <c:v>43.365504555254446</c:v>
                </c:pt>
                <c:pt idx="223">
                  <c:v>43.365504555254446</c:v>
                </c:pt>
                <c:pt idx="224">
                  <c:v>43.365504555254446</c:v>
                </c:pt>
                <c:pt idx="225">
                  <c:v>43.365504555254446</c:v>
                </c:pt>
                <c:pt idx="226">
                  <c:v>43.365504555254446</c:v>
                </c:pt>
                <c:pt idx="227">
                  <c:v>43.365504555254446</c:v>
                </c:pt>
                <c:pt idx="228">
                  <c:v>43.365504555254446</c:v>
                </c:pt>
                <c:pt idx="229">
                  <c:v>43.365504555254446</c:v>
                </c:pt>
                <c:pt idx="230">
                  <c:v>43.365504555254446</c:v>
                </c:pt>
                <c:pt idx="231">
                  <c:v>43.365504555254446</c:v>
                </c:pt>
                <c:pt idx="232">
                  <c:v>43.365504555254446</c:v>
                </c:pt>
                <c:pt idx="233">
                  <c:v>43.365504555254446</c:v>
                </c:pt>
                <c:pt idx="234">
                  <c:v>43.365504555254446</c:v>
                </c:pt>
                <c:pt idx="235">
                  <c:v>43.365504555254446</c:v>
                </c:pt>
                <c:pt idx="236">
                  <c:v>43.365504555254446</c:v>
                </c:pt>
                <c:pt idx="237">
                  <c:v>43.365504555254446</c:v>
                </c:pt>
                <c:pt idx="238">
                  <c:v>43.365504555254446</c:v>
                </c:pt>
                <c:pt idx="239">
                  <c:v>43.365504555254446</c:v>
                </c:pt>
                <c:pt idx="240">
                  <c:v>43.365504555254446</c:v>
                </c:pt>
                <c:pt idx="241">
                  <c:v>43.365504555254446</c:v>
                </c:pt>
                <c:pt idx="242">
                  <c:v>43.365504555254446</c:v>
                </c:pt>
                <c:pt idx="243">
                  <c:v>43.365504555254446</c:v>
                </c:pt>
                <c:pt idx="244">
                  <c:v>43.365504555254446</c:v>
                </c:pt>
                <c:pt idx="245">
                  <c:v>43.365504555254446</c:v>
                </c:pt>
                <c:pt idx="246">
                  <c:v>43.365504555254446</c:v>
                </c:pt>
                <c:pt idx="247">
                  <c:v>43.365504555254446</c:v>
                </c:pt>
                <c:pt idx="248">
                  <c:v>43.365504555254446</c:v>
                </c:pt>
                <c:pt idx="249">
                  <c:v>43.365504555254446</c:v>
                </c:pt>
                <c:pt idx="250">
                  <c:v>43.365504555254446</c:v>
                </c:pt>
                <c:pt idx="251">
                  <c:v>43.365504555254446</c:v>
                </c:pt>
                <c:pt idx="252">
                  <c:v>43.365504555254446</c:v>
                </c:pt>
                <c:pt idx="253">
                  <c:v>43.365504555254446</c:v>
                </c:pt>
                <c:pt idx="254">
                  <c:v>45.673844559506328</c:v>
                </c:pt>
                <c:pt idx="255">
                  <c:v>46.283096463675768</c:v>
                </c:pt>
                <c:pt idx="256">
                  <c:v>45.673844559506328</c:v>
                </c:pt>
                <c:pt idx="257">
                  <c:v>45.673844559506328</c:v>
                </c:pt>
                <c:pt idx="258">
                  <c:v>44.494773819951156</c:v>
                </c:pt>
                <c:pt idx="259">
                  <c:v>43.365504555254446</c:v>
                </c:pt>
                <c:pt idx="260">
                  <c:v>43.365504555254446</c:v>
                </c:pt>
                <c:pt idx="261">
                  <c:v>43.365504555254446</c:v>
                </c:pt>
                <c:pt idx="262">
                  <c:v>43.365504555254446</c:v>
                </c:pt>
                <c:pt idx="263">
                  <c:v>43.365504555254446</c:v>
                </c:pt>
                <c:pt idx="264">
                  <c:v>43.365504555254446</c:v>
                </c:pt>
                <c:pt idx="265">
                  <c:v>43.365504555254446</c:v>
                </c:pt>
                <c:pt idx="266">
                  <c:v>43.365504555254446</c:v>
                </c:pt>
                <c:pt idx="267">
                  <c:v>43.365504555254446</c:v>
                </c:pt>
                <c:pt idx="268">
                  <c:v>43.924113311887368</c:v>
                </c:pt>
                <c:pt idx="269">
                  <c:v>43.365504555254446</c:v>
                </c:pt>
                <c:pt idx="270">
                  <c:v>44.494773819951156</c:v>
                </c:pt>
                <c:pt idx="271">
                  <c:v>46.283096463675768</c:v>
                </c:pt>
                <c:pt idx="272">
                  <c:v>46.283096463675768</c:v>
                </c:pt>
                <c:pt idx="273">
                  <c:v>45.673844559506328</c:v>
                </c:pt>
                <c:pt idx="274">
                  <c:v>44.494773819951156</c:v>
                </c:pt>
                <c:pt idx="275">
                  <c:v>45.673844559506328</c:v>
                </c:pt>
                <c:pt idx="276">
                  <c:v>46.906085468567859</c:v>
                </c:pt>
                <c:pt idx="277">
                  <c:v>47.54328147744701</c:v>
                </c:pt>
                <c:pt idx="278">
                  <c:v>46.906085468567859</c:v>
                </c:pt>
                <c:pt idx="279">
                  <c:v>46.283096463675768</c:v>
                </c:pt>
                <c:pt idx="280">
                  <c:v>43.924113311887368</c:v>
                </c:pt>
                <c:pt idx="281">
                  <c:v>43.365504555254446</c:v>
                </c:pt>
                <c:pt idx="282">
                  <c:v>43.924113311887368</c:v>
                </c:pt>
                <c:pt idx="283">
                  <c:v>45.077880349837372</c:v>
                </c:pt>
                <c:pt idx="284">
                  <c:v>46.906085468567859</c:v>
                </c:pt>
                <c:pt idx="285">
                  <c:v>47.54328147744701</c:v>
                </c:pt>
                <c:pt idx="286">
                  <c:v>46.283096463675768</c:v>
                </c:pt>
                <c:pt idx="287">
                  <c:v>47.54328147744701</c:v>
                </c:pt>
                <c:pt idx="288">
                  <c:v>47.54328147744701</c:v>
                </c:pt>
                <c:pt idx="289">
                  <c:v>44.494773819951156</c:v>
                </c:pt>
                <c:pt idx="290">
                  <c:v>43.365504555254446</c:v>
                </c:pt>
                <c:pt idx="291">
                  <c:v>43.365504555254446</c:v>
                </c:pt>
                <c:pt idx="292">
                  <c:v>44.494773819951156</c:v>
                </c:pt>
                <c:pt idx="293">
                  <c:v>43.365504555254446</c:v>
                </c:pt>
                <c:pt idx="294">
                  <c:v>43.924113311887368</c:v>
                </c:pt>
                <c:pt idx="295">
                  <c:v>45.077880349837372</c:v>
                </c:pt>
                <c:pt idx="296">
                  <c:v>46.283096463675768</c:v>
                </c:pt>
                <c:pt idx="297">
                  <c:v>46.283096463675768</c:v>
                </c:pt>
                <c:pt idx="298">
                  <c:v>45.077880349837372</c:v>
                </c:pt>
                <c:pt idx="299">
                  <c:v>44.494773819951156</c:v>
                </c:pt>
                <c:pt idx="300">
                  <c:v>45.077880349837372</c:v>
                </c:pt>
                <c:pt idx="301">
                  <c:v>45.077880349837372</c:v>
                </c:pt>
                <c:pt idx="302">
                  <c:v>43.924113311887368</c:v>
                </c:pt>
                <c:pt idx="303">
                  <c:v>44.494773819951156</c:v>
                </c:pt>
                <c:pt idx="304">
                  <c:v>45.077880349837372</c:v>
                </c:pt>
                <c:pt idx="305">
                  <c:v>45.077880349837372</c:v>
                </c:pt>
                <c:pt idx="306">
                  <c:v>46.906085468567859</c:v>
                </c:pt>
                <c:pt idx="307">
                  <c:v>50.063378875196641</c:v>
                </c:pt>
                <c:pt idx="308">
                  <c:v>48.805649522192738</c:v>
                </c:pt>
                <c:pt idx="309">
                  <c:v>49.428261889997998</c:v>
                </c:pt>
                <c:pt idx="310">
                  <c:v>48.195176072664189</c:v>
                </c:pt>
                <c:pt idx="311">
                  <c:v>49.428261889997998</c:v>
                </c:pt>
                <c:pt idx="312">
                  <c:v>50.063378875196641</c:v>
                </c:pt>
                <c:pt idx="313">
                  <c:v>48.805649522192738</c:v>
                </c:pt>
                <c:pt idx="314">
                  <c:v>47.54328147744701</c:v>
                </c:pt>
                <c:pt idx="315">
                  <c:v>46.283096463675768</c:v>
                </c:pt>
                <c:pt idx="316">
                  <c:v>47.54328147744701</c:v>
                </c:pt>
                <c:pt idx="317">
                  <c:v>46.906085468567859</c:v>
                </c:pt>
                <c:pt idx="318">
                  <c:v>46.283096463675768</c:v>
                </c:pt>
                <c:pt idx="319">
                  <c:v>46.906085468567859</c:v>
                </c:pt>
                <c:pt idx="320">
                  <c:v>46.906085468567859</c:v>
                </c:pt>
                <c:pt idx="321">
                  <c:v>48.195176072664189</c:v>
                </c:pt>
                <c:pt idx="322">
                  <c:v>49.428261889997998</c:v>
                </c:pt>
                <c:pt idx="323">
                  <c:v>50.874588423736348</c:v>
                </c:pt>
                <c:pt idx="324">
                  <c:v>50.874588423736348</c:v>
                </c:pt>
                <c:pt idx="325">
                  <c:v>51.705110358037601</c:v>
                </c:pt>
                <c:pt idx="326">
                  <c:v>50.874588423736348</c:v>
                </c:pt>
                <c:pt idx="327">
                  <c:v>50.063378875196641</c:v>
                </c:pt>
                <c:pt idx="328">
                  <c:v>44.494773819951156</c:v>
                </c:pt>
                <c:pt idx="329">
                  <c:v>45.077880349837372</c:v>
                </c:pt>
                <c:pt idx="330">
                  <c:v>48.195176072664189</c:v>
                </c:pt>
                <c:pt idx="331">
                  <c:v>48.805649522192738</c:v>
                </c:pt>
                <c:pt idx="332">
                  <c:v>48.195176072664189</c:v>
                </c:pt>
                <c:pt idx="333">
                  <c:v>49.428261889997998</c:v>
                </c:pt>
                <c:pt idx="334">
                  <c:v>50.063378875196641</c:v>
                </c:pt>
                <c:pt idx="335">
                  <c:v>48.805649522192738</c:v>
                </c:pt>
                <c:pt idx="336">
                  <c:v>46.906085468567859</c:v>
                </c:pt>
                <c:pt idx="337">
                  <c:v>48.805649522192738</c:v>
                </c:pt>
                <c:pt idx="338">
                  <c:v>50.063378875196641</c:v>
                </c:pt>
                <c:pt idx="339">
                  <c:v>48.805649522192738</c:v>
                </c:pt>
                <c:pt idx="340">
                  <c:v>47.54328147744701</c:v>
                </c:pt>
                <c:pt idx="341">
                  <c:v>48.195176072664189</c:v>
                </c:pt>
                <c:pt idx="342">
                  <c:v>48.805649522192738</c:v>
                </c:pt>
                <c:pt idx="343">
                  <c:v>48.805649522192738</c:v>
                </c:pt>
                <c:pt idx="344">
                  <c:v>49.428261889997998</c:v>
                </c:pt>
                <c:pt idx="345">
                  <c:v>50.063378875196641</c:v>
                </c:pt>
                <c:pt idx="346">
                  <c:v>49.428261889997998</c:v>
                </c:pt>
                <c:pt idx="347">
                  <c:v>51.705110358037601</c:v>
                </c:pt>
                <c:pt idx="348">
                  <c:v>50.063378875196641</c:v>
                </c:pt>
                <c:pt idx="349">
                  <c:v>47.54328147744701</c:v>
                </c:pt>
                <c:pt idx="350">
                  <c:v>46.283096463675768</c:v>
                </c:pt>
                <c:pt idx="351">
                  <c:v>47.54328147744701</c:v>
                </c:pt>
                <c:pt idx="352">
                  <c:v>46.283096463675768</c:v>
                </c:pt>
                <c:pt idx="353">
                  <c:v>47.54328147744701</c:v>
                </c:pt>
                <c:pt idx="354">
                  <c:v>48.805649522192738</c:v>
                </c:pt>
                <c:pt idx="355">
                  <c:v>47.54328147744701</c:v>
                </c:pt>
                <c:pt idx="356">
                  <c:v>48.805649522192738</c:v>
                </c:pt>
                <c:pt idx="357">
                  <c:v>48.805649522192738</c:v>
                </c:pt>
                <c:pt idx="358">
                  <c:v>49.428261889997998</c:v>
                </c:pt>
                <c:pt idx="359">
                  <c:v>47.54328147744701</c:v>
                </c:pt>
                <c:pt idx="360">
                  <c:v>48.195176072664189</c:v>
                </c:pt>
                <c:pt idx="361">
                  <c:v>50.063378875196641</c:v>
                </c:pt>
                <c:pt idx="362">
                  <c:v>52.555642638331904</c:v>
                </c:pt>
                <c:pt idx="363">
                  <c:v>49.428261889997998</c:v>
                </c:pt>
                <c:pt idx="364">
                  <c:v>48.195176072664189</c:v>
                </c:pt>
              </c:numCache>
            </c:numRef>
          </c:yVal>
          <c:smooth val="0"/>
          <c:extLst>
            <c:ext xmlns:c16="http://schemas.microsoft.com/office/drawing/2014/chart" uri="{C3380CC4-5D6E-409C-BE32-E72D297353CC}">
              <c16:uniqueId val="{00000000-13E9-4A4A-924A-44FCB285D35F}"/>
            </c:ext>
          </c:extLst>
        </c:ser>
        <c:dLbls>
          <c:showLegendKey val="0"/>
          <c:showVal val="0"/>
          <c:showCatName val="0"/>
          <c:showSerName val="0"/>
          <c:showPercent val="0"/>
          <c:showBubbleSize val="0"/>
        </c:dLbls>
        <c:axId val="767106144"/>
        <c:axId val="767111136"/>
      </c:scatterChart>
      <c:valAx>
        <c:axId val="767106144"/>
        <c:scaling>
          <c:orientation val="minMax"/>
        </c:scaling>
        <c:delete val="0"/>
        <c:axPos val="b"/>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767111136"/>
        <c:crosses val="autoZero"/>
        <c:crossBetween val="midCat"/>
      </c:valAx>
      <c:valAx>
        <c:axId val="76711113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767106144"/>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175911988113997E-2"/>
          <c:y val="3.940448862711516E-2"/>
          <c:w val="0.6508524604930862"/>
          <c:h val="0.83206623200007257"/>
        </c:manualLayout>
      </c:layout>
      <c:scatterChart>
        <c:scatterStyle val="lineMarker"/>
        <c:varyColors val="0"/>
        <c:ser>
          <c:idx val="3"/>
          <c:order val="0"/>
          <c:tx>
            <c:strRef>
              <c:f>'Varmepumpeberegning VP1'!$C$18</c:f>
              <c:strCache>
                <c:ptCount val="1"/>
                <c:pt idx="0">
                  <c:v>Varmeeffekt</c:v>
                </c:pt>
              </c:strCache>
            </c:strRef>
          </c:tx>
          <c:spPr>
            <a:ln w="19050" cap="rnd">
              <a:solidFill>
                <a:schemeClr val="accent6"/>
              </a:solidFill>
              <a:round/>
            </a:ln>
            <a:effectLst/>
          </c:spPr>
          <c:marker>
            <c:symbol val="none"/>
          </c:marker>
          <c:xVal>
            <c:numRef>
              <c:f>'Varmepumpeberegning VP1'!$A$19:$A$54</c:f>
              <c:numCache>
                <c:formatCode>0.0</c:formatCode>
                <c:ptCount val="36"/>
                <c:pt idx="0">
                  <c:v>-12</c:v>
                </c:pt>
                <c:pt idx="1">
                  <c:v>-11</c:v>
                </c:pt>
                <c:pt idx="2" formatCode="General">
                  <c:v>-10</c:v>
                </c:pt>
                <c:pt idx="3">
                  <c:v>-9</c:v>
                </c:pt>
                <c:pt idx="4">
                  <c:v>-8</c:v>
                </c:pt>
                <c:pt idx="5">
                  <c:v>-7</c:v>
                </c:pt>
                <c:pt idx="6">
                  <c:v>-6</c:v>
                </c:pt>
                <c:pt idx="7">
                  <c:v>-5</c:v>
                </c:pt>
                <c:pt idx="8">
                  <c:v>-4</c:v>
                </c:pt>
                <c:pt idx="9">
                  <c:v>-3</c:v>
                </c:pt>
                <c:pt idx="10">
                  <c:v>-2</c:v>
                </c:pt>
                <c:pt idx="11">
                  <c:v>-1</c:v>
                </c:pt>
                <c:pt idx="12">
                  <c:v>0</c:v>
                </c:pt>
                <c:pt idx="13">
                  <c:v>1</c:v>
                </c:pt>
                <c:pt idx="14">
                  <c:v>2</c:v>
                </c:pt>
                <c:pt idx="15">
                  <c:v>3</c:v>
                </c:pt>
                <c:pt idx="16">
                  <c:v>4</c:v>
                </c:pt>
                <c:pt idx="17">
                  <c:v>5</c:v>
                </c:pt>
                <c:pt idx="18">
                  <c:v>6</c:v>
                </c:pt>
                <c:pt idx="19">
                  <c:v>7</c:v>
                </c:pt>
                <c:pt idx="20">
                  <c:v>8</c:v>
                </c:pt>
                <c:pt idx="21">
                  <c:v>9</c:v>
                </c:pt>
                <c:pt idx="22">
                  <c:v>10</c:v>
                </c:pt>
                <c:pt idx="23">
                  <c:v>11</c:v>
                </c:pt>
                <c:pt idx="24">
                  <c:v>12</c:v>
                </c:pt>
                <c:pt idx="25">
                  <c:v>13</c:v>
                </c:pt>
                <c:pt idx="26">
                  <c:v>14</c:v>
                </c:pt>
                <c:pt idx="27">
                  <c:v>15</c:v>
                </c:pt>
                <c:pt idx="28">
                  <c:v>16</c:v>
                </c:pt>
                <c:pt idx="29">
                  <c:v>17</c:v>
                </c:pt>
                <c:pt idx="30">
                  <c:v>18</c:v>
                </c:pt>
                <c:pt idx="31">
                  <c:v>19</c:v>
                </c:pt>
                <c:pt idx="32">
                  <c:v>20</c:v>
                </c:pt>
                <c:pt idx="33">
                  <c:v>21</c:v>
                </c:pt>
                <c:pt idx="34">
                  <c:v>22</c:v>
                </c:pt>
                <c:pt idx="35">
                  <c:v>23</c:v>
                </c:pt>
              </c:numCache>
            </c:numRef>
          </c:xVal>
          <c:yVal>
            <c:numRef>
              <c:f>'Varmepumpeberegning VP1'!$C$19:$C$54</c:f>
              <c:numCache>
                <c:formatCode>0.000</c:formatCode>
                <c:ptCount val="36"/>
                <c:pt idx="0">
                  <c:v>7.0749025257856211</c:v>
                </c:pt>
                <c:pt idx="1">
                  <c:v>7.0749025257856211</c:v>
                </c:pt>
                <c:pt idx="2">
                  <c:v>7.0749025257856211</c:v>
                </c:pt>
                <c:pt idx="3">
                  <c:v>7.2338740215882558</c:v>
                </c:pt>
                <c:pt idx="4">
                  <c:v>7.3928455173908914</c:v>
                </c:pt>
                <c:pt idx="5">
                  <c:v>7.5518170131935261</c:v>
                </c:pt>
                <c:pt idx="6">
                  <c:v>7.7107885089961608</c:v>
                </c:pt>
                <c:pt idx="7">
                  <c:v>7.8697600047987963</c:v>
                </c:pt>
                <c:pt idx="8">
                  <c:v>8.028731500601431</c:v>
                </c:pt>
                <c:pt idx="9">
                  <c:v>8.1249693299080654</c:v>
                </c:pt>
                <c:pt idx="10">
                  <c:v>8.2212071592146998</c:v>
                </c:pt>
                <c:pt idx="11">
                  <c:v>8.3174449885213342</c:v>
                </c:pt>
                <c:pt idx="12">
                  <c:v>8.4201177660604785</c:v>
                </c:pt>
                <c:pt idx="13">
                  <c:v>8.5227905435996245</c:v>
                </c:pt>
                <c:pt idx="14">
                  <c:v>8.6254633211387688</c:v>
                </c:pt>
                <c:pt idx="15">
                  <c:v>8.7281360986779148</c:v>
                </c:pt>
                <c:pt idx="16">
                  <c:v>8.8308088762170591</c:v>
                </c:pt>
                <c:pt idx="17">
                  <c:v>8.9194883596172705</c:v>
                </c:pt>
                <c:pt idx="18">
                  <c:v>9.0081678430174801</c:v>
                </c:pt>
                <c:pt idx="19">
                  <c:v>9.0968473264176914</c:v>
                </c:pt>
                <c:pt idx="20">
                  <c:v>9.2017685704053669</c:v>
                </c:pt>
                <c:pt idx="21">
                  <c:v>9.3066898143930423</c:v>
                </c:pt>
                <c:pt idx="22">
                  <c:v>9.4116110583807178</c:v>
                </c:pt>
                <c:pt idx="23">
                  <c:v>9.5165323023683932</c:v>
                </c:pt>
                <c:pt idx="24">
                  <c:v>9.6214535463560686</c:v>
                </c:pt>
                <c:pt idx="25">
                  <c:v>9.7263747903437441</c:v>
                </c:pt>
                <c:pt idx="26">
                  <c:v>9.8312960343314195</c:v>
                </c:pt>
                <c:pt idx="27">
                  <c:v>9.936217278319095</c:v>
                </c:pt>
                <c:pt idx="28">
                  <c:v>9.936217278319095</c:v>
                </c:pt>
                <c:pt idx="29">
                  <c:v>9.936217278319095</c:v>
                </c:pt>
                <c:pt idx="30">
                  <c:v>9.936217278319095</c:v>
                </c:pt>
                <c:pt idx="31">
                  <c:v>9.936217278319095</c:v>
                </c:pt>
                <c:pt idx="32">
                  <c:v>9.936217278319095</c:v>
                </c:pt>
                <c:pt idx="33">
                  <c:v>9.936217278319095</c:v>
                </c:pt>
                <c:pt idx="34">
                  <c:v>9.936217278319095</c:v>
                </c:pt>
                <c:pt idx="35">
                  <c:v>9.936217278319095</c:v>
                </c:pt>
              </c:numCache>
            </c:numRef>
          </c:yVal>
          <c:smooth val="0"/>
          <c:extLst>
            <c:ext xmlns:c16="http://schemas.microsoft.com/office/drawing/2014/chart" uri="{C3380CC4-5D6E-409C-BE32-E72D297353CC}">
              <c16:uniqueId val="{00000000-EA41-4564-8E0F-35E3FCB7A2E3}"/>
            </c:ext>
          </c:extLst>
        </c:ser>
        <c:ser>
          <c:idx val="0"/>
          <c:order val="1"/>
          <c:tx>
            <c:strRef>
              <c:f>'Varmepumpeberegning VP1'!$D$18</c:f>
              <c:strCache>
                <c:ptCount val="1"/>
                <c:pt idx="0">
                  <c:v>Eleffekt</c:v>
                </c:pt>
              </c:strCache>
            </c:strRef>
          </c:tx>
          <c:spPr>
            <a:ln w="19050" cap="rnd">
              <a:solidFill>
                <a:schemeClr val="accent4"/>
              </a:solidFill>
              <a:round/>
            </a:ln>
            <a:effectLst/>
          </c:spPr>
          <c:marker>
            <c:symbol val="none"/>
          </c:marker>
          <c:xVal>
            <c:numRef>
              <c:f>'Varmepumpeberegning VP1'!$A$19:$A$54</c:f>
              <c:numCache>
                <c:formatCode>0.0</c:formatCode>
                <c:ptCount val="36"/>
                <c:pt idx="0">
                  <c:v>-12</c:v>
                </c:pt>
                <c:pt idx="1">
                  <c:v>-11</c:v>
                </c:pt>
                <c:pt idx="2" formatCode="General">
                  <c:v>-10</c:v>
                </c:pt>
                <c:pt idx="3">
                  <c:v>-9</c:v>
                </c:pt>
                <c:pt idx="4">
                  <c:v>-8</c:v>
                </c:pt>
                <c:pt idx="5">
                  <c:v>-7</c:v>
                </c:pt>
                <c:pt idx="6">
                  <c:v>-6</c:v>
                </c:pt>
                <c:pt idx="7">
                  <c:v>-5</c:v>
                </c:pt>
                <c:pt idx="8">
                  <c:v>-4</c:v>
                </c:pt>
                <c:pt idx="9">
                  <c:v>-3</c:v>
                </c:pt>
                <c:pt idx="10">
                  <c:v>-2</c:v>
                </c:pt>
                <c:pt idx="11">
                  <c:v>-1</c:v>
                </c:pt>
                <c:pt idx="12">
                  <c:v>0</c:v>
                </c:pt>
                <c:pt idx="13">
                  <c:v>1</c:v>
                </c:pt>
                <c:pt idx="14">
                  <c:v>2</c:v>
                </c:pt>
                <c:pt idx="15">
                  <c:v>3</c:v>
                </c:pt>
                <c:pt idx="16">
                  <c:v>4</c:v>
                </c:pt>
                <c:pt idx="17">
                  <c:v>5</c:v>
                </c:pt>
                <c:pt idx="18">
                  <c:v>6</c:v>
                </c:pt>
                <c:pt idx="19">
                  <c:v>7</c:v>
                </c:pt>
                <c:pt idx="20">
                  <c:v>8</c:v>
                </c:pt>
                <c:pt idx="21">
                  <c:v>9</c:v>
                </c:pt>
                <c:pt idx="22">
                  <c:v>10</c:v>
                </c:pt>
                <c:pt idx="23">
                  <c:v>11</c:v>
                </c:pt>
                <c:pt idx="24">
                  <c:v>12</c:v>
                </c:pt>
                <c:pt idx="25">
                  <c:v>13</c:v>
                </c:pt>
                <c:pt idx="26">
                  <c:v>14</c:v>
                </c:pt>
                <c:pt idx="27">
                  <c:v>15</c:v>
                </c:pt>
                <c:pt idx="28">
                  <c:v>16</c:v>
                </c:pt>
                <c:pt idx="29">
                  <c:v>17</c:v>
                </c:pt>
                <c:pt idx="30">
                  <c:v>18</c:v>
                </c:pt>
                <c:pt idx="31">
                  <c:v>19</c:v>
                </c:pt>
                <c:pt idx="32">
                  <c:v>20</c:v>
                </c:pt>
                <c:pt idx="33">
                  <c:v>21</c:v>
                </c:pt>
                <c:pt idx="34">
                  <c:v>22</c:v>
                </c:pt>
                <c:pt idx="35">
                  <c:v>23</c:v>
                </c:pt>
              </c:numCache>
            </c:numRef>
          </c:xVal>
          <c:yVal>
            <c:numRef>
              <c:f>'Varmepumpeberegning VP1'!$D$19:$D$54</c:f>
              <c:numCache>
                <c:formatCode>0.000</c:formatCode>
                <c:ptCount val="36"/>
                <c:pt idx="0">
                  <c:v>3.0836644703060054</c:v>
                </c:pt>
                <c:pt idx="1">
                  <c:v>3.0836644703060054</c:v>
                </c:pt>
                <c:pt idx="2">
                  <c:v>3.0836644703060054</c:v>
                </c:pt>
                <c:pt idx="3">
                  <c:v>3.103678345453444</c:v>
                </c:pt>
                <c:pt idx="4">
                  <c:v>3.123692220600883</c:v>
                </c:pt>
                <c:pt idx="5">
                  <c:v>3.143706095748322</c:v>
                </c:pt>
                <c:pt idx="6">
                  <c:v>3.1637199708957606</c:v>
                </c:pt>
                <c:pt idx="7">
                  <c:v>3.1837338460431992</c:v>
                </c:pt>
                <c:pt idx="8">
                  <c:v>3.2037477211906382</c:v>
                </c:pt>
                <c:pt idx="9">
                  <c:v>3.1852498771976392</c:v>
                </c:pt>
                <c:pt idx="10">
                  <c:v>3.1667520332046397</c:v>
                </c:pt>
                <c:pt idx="11">
                  <c:v>3.1482541892116407</c:v>
                </c:pt>
                <c:pt idx="12">
                  <c:v>3.1329964526602683</c:v>
                </c:pt>
                <c:pt idx="13">
                  <c:v>3.1177387161088959</c:v>
                </c:pt>
                <c:pt idx="14">
                  <c:v>3.1024809795575234</c:v>
                </c:pt>
                <c:pt idx="15">
                  <c:v>3.087223243006151</c:v>
                </c:pt>
                <c:pt idx="16">
                  <c:v>3.0719655064547786</c:v>
                </c:pt>
                <c:pt idx="17">
                  <c:v>3.062030207362016</c:v>
                </c:pt>
                <c:pt idx="18">
                  <c:v>3.052094908269253</c:v>
                </c:pt>
                <c:pt idx="19">
                  <c:v>3.0421596091764904</c:v>
                </c:pt>
                <c:pt idx="20">
                  <c:v>3.0340609343557325</c:v>
                </c:pt>
                <c:pt idx="21">
                  <c:v>3.0259622595349747</c:v>
                </c:pt>
                <c:pt idx="22">
                  <c:v>3.0178635847142163</c:v>
                </c:pt>
                <c:pt idx="23">
                  <c:v>3.0097649098934585</c:v>
                </c:pt>
                <c:pt idx="24">
                  <c:v>3.0016662350727006</c:v>
                </c:pt>
                <c:pt idx="25">
                  <c:v>2.9935675602519423</c:v>
                </c:pt>
                <c:pt idx="26">
                  <c:v>2.9854688854311844</c:v>
                </c:pt>
                <c:pt idx="27">
                  <c:v>2.9773702106104265</c:v>
                </c:pt>
                <c:pt idx="28">
                  <c:v>2.9773702106104265</c:v>
                </c:pt>
                <c:pt idx="29">
                  <c:v>2.9773702106104265</c:v>
                </c:pt>
                <c:pt idx="30">
                  <c:v>2.9773702106104265</c:v>
                </c:pt>
                <c:pt idx="31">
                  <c:v>2.9773702106104265</c:v>
                </c:pt>
                <c:pt idx="32">
                  <c:v>2.9773702106104265</c:v>
                </c:pt>
                <c:pt idx="33">
                  <c:v>2.9773702106104265</c:v>
                </c:pt>
                <c:pt idx="34">
                  <c:v>2.9773702106104265</c:v>
                </c:pt>
                <c:pt idx="35">
                  <c:v>2.9773702106104265</c:v>
                </c:pt>
              </c:numCache>
            </c:numRef>
          </c:yVal>
          <c:smooth val="0"/>
          <c:extLst>
            <c:ext xmlns:c16="http://schemas.microsoft.com/office/drawing/2014/chart" uri="{C3380CC4-5D6E-409C-BE32-E72D297353CC}">
              <c16:uniqueId val="{00000002-EA41-4564-8E0F-35E3FCB7A2E3}"/>
            </c:ext>
          </c:extLst>
        </c:ser>
        <c:ser>
          <c:idx val="2"/>
          <c:order val="2"/>
          <c:tx>
            <c:strRef>
              <c:f>'Varmepumpeberegning VP1'!$A$4</c:f>
              <c:strCache>
                <c:ptCount val="1"/>
                <c:pt idx="0">
                  <c:v>Leverandør varmeeffekt</c:v>
                </c:pt>
              </c:strCache>
            </c:strRef>
          </c:tx>
          <c:spPr>
            <a:ln>
              <a:noFill/>
            </a:ln>
          </c:spPr>
          <c:marker>
            <c:symbol val="circle"/>
            <c:size val="7"/>
            <c:spPr>
              <a:noFill/>
              <a:ln w="12700">
                <a:solidFill>
                  <a:schemeClr val="tx1"/>
                </a:solidFill>
              </a:ln>
            </c:spPr>
          </c:marker>
          <c:xVal>
            <c:numRef>
              <c:f>'Varmepumpeberegning VP1'!$B$10:$B$15</c:f>
              <c:numCache>
                <c:formatCode>General</c:formatCode>
                <c:ptCount val="6"/>
                <c:pt idx="0">
                  <c:v>-10</c:v>
                </c:pt>
                <c:pt idx="1">
                  <c:v>-4</c:v>
                </c:pt>
                <c:pt idx="2">
                  <c:v>-1</c:v>
                </c:pt>
                <c:pt idx="3">
                  <c:v>4</c:v>
                </c:pt>
                <c:pt idx="4">
                  <c:v>7</c:v>
                </c:pt>
                <c:pt idx="5">
                  <c:v>15</c:v>
                </c:pt>
              </c:numCache>
            </c:numRef>
          </c:xVal>
          <c:yVal>
            <c:numRef>
              <c:f>'Varmepumpeberegning VP1'!$D$10:$D$15</c:f>
              <c:numCache>
                <c:formatCode>#,##0.000</c:formatCode>
                <c:ptCount val="6"/>
                <c:pt idx="0">
                  <c:v>7.0749025257856211</c:v>
                </c:pt>
                <c:pt idx="1">
                  <c:v>8.028731500601431</c:v>
                </c:pt>
                <c:pt idx="2">
                  <c:v>8.3174449885213342</c:v>
                </c:pt>
                <c:pt idx="3">
                  <c:v>8.8308088762170591</c:v>
                </c:pt>
                <c:pt idx="4">
                  <c:v>9.0968473264176914</c:v>
                </c:pt>
                <c:pt idx="5">
                  <c:v>9.936217278319095</c:v>
                </c:pt>
              </c:numCache>
            </c:numRef>
          </c:yVal>
          <c:smooth val="0"/>
          <c:extLst>
            <c:ext xmlns:c16="http://schemas.microsoft.com/office/drawing/2014/chart" uri="{C3380CC4-5D6E-409C-BE32-E72D297353CC}">
              <c16:uniqueId val="{00000003-EA41-4564-8E0F-35E3FCB7A2E3}"/>
            </c:ext>
          </c:extLst>
        </c:ser>
        <c:ser>
          <c:idx val="4"/>
          <c:order val="3"/>
          <c:tx>
            <c:strRef>
              <c:f>'Varmepumpeberegning VP1'!$A$5</c:f>
              <c:strCache>
                <c:ptCount val="1"/>
                <c:pt idx="0">
                  <c:v>Leverandør samlet eleffekt</c:v>
                </c:pt>
              </c:strCache>
            </c:strRef>
          </c:tx>
          <c:spPr>
            <a:ln>
              <a:noFill/>
            </a:ln>
          </c:spPr>
          <c:marker>
            <c:symbol val="square"/>
            <c:size val="7"/>
            <c:spPr>
              <a:noFill/>
              <a:ln>
                <a:solidFill>
                  <a:schemeClr val="tx1"/>
                </a:solidFill>
              </a:ln>
            </c:spPr>
          </c:marker>
          <c:xVal>
            <c:numRef>
              <c:f>'Varmepumpeberegning VP1'!$B$10:$B$15</c:f>
              <c:numCache>
                <c:formatCode>General</c:formatCode>
                <c:ptCount val="6"/>
                <c:pt idx="0">
                  <c:v>-10</c:v>
                </c:pt>
                <c:pt idx="1">
                  <c:v>-4</c:v>
                </c:pt>
                <c:pt idx="2">
                  <c:v>-1</c:v>
                </c:pt>
                <c:pt idx="3">
                  <c:v>4</c:v>
                </c:pt>
                <c:pt idx="4">
                  <c:v>7</c:v>
                </c:pt>
                <c:pt idx="5">
                  <c:v>15</c:v>
                </c:pt>
              </c:numCache>
            </c:numRef>
          </c:xVal>
          <c:yVal>
            <c:numRef>
              <c:f>'Varmepumpeberegning VP1'!$G$10:$G$15</c:f>
              <c:numCache>
                <c:formatCode>#,##0.000</c:formatCode>
                <c:ptCount val="6"/>
                <c:pt idx="0">
                  <c:v>3.0836644703060054</c:v>
                </c:pt>
                <c:pt idx="1">
                  <c:v>3.2037477211906382</c:v>
                </c:pt>
                <c:pt idx="2">
                  <c:v>3.1482541892116407</c:v>
                </c:pt>
                <c:pt idx="3">
                  <c:v>3.0719655064547786</c:v>
                </c:pt>
                <c:pt idx="4">
                  <c:v>3.0421596091764904</c:v>
                </c:pt>
                <c:pt idx="5">
                  <c:v>2.9773702106104265</c:v>
                </c:pt>
              </c:numCache>
            </c:numRef>
          </c:yVal>
          <c:smooth val="0"/>
          <c:extLst>
            <c:ext xmlns:c16="http://schemas.microsoft.com/office/drawing/2014/chart" uri="{C3380CC4-5D6E-409C-BE32-E72D297353CC}">
              <c16:uniqueId val="{00000004-EA41-4564-8E0F-35E3FCB7A2E3}"/>
            </c:ext>
          </c:extLst>
        </c:ser>
        <c:dLbls>
          <c:showLegendKey val="0"/>
          <c:showVal val="0"/>
          <c:showCatName val="0"/>
          <c:showSerName val="0"/>
          <c:showPercent val="0"/>
          <c:showBubbleSize val="0"/>
        </c:dLbls>
        <c:axId val="1225366719"/>
        <c:axId val="1225361727"/>
      </c:scatterChart>
      <c:valAx>
        <c:axId val="1225366719"/>
        <c:scaling>
          <c:orientation val="minMax"/>
        </c:scaling>
        <c:delete val="0"/>
        <c:axPos val="b"/>
        <c:title>
          <c:tx>
            <c:rich>
              <a:bodyPr/>
              <a:lstStyle/>
              <a:p>
                <a:pPr>
                  <a:defRPr/>
                </a:pPr>
                <a:r>
                  <a:rPr lang="da-DK"/>
                  <a:t>Udetemperatur</a:t>
                </a:r>
                <a:r>
                  <a:rPr lang="da-DK" baseline="0"/>
                  <a:t> [C]</a:t>
                </a:r>
                <a:endParaRPr lang="da-DK"/>
              </a:p>
            </c:rich>
          </c:tx>
          <c:overlay val="0"/>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1225361727"/>
        <c:crosses val="autoZero"/>
        <c:crossBetween val="midCat"/>
      </c:valAx>
      <c:valAx>
        <c:axId val="1225361727"/>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a:pPr>
                <a:r>
                  <a:rPr lang="da-DK"/>
                  <a:t>Effekt [MW]</a:t>
                </a:r>
                <a:r>
                  <a:rPr lang="da-DK" baseline="0"/>
                  <a:t> </a:t>
                </a:r>
              </a:p>
              <a:p>
                <a:pPr>
                  <a:defRPr/>
                </a:pPr>
                <a:endParaRPr lang="da-DK"/>
              </a:p>
            </c:rich>
          </c:tx>
          <c:overlay val="0"/>
        </c:title>
        <c:numFmt formatCode="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1225366719"/>
        <c:crosses val="autoZero"/>
        <c:crossBetween val="midCat"/>
      </c:valAx>
    </c:plotArea>
    <c:legend>
      <c:legendPos val="r"/>
      <c:overlay val="0"/>
    </c:legend>
    <c:plotVisOnly val="1"/>
    <c:dispBlanksAs val="gap"/>
    <c:showDLblsOverMax val="0"/>
    <c:extLst/>
  </c:chart>
  <c:txPr>
    <a:bodyPr/>
    <a:lstStyle/>
    <a:p>
      <a:pPr>
        <a:defRPr/>
      </a:pPr>
      <a:endParaRPr lang="da-D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2000" b="0" i="0" u="none" strike="noStrike" kern="1200" spc="0" baseline="0">
                <a:solidFill>
                  <a:sysClr val="windowText" lastClr="000000"/>
                </a:solidFill>
                <a:latin typeface="+mn-lt"/>
                <a:ea typeface="+mn-ea"/>
                <a:cs typeface="+mn-cs"/>
              </a:defRPr>
            </a:pPr>
            <a:r>
              <a:rPr lang="da-DK" sz="2000" b="0" i="0">
                <a:effectLst/>
              </a:rPr>
              <a:t>Annual heat production distribution</a:t>
            </a:r>
          </a:p>
        </c:rich>
      </c:tx>
      <c:layout>
        <c:manualLayout>
          <c:xMode val="edge"/>
          <c:yMode val="edge"/>
          <c:x val="0.2495242740465311"/>
          <c:y val="3.1086938908290347E-2"/>
        </c:manualLayout>
      </c:layout>
      <c:overlay val="0"/>
      <c:spPr>
        <a:noFill/>
        <a:ln>
          <a:noFill/>
        </a:ln>
        <a:effectLst/>
      </c:spPr>
    </c:title>
    <c:autoTitleDeleted val="0"/>
    <c:plotArea>
      <c:layout/>
      <c:barChart>
        <c:barDir val="col"/>
        <c:grouping val="stacked"/>
        <c:varyColors val="0"/>
        <c:ser>
          <c:idx val="0"/>
          <c:order val="1"/>
          <c:tx>
            <c:strRef>
              <c:f>'Systemberegning VP1'!$Z$14</c:f>
              <c:strCache>
                <c:ptCount val="1"/>
                <c:pt idx="0">
                  <c:v>Heat pump</c:v>
                </c:pt>
              </c:strCache>
            </c:strRef>
          </c:tx>
          <c:spPr>
            <a:ln w="25400">
              <a:noFill/>
            </a:ln>
          </c:spPr>
          <c:invertIfNegative val="0"/>
          <c:val>
            <c:numRef>
              <c:f>'Systemberegning VP1'!$Z$16:$Z$380</c:f>
              <c:numCache>
                <c:formatCode>0.00</c:formatCode>
                <c:ptCount val="365"/>
                <c:pt idx="0">
                  <c:v>8.5435318181818172</c:v>
                </c:pt>
                <c:pt idx="1">
                  <c:v>7.0591625000000002</c:v>
                </c:pt>
                <c:pt idx="2">
                  <c:v>7.3092749999999986</c:v>
                </c:pt>
                <c:pt idx="3">
                  <c:v>8.9194883596172705</c:v>
                </c:pt>
                <c:pt idx="4">
                  <c:v>8.9194883596172705</c:v>
                </c:pt>
                <c:pt idx="5">
                  <c:v>8.6254633211387688</c:v>
                </c:pt>
                <c:pt idx="6">
                  <c:v>8.4201177660604785</c:v>
                </c:pt>
                <c:pt idx="7">
                  <c:v>8.3174449885213342</c:v>
                </c:pt>
                <c:pt idx="8">
                  <c:v>8.028731500601431</c:v>
                </c:pt>
                <c:pt idx="9">
                  <c:v>8.028731500601431</c:v>
                </c:pt>
                <c:pt idx="10">
                  <c:v>8.3174449885213342</c:v>
                </c:pt>
                <c:pt idx="11">
                  <c:v>8.7281360986779148</c:v>
                </c:pt>
                <c:pt idx="12">
                  <c:v>8.8308088762170591</c:v>
                </c:pt>
                <c:pt idx="13">
                  <c:v>8.8308088762170591</c:v>
                </c:pt>
                <c:pt idx="14">
                  <c:v>8.6254633211387688</c:v>
                </c:pt>
                <c:pt idx="15">
                  <c:v>8.5227905435996245</c:v>
                </c:pt>
                <c:pt idx="16">
                  <c:v>8.3174449885213342</c:v>
                </c:pt>
                <c:pt idx="17">
                  <c:v>8.3174449885213342</c:v>
                </c:pt>
                <c:pt idx="18">
                  <c:v>8.6254633211387688</c:v>
                </c:pt>
                <c:pt idx="19">
                  <c:v>8.5227905435996245</c:v>
                </c:pt>
                <c:pt idx="20">
                  <c:v>8.7281360986779148</c:v>
                </c:pt>
                <c:pt idx="21">
                  <c:v>7.5911125000000004</c:v>
                </c:pt>
                <c:pt idx="22">
                  <c:v>8.4858833333333337</c:v>
                </c:pt>
                <c:pt idx="23">
                  <c:v>6.6434625000000009</c:v>
                </c:pt>
                <c:pt idx="24">
                  <c:v>9.0081678430174801</c:v>
                </c:pt>
                <c:pt idx="25">
                  <c:v>7.9328041666666671</c:v>
                </c:pt>
                <c:pt idx="26">
                  <c:v>8.9194883596172705</c:v>
                </c:pt>
                <c:pt idx="27">
                  <c:v>8.8308088762170591</c:v>
                </c:pt>
                <c:pt idx="28">
                  <c:v>9.0081678430174801</c:v>
                </c:pt>
                <c:pt idx="29">
                  <c:v>8.4224666666666668</c:v>
                </c:pt>
                <c:pt idx="30">
                  <c:v>9.0081678430174801</c:v>
                </c:pt>
                <c:pt idx="31">
                  <c:v>9.0081678430174801</c:v>
                </c:pt>
                <c:pt idx="32">
                  <c:v>8.3344000000000005</c:v>
                </c:pt>
                <c:pt idx="33">
                  <c:v>6.9534791666666669</c:v>
                </c:pt>
                <c:pt idx="34">
                  <c:v>7.4079166666666678</c:v>
                </c:pt>
                <c:pt idx="35">
                  <c:v>6.9393916666666664</c:v>
                </c:pt>
                <c:pt idx="36">
                  <c:v>6.703358333333334</c:v>
                </c:pt>
                <c:pt idx="37">
                  <c:v>8.9194883596172705</c:v>
                </c:pt>
                <c:pt idx="38">
                  <c:v>8.6254633211387688</c:v>
                </c:pt>
                <c:pt idx="39">
                  <c:v>8.5316749999999999</c:v>
                </c:pt>
                <c:pt idx="40">
                  <c:v>6.5976750000000015</c:v>
                </c:pt>
                <c:pt idx="41">
                  <c:v>7.6298458333333334</c:v>
                </c:pt>
                <c:pt idx="42">
                  <c:v>8.7641958333333339</c:v>
                </c:pt>
                <c:pt idx="43">
                  <c:v>8.9896458333333324</c:v>
                </c:pt>
                <c:pt idx="44">
                  <c:v>6.4884750000000002</c:v>
                </c:pt>
                <c:pt idx="45">
                  <c:v>4.7447041666666667</c:v>
                </c:pt>
                <c:pt idx="46">
                  <c:v>6.0445999999999991</c:v>
                </c:pt>
                <c:pt idx="47">
                  <c:v>7.3726833333333337</c:v>
                </c:pt>
                <c:pt idx="48">
                  <c:v>6.9499541666666671</c:v>
                </c:pt>
                <c:pt idx="49">
                  <c:v>7.6157541666666688</c:v>
                </c:pt>
                <c:pt idx="50">
                  <c:v>8.003266666666665</c:v>
                </c:pt>
                <c:pt idx="51">
                  <c:v>7.2000833333333345</c:v>
                </c:pt>
                <c:pt idx="52">
                  <c:v>6.4180250000000001</c:v>
                </c:pt>
                <c:pt idx="53">
                  <c:v>9.0081678430174801</c:v>
                </c:pt>
                <c:pt idx="54">
                  <c:v>8.9194883596172705</c:v>
                </c:pt>
                <c:pt idx="55">
                  <c:v>8.9194883596172705</c:v>
                </c:pt>
                <c:pt idx="56">
                  <c:v>8.8308088762170591</c:v>
                </c:pt>
                <c:pt idx="57">
                  <c:v>8.8308088762170591</c:v>
                </c:pt>
                <c:pt idx="58">
                  <c:v>9.0081678430174801</c:v>
                </c:pt>
                <c:pt idx="59">
                  <c:v>7.5100791666666673</c:v>
                </c:pt>
                <c:pt idx="60">
                  <c:v>6.5201708333333324</c:v>
                </c:pt>
                <c:pt idx="61">
                  <c:v>6.2453958333333324</c:v>
                </c:pt>
                <c:pt idx="62">
                  <c:v>9.1023791666666689</c:v>
                </c:pt>
                <c:pt idx="63">
                  <c:v>8.7571374999999989</c:v>
                </c:pt>
                <c:pt idx="64">
                  <c:v>9.0968473264176914</c:v>
                </c:pt>
                <c:pt idx="65">
                  <c:v>9.0081678430174801</c:v>
                </c:pt>
                <c:pt idx="66">
                  <c:v>8.8308088762170591</c:v>
                </c:pt>
                <c:pt idx="67">
                  <c:v>8.8308088762170591</c:v>
                </c:pt>
                <c:pt idx="68">
                  <c:v>8.5422541666666678</c:v>
                </c:pt>
                <c:pt idx="69">
                  <c:v>8.566912499999999</c:v>
                </c:pt>
                <c:pt idx="70">
                  <c:v>8.8628208333333323</c:v>
                </c:pt>
                <c:pt idx="71">
                  <c:v>6.7068833333333329</c:v>
                </c:pt>
                <c:pt idx="72">
                  <c:v>4.5932208333333335</c:v>
                </c:pt>
                <c:pt idx="73">
                  <c:v>4.3712708333333339</c:v>
                </c:pt>
                <c:pt idx="74">
                  <c:v>8.0842833333333335</c:v>
                </c:pt>
                <c:pt idx="75">
                  <c:v>7.9504166666666665</c:v>
                </c:pt>
                <c:pt idx="76">
                  <c:v>6.3933583333333344</c:v>
                </c:pt>
                <c:pt idx="77">
                  <c:v>5.4633458333333325</c:v>
                </c:pt>
                <c:pt idx="78">
                  <c:v>5.1920874999999995</c:v>
                </c:pt>
                <c:pt idx="79">
                  <c:v>7.3057708333333338</c:v>
                </c:pt>
                <c:pt idx="80">
                  <c:v>6.6399499999999998</c:v>
                </c:pt>
                <c:pt idx="81">
                  <c:v>9.1974874999999994</c:v>
                </c:pt>
                <c:pt idx="82">
                  <c:v>9.0081678430174801</c:v>
                </c:pt>
                <c:pt idx="83">
                  <c:v>8.7923708333333348</c:v>
                </c:pt>
                <c:pt idx="84">
                  <c:v>8.2569125000000003</c:v>
                </c:pt>
                <c:pt idx="85">
                  <c:v>6.8125624999999985</c:v>
                </c:pt>
                <c:pt idx="86">
                  <c:v>7.8553041666666674</c:v>
                </c:pt>
                <c:pt idx="87">
                  <c:v>5.8896083333333316</c:v>
                </c:pt>
                <c:pt idx="88">
                  <c:v>6.5835791666666674</c:v>
                </c:pt>
                <c:pt idx="89">
                  <c:v>6.7738208333333327</c:v>
                </c:pt>
                <c:pt idx="90">
                  <c:v>6.2136958333333334</c:v>
                </c:pt>
                <c:pt idx="91">
                  <c:v>6.6293749999999996</c:v>
                </c:pt>
                <c:pt idx="92">
                  <c:v>5.8719833333333327</c:v>
                </c:pt>
                <c:pt idx="93">
                  <c:v>5.5478916666666649</c:v>
                </c:pt>
                <c:pt idx="94">
                  <c:v>4.0859333333333323</c:v>
                </c:pt>
                <c:pt idx="95">
                  <c:v>2.6874124999999984</c:v>
                </c:pt>
                <c:pt idx="96">
                  <c:v>1.8806958333333335</c:v>
                </c:pt>
                <c:pt idx="97">
                  <c:v>3.0079833333333323</c:v>
                </c:pt>
                <c:pt idx="98">
                  <c:v>4.5121916666666664</c:v>
                </c:pt>
                <c:pt idx="99">
                  <c:v>5.6465208333333328</c:v>
                </c:pt>
                <c:pt idx="100">
                  <c:v>4.1211708333333332</c:v>
                </c:pt>
                <c:pt idx="101">
                  <c:v>3.0925125000000002</c:v>
                </c:pt>
                <c:pt idx="102">
                  <c:v>2.6592291666666661</c:v>
                </c:pt>
                <c:pt idx="103">
                  <c:v>5.5478833333333339</c:v>
                </c:pt>
                <c:pt idx="104">
                  <c:v>8.1371291666666661</c:v>
                </c:pt>
                <c:pt idx="105">
                  <c:v>8.2111083333333337</c:v>
                </c:pt>
                <c:pt idx="106">
                  <c:v>9.2017685704053669</c:v>
                </c:pt>
                <c:pt idx="107">
                  <c:v>8.9790624999999995</c:v>
                </c:pt>
                <c:pt idx="108">
                  <c:v>7.7707708333333336</c:v>
                </c:pt>
                <c:pt idx="109">
                  <c:v>8.8346333333333309</c:v>
                </c:pt>
                <c:pt idx="110">
                  <c:v>9.0968473264176914</c:v>
                </c:pt>
                <c:pt idx="111">
                  <c:v>9.0081678430174801</c:v>
                </c:pt>
                <c:pt idx="112">
                  <c:v>9.0081678430174801</c:v>
                </c:pt>
                <c:pt idx="113">
                  <c:v>8.9194883596172705</c:v>
                </c:pt>
                <c:pt idx="114">
                  <c:v>9.0081678430174801</c:v>
                </c:pt>
                <c:pt idx="115">
                  <c:v>8.5316916666666671</c:v>
                </c:pt>
                <c:pt idx="116">
                  <c:v>6.1080041666666665</c:v>
                </c:pt>
                <c:pt idx="117">
                  <c:v>3.3567416666666658</c:v>
                </c:pt>
                <c:pt idx="118">
                  <c:v>4.4875499999999979</c:v>
                </c:pt>
                <c:pt idx="119">
                  <c:v>2.3175249999999989</c:v>
                </c:pt>
                <c:pt idx="120">
                  <c:v>1.7045666666666657</c:v>
                </c:pt>
                <c:pt idx="121">
                  <c:v>1.243095833333334</c:v>
                </c:pt>
                <c:pt idx="122">
                  <c:v>3.754795833333334</c:v>
                </c:pt>
                <c:pt idx="123">
                  <c:v>4.5333374999999991</c:v>
                </c:pt>
                <c:pt idx="124">
                  <c:v>4.6002666666666654</c:v>
                </c:pt>
                <c:pt idx="125">
                  <c:v>4.579137499999999</c:v>
                </c:pt>
                <c:pt idx="126">
                  <c:v>3.9203791666666654</c:v>
                </c:pt>
                <c:pt idx="127">
                  <c:v>4.3149208333333329</c:v>
                </c:pt>
                <c:pt idx="128">
                  <c:v>4.6671999999999993</c:v>
                </c:pt>
                <c:pt idx="129">
                  <c:v>3.5540166666666653</c:v>
                </c:pt>
                <c:pt idx="130">
                  <c:v>3.0044583333333321</c:v>
                </c:pt>
                <c:pt idx="131">
                  <c:v>2.1378666666666652</c:v>
                </c:pt>
                <c:pt idx="132">
                  <c:v>1.2888875000000006</c:v>
                </c:pt>
                <c:pt idx="133">
                  <c:v>1.1233208333333338</c:v>
                </c:pt>
                <c:pt idx="134">
                  <c:v>1.1338916666666672</c:v>
                </c:pt>
                <c:pt idx="135">
                  <c:v>1.6552499999999997</c:v>
                </c:pt>
                <c:pt idx="136">
                  <c:v>1.5213875000000001</c:v>
                </c:pt>
                <c:pt idx="137">
                  <c:v>1.5566083333333334</c:v>
                </c:pt>
                <c:pt idx="138">
                  <c:v>1.9476416666666656</c:v>
                </c:pt>
                <c:pt idx="139">
                  <c:v>2.0075291666666657</c:v>
                </c:pt>
                <c:pt idx="140">
                  <c:v>1.9511583333333318</c:v>
                </c:pt>
                <c:pt idx="141">
                  <c:v>1.1937750000000003</c:v>
                </c:pt>
                <c:pt idx="142">
                  <c:v>2.0075166666666657</c:v>
                </c:pt>
                <c:pt idx="143">
                  <c:v>2.620487499999999</c:v>
                </c:pt>
                <c:pt idx="144">
                  <c:v>1.6587708333333333</c:v>
                </c:pt>
                <c:pt idx="145">
                  <c:v>2.2329833333333315</c:v>
                </c:pt>
                <c:pt idx="146">
                  <c:v>2.1167249999999989</c:v>
                </c:pt>
                <c:pt idx="147">
                  <c:v>2.6874041666666666</c:v>
                </c:pt>
                <c:pt idx="148">
                  <c:v>2.0427416666666667</c:v>
                </c:pt>
                <c:pt idx="149">
                  <c:v>2.4513749999999992</c:v>
                </c:pt>
                <c:pt idx="150">
                  <c:v>2.3069458333333319</c:v>
                </c:pt>
                <c:pt idx="151">
                  <c:v>1.0881000000000005</c:v>
                </c:pt>
                <c:pt idx="152">
                  <c:v>1.0881000000000005</c:v>
                </c:pt>
                <c:pt idx="153">
                  <c:v>1.0881000000000005</c:v>
                </c:pt>
                <c:pt idx="154">
                  <c:v>1.0881000000000005</c:v>
                </c:pt>
                <c:pt idx="155">
                  <c:v>1.0881000000000005</c:v>
                </c:pt>
                <c:pt idx="156">
                  <c:v>1.0881000000000005</c:v>
                </c:pt>
                <c:pt idx="157">
                  <c:v>1.0881000000000005</c:v>
                </c:pt>
                <c:pt idx="158">
                  <c:v>1.0881000000000005</c:v>
                </c:pt>
                <c:pt idx="159">
                  <c:v>1.0881000000000005</c:v>
                </c:pt>
                <c:pt idx="160">
                  <c:v>1.0881000000000005</c:v>
                </c:pt>
                <c:pt idx="161">
                  <c:v>1.0881000000000005</c:v>
                </c:pt>
                <c:pt idx="162">
                  <c:v>1.0881000000000005</c:v>
                </c:pt>
                <c:pt idx="163">
                  <c:v>1.0881000000000005</c:v>
                </c:pt>
                <c:pt idx="164">
                  <c:v>1.0881000000000005</c:v>
                </c:pt>
                <c:pt idx="165">
                  <c:v>1.0881000000000005</c:v>
                </c:pt>
                <c:pt idx="166">
                  <c:v>1.0881000000000005</c:v>
                </c:pt>
                <c:pt idx="167">
                  <c:v>1.0881000000000005</c:v>
                </c:pt>
                <c:pt idx="168">
                  <c:v>1.0881000000000005</c:v>
                </c:pt>
                <c:pt idx="169">
                  <c:v>1.0881000000000005</c:v>
                </c:pt>
                <c:pt idx="170">
                  <c:v>1.0881000000000005</c:v>
                </c:pt>
                <c:pt idx="171">
                  <c:v>1.0881000000000005</c:v>
                </c:pt>
                <c:pt idx="172">
                  <c:v>1.0881000000000005</c:v>
                </c:pt>
                <c:pt idx="173">
                  <c:v>1.0881000000000005</c:v>
                </c:pt>
                <c:pt idx="174">
                  <c:v>1.0881000000000005</c:v>
                </c:pt>
                <c:pt idx="175">
                  <c:v>1.0881000000000005</c:v>
                </c:pt>
                <c:pt idx="176">
                  <c:v>1.0881000000000005</c:v>
                </c:pt>
                <c:pt idx="177">
                  <c:v>1.0881000000000005</c:v>
                </c:pt>
                <c:pt idx="178">
                  <c:v>1.0881000000000005</c:v>
                </c:pt>
                <c:pt idx="179">
                  <c:v>1.0881000000000005</c:v>
                </c:pt>
                <c:pt idx="180">
                  <c:v>1.0881000000000005</c:v>
                </c:pt>
                <c:pt idx="181">
                  <c:v>1.0881000000000005</c:v>
                </c:pt>
                <c:pt idx="182">
                  <c:v>1.0881000000000005</c:v>
                </c:pt>
                <c:pt idx="183">
                  <c:v>1.0881000000000005</c:v>
                </c:pt>
                <c:pt idx="184">
                  <c:v>1.0881000000000005</c:v>
                </c:pt>
                <c:pt idx="185">
                  <c:v>1.0881000000000005</c:v>
                </c:pt>
                <c:pt idx="186">
                  <c:v>1.0881000000000005</c:v>
                </c:pt>
                <c:pt idx="187">
                  <c:v>1.0881000000000005</c:v>
                </c:pt>
                <c:pt idx="188">
                  <c:v>1.0881000000000005</c:v>
                </c:pt>
                <c:pt idx="189">
                  <c:v>1.0881000000000005</c:v>
                </c:pt>
                <c:pt idx="190">
                  <c:v>1.0881000000000005</c:v>
                </c:pt>
                <c:pt idx="191">
                  <c:v>1.0881000000000005</c:v>
                </c:pt>
                <c:pt idx="192">
                  <c:v>1.0881000000000005</c:v>
                </c:pt>
                <c:pt idx="193">
                  <c:v>1.0881000000000005</c:v>
                </c:pt>
                <c:pt idx="194">
                  <c:v>1.0881000000000005</c:v>
                </c:pt>
                <c:pt idx="195">
                  <c:v>1.0881000000000005</c:v>
                </c:pt>
                <c:pt idx="196">
                  <c:v>1.0881000000000005</c:v>
                </c:pt>
                <c:pt idx="197">
                  <c:v>1.0881000000000005</c:v>
                </c:pt>
                <c:pt idx="198">
                  <c:v>1.0881000000000005</c:v>
                </c:pt>
                <c:pt idx="199">
                  <c:v>1.0881000000000005</c:v>
                </c:pt>
                <c:pt idx="200">
                  <c:v>1.0881000000000005</c:v>
                </c:pt>
                <c:pt idx="201">
                  <c:v>1.0881000000000005</c:v>
                </c:pt>
                <c:pt idx="202">
                  <c:v>1.0881000000000005</c:v>
                </c:pt>
                <c:pt idx="203">
                  <c:v>1.0881000000000005</c:v>
                </c:pt>
                <c:pt idx="204">
                  <c:v>1.0881000000000005</c:v>
                </c:pt>
                <c:pt idx="205">
                  <c:v>1.0881000000000005</c:v>
                </c:pt>
                <c:pt idx="206">
                  <c:v>1.0881000000000005</c:v>
                </c:pt>
                <c:pt idx="207">
                  <c:v>1.0881000000000005</c:v>
                </c:pt>
                <c:pt idx="208">
                  <c:v>1.0881000000000005</c:v>
                </c:pt>
                <c:pt idx="209">
                  <c:v>1.0881000000000005</c:v>
                </c:pt>
                <c:pt idx="210">
                  <c:v>1.0881000000000005</c:v>
                </c:pt>
                <c:pt idx="211">
                  <c:v>1.0881000000000005</c:v>
                </c:pt>
                <c:pt idx="212">
                  <c:v>1.0881000000000005</c:v>
                </c:pt>
                <c:pt idx="213">
                  <c:v>1.0881000000000005</c:v>
                </c:pt>
                <c:pt idx="214">
                  <c:v>1.0881000000000005</c:v>
                </c:pt>
                <c:pt idx="215">
                  <c:v>1.0881000000000005</c:v>
                </c:pt>
                <c:pt idx="216">
                  <c:v>1.0881000000000005</c:v>
                </c:pt>
                <c:pt idx="217">
                  <c:v>1.0881000000000005</c:v>
                </c:pt>
                <c:pt idx="218">
                  <c:v>1.0881000000000005</c:v>
                </c:pt>
                <c:pt idx="219">
                  <c:v>1.0881000000000005</c:v>
                </c:pt>
                <c:pt idx="220">
                  <c:v>1.0881000000000005</c:v>
                </c:pt>
                <c:pt idx="221">
                  <c:v>1.0881000000000005</c:v>
                </c:pt>
                <c:pt idx="222">
                  <c:v>1.0881000000000005</c:v>
                </c:pt>
                <c:pt idx="223">
                  <c:v>1.0881000000000005</c:v>
                </c:pt>
                <c:pt idx="224">
                  <c:v>1.0881000000000005</c:v>
                </c:pt>
                <c:pt idx="225">
                  <c:v>1.0881000000000005</c:v>
                </c:pt>
                <c:pt idx="226">
                  <c:v>1.0881000000000005</c:v>
                </c:pt>
                <c:pt idx="227">
                  <c:v>1.0881000000000005</c:v>
                </c:pt>
                <c:pt idx="228">
                  <c:v>1.0881000000000005</c:v>
                </c:pt>
                <c:pt idx="229">
                  <c:v>1.0881000000000005</c:v>
                </c:pt>
                <c:pt idx="230">
                  <c:v>1.0881000000000005</c:v>
                </c:pt>
                <c:pt idx="231">
                  <c:v>1.0881000000000005</c:v>
                </c:pt>
                <c:pt idx="232">
                  <c:v>1.0881000000000005</c:v>
                </c:pt>
                <c:pt idx="233">
                  <c:v>1.0881000000000005</c:v>
                </c:pt>
                <c:pt idx="234">
                  <c:v>1.0881000000000005</c:v>
                </c:pt>
                <c:pt idx="235">
                  <c:v>1.0881000000000005</c:v>
                </c:pt>
                <c:pt idx="236">
                  <c:v>1.0881000000000005</c:v>
                </c:pt>
                <c:pt idx="237">
                  <c:v>1.0881000000000005</c:v>
                </c:pt>
                <c:pt idx="238">
                  <c:v>1.0881000000000005</c:v>
                </c:pt>
                <c:pt idx="239">
                  <c:v>1.0881000000000005</c:v>
                </c:pt>
                <c:pt idx="240">
                  <c:v>1.0881000000000005</c:v>
                </c:pt>
                <c:pt idx="241">
                  <c:v>1.0881000000000005</c:v>
                </c:pt>
                <c:pt idx="242">
                  <c:v>1.0881000000000005</c:v>
                </c:pt>
                <c:pt idx="243">
                  <c:v>1.4861541666666664</c:v>
                </c:pt>
                <c:pt idx="244">
                  <c:v>1.0881000000000005</c:v>
                </c:pt>
                <c:pt idx="245">
                  <c:v>1.0881000000000005</c:v>
                </c:pt>
                <c:pt idx="246">
                  <c:v>1.0881000000000005</c:v>
                </c:pt>
                <c:pt idx="247">
                  <c:v>1.1198000000000004</c:v>
                </c:pt>
                <c:pt idx="248">
                  <c:v>1.0881000000000005</c:v>
                </c:pt>
                <c:pt idx="249">
                  <c:v>1.0916208333333339</c:v>
                </c:pt>
                <c:pt idx="250">
                  <c:v>1.1620750000000004</c:v>
                </c:pt>
                <c:pt idx="251">
                  <c:v>2.0955916666666656</c:v>
                </c:pt>
                <c:pt idx="252">
                  <c:v>2.324545833333334</c:v>
                </c:pt>
                <c:pt idx="253">
                  <c:v>5.3153833333333331</c:v>
                </c:pt>
                <c:pt idx="254">
                  <c:v>5.8649374999999999</c:v>
                </c:pt>
                <c:pt idx="255">
                  <c:v>5.2202708333333332</c:v>
                </c:pt>
                <c:pt idx="256">
                  <c:v>5.0018708333333342</c:v>
                </c:pt>
                <c:pt idx="257">
                  <c:v>4.1704958333333328</c:v>
                </c:pt>
                <c:pt idx="258">
                  <c:v>2.3597916666666658</c:v>
                </c:pt>
                <c:pt idx="259">
                  <c:v>1.7926291666666663</c:v>
                </c:pt>
                <c:pt idx="260">
                  <c:v>2.0920666666666659</c:v>
                </c:pt>
                <c:pt idx="261">
                  <c:v>1.8983041666666658</c:v>
                </c:pt>
                <c:pt idx="262">
                  <c:v>1.5847916666666668</c:v>
                </c:pt>
                <c:pt idx="263">
                  <c:v>2.6874166666666652</c:v>
                </c:pt>
                <c:pt idx="264">
                  <c:v>2.8635541666666655</c:v>
                </c:pt>
                <c:pt idx="265">
                  <c:v>2.0004791666666657</c:v>
                </c:pt>
                <c:pt idx="266">
                  <c:v>2.5746791666666664</c:v>
                </c:pt>
                <c:pt idx="267">
                  <c:v>2.5359208333333334</c:v>
                </c:pt>
                <c:pt idx="268">
                  <c:v>2.1695666666666651</c:v>
                </c:pt>
                <c:pt idx="269">
                  <c:v>3.7583124999999993</c:v>
                </c:pt>
                <c:pt idx="270">
                  <c:v>5.773345833333333</c:v>
                </c:pt>
                <c:pt idx="271">
                  <c:v>5.9529999999999994</c:v>
                </c:pt>
                <c:pt idx="272">
                  <c:v>5.4316374999999999</c:v>
                </c:pt>
                <c:pt idx="273">
                  <c:v>3.7125208333333344</c:v>
                </c:pt>
                <c:pt idx="274">
                  <c:v>4.9490208333333339</c:v>
                </c:pt>
                <c:pt idx="275">
                  <c:v>6.6646083333333337</c:v>
                </c:pt>
                <c:pt idx="276">
                  <c:v>7.6932625000000003</c:v>
                </c:pt>
                <c:pt idx="277">
                  <c:v>7.0908624999999992</c:v>
                </c:pt>
                <c:pt idx="278">
                  <c:v>6.5060874999999987</c:v>
                </c:pt>
                <c:pt idx="279">
                  <c:v>3.1277541666666662</c:v>
                </c:pt>
                <c:pt idx="280">
                  <c:v>2.1202499999999991</c:v>
                </c:pt>
                <c:pt idx="281">
                  <c:v>2.8353708333333327</c:v>
                </c:pt>
                <c:pt idx="282">
                  <c:v>4.8080999999999996</c:v>
                </c:pt>
                <c:pt idx="283">
                  <c:v>7.298704166666667</c:v>
                </c:pt>
                <c:pt idx="284">
                  <c:v>7.7179208333333342</c:v>
                </c:pt>
                <c:pt idx="285">
                  <c:v>5.9248250000000011</c:v>
                </c:pt>
                <c:pt idx="286">
                  <c:v>7.8200750000000001</c:v>
                </c:pt>
                <c:pt idx="287">
                  <c:v>8.2040666666666642</c:v>
                </c:pt>
                <c:pt idx="288">
                  <c:v>4.1246999999999989</c:v>
                </c:pt>
                <c:pt idx="289">
                  <c:v>1.9441041666666665</c:v>
                </c:pt>
                <c:pt idx="290">
                  <c:v>2.0321874999999991</c:v>
                </c:pt>
                <c:pt idx="291">
                  <c:v>3.5680916666666671</c:v>
                </c:pt>
                <c:pt idx="292">
                  <c:v>2.3386583333333331</c:v>
                </c:pt>
                <c:pt idx="293">
                  <c:v>2.7895624999999993</c:v>
                </c:pt>
                <c:pt idx="294">
                  <c:v>4.6636833333333341</c:v>
                </c:pt>
                <c:pt idx="295">
                  <c:v>5.8156083333333326</c:v>
                </c:pt>
                <c:pt idx="296">
                  <c:v>6.4145000000000003</c:v>
                </c:pt>
                <c:pt idx="297">
                  <c:v>4.1880999999999995</c:v>
                </c:pt>
                <c:pt idx="298">
                  <c:v>3.8041249999999986</c:v>
                </c:pt>
                <c:pt idx="299">
                  <c:v>4.4311708333333337</c:v>
                </c:pt>
                <c:pt idx="300">
                  <c:v>4.6777583333333341</c:v>
                </c:pt>
                <c:pt idx="301">
                  <c:v>3.0044458333333339</c:v>
                </c:pt>
                <c:pt idx="302">
                  <c:v>3.9203666666666677</c:v>
                </c:pt>
                <c:pt idx="303">
                  <c:v>4.0789083333333336</c:v>
                </c:pt>
                <c:pt idx="304">
                  <c:v>4.4628750000000004</c:v>
                </c:pt>
                <c:pt idx="305">
                  <c:v>6.9605250000000005</c:v>
                </c:pt>
                <c:pt idx="306">
                  <c:v>9.3066898143930423</c:v>
                </c:pt>
                <c:pt idx="307">
                  <c:v>8.8308088762170591</c:v>
                </c:pt>
                <c:pt idx="308">
                  <c:v>9.0081678430174801</c:v>
                </c:pt>
                <c:pt idx="309">
                  <c:v>8.6127124999999989</c:v>
                </c:pt>
                <c:pt idx="310">
                  <c:v>9.0968473264176914</c:v>
                </c:pt>
                <c:pt idx="311">
                  <c:v>8.9194883596172705</c:v>
                </c:pt>
                <c:pt idx="312">
                  <c:v>8.8308088762170591</c:v>
                </c:pt>
                <c:pt idx="313">
                  <c:v>7.9574750000000014</c:v>
                </c:pt>
                <c:pt idx="314">
                  <c:v>6.2066458333333339</c:v>
                </c:pt>
                <c:pt idx="315">
                  <c:v>7.8764458333333343</c:v>
                </c:pt>
                <c:pt idx="316">
                  <c:v>6.8795000000000002</c:v>
                </c:pt>
                <c:pt idx="317">
                  <c:v>6.2735791666666669</c:v>
                </c:pt>
                <c:pt idx="318">
                  <c:v>6.8724458333333311</c:v>
                </c:pt>
                <c:pt idx="319">
                  <c:v>6.8055208333333335</c:v>
                </c:pt>
                <c:pt idx="320">
                  <c:v>8.7289458333333325</c:v>
                </c:pt>
                <c:pt idx="321">
                  <c:v>9.0968473264176914</c:v>
                </c:pt>
                <c:pt idx="322">
                  <c:v>8.9194883596172705</c:v>
                </c:pt>
                <c:pt idx="323">
                  <c:v>8.7281360986779148</c:v>
                </c:pt>
                <c:pt idx="324">
                  <c:v>8.7281360986779148</c:v>
                </c:pt>
                <c:pt idx="325">
                  <c:v>8.6254633211387688</c:v>
                </c:pt>
                <c:pt idx="326">
                  <c:v>8.7281360986779148</c:v>
                </c:pt>
                <c:pt idx="327">
                  <c:v>3.7618333333333323</c:v>
                </c:pt>
                <c:pt idx="328">
                  <c:v>4.4769749999999995</c:v>
                </c:pt>
                <c:pt idx="329">
                  <c:v>8.6162291666666668</c:v>
                </c:pt>
                <c:pt idx="330">
                  <c:v>9.0968473264176914</c:v>
                </c:pt>
                <c:pt idx="331">
                  <c:v>8.6972500000000004</c:v>
                </c:pt>
                <c:pt idx="332">
                  <c:v>9.0968473264176914</c:v>
                </c:pt>
                <c:pt idx="333">
                  <c:v>8.9194883596172705</c:v>
                </c:pt>
                <c:pt idx="334">
                  <c:v>8.8308088762170591</c:v>
                </c:pt>
                <c:pt idx="335">
                  <c:v>7.2775791666666683</c:v>
                </c:pt>
                <c:pt idx="336">
                  <c:v>9.3066898143930423</c:v>
                </c:pt>
                <c:pt idx="337">
                  <c:v>9.0081678430174801</c:v>
                </c:pt>
                <c:pt idx="338">
                  <c:v>8.8308088762170591</c:v>
                </c:pt>
                <c:pt idx="339">
                  <c:v>7.6122500000000004</c:v>
                </c:pt>
                <c:pt idx="340">
                  <c:v>8.475320833333333</c:v>
                </c:pt>
                <c:pt idx="341">
                  <c:v>9.0968473264176914</c:v>
                </c:pt>
                <c:pt idx="342">
                  <c:v>9.0081678430174801</c:v>
                </c:pt>
                <c:pt idx="343">
                  <c:v>9.0081678430174801</c:v>
                </c:pt>
                <c:pt idx="344">
                  <c:v>8.9194883596172705</c:v>
                </c:pt>
                <c:pt idx="345">
                  <c:v>8.8308088762170591</c:v>
                </c:pt>
                <c:pt idx="346">
                  <c:v>8.9194883596172705</c:v>
                </c:pt>
                <c:pt idx="347">
                  <c:v>8.6254633211387688</c:v>
                </c:pt>
                <c:pt idx="348">
                  <c:v>8.0948583333333346</c:v>
                </c:pt>
                <c:pt idx="349">
                  <c:v>6.3510750000000007</c:v>
                </c:pt>
                <c:pt idx="350">
                  <c:v>7.6298583333333339</c:v>
                </c:pt>
                <c:pt idx="351">
                  <c:v>6.506079166666666</c:v>
                </c:pt>
                <c:pt idx="352">
                  <c:v>7.6474583333333355</c:v>
                </c:pt>
                <c:pt idx="353">
                  <c:v>9.2017685704053669</c:v>
                </c:pt>
                <c:pt idx="354">
                  <c:v>8.0455374999999982</c:v>
                </c:pt>
                <c:pt idx="355">
                  <c:v>9.2017685704053669</c:v>
                </c:pt>
                <c:pt idx="356">
                  <c:v>9.0081678430174801</c:v>
                </c:pt>
                <c:pt idx="357">
                  <c:v>9.0081678430174801</c:v>
                </c:pt>
                <c:pt idx="358">
                  <c:v>7.4818875</c:v>
                </c:pt>
                <c:pt idx="359">
                  <c:v>8.8769249999999982</c:v>
                </c:pt>
                <c:pt idx="360">
                  <c:v>9.0968473264176914</c:v>
                </c:pt>
                <c:pt idx="361">
                  <c:v>8.8308088762170591</c:v>
                </c:pt>
                <c:pt idx="362">
                  <c:v>8.5227905435996245</c:v>
                </c:pt>
                <c:pt idx="363">
                  <c:v>8.5915708333333338</c:v>
                </c:pt>
                <c:pt idx="364">
                  <c:v>9.0968473264176914</c:v>
                </c:pt>
              </c:numCache>
            </c:numRef>
          </c:val>
          <c:extLst>
            <c:ext xmlns:c16="http://schemas.microsoft.com/office/drawing/2014/chart" uri="{C3380CC4-5D6E-409C-BE32-E72D297353CC}">
              <c16:uniqueId val="{00000001-E213-41B0-9EFB-8BC44A307634}"/>
            </c:ext>
          </c:extLst>
        </c:ser>
        <c:ser>
          <c:idx val="3"/>
          <c:order val="2"/>
          <c:tx>
            <c:strRef>
              <c:f>'Systemberegning VP1'!$AA$14</c:f>
              <c:strCache>
                <c:ptCount val="1"/>
                <c:pt idx="0">
                  <c:v>Gas boiler</c:v>
                </c:pt>
              </c:strCache>
            </c:strRef>
          </c:tx>
          <c:spPr>
            <a:solidFill>
              <a:schemeClr val="accent6"/>
            </a:solidFill>
            <a:ln w="25400">
              <a:noFill/>
            </a:ln>
          </c:spPr>
          <c:invertIfNegative val="0"/>
          <c:val>
            <c:numRef>
              <c:f>'Systemberegning VP1'!$AA$16:$AA$380</c:f>
              <c:numCache>
                <c:formatCode>0.0</c:formatCode>
                <c:ptCount val="365"/>
                <c:pt idx="0">
                  <c:v>0</c:v>
                </c:pt>
                <c:pt idx="1">
                  <c:v>0</c:v>
                </c:pt>
                <c:pt idx="2">
                  <c:v>0</c:v>
                </c:pt>
                <c:pt idx="3">
                  <c:v>1.5144908070493983</c:v>
                </c:pt>
                <c:pt idx="4">
                  <c:v>1.7540449737160611</c:v>
                </c:pt>
                <c:pt idx="5">
                  <c:v>4.6830908455278966</c:v>
                </c:pt>
                <c:pt idx="6">
                  <c:v>6.5511989006061864</c:v>
                </c:pt>
                <c:pt idx="7">
                  <c:v>7.5063758448120002</c:v>
                </c:pt>
                <c:pt idx="8">
                  <c:v>9.5776143327319012</c:v>
                </c:pt>
                <c:pt idx="9">
                  <c:v>9.7255684993985732</c:v>
                </c:pt>
                <c:pt idx="10">
                  <c:v>7.3478508448119992</c:v>
                </c:pt>
                <c:pt idx="11">
                  <c:v>3.319276401322087</c:v>
                </c:pt>
                <c:pt idx="12">
                  <c:v>2.3887536237829412</c:v>
                </c:pt>
                <c:pt idx="13">
                  <c:v>2.8009161237829421</c:v>
                </c:pt>
                <c:pt idx="14">
                  <c:v>4.1581991788612314</c:v>
                </c:pt>
                <c:pt idx="15">
                  <c:v>5.3635011230670404</c:v>
                </c:pt>
                <c:pt idx="16">
                  <c:v>6.8581925114786735</c:v>
                </c:pt>
                <c:pt idx="17">
                  <c:v>6.8229508448119969</c:v>
                </c:pt>
                <c:pt idx="18">
                  <c:v>4.4963908455278983</c:v>
                </c:pt>
                <c:pt idx="19">
                  <c:v>4.9478177897337083</c:v>
                </c:pt>
                <c:pt idx="20">
                  <c:v>3.4601847346554209</c:v>
                </c:pt>
                <c:pt idx="21">
                  <c:v>0</c:v>
                </c:pt>
                <c:pt idx="22">
                  <c:v>0</c:v>
                </c:pt>
                <c:pt idx="23">
                  <c:v>0</c:v>
                </c:pt>
                <c:pt idx="24">
                  <c:v>0.14000715698252009</c:v>
                </c:pt>
                <c:pt idx="25">
                  <c:v>0</c:v>
                </c:pt>
                <c:pt idx="26">
                  <c:v>1.7963116403827311</c:v>
                </c:pt>
                <c:pt idx="27">
                  <c:v>2.3006827904496117</c:v>
                </c:pt>
                <c:pt idx="28">
                  <c:v>0.37602799031585121</c:v>
                </c:pt>
                <c:pt idx="29">
                  <c:v>0</c:v>
                </c:pt>
                <c:pt idx="30">
                  <c:v>0.74591549031585558</c:v>
                </c:pt>
                <c:pt idx="31">
                  <c:v>0.49932382364918837</c:v>
                </c:pt>
                <c:pt idx="32">
                  <c:v>0</c:v>
                </c:pt>
                <c:pt idx="33">
                  <c:v>0</c:v>
                </c:pt>
                <c:pt idx="34">
                  <c:v>0</c:v>
                </c:pt>
                <c:pt idx="35">
                  <c:v>0</c:v>
                </c:pt>
                <c:pt idx="36">
                  <c:v>0</c:v>
                </c:pt>
                <c:pt idx="37">
                  <c:v>1.7786908070493972</c:v>
                </c:pt>
                <c:pt idx="38">
                  <c:v>4.521045012194568</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0.56977799031585263</c:v>
                </c:pt>
                <c:pt idx="54">
                  <c:v>1.528578307049397</c:v>
                </c:pt>
                <c:pt idx="55">
                  <c:v>1.1234741403827293</c:v>
                </c:pt>
                <c:pt idx="56">
                  <c:v>2.0752202904496091</c:v>
                </c:pt>
                <c:pt idx="57">
                  <c:v>2.6071577904496088</c:v>
                </c:pt>
                <c:pt idx="58">
                  <c:v>0.76001549031585292</c:v>
                </c:pt>
                <c:pt idx="59">
                  <c:v>0</c:v>
                </c:pt>
                <c:pt idx="60">
                  <c:v>0</c:v>
                </c:pt>
                <c:pt idx="61">
                  <c:v>0</c:v>
                </c:pt>
                <c:pt idx="62">
                  <c:v>0</c:v>
                </c:pt>
                <c:pt idx="63">
                  <c:v>0</c:v>
                </c:pt>
                <c:pt idx="64">
                  <c:v>0.13587350691564026</c:v>
                </c:pt>
                <c:pt idx="65">
                  <c:v>2.1444571569825204</c:v>
                </c:pt>
                <c:pt idx="66">
                  <c:v>2.2126077904496082</c:v>
                </c:pt>
                <c:pt idx="67">
                  <c:v>0.82111195711627438</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6.1321569825203426E-3</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0.28811059626129953</c:v>
                </c:pt>
                <c:pt idx="107">
                  <c:v>0</c:v>
                </c:pt>
                <c:pt idx="108">
                  <c:v>0</c:v>
                </c:pt>
                <c:pt idx="109">
                  <c:v>0</c:v>
                </c:pt>
                <c:pt idx="110">
                  <c:v>0.30848184024897662</c:v>
                </c:pt>
                <c:pt idx="111">
                  <c:v>0.92909049031585234</c:v>
                </c:pt>
                <c:pt idx="112">
                  <c:v>1.5209279903158546</c:v>
                </c:pt>
                <c:pt idx="113">
                  <c:v>0.46822830704939733</c:v>
                </c:pt>
                <c:pt idx="114">
                  <c:v>0.53807382364918688</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1.8882060189402914</c:v>
                </c:pt>
                <c:pt idx="307">
                  <c:v>0.51815362378294161</c:v>
                </c:pt>
                <c:pt idx="308">
                  <c:v>1.0664904903158536</c:v>
                </c:pt>
                <c:pt idx="309">
                  <c:v>0</c:v>
                </c:pt>
                <c:pt idx="310">
                  <c:v>0.87213184024897572</c:v>
                </c:pt>
                <c:pt idx="311">
                  <c:v>2.1908574737160631</c:v>
                </c:pt>
                <c:pt idx="312">
                  <c:v>0.8598536237829375</c:v>
                </c:pt>
                <c:pt idx="313">
                  <c:v>0</c:v>
                </c:pt>
                <c:pt idx="314">
                  <c:v>0</c:v>
                </c:pt>
                <c:pt idx="315">
                  <c:v>0</c:v>
                </c:pt>
                <c:pt idx="316">
                  <c:v>0</c:v>
                </c:pt>
                <c:pt idx="317">
                  <c:v>0</c:v>
                </c:pt>
                <c:pt idx="318">
                  <c:v>0</c:v>
                </c:pt>
                <c:pt idx="319">
                  <c:v>0</c:v>
                </c:pt>
                <c:pt idx="320">
                  <c:v>0</c:v>
                </c:pt>
                <c:pt idx="321">
                  <c:v>1.2913360069156408</c:v>
                </c:pt>
                <c:pt idx="322">
                  <c:v>3.022228307049394</c:v>
                </c:pt>
                <c:pt idx="323">
                  <c:v>3.3791514013220851</c:v>
                </c:pt>
                <c:pt idx="324">
                  <c:v>4.2704264013220836</c:v>
                </c:pt>
                <c:pt idx="325">
                  <c:v>3.4360408455278986</c:v>
                </c:pt>
                <c:pt idx="326">
                  <c:v>2.4597222346554179</c:v>
                </c:pt>
                <c:pt idx="327">
                  <c:v>0</c:v>
                </c:pt>
                <c:pt idx="328">
                  <c:v>0</c:v>
                </c:pt>
                <c:pt idx="329">
                  <c:v>0</c:v>
                </c:pt>
                <c:pt idx="330">
                  <c:v>0.1781485069156421</c:v>
                </c:pt>
                <c:pt idx="331">
                  <c:v>0</c:v>
                </c:pt>
                <c:pt idx="332">
                  <c:v>1.2349693402489752</c:v>
                </c:pt>
                <c:pt idx="333">
                  <c:v>2.6699616403827306</c:v>
                </c:pt>
                <c:pt idx="334">
                  <c:v>0.81054945711627546</c:v>
                </c:pt>
                <c:pt idx="335">
                  <c:v>0</c:v>
                </c:pt>
                <c:pt idx="336">
                  <c:v>8.1018518940291884E-2</c:v>
                </c:pt>
                <c:pt idx="337">
                  <c:v>2.0563779903158537</c:v>
                </c:pt>
                <c:pt idx="338">
                  <c:v>0.97963279044960494</c:v>
                </c:pt>
                <c:pt idx="339">
                  <c:v>0</c:v>
                </c:pt>
                <c:pt idx="340">
                  <c:v>0</c:v>
                </c:pt>
                <c:pt idx="341">
                  <c:v>9.7106840248976312E-2</c:v>
                </c:pt>
                <c:pt idx="342">
                  <c:v>0.58739465698252147</c:v>
                </c:pt>
                <c:pt idx="343">
                  <c:v>1.5808113236491863</c:v>
                </c:pt>
                <c:pt idx="344">
                  <c:v>2.4550616403827288</c:v>
                </c:pt>
                <c:pt idx="345">
                  <c:v>1.962491123782943</c:v>
                </c:pt>
                <c:pt idx="346">
                  <c:v>3.7021324737160626</c:v>
                </c:pt>
                <c:pt idx="347">
                  <c:v>2.6504616788612321</c:v>
                </c:pt>
                <c:pt idx="348">
                  <c:v>0</c:v>
                </c:pt>
                <c:pt idx="349">
                  <c:v>0</c:v>
                </c:pt>
                <c:pt idx="350">
                  <c:v>0</c:v>
                </c:pt>
                <c:pt idx="351">
                  <c:v>0</c:v>
                </c:pt>
                <c:pt idx="352">
                  <c:v>0</c:v>
                </c:pt>
                <c:pt idx="353">
                  <c:v>0.35855642959463374</c:v>
                </c:pt>
                <c:pt idx="354">
                  <c:v>0</c:v>
                </c:pt>
                <c:pt idx="355">
                  <c:v>0.59105642959463367</c:v>
                </c:pt>
                <c:pt idx="356">
                  <c:v>0.62262382364918878</c:v>
                </c:pt>
                <c:pt idx="357">
                  <c:v>1.189790490315854</c:v>
                </c:pt>
                <c:pt idx="358">
                  <c:v>0</c:v>
                </c:pt>
                <c:pt idx="359">
                  <c:v>0</c:v>
                </c:pt>
                <c:pt idx="360">
                  <c:v>2.5172651735823077</c:v>
                </c:pt>
                <c:pt idx="361">
                  <c:v>4.9991161237829438</c:v>
                </c:pt>
                <c:pt idx="362">
                  <c:v>2.0133511230670429</c:v>
                </c:pt>
                <c:pt idx="363">
                  <c:v>0</c:v>
                </c:pt>
                <c:pt idx="364">
                  <c:v>0.60482067358230651</c:v>
                </c:pt>
              </c:numCache>
            </c:numRef>
          </c:val>
          <c:extLst>
            <c:ext xmlns:c16="http://schemas.microsoft.com/office/drawing/2014/chart" uri="{C3380CC4-5D6E-409C-BE32-E72D297353CC}">
              <c16:uniqueId val="{00000002-E213-41B0-9EFB-8BC44A307634}"/>
            </c:ext>
          </c:extLst>
        </c:ser>
        <c:dLbls>
          <c:showLegendKey val="0"/>
          <c:showVal val="0"/>
          <c:showCatName val="0"/>
          <c:showSerName val="0"/>
          <c:showPercent val="0"/>
          <c:showBubbleSize val="0"/>
        </c:dLbls>
        <c:gapWidth val="0"/>
        <c:overlap val="100"/>
        <c:axId val="1043440703"/>
        <c:axId val="1043430719"/>
        <c:extLst>
          <c:ext xmlns:c15="http://schemas.microsoft.com/office/drawing/2012/chart" uri="{02D57815-91ED-43cb-92C2-25804820EDAC}">
            <c15:filteredBarSeries>
              <c15:ser>
                <c:idx val="2"/>
                <c:order val="0"/>
                <c:tx>
                  <c:strRef>
                    <c:extLst>
                      <c:ext uri="{02D57815-91ED-43cb-92C2-25804820EDAC}">
                        <c15:formulaRef>
                          <c15:sqref>'Systemberegning VP1'!$Y$14</c15:sqref>
                        </c15:formulaRef>
                      </c:ext>
                    </c:extLst>
                    <c:strCache>
                      <c:ptCount val="1"/>
                      <c:pt idx="0">
                        <c:v>Ingen sol</c:v>
                      </c:pt>
                    </c:strCache>
                  </c:strRef>
                </c:tx>
                <c:spPr>
                  <a:solidFill>
                    <a:schemeClr val="accent4"/>
                  </a:solidFill>
                  <a:ln w="25400">
                    <a:noFill/>
                  </a:ln>
                </c:spPr>
                <c:invertIfNegative val="0"/>
                <c:val>
                  <c:numRef>
                    <c:extLst>
                      <c:ext uri="{02D57815-91ED-43cb-92C2-25804820EDAC}">
                        <c15:formulaRef>
                          <c15:sqref>'Systemberegning VP1'!$Y$16:$Y$380</c15:sqref>
                        </c15:formulaRef>
                      </c:ext>
                    </c:extLst>
                    <c:numCache>
                      <c:formatCode>0.00</c:formatCode>
                      <c:ptCount val="36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numCache>
                  </c:numRef>
                </c:val>
                <c:extLst>
                  <c:ext xmlns:c16="http://schemas.microsoft.com/office/drawing/2014/chart" uri="{C3380CC4-5D6E-409C-BE32-E72D297353CC}">
                    <c16:uniqueId val="{00000000-E213-41B0-9EFB-8BC44A307634}"/>
                  </c:ext>
                </c:extLst>
              </c15:ser>
            </c15:filteredBarSeries>
            <c15:filteredBarSeries>
              <c15:ser>
                <c:idx val="1"/>
                <c:order val="3"/>
                <c:tx>
                  <c:strRef>
                    <c:extLst xmlns:c15="http://schemas.microsoft.com/office/drawing/2012/chart">
                      <c:ext xmlns:c15="http://schemas.microsoft.com/office/drawing/2012/chart" uri="{02D57815-91ED-43cb-92C2-25804820EDAC}">
                        <c15:formulaRef>
                          <c15:sqref>'Systemberegning VP1'!$AB$14</c15:sqref>
                        </c15:formulaRef>
                      </c:ext>
                    </c:extLst>
                    <c:strCache>
                      <c:ptCount val="1"/>
                      <c:pt idx="0">
                        <c:v>Ikke i brug</c:v>
                      </c:pt>
                    </c:strCache>
                  </c:strRef>
                </c:tx>
                <c:spPr>
                  <a:solidFill>
                    <a:schemeClr val="accent3">
                      <a:lumMod val="75000"/>
                    </a:schemeClr>
                  </a:solidFill>
                  <a:ln w="25400">
                    <a:noFill/>
                  </a:ln>
                </c:spPr>
                <c:invertIfNegative val="0"/>
                <c:val>
                  <c:numRef>
                    <c:extLst xmlns:c15="http://schemas.microsoft.com/office/drawing/2012/chart">
                      <c:ext xmlns:c15="http://schemas.microsoft.com/office/drawing/2012/chart" uri="{02D57815-91ED-43cb-92C2-25804820EDAC}">
                        <c15:formulaRef>
                          <c15:sqref>'Systemberegning VP1'!$AB$16:$AB$380</c15:sqref>
                        </c15:formulaRef>
                      </c:ext>
                    </c:extLst>
                    <c:numCache>
                      <c:formatCode>0.0</c:formatCode>
                      <c:ptCount val="36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numCache>
                  </c:numRef>
                </c:val>
                <c:extLst xmlns:c15="http://schemas.microsoft.com/office/drawing/2012/chart">
                  <c:ext xmlns:c16="http://schemas.microsoft.com/office/drawing/2014/chart" uri="{C3380CC4-5D6E-409C-BE32-E72D297353CC}">
                    <c16:uniqueId val="{00000003-E213-41B0-9EFB-8BC44A307634}"/>
                  </c:ext>
                </c:extLst>
              </c15:ser>
            </c15:filteredBarSeries>
          </c:ext>
        </c:extLst>
      </c:barChart>
      <c:catAx>
        <c:axId val="1043440703"/>
        <c:scaling>
          <c:orientation val="minMax"/>
        </c:scaling>
        <c:delete val="1"/>
        <c:axPos val="b"/>
        <c:majorTickMark val="none"/>
        <c:minorTickMark val="none"/>
        <c:tickLblPos val="nextTo"/>
        <c:crossAx val="1043430719"/>
        <c:crosses val="autoZero"/>
        <c:auto val="1"/>
        <c:lblAlgn val="ctr"/>
        <c:lblOffset val="100"/>
        <c:noMultiLvlLbl val="0"/>
      </c:catAx>
      <c:valAx>
        <c:axId val="1043430719"/>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400"/>
                </a:pPr>
                <a:r>
                  <a:rPr lang="da-DK" sz="1400"/>
                  <a:t>MW</a:t>
                </a:r>
              </a:p>
            </c:rich>
          </c:tx>
          <c:overlay val="0"/>
        </c:title>
        <c:numFmt formatCode="0.0" sourceLinked="0"/>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da-DK"/>
          </a:p>
        </c:txPr>
        <c:crossAx val="1043440703"/>
        <c:crosses val="autoZero"/>
        <c:crossBetween val="between"/>
      </c:valAx>
      <c:spPr>
        <a:solidFill>
          <a:schemeClr val="bg1"/>
        </a:solidFill>
        <a:ln>
          <a:solidFill>
            <a:schemeClr val="tx1"/>
          </a:solidFill>
        </a:ln>
      </c:spPr>
    </c:plotArea>
    <c:legend>
      <c:legendPos val="b"/>
      <c:overlay val="0"/>
      <c:txPr>
        <a:bodyPr/>
        <a:lstStyle/>
        <a:p>
          <a:pPr>
            <a:defRPr sz="1400">
              <a:solidFill>
                <a:schemeClr val="tx1"/>
              </a:solidFill>
            </a:defRPr>
          </a:pPr>
          <a:endParaRPr lang="da-DK"/>
        </a:p>
      </c:txPr>
    </c:legend>
    <c:plotVisOnly val="1"/>
    <c:dispBlanksAs val="zero"/>
    <c:showDLblsOverMax val="0"/>
    <c:extLst/>
  </c:chart>
  <c:spPr>
    <a:solidFill>
      <a:schemeClr val="bg1">
        <a:lumMod val="85000"/>
      </a:schemeClr>
    </a:solidFill>
    <a:ln>
      <a:noFill/>
    </a:ln>
  </c:spPr>
  <c:txPr>
    <a:bodyPr/>
    <a:lstStyle/>
    <a:p>
      <a:pPr>
        <a:defRPr/>
      </a:pPr>
      <a:endParaRPr lang="da-DK"/>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r>
              <a:rPr lang="da-DK" sz="2000"/>
              <a:t>Varmepumpe</a:t>
            </a:r>
            <a:r>
              <a:rPr lang="da-DK" sz="2000" baseline="0"/>
              <a:t> case</a:t>
            </a:r>
            <a:endParaRPr lang="da-DK" sz="2000"/>
          </a:p>
        </c:rich>
      </c:tx>
      <c:overlay val="0"/>
      <c:spPr>
        <a:noFill/>
        <a:ln>
          <a:noFill/>
        </a:ln>
        <a:effectLst/>
      </c:spPr>
    </c:title>
    <c:autoTitleDeleted val="0"/>
    <c:plotArea>
      <c:layout/>
      <c:barChart>
        <c:barDir val="col"/>
        <c:grouping val="stacked"/>
        <c:varyColors val="0"/>
        <c:ser>
          <c:idx val="0"/>
          <c:order val="1"/>
          <c:tx>
            <c:strRef>
              <c:f>'Systemberegning VP1'!$Z$14</c:f>
              <c:strCache>
                <c:ptCount val="1"/>
                <c:pt idx="0">
                  <c:v>Heat pump</c:v>
                </c:pt>
              </c:strCache>
            </c:strRef>
          </c:tx>
          <c:spPr>
            <a:ln w="25400">
              <a:noFill/>
            </a:ln>
          </c:spPr>
          <c:invertIfNegative val="0"/>
          <c:val>
            <c:numRef>
              <c:f>'Systemberegning VP1'!$Z$16:$Z$380</c:f>
              <c:numCache>
                <c:formatCode>0.00</c:formatCode>
                <c:ptCount val="365"/>
                <c:pt idx="0">
                  <c:v>8.5435318181818172</c:v>
                </c:pt>
                <c:pt idx="1">
                  <c:v>7.0591625000000002</c:v>
                </c:pt>
                <c:pt idx="2">
                  <c:v>7.3092749999999986</c:v>
                </c:pt>
                <c:pt idx="3">
                  <c:v>8.9194883596172705</c:v>
                </c:pt>
                <c:pt idx="4">
                  <c:v>8.9194883596172705</c:v>
                </c:pt>
                <c:pt idx="5">
                  <c:v>8.6254633211387688</c:v>
                </c:pt>
                <c:pt idx="6">
                  <c:v>8.4201177660604785</c:v>
                </c:pt>
                <c:pt idx="7">
                  <c:v>8.3174449885213342</c:v>
                </c:pt>
                <c:pt idx="8">
                  <c:v>8.028731500601431</c:v>
                </c:pt>
                <c:pt idx="9">
                  <c:v>8.028731500601431</c:v>
                </c:pt>
                <c:pt idx="10">
                  <c:v>8.3174449885213342</c:v>
                </c:pt>
                <c:pt idx="11">
                  <c:v>8.7281360986779148</c:v>
                </c:pt>
                <c:pt idx="12">
                  <c:v>8.8308088762170591</c:v>
                </c:pt>
                <c:pt idx="13">
                  <c:v>8.8308088762170591</c:v>
                </c:pt>
                <c:pt idx="14">
                  <c:v>8.6254633211387688</c:v>
                </c:pt>
                <c:pt idx="15">
                  <c:v>8.5227905435996245</c:v>
                </c:pt>
                <c:pt idx="16">
                  <c:v>8.3174449885213342</c:v>
                </c:pt>
                <c:pt idx="17">
                  <c:v>8.3174449885213342</c:v>
                </c:pt>
                <c:pt idx="18">
                  <c:v>8.6254633211387688</c:v>
                </c:pt>
                <c:pt idx="19">
                  <c:v>8.5227905435996245</c:v>
                </c:pt>
                <c:pt idx="20">
                  <c:v>8.7281360986779148</c:v>
                </c:pt>
                <c:pt idx="21">
                  <c:v>7.5911125000000004</c:v>
                </c:pt>
                <c:pt idx="22">
                  <c:v>8.4858833333333337</c:v>
                </c:pt>
                <c:pt idx="23">
                  <c:v>6.6434625000000009</c:v>
                </c:pt>
                <c:pt idx="24">
                  <c:v>9.0081678430174801</c:v>
                </c:pt>
                <c:pt idx="25">
                  <c:v>7.9328041666666671</c:v>
                </c:pt>
                <c:pt idx="26">
                  <c:v>8.9194883596172705</c:v>
                </c:pt>
                <c:pt idx="27">
                  <c:v>8.8308088762170591</c:v>
                </c:pt>
                <c:pt idx="28">
                  <c:v>9.0081678430174801</c:v>
                </c:pt>
                <c:pt idx="29">
                  <c:v>8.4224666666666668</c:v>
                </c:pt>
                <c:pt idx="30">
                  <c:v>9.0081678430174801</c:v>
                </c:pt>
                <c:pt idx="31">
                  <c:v>9.0081678430174801</c:v>
                </c:pt>
                <c:pt idx="32">
                  <c:v>8.3344000000000005</c:v>
                </c:pt>
                <c:pt idx="33">
                  <c:v>6.9534791666666669</c:v>
                </c:pt>
                <c:pt idx="34">
                  <c:v>7.4079166666666678</c:v>
                </c:pt>
                <c:pt idx="35">
                  <c:v>6.9393916666666664</c:v>
                </c:pt>
                <c:pt idx="36">
                  <c:v>6.703358333333334</c:v>
                </c:pt>
                <c:pt idx="37">
                  <c:v>8.9194883596172705</c:v>
                </c:pt>
                <c:pt idx="38">
                  <c:v>8.6254633211387688</c:v>
                </c:pt>
                <c:pt idx="39">
                  <c:v>8.5316749999999999</c:v>
                </c:pt>
                <c:pt idx="40">
                  <c:v>6.5976750000000015</c:v>
                </c:pt>
                <c:pt idx="41">
                  <c:v>7.6298458333333334</c:v>
                </c:pt>
                <c:pt idx="42">
                  <c:v>8.7641958333333339</c:v>
                </c:pt>
                <c:pt idx="43">
                  <c:v>8.9896458333333324</c:v>
                </c:pt>
                <c:pt idx="44">
                  <c:v>6.4884750000000002</c:v>
                </c:pt>
                <c:pt idx="45">
                  <c:v>4.7447041666666667</c:v>
                </c:pt>
                <c:pt idx="46">
                  <c:v>6.0445999999999991</c:v>
                </c:pt>
                <c:pt idx="47">
                  <c:v>7.3726833333333337</c:v>
                </c:pt>
                <c:pt idx="48">
                  <c:v>6.9499541666666671</c:v>
                </c:pt>
                <c:pt idx="49">
                  <c:v>7.6157541666666688</c:v>
                </c:pt>
                <c:pt idx="50">
                  <c:v>8.003266666666665</c:v>
                </c:pt>
                <c:pt idx="51">
                  <c:v>7.2000833333333345</c:v>
                </c:pt>
                <c:pt idx="52">
                  <c:v>6.4180250000000001</c:v>
                </c:pt>
                <c:pt idx="53">
                  <c:v>9.0081678430174801</c:v>
                </c:pt>
                <c:pt idx="54">
                  <c:v>8.9194883596172705</c:v>
                </c:pt>
                <c:pt idx="55">
                  <c:v>8.9194883596172705</c:v>
                </c:pt>
                <c:pt idx="56">
                  <c:v>8.8308088762170591</c:v>
                </c:pt>
                <c:pt idx="57">
                  <c:v>8.8308088762170591</c:v>
                </c:pt>
                <c:pt idx="58">
                  <c:v>9.0081678430174801</c:v>
                </c:pt>
                <c:pt idx="59">
                  <c:v>7.5100791666666673</c:v>
                </c:pt>
                <c:pt idx="60">
                  <c:v>6.5201708333333324</c:v>
                </c:pt>
                <c:pt idx="61">
                  <c:v>6.2453958333333324</c:v>
                </c:pt>
                <c:pt idx="62">
                  <c:v>9.1023791666666689</c:v>
                </c:pt>
                <c:pt idx="63">
                  <c:v>8.7571374999999989</c:v>
                </c:pt>
                <c:pt idx="64">
                  <c:v>9.0968473264176914</c:v>
                </c:pt>
                <c:pt idx="65">
                  <c:v>9.0081678430174801</c:v>
                </c:pt>
                <c:pt idx="66">
                  <c:v>8.8308088762170591</c:v>
                </c:pt>
                <c:pt idx="67">
                  <c:v>8.8308088762170591</c:v>
                </c:pt>
                <c:pt idx="68">
                  <c:v>8.5422541666666678</c:v>
                </c:pt>
                <c:pt idx="69">
                  <c:v>8.566912499999999</c:v>
                </c:pt>
                <c:pt idx="70">
                  <c:v>8.8628208333333323</c:v>
                </c:pt>
                <c:pt idx="71">
                  <c:v>6.7068833333333329</c:v>
                </c:pt>
                <c:pt idx="72">
                  <c:v>4.5932208333333335</c:v>
                </c:pt>
                <c:pt idx="73">
                  <c:v>4.3712708333333339</c:v>
                </c:pt>
                <c:pt idx="74">
                  <c:v>8.0842833333333335</c:v>
                </c:pt>
                <c:pt idx="75">
                  <c:v>7.9504166666666665</c:v>
                </c:pt>
                <c:pt idx="76">
                  <c:v>6.3933583333333344</c:v>
                </c:pt>
                <c:pt idx="77">
                  <c:v>5.4633458333333325</c:v>
                </c:pt>
                <c:pt idx="78">
                  <c:v>5.1920874999999995</c:v>
                </c:pt>
                <c:pt idx="79">
                  <c:v>7.3057708333333338</c:v>
                </c:pt>
                <c:pt idx="80">
                  <c:v>6.6399499999999998</c:v>
                </c:pt>
                <c:pt idx="81">
                  <c:v>9.1974874999999994</c:v>
                </c:pt>
                <c:pt idx="82">
                  <c:v>9.0081678430174801</c:v>
                </c:pt>
                <c:pt idx="83">
                  <c:v>8.7923708333333348</c:v>
                </c:pt>
                <c:pt idx="84">
                  <c:v>8.2569125000000003</c:v>
                </c:pt>
                <c:pt idx="85">
                  <c:v>6.8125624999999985</c:v>
                </c:pt>
                <c:pt idx="86">
                  <c:v>7.8553041666666674</c:v>
                </c:pt>
                <c:pt idx="87">
                  <c:v>5.8896083333333316</c:v>
                </c:pt>
                <c:pt idx="88">
                  <c:v>6.5835791666666674</c:v>
                </c:pt>
                <c:pt idx="89">
                  <c:v>6.7738208333333327</c:v>
                </c:pt>
                <c:pt idx="90">
                  <c:v>6.2136958333333334</c:v>
                </c:pt>
                <c:pt idx="91">
                  <c:v>6.6293749999999996</c:v>
                </c:pt>
                <c:pt idx="92">
                  <c:v>5.8719833333333327</c:v>
                </c:pt>
                <c:pt idx="93">
                  <c:v>5.5478916666666649</c:v>
                </c:pt>
                <c:pt idx="94">
                  <c:v>4.0859333333333323</c:v>
                </c:pt>
                <c:pt idx="95">
                  <c:v>2.6874124999999984</c:v>
                </c:pt>
                <c:pt idx="96">
                  <c:v>1.8806958333333335</c:v>
                </c:pt>
                <c:pt idx="97">
                  <c:v>3.0079833333333323</c:v>
                </c:pt>
                <c:pt idx="98">
                  <c:v>4.5121916666666664</c:v>
                </c:pt>
                <c:pt idx="99">
                  <c:v>5.6465208333333328</c:v>
                </c:pt>
                <c:pt idx="100">
                  <c:v>4.1211708333333332</c:v>
                </c:pt>
                <c:pt idx="101">
                  <c:v>3.0925125000000002</c:v>
                </c:pt>
                <c:pt idx="102">
                  <c:v>2.6592291666666661</c:v>
                </c:pt>
                <c:pt idx="103">
                  <c:v>5.5478833333333339</c:v>
                </c:pt>
                <c:pt idx="104">
                  <c:v>8.1371291666666661</c:v>
                </c:pt>
                <c:pt idx="105">
                  <c:v>8.2111083333333337</c:v>
                </c:pt>
                <c:pt idx="106">
                  <c:v>9.2017685704053669</c:v>
                </c:pt>
                <c:pt idx="107">
                  <c:v>8.9790624999999995</c:v>
                </c:pt>
                <c:pt idx="108">
                  <c:v>7.7707708333333336</c:v>
                </c:pt>
                <c:pt idx="109">
                  <c:v>8.8346333333333309</c:v>
                </c:pt>
                <c:pt idx="110">
                  <c:v>9.0968473264176914</c:v>
                </c:pt>
                <c:pt idx="111">
                  <c:v>9.0081678430174801</c:v>
                </c:pt>
                <c:pt idx="112">
                  <c:v>9.0081678430174801</c:v>
                </c:pt>
                <c:pt idx="113">
                  <c:v>8.9194883596172705</c:v>
                </c:pt>
                <c:pt idx="114">
                  <c:v>9.0081678430174801</c:v>
                </c:pt>
                <c:pt idx="115">
                  <c:v>8.5316916666666671</c:v>
                </c:pt>
                <c:pt idx="116">
                  <c:v>6.1080041666666665</c:v>
                </c:pt>
                <c:pt idx="117">
                  <c:v>3.3567416666666658</c:v>
                </c:pt>
                <c:pt idx="118">
                  <c:v>4.4875499999999979</c:v>
                </c:pt>
                <c:pt idx="119">
                  <c:v>2.3175249999999989</c:v>
                </c:pt>
                <c:pt idx="120">
                  <c:v>1.7045666666666657</c:v>
                </c:pt>
                <c:pt idx="121">
                  <c:v>1.243095833333334</c:v>
                </c:pt>
                <c:pt idx="122">
                  <c:v>3.754795833333334</c:v>
                </c:pt>
                <c:pt idx="123">
                  <c:v>4.5333374999999991</c:v>
                </c:pt>
                <c:pt idx="124">
                  <c:v>4.6002666666666654</c:v>
                </c:pt>
                <c:pt idx="125">
                  <c:v>4.579137499999999</c:v>
                </c:pt>
                <c:pt idx="126">
                  <c:v>3.9203791666666654</c:v>
                </c:pt>
                <c:pt idx="127">
                  <c:v>4.3149208333333329</c:v>
                </c:pt>
                <c:pt idx="128">
                  <c:v>4.6671999999999993</c:v>
                </c:pt>
                <c:pt idx="129">
                  <c:v>3.5540166666666653</c:v>
                </c:pt>
                <c:pt idx="130">
                  <c:v>3.0044583333333321</c:v>
                </c:pt>
                <c:pt idx="131">
                  <c:v>2.1378666666666652</c:v>
                </c:pt>
                <c:pt idx="132">
                  <c:v>1.2888875000000006</c:v>
                </c:pt>
                <c:pt idx="133">
                  <c:v>1.1233208333333338</c:v>
                </c:pt>
                <c:pt idx="134">
                  <c:v>1.1338916666666672</c:v>
                </c:pt>
                <c:pt idx="135">
                  <c:v>1.6552499999999997</c:v>
                </c:pt>
                <c:pt idx="136">
                  <c:v>1.5213875000000001</c:v>
                </c:pt>
                <c:pt idx="137">
                  <c:v>1.5566083333333334</c:v>
                </c:pt>
                <c:pt idx="138">
                  <c:v>1.9476416666666656</c:v>
                </c:pt>
                <c:pt idx="139">
                  <c:v>2.0075291666666657</c:v>
                </c:pt>
                <c:pt idx="140">
                  <c:v>1.9511583333333318</c:v>
                </c:pt>
                <c:pt idx="141">
                  <c:v>1.1937750000000003</c:v>
                </c:pt>
                <c:pt idx="142">
                  <c:v>2.0075166666666657</c:v>
                </c:pt>
                <c:pt idx="143">
                  <c:v>2.620487499999999</c:v>
                </c:pt>
                <c:pt idx="144">
                  <c:v>1.6587708333333333</c:v>
                </c:pt>
                <c:pt idx="145">
                  <c:v>2.2329833333333315</c:v>
                </c:pt>
                <c:pt idx="146">
                  <c:v>2.1167249999999989</c:v>
                </c:pt>
                <c:pt idx="147">
                  <c:v>2.6874041666666666</c:v>
                </c:pt>
                <c:pt idx="148">
                  <c:v>2.0427416666666667</c:v>
                </c:pt>
                <c:pt idx="149">
                  <c:v>2.4513749999999992</c:v>
                </c:pt>
                <c:pt idx="150">
                  <c:v>2.3069458333333319</c:v>
                </c:pt>
                <c:pt idx="151">
                  <c:v>1.0881000000000005</c:v>
                </c:pt>
                <c:pt idx="152">
                  <c:v>1.0881000000000005</c:v>
                </c:pt>
                <c:pt idx="153">
                  <c:v>1.0881000000000005</c:v>
                </c:pt>
                <c:pt idx="154">
                  <c:v>1.0881000000000005</c:v>
                </c:pt>
                <c:pt idx="155">
                  <c:v>1.0881000000000005</c:v>
                </c:pt>
                <c:pt idx="156">
                  <c:v>1.0881000000000005</c:v>
                </c:pt>
                <c:pt idx="157">
                  <c:v>1.0881000000000005</c:v>
                </c:pt>
                <c:pt idx="158">
                  <c:v>1.0881000000000005</c:v>
                </c:pt>
                <c:pt idx="159">
                  <c:v>1.0881000000000005</c:v>
                </c:pt>
                <c:pt idx="160">
                  <c:v>1.0881000000000005</c:v>
                </c:pt>
                <c:pt idx="161">
                  <c:v>1.0881000000000005</c:v>
                </c:pt>
                <c:pt idx="162">
                  <c:v>1.0881000000000005</c:v>
                </c:pt>
                <c:pt idx="163">
                  <c:v>1.0881000000000005</c:v>
                </c:pt>
                <c:pt idx="164">
                  <c:v>1.0881000000000005</c:v>
                </c:pt>
                <c:pt idx="165">
                  <c:v>1.0881000000000005</c:v>
                </c:pt>
                <c:pt idx="166">
                  <c:v>1.0881000000000005</c:v>
                </c:pt>
                <c:pt idx="167">
                  <c:v>1.0881000000000005</c:v>
                </c:pt>
                <c:pt idx="168">
                  <c:v>1.0881000000000005</c:v>
                </c:pt>
                <c:pt idx="169">
                  <c:v>1.0881000000000005</c:v>
                </c:pt>
                <c:pt idx="170">
                  <c:v>1.0881000000000005</c:v>
                </c:pt>
                <c:pt idx="171">
                  <c:v>1.0881000000000005</c:v>
                </c:pt>
                <c:pt idx="172">
                  <c:v>1.0881000000000005</c:v>
                </c:pt>
                <c:pt idx="173">
                  <c:v>1.0881000000000005</c:v>
                </c:pt>
                <c:pt idx="174">
                  <c:v>1.0881000000000005</c:v>
                </c:pt>
                <c:pt idx="175">
                  <c:v>1.0881000000000005</c:v>
                </c:pt>
                <c:pt idx="176">
                  <c:v>1.0881000000000005</c:v>
                </c:pt>
                <c:pt idx="177">
                  <c:v>1.0881000000000005</c:v>
                </c:pt>
                <c:pt idx="178">
                  <c:v>1.0881000000000005</c:v>
                </c:pt>
                <c:pt idx="179">
                  <c:v>1.0881000000000005</c:v>
                </c:pt>
                <c:pt idx="180">
                  <c:v>1.0881000000000005</c:v>
                </c:pt>
                <c:pt idx="181">
                  <c:v>1.0881000000000005</c:v>
                </c:pt>
                <c:pt idx="182">
                  <c:v>1.0881000000000005</c:v>
                </c:pt>
                <c:pt idx="183">
                  <c:v>1.0881000000000005</c:v>
                </c:pt>
                <c:pt idx="184">
                  <c:v>1.0881000000000005</c:v>
                </c:pt>
                <c:pt idx="185">
                  <c:v>1.0881000000000005</c:v>
                </c:pt>
                <c:pt idx="186">
                  <c:v>1.0881000000000005</c:v>
                </c:pt>
                <c:pt idx="187">
                  <c:v>1.0881000000000005</c:v>
                </c:pt>
                <c:pt idx="188">
                  <c:v>1.0881000000000005</c:v>
                </c:pt>
                <c:pt idx="189">
                  <c:v>1.0881000000000005</c:v>
                </c:pt>
                <c:pt idx="190">
                  <c:v>1.0881000000000005</c:v>
                </c:pt>
                <c:pt idx="191">
                  <c:v>1.0881000000000005</c:v>
                </c:pt>
                <c:pt idx="192">
                  <c:v>1.0881000000000005</c:v>
                </c:pt>
                <c:pt idx="193">
                  <c:v>1.0881000000000005</c:v>
                </c:pt>
                <c:pt idx="194">
                  <c:v>1.0881000000000005</c:v>
                </c:pt>
                <c:pt idx="195">
                  <c:v>1.0881000000000005</c:v>
                </c:pt>
                <c:pt idx="196">
                  <c:v>1.0881000000000005</c:v>
                </c:pt>
                <c:pt idx="197">
                  <c:v>1.0881000000000005</c:v>
                </c:pt>
                <c:pt idx="198">
                  <c:v>1.0881000000000005</c:v>
                </c:pt>
                <c:pt idx="199">
                  <c:v>1.0881000000000005</c:v>
                </c:pt>
                <c:pt idx="200">
                  <c:v>1.0881000000000005</c:v>
                </c:pt>
                <c:pt idx="201">
                  <c:v>1.0881000000000005</c:v>
                </c:pt>
                <c:pt idx="202">
                  <c:v>1.0881000000000005</c:v>
                </c:pt>
                <c:pt idx="203">
                  <c:v>1.0881000000000005</c:v>
                </c:pt>
                <c:pt idx="204">
                  <c:v>1.0881000000000005</c:v>
                </c:pt>
                <c:pt idx="205">
                  <c:v>1.0881000000000005</c:v>
                </c:pt>
                <c:pt idx="206">
                  <c:v>1.0881000000000005</c:v>
                </c:pt>
                <c:pt idx="207">
                  <c:v>1.0881000000000005</c:v>
                </c:pt>
                <c:pt idx="208">
                  <c:v>1.0881000000000005</c:v>
                </c:pt>
                <c:pt idx="209">
                  <c:v>1.0881000000000005</c:v>
                </c:pt>
                <c:pt idx="210">
                  <c:v>1.0881000000000005</c:v>
                </c:pt>
                <c:pt idx="211">
                  <c:v>1.0881000000000005</c:v>
                </c:pt>
                <c:pt idx="212">
                  <c:v>1.0881000000000005</c:v>
                </c:pt>
                <c:pt idx="213">
                  <c:v>1.0881000000000005</c:v>
                </c:pt>
                <c:pt idx="214">
                  <c:v>1.0881000000000005</c:v>
                </c:pt>
                <c:pt idx="215">
                  <c:v>1.0881000000000005</c:v>
                </c:pt>
                <c:pt idx="216">
                  <c:v>1.0881000000000005</c:v>
                </c:pt>
                <c:pt idx="217">
                  <c:v>1.0881000000000005</c:v>
                </c:pt>
                <c:pt idx="218">
                  <c:v>1.0881000000000005</c:v>
                </c:pt>
                <c:pt idx="219">
                  <c:v>1.0881000000000005</c:v>
                </c:pt>
                <c:pt idx="220">
                  <c:v>1.0881000000000005</c:v>
                </c:pt>
                <c:pt idx="221">
                  <c:v>1.0881000000000005</c:v>
                </c:pt>
                <c:pt idx="222">
                  <c:v>1.0881000000000005</c:v>
                </c:pt>
                <c:pt idx="223">
                  <c:v>1.0881000000000005</c:v>
                </c:pt>
                <c:pt idx="224">
                  <c:v>1.0881000000000005</c:v>
                </c:pt>
                <c:pt idx="225">
                  <c:v>1.0881000000000005</c:v>
                </c:pt>
                <c:pt idx="226">
                  <c:v>1.0881000000000005</c:v>
                </c:pt>
                <c:pt idx="227">
                  <c:v>1.0881000000000005</c:v>
                </c:pt>
                <c:pt idx="228">
                  <c:v>1.0881000000000005</c:v>
                </c:pt>
                <c:pt idx="229">
                  <c:v>1.0881000000000005</c:v>
                </c:pt>
                <c:pt idx="230">
                  <c:v>1.0881000000000005</c:v>
                </c:pt>
                <c:pt idx="231">
                  <c:v>1.0881000000000005</c:v>
                </c:pt>
                <c:pt idx="232">
                  <c:v>1.0881000000000005</c:v>
                </c:pt>
                <c:pt idx="233">
                  <c:v>1.0881000000000005</c:v>
                </c:pt>
                <c:pt idx="234">
                  <c:v>1.0881000000000005</c:v>
                </c:pt>
                <c:pt idx="235">
                  <c:v>1.0881000000000005</c:v>
                </c:pt>
                <c:pt idx="236">
                  <c:v>1.0881000000000005</c:v>
                </c:pt>
                <c:pt idx="237">
                  <c:v>1.0881000000000005</c:v>
                </c:pt>
                <c:pt idx="238">
                  <c:v>1.0881000000000005</c:v>
                </c:pt>
                <c:pt idx="239">
                  <c:v>1.0881000000000005</c:v>
                </c:pt>
                <c:pt idx="240">
                  <c:v>1.0881000000000005</c:v>
                </c:pt>
                <c:pt idx="241">
                  <c:v>1.0881000000000005</c:v>
                </c:pt>
                <c:pt idx="242">
                  <c:v>1.0881000000000005</c:v>
                </c:pt>
                <c:pt idx="243">
                  <c:v>1.4861541666666664</c:v>
                </c:pt>
                <c:pt idx="244">
                  <c:v>1.0881000000000005</c:v>
                </c:pt>
                <c:pt idx="245">
                  <c:v>1.0881000000000005</c:v>
                </c:pt>
                <c:pt idx="246">
                  <c:v>1.0881000000000005</c:v>
                </c:pt>
                <c:pt idx="247">
                  <c:v>1.1198000000000004</c:v>
                </c:pt>
                <c:pt idx="248">
                  <c:v>1.0881000000000005</c:v>
                </c:pt>
                <c:pt idx="249">
                  <c:v>1.0916208333333339</c:v>
                </c:pt>
                <c:pt idx="250">
                  <c:v>1.1620750000000004</c:v>
                </c:pt>
                <c:pt idx="251">
                  <c:v>2.0955916666666656</c:v>
                </c:pt>
                <c:pt idx="252">
                  <c:v>2.324545833333334</c:v>
                </c:pt>
                <c:pt idx="253">
                  <c:v>5.3153833333333331</c:v>
                </c:pt>
                <c:pt idx="254">
                  <c:v>5.8649374999999999</c:v>
                </c:pt>
                <c:pt idx="255">
                  <c:v>5.2202708333333332</c:v>
                </c:pt>
                <c:pt idx="256">
                  <c:v>5.0018708333333342</c:v>
                </c:pt>
                <c:pt idx="257">
                  <c:v>4.1704958333333328</c:v>
                </c:pt>
                <c:pt idx="258">
                  <c:v>2.3597916666666658</c:v>
                </c:pt>
                <c:pt idx="259">
                  <c:v>1.7926291666666663</c:v>
                </c:pt>
                <c:pt idx="260">
                  <c:v>2.0920666666666659</c:v>
                </c:pt>
                <c:pt idx="261">
                  <c:v>1.8983041666666658</c:v>
                </c:pt>
                <c:pt idx="262">
                  <c:v>1.5847916666666668</c:v>
                </c:pt>
                <c:pt idx="263">
                  <c:v>2.6874166666666652</c:v>
                </c:pt>
                <c:pt idx="264">
                  <c:v>2.8635541666666655</c:v>
                </c:pt>
                <c:pt idx="265">
                  <c:v>2.0004791666666657</c:v>
                </c:pt>
                <c:pt idx="266">
                  <c:v>2.5746791666666664</c:v>
                </c:pt>
                <c:pt idx="267">
                  <c:v>2.5359208333333334</c:v>
                </c:pt>
                <c:pt idx="268">
                  <c:v>2.1695666666666651</c:v>
                </c:pt>
                <c:pt idx="269">
                  <c:v>3.7583124999999993</c:v>
                </c:pt>
                <c:pt idx="270">
                  <c:v>5.773345833333333</c:v>
                </c:pt>
                <c:pt idx="271">
                  <c:v>5.9529999999999994</c:v>
                </c:pt>
                <c:pt idx="272">
                  <c:v>5.4316374999999999</c:v>
                </c:pt>
                <c:pt idx="273">
                  <c:v>3.7125208333333344</c:v>
                </c:pt>
                <c:pt idx="274">
                  <c:v>4.9490208333333339</c:v>
                </c:pt>
                <c:pt idx="275">
                  <c:v>6.6646083333333337</c:v>
                </c:pt>
                <c:pt idx="276">
                  <c:v>7.6932625000000003</c:v>
                </c:pt>
                <c:pt idx="277">
                  <c:v>7.0908624999999992</c:v>
                </c:pt>
                <c:pt idx="278">
                  <c:v>6.5060874999999987</c:v>
                </c:pt>
                <c:pt idx="279">
                  <c:v>3.1277541666666662</c:v>
                </c:pt>
                <c:pt idx="280">
                  <c:v>2.1202499999999991</c:v>
                </c:pt>
                <c:pt idx="281">
                  <c:v>2.8353708333333327</c:v>
                </c:pt>
                <c:pt idx="282">
                  <c:v>4.8080999999999996</c:v>
                </c:pt>
                <c:pt idx="283">
                  <c:v>7.298704166666667</c:v>
                </c:pt>
                <c:pt idx="284">
                  <c:v>7.7179208333333342</c:v>
                </c:pt>
                <c:pt idx="285">
                  <c:v>5.9248250000000011</c:v>
                </c:pt>
                <c:pt idx="286">
                  <c:v>7.8200750000000001</c:v>
                </c:pt>
                <c:pt idx="287">
                  <c:v>8.2040666666666642</c:v>
                </c:pt>
                <c:pt idx="288">
                  <c:v>4.1246999999999989</c:v>
                </c:pt>
                <c:pt idx="289">
                  <c:v>1.9441041666666665</c:v>
                </c:pt>
                <c:pt idx="290">
                  <c:v>2.0321874999999991</c:v>
                </c:pt>
                <c:pt idx="291">
                  <c:v>3.5680916666666671</c:v>
                </c:pt>
                <c:pt idx="292">
                  <c:v>2.3386583333333331</c:v>
                </c:pt>
                <c:pt idx="293">
                  <c:v>2.7895624999999993</c:v>
                </c:pt>
                <c:pt idx="294">
                  <c:v>4.6636833333333341</c:v>
                </c:pt>
                <c:pt idx="295">
                  <c:v>5.8156083333333326</c:v>
                </c:pt>
                <c:pt idx="296">
                  <c:v>6.4145000000000003</c:v>
                </c:pt>
                <c:pt idx="297">
                  <c:v>4.1880999999999995</c:v>
                </c:pt>
                <c:pt idx="298">
                  <c:v>3.8041249999999986</c:v>
                </c:pt>
                <c:pt idx="299">
                  <c:v>4.4311708333333337</c:v>
                </c:pt>
                <c:pt idx="300">
                  <c:v>4.6777583333333341</c:v>
                </c:pt>
                <c:pt idx="301">
                  <c:v>3.0044458333333339</c:v>
                </c:pt>
                <c:pt idx="302">
                  <c:v>3.9203666666666677</c:v>
                </c:pt>
                <c:pt idx="303">
                  <c:v>4.0789083333333336</c:v>
                </c:pt>
                <c:pt idx="304">
                  <c:v>4.4628750000000004</c:v>
                </c:pt>
                <c:pt idx="305">
                  <c:v>6.9605250000000005</c:v>
                </c:pt>
                <c:pt idx="306">
                  <c:v>9.3066898143930423</c:v>
                </c:pt>
                <c:pt idx="307">
                  <c:v>8.8308088762170591</c:v>
                </c:pt>
                <c:pt idx="308">
                  <c:v>9.0081678430174801</c:v>
                </c:pt>
                <c:pt idx="309">
                  <c:v>8.6127124999999989</c:v>
                </c:pt>
                <c:pt idx="310">
                  <c:v>9.0968473264176914</c:v>
                </c:pt>
                <c:pt idx="311">
                  <c:v>8.9194883596172705</c:v>
                </c:pt>
                <c:pt idx="312">
                  <c:v>8.8308088762170591</c:v>
                </c:pt>
                <c:pt idx="313">
                  <c:v>7.9574750000000014</c:v>
                </c:pt>
                <c:pt idx="314">
                  <c:v>6.2066458333333339</c:v>
                </c:pt>
                <c:pt idx="315">
                  <c:v>7.8764458333333343</c:v>
                </c:pt>
                <c:pt idx="316">
                  <c:v>6.8795000000000002</c:v>
                </c:pt>
                <c:pt idx="317">
                  <c:v>6.2735791666666669</c:v>
                </c:pt>
                <c:pt idx="318">
                  <c:v>6.8724458333333311</c:v>
                </c:pt>
                <c:pt idx="319">
                  <c:v>6.8055208333333335</c:v>
                </c:pt>
                <c:pt idx="320">
                  <c:v>8.7289458333333325</c:v>
                </c:pt>
                <c:pt idx="321">
                  <c:v>9.0968473264176914</c:v>
                </c:pt>
                <c:pt idx="322">
                  <c:v>8.9194883596172705</c:v>
                </c:pt>
                <c:pt idx="323">
                  <c:v>8.7281360986779148</c:v>
                </c:pt>
                <c:pt idx="324">
                  <c:v>8.7281360986779148</c:v>
                </c:pt>
                <c:pt idx="325">
                  <c:v>8.6254633211387688</c:v>
                </c:pt>
                <c:pt idx="326">
                  <c:v>8.7281360986779148</c:v>
                </c:pt>
                <c:pt idx="327">
                  <c:v>3.7618333333333323</c:v>
                </c:pt>
                <c:pt idx="328">
                  <c:v>4.4769749999999995</c:v>
                </c:pt>
                <c:pt idx="329">
                  <c:v>8.6162291666666668</c:v>
                </c:pt>
                <c:pt idx="330">
                  <c:v>9.0968473264176914</c:v>
                </c:pt>
                <c:pt idx="331">
                  <c:v>8.6972500000000004</c:v>
                </c:pt>
                <c:pt idx="332">
                  <c:v>9.0968473264176914</c:v>
                </c:pt>
                <c:pt idx="333">
                  <c:v>8.9194883596172705</c:v>
                </c:pt>
                <c:pt idx="334">
                  <c:v>8.8308088762170591</c:v>
                </c:pt>
                <c:pt idx="335">
                  <c:v>7.2775791666666683</c:v>
                </c:pt>
                <c:pt idx="336">
                  <c:v>9.3066898143930423</c:v>
                </c:pt>
                <c:pt idx="337">
                  <c:v>9.0081678430174801</c:v>
                </c:pt>
                <c:pt idx="338">
                  <c:v>8.8308088762170591</c:v>
                </c:pt>
                <c:pt idx="339">
                  <c:v>7.6122500000000004</c:v>
                </c:pt>
                <c:pt idx="340">
                  <c:v>8.475320833333333</c:v>
                </c:pt>
                <c:pt idx="341">
                  <c:v>9.0968473264176914</c:v>
                </c:pt>
                <c:pt idx="342">
                  <c:v>9.0081678430174801</c:v>
                </c:pt>
                <c:pt idx="343">
                  <c:v>9.0081678430174801</c:v>
                </c:pt>
                <c:pt idx="344">
                  <c:v>8.9194883596172705</c:v>
                </c:pt>
                <c:pt idx="345">
                  <c:v>8.8308088762170591</c:v>
                </c:pt>
                <c:pt idx="346">
                  <c:v>8.9194883596172705</c:v>
                </c:pt>
                <c:pt idx="347">
                  <c:v>8.6254633211387688</c:v>
                </c:pt>
                <c:pt idx="348">
                  <c:v>8.0948583333333346</c:v>
                </c:pt>
                <c:pt idx="349">
                  <c:v>6.3510750000000007</c:v>
                </c:pt>
                <c:pt idx="350">
                  <c:v>7.6298583333333339</c:v>
                </c:pt>
                <c:pt idx="351">
                  <c:v>6.506079166666666</c:v>
                </c:pt>
                <c:pt idx="352">
                  <c:v>7.6474583333333355</c:v>
                </c:pt>
                <c:pt idx="353">
                  <c:v>9.2017685704053669</c:v>
                </c:pt>
                <c:pt idx="354">
                  <c:v>8.0455374999999982</c:v>
                </c:pt>
                <c:pt idx="355">
                  <c:v>9.2017685704053669</c:v>
                </c:pt>
                <c:pt idx="356">
                  <c:v>9.0081678430174801</c:v>
                </c:pt>
                <c:pt idx="357">
                  <c:v>9.0081678430174801</c:v>
                </c:pt>
                <c:pt idx="358">
                  <c:v>7.4818875</c:v>
                </c:pt>
                <c:pt idx="359">
                  <c:v>8.8769249999999982</c:v>
                </c:pt>
                <c:pt idx="360">
                  <c:v>9.0968473264176914</c:v>
                </c:pt>
                <c:pt idx="361">
                  <c:v>8.8308088762170591</c:v>
                </c:pt>
                <c:pt idx="362">
                  <c:v>8.5227905435996245</c:v>
                </c:pt>
                <c:pt idx="363">
                  <c:v>8.5915708333333338</c:v>
                </c:pt>
                <c:pt idx="364">
                  <c:v>9.0968473264176914</c:v>
                </c:pt>
              </c:numCache>
            </c:numRef>
          </c:val>
          <c:extLst>
            <c:ext xmlns:c16="http://schemas.microsoft.com/office/drawing/2014/chart" uri="{C3380CC4-5D6E-409C-BE32-E72D297353CC}">
              <c16:uniqueId val="{00000001-BAB3-4A13-9D84-83751EE788A6}"/>
            </c:ext>
          </c:extLst>
        </c:ser>
        <c:ser>
          <c:idx val="3"/>
          <c:order val="2"/>
          <c:tx>
            <c:strRef>
              <c:f>'Systemberegning VP1'!$AA$14</c:f>
              <c:strCache>
                <c:ptCount val="1"/>
                <c:pt idx="0">
                  <c:v>Gas boiler</c:v>
                </c:pt>
              </c:strCache>
            </c:strRef>
          </c:tx>
          <c:spPr>
            <a:solidFill>
              <a:schemeClr val="accent6"/>
            </a:solidFill>
            <a:ln w="25400">
              <a:noFill/>
            </a:ln>
          </c:spPr>
          <c:invertIfNegative val="0"/>
          <c:val>
            <c:numRef>
              <c:f>'Systemberegning VP1'!$AA$16:$AA$380</c:f>
              <c:numCache>
                <c:formatCode>0.0</c:formatCode>
                <c:ptCount val="365"/>
                <c:pt idx="0">
                  <c:v>0</c:v>
                </c:pt>
                <c:pt idx="1">
                  <c:v>0</c:v>
                </c:pt>
                <c:pt idx="2">
                  <c:v>0</c:v>
                </c:pt>
                <c:pt idx="3">
                  <c:v>1.5144908070493983</c:v>
                </c:pt>
                <c:pt idx="4">
                  <c:v>1.7540449737160611</c:v>
                </c:pt>
                <c:pt idx="5">
                  <c:v>4.6830908455278966</c:v>
                </c:pt>
                <c:pt idx="6">
                  <c:v>6.5511989006061864</c:v>
                </c:pt>
                <c:pt idx="7">
                  <c:v>7.5063758448120002</c:v>
                </c:pt>
                <c:pt idx="8">
                  <c:v>9.5776143327319012</c:v>
                </c:pt>
                <c:pt idx="9">
                  <c:v>9.7255684993985732</c:v>
                </c:pt>
                <c:pt idx="10">
                  <c:v>7.3478508448119992</c:v>
                </c:pt>
                <c:pt idx="11">
                  <c:v>3.319276401322087</c:v>
                </c:pt>
                <c:pt idx="12">
                  <c:v>2.3887536237829412</c:v>
                </c:pt>
                <c:pt idx="13">
                  <c:v>2.8009161237829421</c:v>
                </c:pt>
                <c:pt idx="14">
                  <c:v>4.1581991788612314</c:v>
                </c:pt>
                <c:pt idx="15">
                  <c:v>5.3635011230670404</c:v>
                </c:pt>
                <c:pt idx="16">
                  <c:v>6.8581925114786735</c:v>
                </c:pt>
                <c:pt idx="17">
                  <c:v>6.8229508448119969</c:v>
                </c:pt>
                <c:pt idx="18">
                  <c:v>4.4963908455278983</c:v>
                </c:pt>
                <c:pt idx="19">
                  <c:v>4.9478177897337083</c:v>
                </c:pt>
                <c:pt idx="20">
                  <c:v>3.4601847346554209</c:v>
                </c:pt>
                <c:pt idx="21">
                  <c:v>0</c:v>
                </c:pt>
                <c:pt idx="22">
                  <c:v>0</c:v>
                </c:pt>
                <c:pt idx="23">
                  <c:v>0</c:v>
                </c:pt>
                <c:pt idx="24">
                  <c:v>0.14000715698252009</c:v>
                </c:pt>
                <c:pt idx="25">
                  <c:v>0</c:v>
                </c:pt>
                <c:pt idx="26">
                  <c:v>1.7963116403827311</c:v>
                </c:pt>
                <c:pt idx="27">
                  <c:v>2.3006827904496117</c:v>
                </c:pt>
                <c:pt idx="28">
                  <c:v>0.37602799031585121</c:v>
                </c:pt>
                <c:pt idx="29">
                  <c:v>0</c:v>
                </c:pt>
                <c:pt idx="30">
                  <c:v>0.74591549031585558</c:v>
                </c:pt>
                <c:pt idx="31">
                  <c:v>0.49932382364918837</c:v>
                </c:pt>
                <c:pt idx="32">
                  <c:v>0</c:v>
                </c:pt>
                <c:pt idx="33">
                  <c:v>0</c:v>
                </c:pt>
                <c:pt idx="34">
                  <c:v>0</c:v>
                </c:pt>
                <c:pt idx="35">
                  <c:v>0</c:v>
                </c:pt>
                <c:pt idx="36">
                  <c:v>0</c:v>
                </c:pt>
                <c:pt idx="37">
                  <c:v>1.7786908070493972</c:v>
                </c:pt>
                <c:pt idx="38">
                  <c:v>4.521045012194568</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0.56977799031585263</c:v>
                </c:pt>
                <c:pt idx="54">
                  <c:v>1.528578307049397</c:v>
                </c:pt>
                <c:pt idx="55">
                  <c:v>1.1234741403827293</c:v>
                </c:pt>
                <c:pt idx="56">
                  <c:v>2.0752202904496091</c:v>
                </c:pt>
                <c:pt idx="57">
                  <c:v>2.6071577904496088</c:v>
                </c:pt>
                <c:pt idx="58">
                  <c:v>0.76001549031585292</c:v>
                </c:pt>
                <c:pt idx="59">
                  <c:v>0</c:v>
                </c:pt>
                <c:pt idx="60">
                  <c:v>0</c:v>
                </c:pt>
                <c:pt idx="61">
                  <c:v>0</c:v>
                </c:pt>
                <c:pt idx="62">
                  <c:v>0</c:v>
                </c:pt>
                <c:pt idx="63">
                  <c:v>0</c:v>
                </c:pt>
                <c:pt idx="64">
                  <c:v>0.13587350691564026</c:v>
                </c:pt>
                <c:pt idx="65">
                  <c:v>2.1444571569825204</c:v>
                </c:pt>
                <c:pt idx="66">
                  <c:v>2.2126077904496082</c:v>
                </c:pt>
                <c:pt idx="67">
                  <c:v>0.82111195711627438</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6.1321569825203426E-3</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0.28811059626129953</c:v>
                </c:pt>
                <c:pt idx="107">
                  <c:v>0</c:v>
                </c:pt>
                <c:pt idx="108">
                  <c:v>0</c:v>
                </c:pt>
                <c:pt idx="109">
                  <c:v>0</c:v>
                </c:pt>
                <c:pt idx="110">
                  <c:v>0.30848184024897662</c:v>
                </c:pt>
                <c:pt idx="111">
                  <c:v>0.92909049031585234</c:v>
                </c:pt>
                <c:pt idx="112">
                  <c:v>1.5209279903158546</c:v>
                </c:pt>
                <c:pt idx="113">
                  <c:v>0.46822830704939733</c:v>
                </c:pt>
                <c:pt idx="114">
                  <c:v>0.53807382364918688</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1.8882060189402914</c:v>
                </c:pt>
                <c:pt idx="307">
                  <c:v>0.51815362378294161</c:v>
                </c:pt>
                <c:pt idx="308">
                  <c:v>1.0664904903158536</c:v>
                </c:pt>
                <c:pt idx="309">
                  <c:v>0</c:v>
                </c:pt>
                <c:pt idx="310">
                  <c:v>0.87213184024897572</c:v>
                </c:pt>
                <c:pt idx="311">
                  <c:v>2.1908574737160631</c:v>
                </c:pt>
                <c:pt idx="312">
                  <c:v>0.8598536237829375</c:v>
                </c:pt>
                <c:pt idx="313">
                  <c:v>0</c:v>
                </c:pt>
                <c:pt idx="314">
                  <c:v>0</c:v>
                </c:pt>
                <c:pt idx="315">
                  <c:v>0</c:v>
                </c:pt>
                <c:pt idx="316">
                  <c:v>0</c:v>
                </c:pt>
                <c:pt idx="317">
                  <c:v>0</c:v>
                </c:pt>
                <c:pt idx="318">
                  <c:v>0</c:v>
                </c:pt>
                <c:pt idx="319">
                  <c:v>0</c:v>
                </c:pt>
                <c:pt idx="320">
                  <c:v>0</c:v>
                </c:pt>
                <c:pt idx="321">
                  <c:v>1.2913360069156408</c:v>
                </c:pt>
                <c:pt idx="322">
                  <c:v>3.022228307049394</c:v>
                </c:pt>
                <c:pt idx="323">
                  <c:v>3.3791514013220851</c:v>
                </c:pt>
                <c:pt idx="324">
                  <c:v>4.2704264013220836</c:v>
                </c:pt>
                <c:pt idx="325">
                  <c:v>3.4360408455278986</c:v>
                </c:pt>
                <c:pt idx="326">
                  <c:v>2.4597222346554179</c:v>
                </c:pt>
                <c:pt idx="327">
                  <c:v>0</c:v>
                </c:pt>
                <c:pt idx="328">
                  <c:v>0</c:v>
                </c:pt>
                <c:pt idx="329">
                  <c:v>0</c:v>
                </c:pt>
                <c:pt idx="330">
                  <c:v>0.1781485069156421</c:v>
                </c:pt>
                <c:pt idx="331">
                  <c:v>0</c:v>
                </c:pt>
                <c:pt idx="332">
                  <c:v>1.2349693402489752</c:v>
                </c:pt>
                <c:pt idx="333">
                  <c:v>2.6699616403827306</c:v>
                </c:pt>
                <c:pt idx="334">
                  <c:v>0.81054945711627546</c:v>
                </c:pt>
                <c:pt idx="335">
                  <c:v>0</c:v>
                </c:pt>
                <c:pt idx="336">
                  <c:v>8.1018518940291884E-2</c:v>
                </c:pt>
                <c:pt idx="337">
                  <c:v>2.0563779903158537</c:v>
                </c:pt>
                <c:pt idx="338">
                  <c:v>0.97963279044960494</c:v>
                </c:pt>
                <c:pt idx="339">
                  <c:v>0</c:v>
                </c:pt>
                <c:pt idx="340">
                  <c:v>0</c:v>
                </c:pt>
                <c:pt idx="341">
                  <c:v>9.7106840248976312E-2</c:v>
                </c:pt>
                <c:pt idx="342">
                  <c:v>0.58739465698252147</c:v>
                </c:pt>
                <c:pt idx="343">
                  <c:v>1.5808113236491863</c:v>
                </c:pt>
                <c:pt idx="344">
                  <c:v>2.4550616403827288</c:v>
                </c:pt>
                <c:pt idx="345">
                  <c:v>1.962491123782943</c:v>
                </c:pt>
                <c:pt idx="346">
                  <c:v>3.7021324737160626</c:v>
                </c:pt>
                <c:pt idx="347">
                  <c:v>2.6504616788612321</c:v>
                </c:pt>
                <c:pt idx="348">
                  <c:v>0</c:v>
                </c:pt>
                <c:pt idx="349">
                  <c:v>0</c:v>
                </c:pt>
                <c:pt idx="350">
                  <c:v>0</c:v>
                </c:pt>
                <c:pt idx="351">
                  <c:v>0</c:v>
                </c:pt>
                <c:pt idx="352">
                  <c:v>0</c:v>
                </c:pt>
                <c:pt idx="353">
                  <c:v>0.35855642959463374</c:v>
                </c:pt>
                <c:pt idx="354">
                  <c:v>0</c:v>
                </c:pt>
                <c:pt idx="355">
                  <c:v>0.59105642959463367</c:v>
                </c:pt>
                <c:pt idx="356">
                  <c:v>0.62262382364918878</c:v>
                </c:pt>
                <c:pt idx="357">
                  <c:v>1.189790490315854</c:v>
                </c:pt>
                <c:pt idx="358">
                  <c:v>0</c:v>
                </c:pt>
                <c:pt idx="359">
                  <c:v>0</c:v>
                </c:pt>
                <c:pt idx="360">
                  <c:v>2.5172651735823077</c:v>
                </c:pt>
                <c:pt idx="361">
                  <c:v>4.9991161237829438</c:v>
                </c:pt>
                <c:pt idx="362">
                  <c:v>2.0133511230670429</c:v>
                </c:pt>
                <c:pt idx="363">
                  <c:v>0</c:v>
                </c:pt>
                <c:pt idx="364">
                  <c:v>0.60482067358230651</c:v>
                </c:pt>
              </c:numCache>
            </c:numRef>
          </c:val>
          <c:extLst>
            <c:ext xmlns:c16="http://schemas.microsoft.com/office/drawing/2014/chart" uri="{C3380CC4-5D6E-409C-BE32-E72D297353CC}">
              <c16:uniqueId val="{00000002-BAB3-4A13-9D84-83751EE788A6}"/>
            </c:ext>
          </c:extLst>
        </c:ser>
        <c:ser>
          <c:idx val="1"/>
          <c:order val="3"/>
          <c:tx>
            <c:strRef>
              <c:f>'Systemberegning VP1'!$AB$14</c:f>
              <c:strCache>
                <c:ptCount val="1"/>
                <c:pt idx="0">
                  <c:v>Ikke i brug</c:v>
                </c:pt>
              </c:strCache>
            </c:strRef>
          </c:tx>
          <c:spPr>
            <a:solidFill>
              <a:schemeClr val="accent3">
                <a:lumMod val="75000"/>
              </a:schemeClr>
            </a:solidFill>
            <a:ln w="25400">
              <a:noFill/>
            </a:ln>
          </c:spPr>
          <c:invertIfNegative val="0"/>
          <c:val>
            <c:numRef>
              <c:f>'Systemberegning VP1'!$AB$16:$AB$380</c:f>
              <c:numCache>
                <c:formatCode>0.0</c:formatCode>
                <c:ptCount val="36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numCache>
            </c:numRef>
          </c:val>
          <c:extLst>
            <c:ext xmlns:c16="http://schemas.microsoft.com/office/drawing/2014/chart" uri="{C3380CC4-5D6E-409C-BE32-E72D297353CC}">
              <c16:uniqueId val="{00000003-BAB3-4A13-9D84-83751EE788A6}"/>
            </c:ext>
          </c:extLst>
        </c:ser>
        <c:dLbls>
          <c:showLegendKey val="0"/>
          <c:showVal val="0"/>
          <c:showCatName val="0"/>
          <c:showSerName val="0"/>
          <c:showPercent val="0"/>
          <c:showBubbleSize val="0"/>
        </c:dLbls>
        <c:gapWidth val="0"/>
        <c:overlap val="100"/>
        <c:axId val="1043440703"/>
        <c:axId val="1043430719"/>
        <c:extLst>
          <c:ext xmlns:c15="http://schemas.microsoft.com/office/drawing/2012/chart" uri="{02D57815-91ED-43cb-92C2-25804820EDAC}">
            <c15:filteredBarSeries>
              <c15:ser>
                <c:idx val="2"/>
                <c:order val="0"/>
                <c:tx>
                  <c:strRef>
                    <c:extLst>
                      <c:ext uri="{02D57815-91ED-43cb-92C2-25804820EDAC}">
                        <c15:formulaRef>
                          <c15:sqref>'Systemberegning VP1'!$Y$14</c15:sqref>
                        </c15:formulaRef>
                      </c:ext>
                    </c:extLst>
                    <c:strCache>
                      <c:ptCount val="1"/>
                      <c:pt idx="0">
                        <c:v>Ingen sol</c:v>
                      </c:pt>
                    </c:strCache>
                  </c:strRef>
                </c:tx>
                <c:spPr>
                  <a:solidFill>
                    <a:schemeClr val="accent4"/>
                  </a:solidFill>
                  <a:ln w="25400">
                    <a:noFill/>
                  </a:ln>
                </c:spPr>
                <c:invertIfNegative val="0"/>
                <c:val>
                  <c:numRef>
                    <c:extLst>
                      <c:ext uri="{02D57815-91ED-43cb-92C2-25804820EDAC}">
                        <c15:formulaRef>
                          <c15:sqref>'Systemberegning VP1'!$Y$16:$Y$380</c15:sqref>
                        </c15:formulaRef>
                      </c:ext>
                    </c:extLst>
                    <c:numCache>
                      <c:formatCode>0.00</c:formatCode>
                      <c:ptCount val="36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numCache>
                  </c:numRef>
                </c:val>
                <c:extLst>
                  <c:ext xmlns:c16="http://schemas.microsoft.com/office/drawing/2014/chart" uri="{C3380CC4-5D6E-409C-BE32-E72D297353CC}">
                    <c16:uniqueId val="{00000000-BAB3-4A13-9D84-83751EE788A6}"/>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'Systemberegning VP1'!$B$7</c15:sqref>
                        </c15:formulaRef>
                      </c:ext>
                    </c:extLst>
                    <c:strCache>
                      <c:ptCount val="1"/>
                      <c:pt idx="0">
                        <c:v>Ikke i brug</c:v>
                      </c:pt>
                    </c:strCache>
                  </c:strRef>
                </c:tx>
                <c:spPr>
                  <a:solidFill>
                    <a:schemeClr val="accent2"/>
                  </a:solidFill>
                </c:spPr>
                <c:invertIfNegative val="0"/>
                <c:val>
                  <c:numRef>
                    <c:extLst xmlns:c15="http://schemas.microsoft.com/office/drawing/2012/chart">
                      <c:ext xmlns:c15="http://schemas.microsoft.com/office/drawing/2012/chart" uri="{02D57815-91ED-43cb-92C2-25804820EDAC}">
                        <c15:formulaRef>
                          <c15:sqref>'Systemberegning VP1'!$AC$16:$AC$380</c15:sqref>
                        </c15:formulaRef>
                      </c:ext>
                    </c:extLst>
                    <c:numCache>
                      <c:formatCode>0.0</c:formatCode>
                      <c:ptCount val="36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numCache>
                  </c:numRef>
                </c:val>
                <c:extLst xmlns:c15="http://schemas.microsoft.com/office/drawing/2012/chart">
                  <c:ext xmlns:c16="http://schemas.microsoft.com/office/drawing/2014/chart" uri="{C3380CC4-5D6E-409C-BE32-E72D297353CC}">
                    <c16:uniqueId val="{00000005-BAB3-4A13-9D84-83751EE788A6}"/>
                  </c:ext>
                </c:extLst>
              </c15:ser>
            </c15:filteredBarSeries>
          </c:ext>
        </c:extLst>
      </c:barChart>
      <c:catAx>
        <c:axId val="1043440703"/>
        <c:scaling>
          <c:orientation val="minMax"/>
        </c:scaling>
        <c:delete val="1"/>
        <c:axPos val="b"/>
        <c:majorTickMark val="none"/>
        <c:minorTickMark val="none"/>
        <c:tickLblPos val="nextTo"/>
        <c:crossAx val="1043430719"/>
        <c:crosses val="autoZero"/>
        <c:auto val="1"/>
        <c:lblAlgn val="ctr"/>
        <c:lblOffset val="100"/>
        <c:noMultiLvlLbl val="0"/>
      </c:catAx>
      <c:valAx>
        <c:axId val="1043430719"/>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400"/>
                </a:pPr>
                <a:r>
                  <a:rPr lang="da-DK" sz="1400"/>
                  <a:t>MW</a:t>
                </a:r>
              </a:p>
            </c:rich>
          </c:tx>
          <c:overlay val="0"/>
        </c:title>
        <c:numFmt formatCode="0.00" sourceLinked="1"/>
        <c:majorTickMark val="none"/>
        <c:minorTickMark val="none"/>
        <c:tickLblPos val="nextTo"/>
        <c:spPr>
          <a:noFill/>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a-DK"/>
          </a:p>
        </c:txPr>
        <c:crossAx val="1043440703"/>
        <c:crosses val="autoZero"/>
        <c:crossBetween val="between"/>
      </c:valAx>
    </c:plotArea>
    <c:legend>
      <c:legendPos val="b"/>
      <c:overlay val="0"/>
      <c:txPr>
        <a:bodyPr/>
        <a:lstStyle/>
        <a:p>
          <a:pPr>
            <a:defRPr sz="1400"/>
          </a:pPr>
          <a:endParaRPr lang="da-DK"/>
        </a:p>
      </c:txPr>
    </c:legend>
    <c:plotVisOnly val="1"/>
    <c:dispBlanksAs val="zero"/>
    <c:showDLblsOverMax val="0"/>
    <c:extLst/>
  </c:chart>
  <c:txPr>
    <a:bodyPr/>
    <a:lstStyle/>
    <a:p>
      <a:pPr>
        <a:defRPr/>
      </a:pPr>
      <a:endParaRPr lang="da-DK"/>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r>
              <a:rPr lang="da-DK" sz="2000"/>
              <a:t>Reference</a:t>
            </a:r>
            <a:r>
              <a:rPr lang="da-DK" sz="2000" baseline="0"/>
              <a:t> case</a:t>
            </a:r>
            <a:endParaRPr lang="da-DK" sz="2000"/>
          </a:p>
        </c:rich>
      </c:tx>
      <c:overlay val="0"/>
      <c:spPr>
        <a:noFill/>
        <a:ln>
          <a:noFill/>
        </a:ln>
        <a:effectLst/>
      </c:spPr>
    </c:title>
    <c:autoTitleDeleted val="0"/>
    <c:plotArea>
      <c:layout/>
      <c:barChart>
        <c:barDir val="col"/>
        <c:grouping val="stacked"/>
        <c:varyColors val="0"/>
        <c:ser>
          <c:idx val="0"/>
          <c:order val="1"/>
          <c:tx>
            <c:strRef>
              <c:f>'Systemberegning VP1'!$Q$14</c:f>
              <c:strCache>
                <c:ptCount val="1"/>
                <c:pt idx="0">
                  <c:v>Gas boiler</c:v>
                </c:pt>
              </c:strCache>
            </c:strRef>
          </c:tx>
          <c:spPr>
            <a:solidFill>
              <a:schemeClr val="accent6"/>
            </a:solidFill>
            <a:ln>
              <a:noFill/>
            </a:ln>
            <a:effectLst/>
          </c:spPr>
          <c:invertIfNegative val="0"/>
          <c:val>
            <c:numRef>
              <c:f>'Systemberegning VP1'!$Q$16:$Q$380</c:f>
              <c:numCache>
                <c:formatCode>0.00</c:formatCode>
                <c:ptCount val="365"/>
                <c:pt idx="0">
                  <c:v>8.5435318181818172</c:v>
                </c:pt>
                <c:pt idx="1">
                  <c:v>7.0591625000000002</c:v>
                </c:pt>
                <c:pt idx="2">
                  <c:v>7.3092749999999986</c:v>
                </c:pt>
                <c:pt idx="3">
                  <c:v>10.433979166666669</c:v>
                </c:pt>
                <c:pt idx="4">
                  <c:v>10.673533333333332</c:v>
                </c:pt>
                <c:pt idx="5">
                  <c:v>13.308554166666665</c:v>
                </c:pt>
                <c:pt idx="6">
                  <c:v>14.971316666666665</c:v>
                </c:pt>
                <c:pt idx="7">
                  <c:v>15.823820833333334</c:v>
                </c:pt>
                <c:pt idx="8">
                  <c:v>17.606345833333332</c:v>
                </c:pt>
                <c:pt idx="9">
                  <c:v>17.754300000000004</c:v>
                </c:pt>
                <c:pt idx="10">
                  <c:v>15.665295833333333</c:v>
                </c:pt>
                <c:pt idx="11">
                  <c:v>12.047412500000002</c:v>
                </c:pt>
                <c:pt idx="12">
                  <c:v>11.2195625</c:v>
                </c:pt>
                <c:pt idx="13">
                  <c:v>11.631725000000001</c:v>
                </c:pt>
                <c:pt idx="14">
                  <c:v>12.7836625</c:v>
                </c:pt>
                <c:pt idx="15">
                  <c:v>13.886291666666665</c:v>
                </c:pt>
                <c:pt idx="16">
                  <c:v>15.175637500000008</c:v>
                </c:pt>
                <c:pt idx="17">
                  <c:v>15.140395833333331</c:v>
                </c:pt>
                <c:pt idx="18">
                  <c:v>13.121854166666667</c:v>
                </c:pt>
                <c:pt idx="19">
                  <c:v>13.470608333333333</c:v>
                </c:pt>
                <c:pt idx="20">
                  <c:v>12.188320833333336</c:v>
                </c:pt>
                <c:pt idx="21">
                  <c:v>7.5911125000000004</c:v>
                </c:pt>
                <c:pt idx="22">
                  <c:v>8.4858833333333337</c:v>
                </c:pt>
                <c:pt idx="23">
                  <c:v>6.6434625000000009</c:v>
                </c:pt>
                <c:pt idx="24">
                  <c:v>9.1481750000000002</c:v>
                </c:pt>
                <c:pt idx="25">
                  <c:v>7.9328041666666671</c:v>
                </c:pt>
                <c:pt idx="26">
                  <c:v>10.715800000000002</c:v>
                </c:pt>
                <c:pt idx="27">
                  <c:v>11.131491666666671</c:v>
                </c:pt>
                <c:pt idx="28">
                  <c:v>9.3841958333333313</c:v>
                </c:pt>
                <c:pt idx="29">
                  <c:v>8.4224666666666668</c:v>
                </c:pt>
                <c:pt idx="30">
                  <c:v>9.7540833333333357</c:v>
                </c:pt>
                <c:pt idx="31">
                  <c:v>9.5074916666666685</c:v>
                </c:pt>
                <c:pt idx="32">
                  <c:v>8.3344000000000005</c:v>
                </c:pt>
                <c:pt idx="33">
                  <c:v>6.9534791666666669</c:v>
                </c:pt>
                <c:pt idx="34">
                  <c:v>7.4079166666666678</c:v>
                </c:pt>
                <c:pt idx="35">
                  <c:v>6.9393916666666664</c:v>
                </c:pt>
                <c:pt idx="36">
                  <c:v>6.703358333333334</c:v>
                </c:pt>
                <c:pt idx="37">
                  <c:v>10.698179166666668</c:v>
                </c:pt>
                <c:pt idx="38">
                  <c:v>13.146508333333337</c:v>
                </c:pt>
                <c:pt idx="39">
                  <c:v>8.5316749999999999</c:v>
                </c:pt>
                <c:pt idx="40">
                  <c:v>6.5976750000000015</c:v>
                </c:pt>
                <c:pt idx="41">
                  <c:v>7.6298458333333334</c:v>
                </c:pt>
                <c:pt idx="42">
                  <c:v>8.7641958333333339</c:v>
                </c:pt>
                <c:pt idx="43">
                  <c:v>8.9896458333333324</c:v>
                </c:pt>
                <c:pt idx="44">
                  <c:v>6.4884750000000002</c:v>
                </c:pt>
                <c:pt idx="45">
                  <c:v>4.7447041666666667</c:v>
                </c:pt>
                <c:pt idx="46">
                  <c:v>6.0445999999999991</c:v>
                </c:pt>
                <c:pt idx="47">
                  <c:v>7.3726833333333337</c:v>
                </c:pt>
                <c:pt idx="48">
                  <c:v>6.9499541666666671</c:v>
                </c:pt>
                <c:pt idx="49">
                  <c:v>7.6157541666666688</c:v>
                </c:pt>
                <c:pt idx="50">
                  <c:v>8.003266666666665</c:v>
                </c:pt>
                <c:pt idx="51">
                  <c:v>7.2000833333333345</c:v>
                </c:pt>
                <c:pt idx="52">
                  <c:v>6.4180250000000001</c:v>
                </c:pt>
                <c:pt idx="53">
                  <c:v>9.5779458333333327</c:v>
                </c:pt>
                <c:pt idx="54">
                  <c:v>10.448066666666668</c:v>
                </c:pt>
                <c:pt idx="55">
                  <c:v>10.0429625</c:v>
                </c:pt>
                <c:pt idx="56">
                  <c:v>10.906029166666668</c:v>
                </c:pt>
                <c:pt idx="57">
                  <c:v>11.437966666666668</c:v>
                </c:pt>
                <c:pt idx="58">
                  <c:v>9.768183333333333</c:v>
                </c:pt>
                <c:pt idx="59">
                  <c:v>7.5100791666666673</c:v>
                </c:pt>
                <c:pt idx="60">
                  <c:v>6.5201708333333324</c:v>
                </c:pt>
                <c:pt idx="61">
                  <c:v>6.2453958333333324</c:v>
                </c:pt>
                <c:pt idx="62">
                  <c:v>9.1023791666666689</c:v>
                </c:pt>
                <c:pt idx="63">
                  <c:v>8.7571374999999989</c:v>
                </c:pt>
                <c:pt idx="64">
                  <c:v>9.2327208333333317</c:v>
                </c:pt>
                <c:pt idx="65">
                  <c:v>11.152625</c:v>
                </c:pt>
                <c:pt idx="66">
                  <c:v>11.043416666666667</c:v>
                </c:pt>
                <c:pt idx="67">
                  <c:v>9.6519208333333335</c:v>
                </c:pt>
                <c:pt idx="68">
                  <c:v>8.5422541666666678</c:v>
                </c:pt>
                <c:pt idx="69">
                  <c:v>8.566912499999999</c:v>
                </c:pt>
                <c:pt idx="70">
                  <c:v>8.8628208333333323</c:v>
                </c:pt>
                <c:pt idx="71">
                  <c:v>6.7068833333333329</c:v>
                </c:pt>
                <c:pt idx="72">
                  <c:v>4.5932208333333335</c:v>
                </c:pt>
                <c:pt idx="73">
                  <c:v>4.3712708333333339</c:v>
                </c:pt>
                <c:pt idx="74">
                  <c:v>8.0842833333333335</c:v>
                </c:pt>
                <c:pt idx="75">
                  <c:v>7.9504166666666665</c:v>
                </c:pt>
                <c:pt idx="76">
                  <c:v>6.3933583333333344</c:v>
                </c:pt>
                <c:pt idx="77">
                  <c:v>5.4633458333333325</c:v>
                </c:pt>
                <c:pt idx="78">
                  <c:v>5.1920874999999995</c:v>
                </c:pt>
                <c:pt idx="79">
                  <c:v>7.3057708333333338</c:v>
                </c:pt>
                <c:pt idx="80">
                  <c:v>6.6399499999999998</c:v>
                </c:pt>
                <c:pt idx="81">
                  <c:v>9.1974874999999994</c:v>
                </c:pt>
                <c:pt idx="82">
                  <c:v>9.0143000000000004</c:v>
                </c:pt>
                <c:pt idx="83">
                  <c:v>8.7923708333333348</c:v>
                </c:pt>
                <c:pt idx="84">
                  <c:v>8.2569125000000003</c:v>
                </c:pt>
                <c:pt idx="85">
                  <c:v>6.8125624999999985</c:v>
                </c:pt>
                <c:pt idx="86">
                  <c:v>7.8553041666666674</c:v>
                </c:pt>
                <c:pt idx="87">
                  <c:v>5.8896083333333316</c:v>
                </c:pt>
                <c:pt idx="88">
                  <c:v>6.5835791666666674</c:v>
                </c:pt>
                <c:pt idx="89">
                  <c:v>6.7738208333333327</c:v>
                </c:pt>
                <c:pt idx="90">
                  <c:v>6.2136958333333334</c:v>
                </c:pt>
                <c:pt idx="91">
                  <c:v>6.6293749999999996</c:v>
                </c:pt>
                <c:pt idx="92">
                  <c:v>5.8719833333333327</c:v>
                </c:pt>
                <c:pt idx="93">
                  <c:v>5.5478916666666649</c:v>
                </c:pt>
                <c:pt idx="94">
                  <c:v>4.0859333333333323</c:v>
                </c:pt>
                <c:pt idx="95">
                  <c:v>2.6874124999999984</c:v>
                </c:pt>
                <c:pt idx="96">
                  <c:v>1.8806958333333335</c:v>
                </c:pt>
                <c:pt idx="97">
                  <c:v>3.0079833333333323</c:v>
                </c:pt>
                <c:pt idx="98">
                  <c:v>4.5121916666666664</c:v>
                </c:pt>
                <c:pt idx="99">
                  <c:v>5.6465208333333328</c:v>
                </c:pt>
                <c:pt idx="100">
                  <c:v>4.1211708333333332</c:v>
                </c:pt>
                <c:pt idx="101">
                  <c:v>3.0925125000000002</c:v>
                </c:pt>
                <c:pt idx="102">
                  <c:v>2.6592291666666661</c:v>
                </c:pt>
                <c:pt idx="103">
                  <c:v>5.5478833333333339</c:v>
                </c:pt>
                <c:pt idx="104">
                  <c:v>8.1371291666666661</c:v>
                </c:pt>
                <c:pt idx="105">
                  <c:v>8.2111083333333337</c:v>
                </c:pt>
                <c:pt idx="106">
                  <c:v>9.4898791666666664</c:v>
                </c:pt>
                <c:pt idx="107">
                  <c:v>8.9790624999999995</c:v>
                </c:pt>
                <c:pt idx="108">
                  <c:v>7.7707708333333336</c:v>
                </c:pt>
                <c:pt idx="109">
                  <c:v>8.8346333333333309</c:v>
                </c:pt>
                <c:pt idx="110">
                  <c:v>9.4053291666666681</c:v>
                </c:pt>
                <c:pt idx="111">
                  <c:v>9.9372583333333324</c:v>
                </c:pt>
                <c:pt idx="112">
                  <c:v>10.529095833333335</c:v>
                </c:pt>
                <c:pt idx="113">
                  <c:v>9.3877166666666678</c:v>
                </c:pt>
                <c:pt idx="114">
                  <c:v>9.546241666666667</c:v>
                </c:pt>
                <c:pt idx="115">
                  <c:v>8.5316916666666671</c:v>
                </c:pt>
                <c:pt idx="116">
                  <c:v>6.1080041666666665</c:v>
                </c:pt>
                <c:pt idx="117">
                  <c:v>3.3567416666666658</c:v>
                </c:pt>
                <c:pt idx="118">
                  <c:v>4.4875499999999979</c:v>
                </c:pt>
                <c:pt idx="119">
                  <c:v>2.3175249999999989</c:v>
                </c:pt>
                <c:pt idx="120">
                  <c:v>1.7045666666666657</c:v>
                </c:pt>
                <c:pt idx="121">
                  <c:v>1.243095833333334</c:v>
                </c:pt>
                <c:pt idx="122">
                  <c:v>3.754795833333334</c:v>
                </c:pt>
                <c:pt idx="123">
                  <c:v>4.5333374999999991</c:v>
                </c:pt>
                <c:pt idx="124">
                  <c:v>4.6002666666666654</c:v>
                </c:pt>
                <c:pt idx="125">
                  <c:v>4.579137499999999</c:v>
                </c:pt>
                <c:pt idx="126">
                  <c:v>3.9203791666666654</c:v>
                </c:pt>
                <c:pt idx="127">
                  <c:v>4.3149208333333329</c:v>
                </c:pt>
                <c:pt idx="128">
                  <c:v>4.6671999999999993</c:v>
                </c:pt>
                <c:pt idx="129">
                  <c:v>3.5540166666666653</c:v>
                </c:pt>
                <c:pt idx="130">
                  <c:v>3.0044583333333321</c:v>
                </c:pt>
                <c:pt idx="131">
                  <c:v>2.1378666666666652</c:v>
                </c:pt>
                <c:pt idx="132">
                  <c:v>1.2888875000000006</c:v>
                </c:pt>
                <c:pt idx="133">
                  <c:v>1.1233208333333338</c:v>
                </c:pt>
                <c:pt idx="134">
                  <c:v>1.1338916666666672</c:v>
                </c:pt>
                <c:pt idx="135">
                  <c:v>1.6552499999999997</c:v>
                </c:pt>
                <c:pt idx="136">
                  <c:v>1.5213875000000001</c:v>
                </c:pt>
                <c:pt idx="137">
                  <c:v>1.5566083333333334</c:v>
                </c:pt>
                <c:pt idx="138">
                  <c:v>1.9476416666666656</c:v>
                </c:pt>
                <c:pt idx="139">
                  <c:v>2.0075291666666657</c:v>
                </c:pt>
                <c:pt idx="140">
                  <c:v>1.9511583333333318</c:v>
                </c:pt>
                <c:pt idx="141">
                  <c:v>1.1937750000000003</c:v>
                </c:pt>
                <c:pt idx="142">
                  <c:v>2.0075166666666657</c:v>
                </c:pt>
                <c:pt idx="143">
                  <c:v>2.620487499999999</c:v>
                </c:pt>
                <c:pt idx="144">
                  <c:v>1.6587708333333333</c:v>
                </c:pt>
                <c:pt idx="145">
                  <c:v>2.2329833333333315</c:v>
                </c:pt>
                <c:pt idx="146">
                  <c:v>2.1167249999999989</c:v>
                </c:pt>
                <c:pt idx="147">
                  <c:v>2.6874041666666666</c:v>
                </c:pt>
                <c:pt idx="148">
                  <c:v>2.0427416666666667</c:v>
                </c:pt>
                <c:pt idx="149">
                  <c:v>2.4513749999999992</c:v>
                </c:pt>
                <c:pt idx="150">
                  <c:v>2.3069458333333319</c:v>
                </c:pt>
                <c:pt idx="151">
                  <c:v>1.0881000000000005</c:v>
                </c:pt>
                <c:pt idx="152">
                  <c:v>1.0881000000000005</c:v>
                </c:pt>
                <c:pt idx="153">
                  <c:v>1.0881000000000005</c:v>
                </c:pt>
                <c:pt idx="154">
                  <c:v>1.0881000000000005</c:v>
                </c:pt>
                <c:pt idx="155">
                  <c:v>1.0881000000000005</c:v>
                </c:pt>
                <c:pt idx="156">
                  <c:v>1.0881000000000005</c:v>
                </c:pt>
                <c:pt idx="157">
                  <c:v>1.0881000000000005</c:v>
                </c:pt>
                <c:pt idx="158">
                  <c:v>1.0881000000000005</c:v>
                </c:pt>
                <c:pt idx="159">
                  <c:v>1.0881000000000005</c:v>
                </c:pt>
                <c:pt idx="160">
                  <c:v>1.0881000000000005</c:v>
                </c:pt>
                <c:pt idx="161">
                  <c:v>1.0881000000000005</c:v>
                </c:pt>
                <c:pt idx="162">
                  <c:v>1.0881000000000005</c:v>
                </c:pt>
                <c:pt idx="163">
                  <c:v>1.0881000000000005</c:v>
                </c:pt>
                <c:pt idx="164">
                  <c:v>1.0881000000000005</c:v>
                </c:pt>
                <c:pt idx="165">
                  <c:v>1.0881000000000005</c:v>
                </c:pt>
                <c:pt idx="166">
                  <c:v>1.0881000000000005</c:v>
                </c:pt>
                <c:pt idx="167">
                  <c:v>1.0881000000000005</c:v>
                </c:pt>
                <c:pt idx="168">
                  <c:v>1.0881000000000005</c:v>
                </c:pt>
                <c:pt idx="169">
                  <c:v>1.0881000000000005</c:v>
                </c:pt>
                <c:pt idx="170">
                  <c:v>1.0881000000000005</c:v>
                </c:pt>
                <c:pt idx="171">
                  <c:v>1.0881000000000005</c:v>
                </c:pt>
                <c:pt idx="172">
                  <c:v>1.0881000000000005</c:v>
                </c:pt>
                <c:pt idx="173">
                  <c:v>1.0881000000000005</c:v>
                </c:pt>
                <c:pt idx="174">
                  <c:v>1.0881000000000005</c:v>
                </c:pt>
                <c:pt idx="175">
                  <c:v>1.0881000000000005</c:v>
                </c:pt>
                <c:pt idx="176">
                  <c:v>1.0881000000000005</c:v>
                </c:pt>
                <c:pt idx="177">
                  <c:v>1.0881000000000005</c:v>
                </c:pt>
                <c:pt idx="178">
                  <c:v>1.0881000000000005</c:v>
                </c:pt>
                <c:pt idx="179">
                  <c:v>1.0881000000000005</c:v>
                </c:pt>
                <c:pt idx="180">
                  <c:v>1.0881000000000005</c:v>
                </c:pt>
                <c:pt idx="181">
                  <c:v>1.0881000000000005</c:v>
                </c:pt>
                <c:pt idx="182">
                  <c:v>1.0881000000000005</c:v>
                </c:pt>
                <c:pt idx="183">
                  <c:v>1.0881000000000005</c:v>
                </c:pt>
                <c:pt idx="184">
                  <c:v>1.0881000000000005</c:v>
                </c:pt>
                <c:pt idx="185">
                  <c:v>1.0881000000000005</c:v>
                </c:pt>
                <c:pt idx="186">
                  <c:v>1.0881000000000005</c:v>
                </c:pt>
                <c:pt idx="187">
                  <c:v>1.0881000000000005</c:v>
                </c:pt>
                <c:pt idx="188">
                  <c:v>1.0881000000000005</c:v>
                </c:pt>
                <c:pt idx="189">
                  <c:v>1.0881000000000005</c:v>
                </c:pt>
                <c:pt idx="190">
                  <c:v>1.0881000000000005</c:v>
                </c:pt>
                <c:pt idx="191">
                  <c:v>1.0881000000000005</c:v>
                </c:pt>
                <c:pt idx="192">
                  <c:v>1.0881000000000005</c:v>
                </c:pt>
                <c:pt idx="193">
                  <c:v>1.0881000000000005</c:v>
                </c:pt>
                <c:pt idx="194">
                  <c:v>1.0881000000000005</c:v>
                </c:pt>
                <c:pt idx="195">
                  <c:v>1.0881000000000005</c:v>
                </c:pt>
                <c:pt idx="196">
                  <c:v>1.0881000000000005</c:v>
                </c:pt>
                <c:pt idx="197">
                  <c:v>1.0881000000000005</c:v>
                </c:pt>
                <c:pt idx="198">
                  <c:v>1.0881000000000005</c:v>
                </c:pt>
                <c:pt idx="199">
                  <c:v>1.0881000000000005</c:v>
                </c:pt>
                <c:pt idx="200">
                  <c:v>1.0881000000000005</c:v>
                </c:pt>
                <c:pt idx="201">
                  <c:v>1.0881000000000005</c:v>
                </c:pt>
                <c:pt idx="202">
                  <c:v>1.0881000000000005</c:v>
                </c:pt>
                <c:pt idx="203">
                  <c:v>1.0881000000000005</c:v>
                </c:pt>
                <c:pt idx="204">
                  <c:v>1.0881000000000005</c:v>
                </c:pt>
                <c:pt idx="205">
                  <c:v>1.0881000000000005</c:v>
                </c:pt>
                <c:pt idx="206">
                  <c:v>1.0881000000000005</c:v>
                </c:pt>
                <c:pt idx="207">
                  <c:v>1.0881000000000005</c:v>
                </c:pt>
                <c:pt idx="208">
                  <c:v>1.0881000000000005</c:v>
                </c:pt>
                <c:pt idx="209">
                  <c:v>1.0881000000000005</c:v>
                </c:pt>
                <c:pt idx="210">
                  <c:v>1.0881000000000005</c:v>
                </c:pt>
                <c:pt idx="211">
                  <c:v>1.0881000000000005</c:v>
                </c:pt>
                <c:pt idx="212">
                  <c:v>1.0881000000000005</c:v>
                </c:pt>
                <c:pt idx="213">
                  <c:v>1.0881000000000005</c:v>
                </c:pt>
                <c:pt idx="214">
                  <c:v>1.0881000000000005</c:v>
                </c:pt>
                <c:pt idx="215">
                  <c:v>1.0881000000000005</c:v>
                </c:pt>
                <c:pt idx="216">
                  <c:v>1.0881000000000005</c:v>
                </c:pt>
                <c:pt idx="217">
                  <c:v>1.0881000000000005</c:v>
                </c:pt>
                <c:pt idx="218">
                  <c:v>1.0881000000000005</c:v>
                </c:pt>
                <c:pt idx="219">
                  <c:v>1.0881000000000005</c:v>
                </c:pt>
                <c:pt idx="220">
                  <c:v>1.0881000000000005</c:v>
                </c:pt>
                <c:pt idx="221">
                  <c:v>1.0881000000000005</c:v>
                </c:pt>
                <c:pt idx="222">
                  <c:v>1.0881000000000005</c:v>
                </c:pt>
                <c:pt idx="223">
                  <c:v>1.0881000000000005</c:v>
                </c:pt>
                <c:pt idx="224">
                  <c:v>1.0881000000000005</c:v>
                </c:pt>
                <c:pt idx="225">
                  <c:v>1.0881000000000005</c:v>
                </c:pt>
                <c:pt idx="226">
                  <c:v>1.0881000000000005</c:v>
                </c:pt>
                <c:pt idx="227">
                  <c:v>1.0881000000000005</c:v>
                </c:pt>
                <c:pt idx="228">
                  <c:v>1.0881000000000005</c:v>
                </c:pt>
                <c:pt idx="229">
                  <c:v>1.0881000000000005</c:v>
                </c:pt>
                <c:pt idx="230">
                  <c:v>1.0881000000000005</c:v>
                </c:pt>
                <c:pt idx="231">
                  <c:v>1.0881000000000005</c:v>
                </c:pt>
                <c:pt idx="232">
                  <c:v>1.0881000000000005</c:v>
                </c:pt>
                <c:pt idx="233">
                  <c:v>1.0881000000000005</c:v>
                </c:pt>
                <c:pt idx="234">
                  <c:v>1.0881000000000005</c:v>
                </c:pt>
                <c:pt idx="235">
                  <c:v>1.0881000000000005</c:v>
                </c:pt>
                <c:pt idx="236">
                  <c:v>1.0881000000000005</c:v>
                </c:pt>
                <c:pt idx="237">
                  <c:v>1.0881000000000005</c:v>
                </c:pt>
                <c:pt idx="238">
                  <c:v>1.0881000000000005</c:v>
                </c:pt>
                <c:pt idx="239">
                  <c:v>1.0881000000000005</c:v>
                </c:pt>
                <c:pt idx="240">
                  <c:v>1.0881000000000005</c:v>
                </c:pt>
                <c:pt idx="241">
                  <c:v>1.0881000000000005</c:v>
                </c:pt>
                <c:pt idx="242">
                  <c:v>1.0881000000000005</c:v>
                </c:pt>
                <c:pt idx="243">
                  <c:v>1.4861541666666664</c:v>
                </c:pt>
                <c:pt idx="244">
                  <c:v>1.0881000000000005</c:v>
                </c:pt>
                <c:pt idx="245">
                  <c:v>1.0881000000000005</c:v>
                </c:pt>
                <c:pt idx="246">
                  <c:v>1.0881000000000005</c:v>
                </c:pt>
                <c:pt idx="247">
                  <c:v>1.1198000000000004</c:v>
                </c:pt>
                <c:pt idx="248">
                  <c:v>1.0881000000000005</c:v>
                </c:pt>
                <c:pt idx="249">
                  <c:v>1.0916208333333339</c:v>
                </c:pt>
                <c:pt idx="250">
                  <c:v>1.1620750000000004</c:v>
                </c:pt>
                <c:pt idx="251">
                  <c:v>2.0955916666666656</c:v>
                </c:pt>
                <c:pt idx="252">
                  <c:v>2.324545833333334</c:v>
                </c:pt>
                <c:pt idx="253">
                  <c:v>5.3153833333333331</c:v>
                </c:pt>
                <c:pt idx="254">
                  <c:v>5.8649374999999999</c:v>
                </c:pt>
                <c:pt idx="255">
                  <c:v>5.2202708333333332</c:v>
                </c:pt>
                <c:pt idx="256">
                  <c:v>5.0018708333333342</c:v>
                </c:pt>
                <c:pt idx="257">
                  <c:v>4.1704958333333328</c:v>
                </c:pt>
                <c:pt idx="258">
                  <c:v>2.3597916666666658</c:v>
                </c:pt>
                <c:pt idx="259">
                  <c:v>1.7926291666666663</c:v>
                </c:pt>
                <c:pt idx="260">
                  <c:v>2.0920666666666659</c:v>
                </c:pt>
                <c:pt idx="261">
                  <c:v>1.8983041666666658</c:v>
                </c:pt>
                <c:pt idx="262">
                  <c:v>1.5847916666666668</c:v>
                </c:pt>
                <c:pt idx="263">
                  <c:v>2.6874166666666652</c:v>
                </c:pt>
                <c:pt idx="264">
                  <c:v>2.8635541666666655</c:v>
                </c:pt>
                <c:pt idx="265">
                  <c:v>2.0004791666666657</c:v>
                </c:pt>
                <c:pt idx="266">
                  <c:v>2.5746791666666664</c:v>
                </c:pt>
                <c:pt idx="267">
                  <c:v>2.5359208333333334</c:v>
                </c:pt>
                <c:pt idx="268">
                  <c:v>2.1695666666666651</c:v>
                </c:pt>
                <c:pt idx="269">
                  <c:v>3.7583124999999993</c:v>
                </c:pt>
                <c:pt idx="270">
                  <c:v>5.773345833333333</c:v>
                </c:pt>
                <c:pt idx="271">
                  <c:v>5.9529999999999994</c:v>
                </c:pt>
                <c:pt idx="272">
                  <c:v>5.4316374999999999</c:v>
                </c:pt>
                <c:pt idx="273">
                  <c:v>3.7125208333333344</c:v>
                </c:pt>
                <c:pt idx="274">
                  <c:v>4.9490208333333339</c:v>
                </c:pt>
                <c:pt idx="275">
                  <c:v>6.6646083333333337</c:v>
                </c:pt>
                <c:pt idx="276">
                  <c:v>7.6932625000000003</c:v>
                </c:pt>
                <c:pt idx="277">
                  <c:v>7.0908624999999992</c:v>
                </c:pt>
                <c:pt idx="278">
                  <c:v>6.5060874999999987</c:v>
                </c:pt>
                <c:pt idx="279">
                  <c:v>3.1277541666666662</c:v>
                </c:pt>
                <c:pt idx="280">
                  <c:v>2.1202499999999991</c:v>
                </c:pt>
                <c:pt idx="281">
                  <c:v>2.8353708333333327</c:v>
                </c:pt>
                <c:pt idx="282">
                  <c:v>4.8080999999999996</c:v>
                </c:pt>
                <c:pt idx="283">
                  <c:v>7.298704166666667</c:v>
                </c:pt>
                <c:pt idx="284">
                  <c:v>7.7179208333333342</c:v>
                </c:pt>
                <c:pt idx="285">
                  <c:v>5.9248250000000011</c:v>
                </c:pt>
                <c:pt idx="286">
                  <c:v>7.8200750000000001</c:v>
                </c:pt>
                <c:pt idx="287">
                  <c:v>8.2040666666666642</c:v>
                </c:pt>
                <c:pt idx="288">
                  <c:v>4.1246999999999989</c:v>
                </c:pt>
                <c:pt idx="289">
                  <c:v>1.9441041666666665</c:v>
                </c:pt>
                <c:pt idx="290">
                  <c:v>2.0321874999999991</c:v>
                </c:pt>
                <c:pt idx="291">
                  <c:v>3.5680916666666671</c:v>
                </c:pt>
                <c:pt idx="292">
                  <c:v>2.3386583333333331</c:v>
                </c:pt>
                <c:pt idx="293">
                  <c:v>2.7895624999999993</c:v>
                </c:pt>
                <c:pt idx="294">
                  <c:v>4.6636833333333341</c:v>
                </c:pt>
                <c:pt idx="295">
                  <c:v>5.8156083333333326</c:v>
                </c:pt>
                <c:pt idx="296">
                  <c:v>6.4145000000000003</c:v>
                </c:pt>
                <c:pt idx="297">
                  <c:v>4.1880999999999995</c:v>
                </c:pt>
                <c:pt idx="298">
                  <c:v>3.8041249999999986</c:v>
                </c:pt>
                <c:pt idx="299">
                  <c:v>4.4311708333333337</c:v>
                </c:pt>
                <c:pt idx="300">
                  <c:v>4.6777583333333341</c:v>
                </c:pt>
                <c:pt idx="301">
                  <c:v>3.0044458333333339</c:v>
                </c:pt>
                <c:pt idx="302">
                  <c:v>3.9203666666666677</c:v>
                </c:pt>
                <c:pt idx="303">
                  <c:v>4.0789083333333336</c:v>
                </c:pt>
                <c:pt idx="304">
                  <c:v>4.4628750000000004</c:v>
                </c:pt>
                <c:pt idx="305">
                  <c:v>6.9605250000000005</c:v>
                </c:pt>
                <c:pt idx="306">
                  <c:v>11.194895833333334</c:v>
                </c:pt>
                <c:pt idx="307">
                  <c:v>9.3489625000000007</c:v>
                </c:pt>
                <c:pt idx="308">
                  <c:v>10.074658333333334</c:v>
                </c:pt>
                <c:pt idx="309">
                  <c:v>8.6127124999999989</c:v>
                </c:pt>
                <c:pt idx="310">
                  <c:v>9.9689791666666672</c:v>
                </c:pt>
                <c:pt idx="311">
                  <c:v>11.110345833333334</c:v>
                </c:pt>
                <c:pt idx="312">
                  <c:v>9.6906624999999966</c:v>
                </c:pt>
                <c:pt idx="313">
                  <c:v>7.9574750000000014</c:v>
                </c:pt>
                <c:pt idx="314">
                  <c:v>6.2066458333333339</c:v>
                </c:pt>
                <c:pt idx="315">
                  <c:v>7.8764458333333343</c:v>
                </c:pt>
                <c:pt idx="316">
                  <c:v>6.8795000000000002</c:v>
                </c:pt>
                <c:pt idx="317">
                  <c:v>6.2735791666666669</c:v>
                </c:pt>
                <c:pt idx="318">
                  <c:v>6.8724458333333311</c:v>
                </c:pt>
                <c:pt idx="319">
                  <c:v>6.8055208333333335</c:v>
                </c:pt>
                <c:pt idx="320">
                  <c:v>8.7289458333333325</c:v>
                </c:pt>
                <c:pt idx="321">
                  <c:v>10.388183333333332</c:v>
                </c:pt>
                <c:pt idx="322">
                  <c:v>11.941716666666665</c:v>
                </c:pt>
                <c:pt idx="323">
                  <c:v>12.1072875</c:v>
                </c:pt>
                <c:pt idx="324">
                  <c:v>12.998562499999998</c:v>
                </c:pt>
                <c:pt idx="325">
                  <c:v>12.061504166666667</c:v>
                </c:pt>
                <c:pt idx="326">
                  <c:v>11.187858333333333</c:v>
                </c:pt>
                <c:pt idx="327">
                  <c:v>3.7618333333333323</c:v>
                </c:pt>
                <c:pt idx="328">
                  <c:v>4.4769749999999995</c:v>
                </c:pt>
                <c:pt idx="329">
                  <c:v>8.6162291666666668</c:v>
                </c:pt>
                <c:pt idx="330">
                  <c:v>9.2749958333333336</c:v>
                </c:pt>
                <c:pt idx="331">
                  <c:v>8.6972500000000004</c:v>
                </c:pt>
                <c:pt idx="332">
                  <c:v>10.331816666666667</c:v>
                </c:pt>
                <c:pt idx="333">
                  <c:v>11.589450000000001</c:v>
                </c:pt>
                <c:pt idx="334">
                  <c:v>9.6413583333333346</c:v>
                </c:pt>
                <c:pt idx="335">
                  <c:v>7.2775791666666683</c:v>
                </c:pt>
                <c:pt idx="336">
                  <c:v>9.3877083333333342</c:v>
                </c:pt>
                <c:pt idx="337">
                  <c:v>11.064545833333334</c:v>
                </c:pt>
                <c:pt idx="338">
                  <c:v>9.8104416666666641</c:v>
                </c:pt>
                <c:pt idx="339">
                  <c:v>7.6122500000000004</c:v>
                </c:pt>
                <c:pt idx="340">
                  <c:v>8.475320833333333</c:v>
                </c:pt>
                <c:pt idx="341">
                  <c:v>9.1939541666666678</c:v>
                </c:pt>
                <c:pt idx="342">
                  <c:v>9.5955625000000015</c:v>
                </c:pt>
                <c:pt idx="343">
                  <c:v>10.588979166666666</c:v>
                </c:pt>
                <c:pt idx="344">
                  <c:v>11.374549999999999</c:v>
                </c:pt>
                <c:pt idx="345">
                  <c:v>10.793300000000002</c:v>
                </c:pt>
                <c:pt idx="346">
                  <c:v>12.621620833333333</c:v>
                </c:pt>
                <c:pt idx="347">
                  <c:v>11.275925000000001</c:v>
                </c:pt>
                <c:pt idx="348">
                  <c:v>8.0948583333333346</c:v>
                </c:pt>
                <c:pt idx="349">
                  <c:v>6.3510750000000007</c:v>
                </c:pt>
                <c:pt idx="350">
                  <c:v>7.6298583333333339</c:v>
                </c:pt>
                <c:pt idx="351">
                  <c:v>6.506079166666666</c:v>
                </c:pt>
                <c:pt idx="352">
                  <c:v>7.6474583333333355</c:v>
                </c:pt>
                <c:pt idx="353">
                  <c:v>9.5603250000000006</c:v>
                </c:pt>
                <c:pt idx="354">
                  <c:v>8.0455374999999982</c:v>
                </c:pt>
                <c:pt idx="355">
                  <c:v>9.7928250000000006</c:v>
                </c:pt>
                <c:pt idx="356">
                  <c:v>9.6307916666666689</c:v>
                </c:pt>
                <c:pt idx="357">
                  <c:v>10.197958333333334</c:v>
                </c:pt>
                <c:pt idx="358">
                  <c:v>7.4818875</c:v>
                </c:pt>
                <c:pt idx="359">
                  <c:v>8.8769249999999982</c:v>
                </c:pt>
                <c:pt idx="360">
                  <c:v>11.614112499999999</c:v>
                </c:pt>
                <c:pt idx="361">
                  <c:v>13.829925000000003</c:v>
                </c:pt>
                <c:pt idx="362">
                  <c:v>10.536141666666667</c:v>
                </c:pt>
                <c:pt idx="363">
                  <c:v>8.5915708333333338</c:v>
                </c:pt>
                <c:pt idx="364">
                  <c:v>9.701667999999998</c:v>
                </c:pt>
              </c:numCache>
            </c:numRef>
          </c:val>
          <c:extLst>
            <c:ext xmlns:c16="http://schemas.microsoft.com/office/drawing/2014/chart" uri="{C3380CC4-5D6E-409C-BE32-E72D297353CC}">
              <c16:uniqueId val="{00000001-2DAC-4E2F-894D-723F1709236E}"/>
            </c:ext>
          </c:extLst>
        </c:ser>
        <c:ser>
          <c:idx val="3"/>
          <c:order val="2"/>
          <c:tx>
            <c:strRef>
              <c:f>'Systemberegning VP1'!$R$14</c:f>
              <c:strCache>
                <c:ptCount val="1"/>
                <c:pt idx="0">
                  <c:v>Ikke i brug</c:v>
                </c:pt>
              </c:strCache>
            </c:strRef>
          </c:tx>
          <c:spPr>
            <a:solidFill>
              <a:schemeClr val="accent3">
                <a:lumMod val="75000"/>
              </a:schemeClr>
            </a:solidFill>
            <a:ln>
              <a:noFill/>
            </a:ln>
            <a:effectLst/>
          </c:spPr>
          <c:invertIfNegative val="0"/>
          <c:val>
            <c:numRef>
              <c:f>'Systemberegning VP1'!$R$16:$R$380</c:f>
              <c:numCache>
                <c:formatCode>0.00</c:formatCode>
                <c:ptCount val="36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numCache>
            </c:numRef>
          </c:val>
          <c:extLst>
            <c:ext xmlns:c16="http://schemas.microsoft.com/office/drawing/2014/chart" uri="{C3380CC4-5D6E-409C-BE32-E72D297353CC}">
              <c16:uniqueId val="{00000002-2DAC-4E2F-894D-723F1709236E}"/>
            </c:ext>
          </c:extLst>
        </c:ser>
        <c:dLbls>
          <c:showLegendKey val="0"/>
          <c:showVal val="0"/>
          <c:showCatName val="0"/>
          <c:showSerName val="0"/>
          <c:showPercent val="0"/>
          <c:showBubbleSize val="0"/>
        </c:dLbls>
        <c:gapWidth val="0"/>
        <c:overlap val="100"/>
        <c:axId val="1043440703"/>
        <c:axId val="1043430719"/>
        <c:extLst>
          <c:ext xmlns:c15="http://schemas.microsoft.com/office/drawing/2012/chart" uri="{02D57815-91ED-43cb-92C2-25804820EDAC}">
            <c15:filteredBarSeries>
              <c15:ser>
                <c:idx val="2"/>
                <c:order val="0"/>
                <c:tx>
                  <c:strRef>
                    <c:extLst>
                      <c:ext uri="{02D57815-91ED-43cb-92C2-25804820EDAC}">
                        <c15:formulaRef>
                          <c15:sqref>'Systemberegning VP1'!$P$14</c15:sqref>
                        </c15:formulaRef>
                      </c:ext>
                    </c:extLst>
                    <c:strCache>
                      <c:ptCount val="1"/>
                      <c:pt idx="0">
                        <c:v>Ingen sol</c:v>
                      </c:pt>
                    </c:strCache>
                  </c:strRef>
                </c:tx>
                <c:spPr>
                  <a:solidFill>
                    <a:schemeClr val="accent4"/>
                  </a:solidFill>
                  <a:ln w="25400">
                    <a:noFill/>
                  </a:ln>
                </c:spPr>
                <c:invertIfNegative val="0"/>
                <c:val>
                  <c:numRef>
                    <c:extLst>
                      <c:ext uri="{02D57815-91ED-43cb-92C2-25804820EDAC}">
                        <c15:formulaRef>
                          <c15:sqref>'Systemberegning VP1'!$P$16:$P$380</c15:sqref>
                        </c15:formulaRef>
                      </c:ext>
                    </c:extLst>
                    <c:numCache>
                      <c:formatCode>0.00</c:formatCode>
                      <c:ptCount val="36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numCache>
                  </c:numRef>
                </c:val>
                <c:extLst>
                  <c:ext xmlns:c16="http://schemas.microsoft.com/office/drawing/2014/chart" uri="{C3380CC4-5D6E-409C-BE32-E72D297353CC}">
                    <c16:uniqueId val="{00000000-2DAC-4E2F-894D-723F1709236E}"/>
                  </c:ext>
                </c:extLst>
              </c15:ser>
            </c15:filteredBarSeries>
            <c15:filteredBarSeries>
              <c15:ser>
                <c:idx val="1"/>
                <c:order val="3"/>
                <c:tx>
                  <c:strRef>
                    <c:extLst xmlns:c15="http://schemas.microsoft.com/office/drawing/2012/chart">
                      <c:ext xmlns:c15="http://schemas.microsoft.com/office/drawing/2012/chart" uri="{02D57815-91ED-43cb-92C2-25804820EDAC}">
                        <c15:formulaRef>
                          <c15:sqref>'Systemberegning VP1'!$B$7</c15:sqref>
                        </c15:formulaRef>
                      </c:ext>
                    </c:extLst>
                    <c:strCache>
                      <c:ptCount val="1"/>
                      <c:pt idx="0">
                        <c:v>Ikke i brug</c:v>
                      </c:pt>
                    </c:strCache>
                  </c:strRef>
                </c:tx>
                <c:invertIfNegative val="0"/>
                <c:val>
                  <c:numRef>
                    <c:extLst xmlns:c15="http://schemas.microsoft.com/office/drawing/2012/chart">
                      <c:ext xmlns:c15="http://schemas.microsoft.com/office/drawing/2012/chart" uri="{02D57815-91ED-43cb-92C2-25804820EDAC}">
                        <c15:formulaRef>
                          <c15:sqref>'Systemberegning VP1'!$S$16:$S$380</c15:sqref>
                        </c15:formulaRef>
                      </c:ext>
                    </c:extLst>
                    <c:numCache>
                      <c:formatCode>0.00</c:formatCode>
                      <c:ptCount val="36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numCache>
                  </c:numRef>
                </c:val>
                <c:extLst xmlns:c15="http://schemas.microsoft.com/office/drawing/2012/chart">
                  <c:ext xmlns:c16="http://schemas.microsoft.com/office/drawing/2014/chart" uri="{C3380CC4-5D6E-409C-BE32-E72D297353CC}">
                    <c16:uniqueId val="{00000003-2DAC-4E2F-894D-723F1709236E}"/>
                  </c:ext>
                </c:extLst>
              </c15:ser>
            </c15:filteredBarSeries>
          </c:ext>
        </c:extLst>
      </c:barChart>
      <c:catAx>
        <c:axId val="1043440703"/>
        <c:scaling>
          <c:orientation val="minMax"/>
        </c:scaling>
        <c:delete val="1"/>
        <c:axPos val="b"/>
        <c:majorTickMark val="none"/>
        <c:minorTickMark val="none"/>
        <c:tickLblPos val="nextTo"/>
        <c:crossAx val="1043430719"/>
        <c:crosses val="autoZero"/>
        <c:auto val="1"/>
        <c:lblAlgn val="ctr"/>
        <c:lblOffset val="100"/>
        <c:noMultiLvlLbl val="0"/>
      </c:catAx>
      <c:valAx>
        <c:axId val="1043430719"/>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400"/>
                </a:pPr>
                <a:r>
                  <a:rPr lang="da-DK" sz="1400"/>
                  <a:t>MW</a:t>
                </a:r>
              </a:p>
            </c:rich>
          </c:tx>
          <c:overlay val="0"/>
        </c:title>
        <c:numFmt formatCode="0.00" sourceLinked="1"/>
        <c:majorTickMark val="none"/>
        <c:minorTickMark val="none"/>
        <c:tickLblPos val="nextTo"/>
        <c:spPr>
          <a:noFill/>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da-DK"/>
          </a:p>
        </c:txPr>
        <c:crossAx val="1043440703"/>
        <c:crosses val="autoZero"/>
        <c:crossBetween val="between"/>
      </c:valAx>
    </c:plotArea>
    <c:legend>
      <c:legendPos val="b"/>
      <c:layout>
        <c:manualLayout>
          <c:xMode val="edge"/>
          <c:yMode val="edge"/>
          <c:x val="0.38181589365657087"/>
          <c:y val="0.92510537083160971"/>
          <c:w val="0.32595051394604396"/>
          <c:h val="5.3777045241698414E-2"/>
        </c:manualLayout>
      </c:layout>
      <c:overlay val="0"/>
      <c:txPr>
        <a:bodyPr/>
        <a:lstStyle/>
        <a:p>
          <a:pPr>
            <a:defRPr sz="1400"/>
          </a:pPr>
          <a:endParaRPr lang="da-DK"/>
        </a:p>
      </c:txPr>
    </c:legend>
    <c:plotVisOnly val="1"/>
    <c:dispBlanksAs val="zero"/>
    <c:showDLblsOverMax val="0"/>
    <c:extLst/>
  </c:chart>
  <c:txPr>
    <a:bodyPr/>
    <a:lstStyle/>
    <a:p>
      <a:pPr>
        <a:defRPr/>
      </a:pPr>
      <a:endParaRPr lang="da-DK"/>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a:t>U-udnyttet</a:t>
            </a:r>
            <a:r>
              <a:rPr lang="da-DK" baseline="0"/>
              <a:t> VP effekt</a:t>
            </a:r>
            <a:endParaRPr lang="da-DK"/>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yVal>
            <c:numRef>
              <c:f>'Systemberegning VP1'!$AI$16:$AI$380</c:f>
              <c:numCache>
                <c:formatCode>0.00</c:formatCode>
                <c:ptCount val="365"/>
                <c:pt idx="0">
                  <c:v>0.55331550823587428</c:v>
                </c:pt>
                <c:pt idx="1">
                  <c:v>2.2475273143930421</c:v>
                </c:pt>
                <c:pt idx="2">
                  <c:v>1.9974148143930437</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1.6106560704053665</c:v>
                </c:pt>
                <c:pt idx="22">
                  <c:v>0.61096399308435778</c:v>
                </c:pt>
                <c:pt idx="23">
                  <c:v>2.6632273143930414</c:v>
                </c:pt>
                <c:pt idx="24">
                  <c:v>0</c:v>
                </c:pt>
                <c:pt idx="25">
                  <c:v>1.2689644037386998</c:v>
                </c:pt>
                <c:pt idx="26">
                  <c:v>0</c:v>
                </c:pt>
                <c:pt idx="27">
                  <c:v>0</c:v>
                </c:pt>
                <c:pt idx="28">
                  <c:v>0</c:v>
                </c:pt>
                <c:pt idx="29">
                  <c:v>0.67438065975102468</c:v>
                </c:pt>
                <c:pt idx="30">
                  <c:v>0</c:v>
                </c:pt>
                <c:pt idx="31">
                  <c:v>0</c:v>
                </c:pt>
                <c:pt idx="32">
                  <c:v>0.76244732641769097</c:v>
                </c:pt>
                <c:pt idx="33">
                  <c:v>2.3532106477263754</c:v>
                </c:pt>
                <c:pt idx="34">
                  <c:v>1.8987731477263745</c:v>
                </c:pt>
                <c:pt idx="35">
                  <c:v>2.3672981477263759</c:v>
                </c:pt>
                <c:pt idx="36">
                  <c:v>2.6033314810597084</c:v>
                </c:pt>
                <c:pt idx="37">
                  <c:v>0</c:v>
                </c:pt>
                <c:pt idx="38">
                  <c:v>0</c:v>
                </c:pt>
                <c:pt idx="39">
                  <c:v>0.56517232641769155</c:v>
                </c:pt>
                <c:pt idx="40">
                  <c:v>2.7090148143930408</c:v>
                </c:pt>
                <c:pt idx="41">
                  <c:v>1.5719227370720334</c:v>
                </c:pt>
                <c:pt idx="42">
                  <c:v>0.3326514930843576</c:v>
                </c:pt>
                <c:pt idx="43">
                  <c:v>0.107201493084359</c:v>
                </c:pt>
                <c:pt idx="44">
                  <c:v>2.9231360583807176</c:v>
                </c:pt>
                <c:pt idx="45">
                  <c:v>4.8767493796894019</c:v>
                </c:pt>
                <c:pt idx="46">
                  <c:v>3.3670110583807187</c:v>
                </c:pt>
                <c:pt idx="47">
                  <c:v>1.9340064810597086</c:v>
                </c:pt>
                <c:pt idx="48">
                  <c:v>2.3567356477263752</c:v>
                </c:pt>
                <c:pt idx="49">
                  <c:v>1.5860144037386981</c:v>
                </c:pt>
                <c:pt idx="50">
                  <c:v>1.1985019037387019</c:v>
                </c:pt>
                <c:pt idx="51">
                  <c:v>2.1066064810597078</c:v>
                </c:pt>
                <c:pt idx="52">
                  <c:v>2.9935860583807177</c:v>
                </c:pt>
                <c:pt idx="53">
                  <c:v>0</c:v>
                </c:pt>
                <c:pt idx="54">
                  <c:v>0</c:v>
                </c:pt>
                <c:pt idx="55">
                  <c:v>0</c:v>
                </c:pt>
                <c:pt idx="56">
                  <c:v>0</c:v>
                </c:pt>
                <c:pt idx="57">
                  <c:v>0</c:v>
                </c:pt>
                <c:pt idx="58">
                  <c:v>0</c:v>
                </c:pt>
                <c:pt idx="59">
                  <c:v>1.6916894037386996</c:v>
                </c:pt>
                <c:pt idx="60">
                  <c:v>2.6815977370720345</c:v>
                </c:pt>
                <c:pt idx="61">
                  <c:v>3.1662152250473854</c:v>
                </c:pt>
                <c:pt idx="62">
                  <c:v>0.30923189171404886</c:v>
                </c:pt>
                <c:pt idx="63">
                  <c:v>0.33970982641769254</c:v>
                </c:pt>
                <c:pt idx="64">
                  <c:v>0</c:v>
                </c:pt>
                <c:pt idx="65">
                  <c:v>0</c:v>
                </c:pt>
                <c:pt idx="66">
                  <c:v>0</c:v>
                </c:pt>
                <c:pt idx="67">
                  <c:v>0</c:v>
                </c:pt>
                <c:pt idx="68">
                  <c:v>0.46591367635081227</c:v>
                </c:pt>
                <c:pt idx="69">
                  <c:v>0.52993482641769241</c:v>
                </c:pt>
                <c:pt idx="70">
                  <c:v>0.23402649308435919</c:v>
                </c:pt>
                <c:pt idx="71">
                  <c:v>2.3899639930843586</c:v>
                </c:pt>
                <c:pt idx="72">
                  <c:v>4.7134689810597088</c:v>
                </c:pt>
                <c:pt idx="73">
                  <c:v>5.2501827130227348</c:v>
                </c:pt>
                <c:pt idx="74">
                  <c:v>1.5371702130227352</c:v>
                </c:pt>
                <c:pt idx="75">
                  <c:v>1.2513519037387004</c:v>
                </c:pt>
                <c:pt idx="76">
                  <c:v>2.8084102370720325</c:v>
                </c:pt>
                <c:pt idx="77">
                  <c:v>3.9482652250473853</c:v>
                </c:pt>
                <c:pt idx="78">
                  <c:v>4.3244448023683937</c:v>
                </c:pt>
                <c:pt idx="79">
                  <c:v>2.2107614690350594</c:v>
                </c:pt>
                <c:pt idx="80">
                  <c:v>2.6667398143930425</c:v>
                </c:pt>
                <c:pt idx="81">
                  <c:v>0.10920231439304295</c:v>
                </c:pt>
                <c:pt idx="82">
                  <c:v>0</c:v>
                </c:pt>
                <c:pt idx="83">
                  <c:v>0.30447649308435665</c:v>
                </c:pt>
                <c:pt idx="84">
                  <c:v>0.83993482641769113</c:v>
                </c:pt>
                <c:pt idx="85">
                  <c:v>2.3892060704053684</c:v>
                </c:pt>
                <c:pt idx="86">
                  <c:v>1.4513856477263749</c:v>
                </c:pt>
                <c:pt idx="87">
                  <c:v>3.3121602370720353</c:v>
                </c:pt>
                <c:pt idx="88">
                  <c:v>2.8280318917140503</c:v>
                </c:pt>
                <c:pt idx="89">
                  <c:v>2.5328689810597096</c:v>
                </c:pt>
                <c:pt idx="90">
                  <c:v>3.0929939810597089</c:v>
                </c:pt>
                <c:pt idx="91">
                  <c:v>2.7822360583807182</c:v>
                </c:pt>
                <c:pt idx="92">
                  <c:v>3.4347064810597097</c:v>
                </c:pt>
                <c:pt idx="93">
                  <c:v>3.8637193917140529</c:v>
                </c:pt>
                <c:pt idx="94">
                  <c:v>5.4305989690350609</c:v>
                </c:pt>
                <c:pt idx="95">
                  <c:v>6.9340410463560698</c:v>
                </c:pt>
                <c:pt idx="96">
                  <c:v>8.0555214449857608</c:v>
                </c:pt>
                <c:pt idx="97">
                  <c:v>6.9282339449857631</c:v>
                </c:pt>
                <c:pt idx="98">
                  <c:v>5.3191043676647531</c:v>
                </c:pt>
                <c:pt idx="99">
                  <c:v>3.9749327130227359</c:v>
                </c:pt>
                <c:pt idx="100">
                  <c:v>5.39536146903506</c:v>
                </c:pt>
                <c:pt idx="101">
                  <c:v>6.5289410463560689</c:v>
                </c:pt>
                <c:pt idx="102">
                  <c:v>7.1720668676647534</c:v>
                </c:pt>
                <c:pt idx="103">
                  <c:v>4.388333944985761</c:v>
                </c:pt>
                <c:pt idx="104">
                  <c:v>1.3794031357017271</c:v>
                </c:pt>
                <c:pt idx="105">
                  <c:v>0.99066023707203321</c:v>
                </c:pt>
                <c:pt idx="106">
                  <c:v>0</c:v>
                </c:pt>
                <c:pt idx="107">
                  <c:v>2.9105343017480578E-2</c:v>
                </c:pt>
                <c:pt idx="108">
                  <c:v>1.3260764930843578</c:v>
                </c:pt>
                <c:pt idx="109">
                  <c:v>0.36713523707203599</c:v>
                </c:pt>
                <c:pt idx="110">
                  <c:v>0</c:v>
                </c:pt>
                <c:pt idx="111">
                  <c:v>0</c:v>
                </c:pt>
                <c:pt idx="112">
                  <c:v>0</c:v>
                </c:pt>
                <c:pt idx="113">
                  <c:v>0</c:v>
                </c:pt>
                <c:pt idx="114">
                  <c:v>0</c:v>
                </c:pt>
                <c:pt idx="115">
                  <c:v>0.47647617635081296</c:v>
                </c:pt>
                <c:pt idx="116">
                  <c:v>2.988843159751025</c:v>
                </c:pt>
                <c:pt idx="117">
                  <c:v>6.0548693917140515</c:v>
                </c:pt>
                <c:pt idx="118">
                  <c:v>5.2388247903437462</c:v>
                </c:pt>
                <c:pt idx="119">
                  <c:v>7.3039285463560697</c:v>
                </c:pt>
                <c:pt idx="120">
                  <c:v>8.2316506116524302</c:v>
                </c:pt>
                <c:pt idx="121">
                  <c:v>8.6931214449857617</c:v>
                </c:pt>
                <c:pt idx="122">
                  <c:v>6.1814214449857605</c:v>
                </c:pt>
                <c:pt idx="123">
                  <c:v>5.1930372903437449</c:v>
                </c:pt>
                <c:pt idx="124">
                  <c:v>5.0211868796894032</c:v>
                </c:pt>
                <c:pt idx="125">
                  <c:v>5.0423160463560697</c:v>
                </c:pt>
                <c:pt idx="126">
                  <c:v>5.7010743796894037</c:v>
                </c:pt>
                <c:pt idx="127">
                  <c:v>5.4114539570104112</c:v>
                </c:pt>
                <c:pt idx="128">
                  <c:v>4.9542535463560693</c:v>
                </c:pt>
                <c:pt idx="129">
                  <c:v>6.0674368796894029</c:v>
                </c:pt>
                <c:pt idx="130">
                  <c:v>6.8268377009980874</c:v>
                </c:pt>
                <c:pt idx="131">
                  <c:v>7.7983506116524293</c:v>
                </c:pt>
                <c:pt idx="132">
                  <c:v>8.6473297783190937</c:v>
                </c:pt>
                <c:pt idx="133">
                  <c:v>8.8128964449857605</c:v>
                </c:pt>
                <c:pt idx="134">
                  <c:v>8.802325611652428</c:v>
                </c:pt>
                <c:pt idx="135">
                  <c:v>8.2809672783190962</c:v>
                </c:pt>
                <c:pt idx="136">
                  <c:v>8.4148297783190955</c:v>
                </c:pt>
                <c:pt idx="137">
                  <c:v>8.3796089449857618</c:v>
                </c:pt>
                <c:pt idx="138">
                  <c:v>7.9885756116524291</c:v>
                </c:pt>
                <c:pt idx="139">
                  <c:v>7.9286881116524288</c:v>
                </c:pt>
                <c:pt idx="140">
                  <c:v>7.985058944985763</c:v>
                </c:pt>
                <c:pt idx="141">
                  <c:v>8.7424422783190945</c:v>
                </c:pt>
                <c:pt idx="142">
                  <c:v>7.9287006116524292</c:v>
                </c:pt>
                <c:pt idx="143">
                  <c:v>7.3157297783190955</c:v>
                </c:pt>
                <c:pt idx="144">
                  <c:v>8.2774464449857614</c:v>
                </c:pt>
                <c:pt idx="145">
                  <c:v>7.7032339449857634</c:v>
                </c:pt>
                <c:pt idx="146">
                  <c:v>7.8194922783190961</c:v>
                </c:pt>
                <c:pt idx="147">
                  <c:v>7.2488131116524279</c:v>
                </c:pt>
                <c:pt idx="148">
                  <c:v>7.7885543676647533</c:v>
                </c:pt>
                <c:pt idx="149">
                  <c:v>7.4848422783190962</c:v>
                </c:pt>
                <c:pt idx="150">
                  <c:v>7.5243502009980876</c:v>
                </c:pt>
                <c:pt idx="151">
                  <c:v>8.8481172783190942</c:v>
                </c:pt>
                <c:pt idx="152">
                  <c:v>8.8481172783190942</c:v>
                </c:pt>
                <c:pt idx="153">
                  <c:v>8.7431960343314188</c:v>
                </c:pt>
                <c:pt idx="154">
                  <c:v>8.7431960343314188</c:v>
                </c:pt>
                <c:pt idx="155">
                  <c:v>8.8481172783190942</c:v>
                </c:pt>
                <c:pt idx="156">
                  <c:v>8.6382747903437433</c:v>
                </c:pt>
                <c:pt idx="157">
                  <c:v>8.6382747903437433</c:v>
                </c:pt>
                <c:pt idx="158">
                  <c:v>8.6382747903437433</c:v>
                </c:pt>
                <c:pt idx="159">
                  <c:v>8.6382747903437433</c:v>
                </c:pt>
                <c:pt idx="160">
                  <c:v>8.5333535463560679</c:v>
                </c:pt>
                <c:pt idx="161">
                  <c:v>8.4284323023683925</c:v>
                </c:pt>
                <c:pt idx="162">
                  <c:v>8.5333535463560679</c:v>
                </c:pt>
                <c:pt idx="163">
                  <c:v>8.4284323023683925</c:v>
                </c:pt>
                <c:pt idx="164">
                  <c:v>8.6382747903437433</c:v>
                </c:pt>
                <c:pt idx="165">
                  <c:v>8.8481172783190942</c:v>
                </c:pt>
                <c:pt idx="166">
                  <c:v>8.7431960343314188</c:v>
                </c:pt>
                <c:pt idx="167">
                  <c:v>8.7431960343314188</c:v>
                </c:pt>
                <c:pt idx="168">
                  <c:v>8.8481172783190942</c:v>
                </c:pt>
                <c:pt idx="169">
                  <c:v>8.8481172783190942</c:v>
                </c:pt>
                <c:pt idx="170">
                  <c:v>8.8481172783190942</c:v>
                </c:pt>
                <c:pt idx="171">
                  <c:v>8.7431960343314188</c:v>
                </c:pt>
                <c:pt idx="172">
                  <c:v>8.8481172783190942</c:v>
                </c:pt>
                <c:pt idx="173">
                  <c:v>8.8481172783190942</c:v>
                </c:pt>
                <c:pt idx="174">
                  <c:v>8.8481172783190942</c:v>
                </c:pt>
                <c:pt idx="175">
                  <c:v>8.8481172783190942</c:v>
                </c:pt>
                <c:pt idx="176">
                  <c:v>8.8481172783190942</c:v>
                </c:pt>
                <c:pt idx="177">
                  <c:v>8.8481172783190942</c:v>
                </c:pt>
                <c:pt idx="178">
                  <c:v>8.8481172783190942</c:v>
                </c:pt>
                <c:pt idx="179">
                  <c:v>8.8481172783190942</c:v>
                </c:pt>
                <c:pt idx="180">
                  <c:v>8.8481172783190942</c:v>
                </c:pt>
                <c:pt idx="181">
                  <c:v>8.8481172783190942</c:v>
                </c:pt>
                <c:pt idx="182">
                  <c:v>8.8481172783190942</c:v>
                </c:pt>
                <c:pt idx="183">
                  <c:v>8.8481172783190942</c:v>
                </c:pt>
                <c:pt idx="184">
                  <c:v>8.6382747903437433</c:v>
                </c:pt>
                <c:pt idx="185">
                  <c:v>8.8481172783190942</c:v>
                </c:pt>
                <c:pt idx="186">
                  <c:v>8.8481172783190942</c:v>
                </c:pt>
                <c:pt idx="187">
                  <c:v>8.8481172783190942</c:v>
                </c:pt>
                <c:pt idx="188">
                  <c:v>8.7431960343314188</c:v>
                </c:pt>
                <c:pt idx="189">
                  <c:v>8.8481172783190942</c:v>
                </c:pt>
                <c:pt idx="190">
                  <c:v>8.8481172783190942</c:v>
                </c:pt>
                <c:pt idx="191">
                  <c:v>8.8481172783190942</c:v>
                </c:pt>
                <c:pt idx="192">
                  <c:v>8.8481172783190942</c:v>
                </c:pt>
                <c:pt idx="193">
                  <c:v>8.7431960343314188</c:v>
                </c:pt>
                <c:pt idx="194">
                  <c:v>8.8481172783190942</c:v>
                </c:pt>
                <c:pt idx="195">
                  <c:v>8.8481172783190942</c:v>
                </c:pt>
                <c:pt idx="196">
                  <c:v>8.8481172783190942</c:v>
                </c:pt>
                <c:pt idx="197">
                  <c:v>8.8481172783190942</c:v>
                </c:pt>
                <c:pt idx="198">
                  <c:v>8.8481172783190942</c:v>
                </c:pt>
                <c:pt idx="199">
                  <c:v>8.8481172783190942</c:v>
                </c:pt>
                <c:pt idx="200">
                  <c:v>8.8481172783190942</c:v>
                </c:pt>
                <c:pt idx="201">
                  <c:v>8.8481172783190942</c:v>
                </c:pt>
                <c:pt idx="202">
                  <c:v>8.8481172783190942</c:v>
                </c:pt>
                <c:pt idx="203">
                  <c:v>8.8481172783190942</c:v>
                </c:pt>
                <c:pt idx="204">
                  <c:v>8.8481172783190942</c:v>
                </c:pt>
                <c:pt idx="205">
                  <c:v>8.8481172783190942</c:v>
                </c:pt>
                <c:pt idx="206">
                  <c:v>8.8481172783190942</c:v>
                </c:pt>
                <c:pt idx="207">
                  <c:v>8.8481172783190942</c:v>
                </c:pt>
                <c:pt idx="208">
                  <c:v>8.8481172783190942</c:v>
                </c:pt>
                <c:pt idx="209">
                  <c:v>8.8481172783190942</c:v>
                </c:pt>
                <c:pt idx="210">
                  <c:v>8.8481172783190942</c:v>
                </c:pt>
                <c:pt idx="211">
                  <c:v>8.8481172783190942</c:v>
                </c:pt>
                <c:pt idx="212">
                  <c:v>8.8481172783190942</c:v>
                </c:pt>
                <c:pt idx="213">
                  <c:v>8.8481172783190942</c:v>
                </c:pt>
                <c:pt idx="214">
                  <c:v>8.8481172783190942</c:v>
                </c:pt>
                <c:pt idx="215">
                  <c:v>8.8481172783190942</c:v>
                </c:pt>
                <c:pt idx="216">
                  <c:v>8.8481172783190942</c:v>
                </c:pt>
                <c:pt idx="217">
                  <c:v>8.8481172783190942</c:v>
                </c:pt>
                <c:pt idx="218">
                  <c:v>8.8481172783190942</c:v>
                </c:pt>
                <c:pt idx="219">
                  <c:v>8.8481172783190942</c:v>
                </c:pt>
                <c:pt idx="220">
                  <c:v>8.8481172783190942</c:v>
                </c:pt>
                <c:pt idx="221">
                  <c:v>8.8481172783190942</c:v>
                </c:pt>
                <c:pt idx="222">
                  <c:v>8.8481172783190942</c:v>
                </c:pt>
                <c:pt idx="223">
                  <c:v>8.8481172783190942</c:v>
                </c:pt>
                <c:pt idx="224">
                  <c:v>8.8481172783190942</c:v>
                </c:pt>
                <c:pt idx="225">
                  <c:v>8.8481172783190942</c:v>
                </c:pt>
                <c:pt idx="226">
                  <c:v>8.8481172783190942</c:v>
                </c:pt>
                <c:pt idx="227">
                  <c:v>8.8481172783190942</c:v>
                </c:pt>
                <c:pt idx="228">
                  <c:v>8.8481172783190942</c:v>
                </c:pt>
                <c:pt idx="229">
                  <c:v>8.8481172783190942</c:v>
                </c:pt>
                <c:pt idx="230">
                  <c:v>8.8481172783190942</c:v>
                </c:pt>
                <c:pt idx="231">
                  <c:v>8.8481172783190942</c:v>
                </c:pt>
                <c:pt idx="232">
                  <c:v>8.8481172783190942</c:v>
                </c:pt>
                <c:pt idx="233">
                  <c:v>8.8481172783190942</c:v>
                </c:pt>
                <c:pt idx="234">
                  <c:v>8.8481172783190942</c:v>
                </c:pt>
                <c:pt idx="235">
                  <c:v>8.8481172783190942</c:v>
                </c:pt>
                <c:pt idx="236">
                  <c:v>8.8481172783190942</c:v>
                </c:pt>
                <c:pt idx="237">
                  <c:v>8.8481172783190942</c:v>
                </c:pt>
                <c:pt idx="238">
                  <c:v>8.8481172783190942</c:v>
                </c:pt>
                <c:pt idx="239">
                  <c:v>8.8481172783190942</c:v>
                </c:pt>
                <c:pt idx="240">
                  <c:v>8.8481172783190942</c:v>
                </c:pt>
                <c:pt idx="241">
                  <c:v>8.8481172783190942</c:v>
                </c:pt>
                <c:pt idx="242">
                  <c:v>8.8481172783190942</c:v>
                </c:pt>
                <c:pt idx="243">
                  <c:v>8.4500631116524278</c:v>
                </c:pt>
                <c:pt idx="244">
                  <c:v>8.8481172783190942</c:v>
                </c:pt>
                <c:pt idx="245">
                  <c:v>8.8481172783190942</c:v>
                </c:pt>
                <c:pt idx="246">
                  <c:v>8.8481172783190942</c:v>
                </c:pt>
                <c:pt idx="247">
                  <c:v>8.8164172783190953</c:v>
                </c:pt>
                <c:pt idx="248">
                  <c:v>8.8481172783190942</c:v>
                </c:pt>
                <c:pt idx="249">
                  <c:v>8.8445964449857613</c:v>
                </c:pt>
                <c:pt idx="250">
                  <c:v>8.7741422783190952</c:v>
                </c:pt>
                <c:pt idx="251">
                  <c:v>7.8406256116524293</c:v>
                </c:pt>
                <c:pt idx="252">
                  <c:v>7.6116714449857614</c:v>
                </c:pt>
                <c:pt idx="253">
                  <c:v>4.6208339449857618</c:v>
                </c:pt>
                <c:pt idx="254">
                  <c:v>3.6515948023683933</c:v>
                </c:pt>
                <c:pt idx="255">
                  <c:v>4.1913402250473846</c:v>
                </c:pt>
                <c:pt idx="256">
                  <c:v>4.514661469035059</c:v>
                </c:pt>
                <c:pt idx="257">
                  <c:v>5.3460364690350604</c:v>
                </c:pt>
                <c:pt idx="258">
                  <c:v>7.3665831236770778</c:v>
                </c:pt>
                <c:pt idx="259">
                  <c:v>8.1435881116524289</c:v>
                </c:pt>
                <c:pt idx="260">
                  <c:v>7.8441506116524291</c:v>
                </c:pt>
                <c:pt idx="261">
                  <c:v>8.0379131116524292</c:v>
                </c:pt>
                <c:pt idx="262">
                  <c:v>8.3514256116524272</c:v>
                </c:pt>
                <c:pt idx="263">
                  <c:v>7.2488006116524293</c:v>
                </c:pt>
                <c:pt idx="264">
                  <c:v>7.0726631116524299</c:v>
                </c:pt>
                <c:pt idx="265">
                  <c:v>7.9357381116524293</c:v>
                </c:pt>
                <c:pt idx="266">
                  <c:v>7.361538111652429</c:v>
                </c:pt>
                <c:pt idx="267">
                  <c:v>7.4002964449857611</c:v>
                </c:pt>
                <c:pt idx="268">
                  <c:v>7.6617293676647549</c:v>
                </c:pt>
                <c:pt idx="269">
                  <c:v>6.1779047783190961</c:v>
                </c:pt>
                <c:pt idx="270">
                  <c:v>3.9530289570104111</c:v>
                </c:pt>
                <c:pt idx="271">
                  <c:v>3.4586110583807184</c:v>
                </c:pt>
                <c:pt idx="272">
                  <c:v>3.9799735583807179</c:v>
                </c:pt>
                <c:pt idx="273">
                  <c:v>5.8040114690350588</c:v>
                </c:pt>
                <c:pt idx="274">
                  <c:v>4.7773539570104102</c:v>
                </c:pt>
                <c:pt idx="275">
                  <c:v>2.8519239690350595</c:v>
                </c:pt>
                <c:pt idx="276">
                  <c:v>1.613427314393042</c:v>
                </c:pt>
                <c:pt idx="277">
                  <c:v>2.1109060704053677</c:v>
                </c:pt>
                <c:pt idx="278">
                  <c:v>2.8006023143930436</c:v>
                </c:pt>
                <c:pt idx="279">
                  <c:v>6.283856891714052</c:v>
                </c:pt>
                <c:pt idx="280">
                  <c:v>7.7110460343314209</c:v>
                </c:pt>
                <c:pt idx="281">
                  <c:v>7.1008464449857627</c:v>
                </c:pt>
                <c:pt idx="282">
                  <c:v>5.0231960343314199</c:v>
                </c:pt>
                <c:pt idx="283">
                  <c:v>2.3227493796894016</c:v>
                </c:pt>
                <c:pt idx="284">
                  <c:v>1.5887689810597081</c:v>
                </c:pt>
                <c:pt idx="285">
                  <c:v>3.2769435704053658</c:v>
                </c:pt>
                <c:pt idx="286">
                  <c:v>1.5915360583807177</c:v>
                </c:pt>
                <c:pt idx="287">
                  <c:v>0.99770190373870271</c:v>
                </c:pt>
                <c:pt idx="288">
                  <c:v>5.077068570405368</c:v>
                </c:pt>
                <c:pt idx="289">
                  <c:v>7.7822706236770776</c:v>
                </c:pt>
                <c:pt idx="290">
                  <c:v>7.9040297783190958</c:v>
                </c:pt>
                <c:pt idx="291">
                  <c:v>6.3681256116524274</c:v>
                </c:pt>
                <c:pt idx="292">
                  <c:v>7.387716457010411</c:v>
                </c:pt>
                <c:pt idx="293">
                  <c:v>7.1466547783190961</c:v>
                </c:pt>
                <c:pt idx="294">
                  <c:v>5.1676127009980855</c:v>
                </c:pt>
                <c:pt idx="295">
                  <c:v>3.805845213022736</c:v>
                </c:pt>
                <c:pt idx="296">
                  <c:v>2.9971110583807175</c:v>
                </c:pt>
                <c:pt idx="297">
                  <c:v>5.2235110583807183</c:v>
                </c:pt>
                <c:pt idx="298">
                  <c:v>5.8173285463560696</c:v>
                </c:pt>
                <c:pt idx="299">
                  <c:v>5.2952039570104104</c:v>
                </c:pt>
                <c:pt idx="300">
                  <c:v>4.9436952130227345</c:v>
                </c:pt>
                <c:pt idx="301">
                  <c:v>6.6170077130227352</c:v>
                </c:pt>
                <c:pt idx="302">
                  <c:v>5.9109293676647514</c:v>
                </c:pt>
                <c:pt idx="303">
                  <c:v>5.6474664570104105</c:v>
                </c:pt>
                <c:pt idx="304">
                  <c:v>5.1585785463560683</c:v>
                </c:pt>
                <c:pt idx="305">
                  <c:v>2.6609285463560681</c:v>
                </c:pt>
                <c:pt idx="306">
                  <c:v>0</c:v>
                </c:pt>
                <c:pt idx="307">
                  <c:v>0</c:v>
                </c:pt>
                <c:pt idx="308">
                  <c:v>0</c:v>
                </c:pt>
                <c:pt idx="309">
                  <c:v>0.30677585961727161</c:v>
                </c:pt>
                <c:pt idx="310">
                  <c:v>0</c:v>
                </c:pt>
                <c:pt idx="311">
                  <c:v>0</c:v>
                </c:pt>
                <c:pt idx="312">
                  <c:v>0</c:v>
                </c:pt>
                <c:pt idx="313">
                  <c:v>1.0506928430174787</c:v>
                </c:pt>
                <c:pt idx="314">
                  <c:v>2.995122737072033</c:v>
                </c:pt>
                <c:pt idx="315">
                  <c:v>1.5351652250473835</c:v>
                </c:pt>
                <c:pt idx="316">
                  <c:v>2.3222685704053667</c:v>
                </c:pt>
                <c:pt idx="317">
                  <c:v>3.0331106477263754</c:v>
                </c:pt>
                <c:pt idx="318">
                  <c:v>2.5391652250473866</c:v>
                </c:pt>
                <c:pt idx="319">
                  <c:v>2.5011689810597089</c:v>
                </c:pt>
                <c:pt idx="320">
                  <c:v>0.57774398105970981</c:v>
                </c:pt>
                <c:pt idx="321">
                  <c:v>0</c:v>
                </c:pt>
                <c:pt idx="322">
                  <c:v>0</c:v>
                </c:pt>
                <c:pt idx="323">
                  <c:v>0</c:v>
                </c:pt>
                <c:pt idx="324">
                  <c:v>0</c:v>
                </c:pt>
                <c:pt idx="325">
                  <c:v>0</c:v>
                </c:pt>
                <c:pt idx="326">
                  <c:v>0</c:v>
                </c:pt>
                <c:pt idx="327">
                  <c:v>5.0689755428837273</c:v>
                </c:pt>
                <c:pt idx="328">
                  <c:v>5.2493997903437446</c:v>
                </c:pt>
                <c:pt idx="329">
                  <c:v>1.0052243796894018</c:v>
                </c:pt>
                <c:pt idx="330">
                  <c:v>0</c:v>
                </c:pt>
                <c:pt idx="331">
                  <c:v>0.31091784301747971</c:v>
                </c:pt>
                <c:pt idx="332">
                  <c:v>0</c:v>
                </c:pt>
                <c:pt idx="333">
                  <c:v>0</c:v>
                </c:pt>
                <c:pt idx="334">
                  <c:v>0</c:v>
                </c:pt>
                <c:pt idx="335">
                  <c:v>1.7305886763508118</c:v>
                </c:pt>
                <c:pt idx="336">
                  <c:v>0</c:v>
                </c:pt>
                <c:pt idx="337">
                  <c:v>0</c:v>
                </c:pt>
                <c:pt idx="338">
                  <c:v>0</c:v>
                </c:pt>
                <c:pt idx="339">
                  <c:v>1.3959178430174797</c:v>
                </c:pt>
                <c:pt idx="340">
                  <c:v>0.72644773707203392</c:v>
                </c:pt>
                <c:pt idx="341">
                  <c:v>0</c:v>
                </c:pt>
                <c:pt idx="342">
                  <c:v>0</c:v>
                </c:pt>
                <c:pt idx="343">
                  <c:v>0</c:v>
                </c:pt>
                <c:pt idx="344">
                  <c:v>0</c:v>
                </c:pt>
                <c:pt idx="345">
                  <c:v>0</c:v>
                </c:pt>
                <c:pt idx="346">
                  <c:v>0</c:v>
                </c:pt>
                <c:pt idx="347">
                  <c:v>0</c:v>
                </c:pt>
                <c:pt idx="348">
                  <c:v>0.73595054288372452</c:v>
                </c:pt>
                <c:pt idx="349">
                  <c:v>2.8506935704053662</c:v>
                </c:pt>
                <c:pt idx="350">
                  <c:v>1.7817527250473839</c:v>
                </c:pt>
                <c:pt idx="351">
                  <c:v>2.6956894037387009</c:v>
                </c:pt>
                <c:pt idx="352">
                  <c:v>1.7641527250473823</c:v>
                </c:pt>
                <c:pt idx="353">
                  <c:v>0</c:v>
                </c:pt>
                <c:pt idx="354">
                  <c:v>0.96263034301748185</c:v>
                </c:pt>
                <c:pt idx="355">
                  <c:v>0</c:v>
                </c:pt>
                <c:pt idx="356">
                  <c:v>0</c:v>
                </c:pt>
                <c:pt idx="357">
                  <c:v>0</c:v>
                </c:pt>
                <c:pt idx="358">
                  <c:v>1.4376008596172705</c:v>
                </c:pt>
                <c:pt idx="359">
                  <c:v>0.32484357040536871</c:v>
                </c:pt>
                <c:pt idx="360">
                  <c:v>0</c:v>
                </c:pt>
                <c:pt idx="361">
                  <c:v>0</c:v>
                </c:pt>
                <c:pt idx="362">
                  <c:v>0</c:v>
                </c:pt>
                <c:pt idx="363">
                  <c:v>0.32791752628393667</c:v>
                </c:pt>
                <c:pt idx="364">
                  <c:v>0</c:v>
                </c:pt>
              </c:numCache>
            </c:numRef>
          </c:yVal>
          <c:smooth val="0"/>
          <c:extLst>
            <c:ext xmlns:c16="http://schemas.microsoft.com/office/drawing/2014/chart" uri="{C3380CC4-5D6E-409C-BE32-E72D297353CC}">
              <c16:uniqueId val="{00000000-6DF5-4335-860F-32322BA45A30}"/>
            </c:ext>
          </c:extLst>
        </c:ser>
        <c:dLbls>
          <c:showLegendKey val="0"/>
          <c:showVal val="0"/>
          <c:showCatName val="0"/>
          <c:showSerName val="0"/>
          <c:showPercent val="0"/>
          <c:showBubbleSize val="0"/>
        </c:dLbls>
        <c:axId val="223378399"/>
        <c:axId val="223377567"/>
      </c:scatterChart>
      <c:valAx>
        <c:axId val="223378399"/>
        <c:scaling>
          <c:orientation val="minMax"/>
        </c:scaling>
        <c:delete val="0"/>
        <c:axPos val="b"/>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223377567"/>
        <c:crosses val="autoZero"/>
        <c:crossBetween val="midCat"/>
      </c:valAx>
      <c:valAx>
        <c:axId val="223377567"/>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223378399"/>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a:t>VP prod.</a:t>
            </a:r>
            <a:r>
              <a:rPr lang="da-DK" baseline="0"/>
              <a:t> pris</a:t>
            </a:r>
            <a:endParaRPr lang="da-DK"/>
          </a:p>
        </c:rich>
      </c:tx>
      <c:overlay val="0"/>
      <c:spPr>
        <a:noFill/>
        <a:ln>
          <a:noFill/>
        </a:ln>
        <a:effectLst/>
      </c:spPr>
    </c:title>
    <c:autoTitleDeleted val="0"/>
    <c:plotArea>
      <c:layout/>
      <c:scatterChart>
        <c:scatterStyle val="lineMarker"/>
        <c:varyColors val="0"/>
        <c:ser>
          <c:idx val="1"/>
          <c:order val="0"/>
          <c:spPr>
            <a:ln w="25400">
              <a:noFill/>
            </a:ln>
          </c:spPr>
          <c:yVal>
            <c:numRef>
              <c:f>'Systemberegning VP1'!$AH$16:$AH$380</c:f>
              <c:numCache>
                <c:formatCode>0</c:formatCode>
                <c:ptCount val="365"/>
                <c:pt idx="0">
                  <c:v>48.195176072664196</c:v>
                </c:pt>
                <c:pt idx="1">
                  <c:v>46.906085468567859</c:v>
                </c:pt>
                <c:pt idx="2">
                  <c:v>46.906085468567859</c:v>
                </c:pt>
                <c:pt idx="3">
                  <c:v>49.428261889997998</c:v>
                </c:pt>
                <c:pt idx="4">
                  <c:v>49.428261889997998</c:v>
                </c:pt>
                <c:pt idx="5">
                  <c:v>51.705110358037608</c:v>
                </c:pt>
                <c:pt idx="6">
                  <c:v>53.426917267849994</c:v>
                </c:pt>
                <c:pt idx="7">
                  <c:v>54.319702394001474</c:v>
                </c:pt>
                <c:pt idx="8">
                  <c:v>57.170372102086269</c:v>
                </c:pt>
                <c:pt idx="9">
                  <c:v>57.170372102086269</c:v>
                </c:pt>
                <c:pt idx="10">
                  <c:v>54.319702394001474</c:v>
                </c:pt>
                <c:pt idx="11">
                  <c:v>50.874588423736348</c:v>
                </c:pt>
                <c:pt idx="12">
                  <c:v>50.063378875196641</c:v>
                </c:pt>
                <c:pt idx="13">
                  <c:v>50.063378875196641</c:v>
                </c:pt>
                <c:pt idx="14">
                  <c:v>51.705110358037608</c:v>
                </c:pt>
                <c:pt idx="15">
                  <c:v>52.555642638331896</c:v>
                </c:pt>
                <c:pt idx="16">
                  <c:v>54.319702394001474</c:v>
                </c:pt>
                <c:pt idx="17">
                  <c:v>54.319702394001474</c:v>
                </c:pt>
                <c:pt idx="18">
                  <c:v>51.705110358037608</c:v>
                </c:pt>
                <c:pt idx="19">
                  <c:v>52.555642638331896</c:v>
                </c:pt>
                <c:pt idx="20">
                  <c:v>50.874588423736348</c:v>
                </c:pt>
                <c:pt idx="21">
                  <c:v>47.543281477447003</c:v>
                </c:pt>
                <c:pt idx="22">
                  <c:v>48.195176072664175</c:v>
                </c:pt>
                <c:pt idx="23">
                  <c:v>46.906085468567859</c:v>
                </c:pt>
                <c:pt idx="24">
                  <c:v>48.805649522192738</c:v>
                </c:pt>
                <c:pt idx="25">
                  <c:v>47.54328147744701</c:v>
                </c:pt>
                <c:pt idx="26">
                  <c:v>49.428261889997998</c:v>
                </c:pt>
                <c:pt idx="27">
                  <c:v>50.063378875196641</c:v>
                </c:pt>
                <c:pt idx="28">
                  <c:v>48.805649522192738</c:v>
                </c:pt>
                <c:pt idx="29">
                  <c:v>48.195176072664196</c:v>
                </c:pt>
                <c:pt idx="30">
                  <c:v>48.805649522192738</c:v>
                </c:pt>
                <c:pt idx="31">
                  <c:v>48.805649522192738</c:v>
                </c:pt>
                <c:pt idx="32">
                  <c:v>48.195176072664189</c:v>
                </c:pt>
                <c:pt idx="33">
                  <c:v>46.906085468567859</c:v>
                </c:pt>
                <c:pt idx="34">
                  <c:v>46.906085468567859</c:v>
                </c:pt>
                <c:pt idx="35">
                  <c:v>46.906085468567852</c:v>
                </c:pt>
                <c:pt idx="36">
                  <c:v>46.906085468567859</c:v>
                </c:pt>
                <c:pt idx="37">
                  <c:v>49.428261889997998</c:v>
                </c:pt>
                <c:pt idx="38">
                  <c:v>51.705110358037608</c:v>
                </c:pt>
                <c:pt idx="39">
                  <c:v>48.195176072664196</c:v>
                </c:pt>
                <c:pt idx="40">
                  <c:v>46.906085468567859</c:v>
                </c:pt>
                <c:pt idx="41">
                  <c:v>47.543281477447017</c:v>
                </c:pt>
                <c:pt idx="42">
                  <c:v>48.195176072664189</c:v>
                </c:pt>
                <c:pt idx="43">
                  <c:v>48.195176072664189</c:v>
                </c:pt>
                <c:pt idx="44">
                  <c:v>46.283096463675768</c:v>
                </c:pt>
                <c:pt idx="45">
                  <c:v>45.077880349837379</c:v>
                </c:pt>
                <c:pt idx="46">
                  <c:v>46.283096463675768</c:v>
                </c:pt>
                <c:pt idx="47">
                  <c:v>46.906085468567859</c:v>
                </c:pt>
                <c:pt idx="48">
                  <c:v>46.906085468567852</c:v>
                </c:pt>
                <c:pt idx="49">
                  <c:v>47.54328147744701</c:v>
                </c:pt>
                <c:pt idx="50">
                  <c:v>47.54328147744701</c:v>
                </c:pt>
                <c:pt idx="51">
                  <c:v>46.906085468567859</c:v>
                </c:pt>
                <c:pt idx="52">
                  <c:v>46.283096463675776</c:v>
                </c:pt>
                <c:pt idx="53">
                  <c:v>48.805649522192738</c:v>
                </c:pt>
                <c:pt idx="54">
                  <c:v>49.428261889997998</c:v>
                </c:pt>
                <c:pt idx="55">
                  <c:v>49.428261889997998</c:v>
                </c:pt>
                <c:pt idx="56">
                  <c:v>50.063378875196641</c:v>
                </c:pt>
                <c:pt idx="57">
                  <c:v>50.063378875196641</c:v>
                </c:pt>
                <c:pt idx="58">
                  <c:v>48.805649522192738</c:v>
                </c:pt>
                <c:pt idx="59">
                  <c:v>47.54328147744701</c:v>
                </c:pt>
                <c:pt idx="60">
                  <c:v>47.54328147744701</c:v>
                </c:pt>
                <c:pt idx="61">
                  <c:v>46.283096463675776</c:v>
                </c:pt>
                <c:pt idx="62">
                  <c:v>46.283096463675768</c:v>
                </c:pt>
                <c:pt idx="63">
                  <c:v>48.195176072664189</c:v>
                </c:pt>
                <c:pt idx="64">
                  <c:v>48.195176072664189</c:v>
                </c:pt>
                <c:pt idx="65">
                  <c:v>48.805649522192738</c:v>
                </c:pt>
                <c:pt idx="66">
                  <c:v>50.063378875196641</c:v>
                </c:pt>
                <c:pt idx="67">
                  <c:v>50.063378875196641</c:v>
                </c:pt>
                <c:pt idx="68">
                  <c:v>48.805649522192738</c:v>
                </c:pt>
                <c:pt idx="69">
                  <c:v>48.195176072664189</c:v>
                </c:pt>
                <c:pt idx="70">
                  <c:v>48.195176072664189</c:v>
                </c:pt>
                <c:pt idx="71">
                  <c:v>48.195176072664189</c:v>
                </c:pt>
                <c:pt idx="72">
                  <c:v>46.906085468567859</c:v>
                </c:pt>
                <c:pt idx="73">
                  <c:v>45.077880349837379</c:v>
                </c:pt>
                <c:pt idx="74">
                  <c:v>45.077880349837379</c:v>
                </c:pt>
                <c:pt idx="75">
                  <c:v>47.54328147744701</c:v>
                </c:pt>
                <c:pt idx="76">
                  <c:v>47.54328147744701</c:v>
                </c:pt>
                <c:pt idx="77">
                  <c:v>46.283096463675776</c:v>
                </c:pt>
                <c:pt idx="78">
                  <c:v>45.673844559506335</c:v>
                </c:pt>
                <c:pt idx="79">
                  <c:v>45.673844559506335</c:v>
                </c:pt>
                <c:pt idx="80">
                  <c:v>46.906085468567859</c:v>
                </c:pt>
                <c:pt idx="81">
                  <c:v>46.906085468567852</c:v>
                </c:pt>
                <c:pt idx="82">
                  <c:v>48.805649522192738</c:v>
                </c:pt>
                <c:pt idx="83">
                  <c:v>48.195176072664189</c:v>
                </c:pt>
                <c:pt idx="84">
                  <c:v>48.195176072664175</c:v>
                </c:pt>
                <c:pt idx="85">
                  <c:v>47.54328147744701</c:v>
                </c:pt>
                <c:pt idx="86">
                  <c:v>46.906085468567859</c:v>
                </c:pt>
                <c:pt idx="87">
                  <c:v>47.54328147744701</c:v>
                </c:pt>
                <c:pt idx="88">
                  <c:v>46.283096463675768</c:v>
                </c:pt>
                <c:pt idx="89">
                  <c:v>46.906085468567859</c:v>
                </c:pt>
                <c:pt idx="90">
                  <c:v>46.906085468567859</c:v>
                </c:pt>
                <c:pt idx="91">
                  <c:v>46.283096463675768</c:v>
                </c:pt>
                <c:pt idx="92">
                  <c:v>46.906085468567859</c:v>
                </c:pt>
                <c:pt idx="93">
                  <c:v>46.283096463675776</c:v>
                </c:pt>
                <c:pt idx="94">
                  <c:v>45.673844559506328</c:v>
                </c:pt>
                <c:pt idx="95">
                  <c:v>45.077880349837365</c:v>
                </c:pt>
                <c:pt idx="96">
                  <c:v>43.365504555254454</c:v>
                </c:pt>
                <c:pt idx="97">
                  <c:v>43.365504555254454</c:v>
                </c:pt>
                <c:pt idx="98">
                  <c:v>43.924113311887368</c:v>
                </c:pt>
                <c:pt idx="99">
                  <c:v>45.077880349837365</c:v>
                </c:pt>
                <c:pt idx="100">
                  <c:v>45.673844559506335</c:v>
                </c:pt>
                <c:pt idx="101">
                  <c:v>45.077880349837379</c:v>
                </c:pt>
                <c:pt idx="102">
                  <c:v>43.924113311887368</c:v>
                </c:pt>
                <c:pt idx="103">
                  <c:v>43.365504555254439</c:v>
                </c:pt>
                <c:pt idx="104">
                  <c:v>45.673844559506328</c:v>
                </c:pt>
                <c:pt idx="105">
                  <c:v>47.54328147744701</c:v>
                </c:pt>
                <c:pt idx="106">
                  <c:v>47.54328147744701</c:v>
                </c:pt>
                <c:pt idx="107">
                  <c:v>48.805649522192738</c:v>
                </c:pt>
                <c:pt idx="108">
                  <c:v>48.195176072664189</c:v>
                </c:pt>
                <c:pt idx="109">
                  <c:v>47.54328147744701</c:v>
                </c:pt>
                <c:pt idx="110">
                  <c:v>48.195176072664189</c:v>
                </c:pt>
                <c:pt idx="111">
                  <c:v>48.805649522192738</c:v>
                </c:pt>
                <c:pt idx="112">
                  <c:v>48.805649522192738</c:v>
                </c:pt>
                <c:pt idx="113">
                  <c:v>49.428261889997998</c:v>
                </c:pt>
                <c:pt idx="114">
                  <c:v>48.805649522192738</c:v>
                </c:pt>
                <c:pt idx="115">
                  <c:v>48.805649522192745</c:v>
                </c:pt>
                <c:pt idx="116">
                  <c:v>48.195176072664189</c:v>
                </c:pt>
                <c:pt idx="117">
                  <c:v>46.283096463675768</c:v>
                </c:pt>
                <c:pt idx="118">
                  <c:v>44.494773819951156</c:v>
                </c:pt>
                <c:pt idx="119">
                  <c:v>45.077880349837379</c:v>
                </c:pt>
                <c:pt idx="120">
                  <c:v>43.365504555254439</c:v>
                </c:pt>
                <c:pt idx="121">
                  <c:v>43.365504555254439</c:v>
                </c:pt>
                <c:pt idx="122">
                  <c:v>43.365504555254439</c:v>
                </c:pt>
                <c:pt idx="123">
                  <c:v>44.494773819951156</c:v>
                </c:pt>
                <c:pt idx="124">
                  <c:v>45.077880349837379</c:v>
                </c:pt>
                <c:pt idx="125">
                  <c:v>45.077880349837365</c:v>
                </c:pt>
                <c:pt idx="126">
                  <c:v>45.077880349837379</c:v>
                </c:pt>
                <c:pt idx="127">
                  <c:v>44.494773819951156</c:v>
                </c:pt>
                <c:pt idx="128">
                  <c:v>45.077880349837379</c:v>
                </c:pt>
                <c:pt idx="129">
                  <c:v>45.077880349837379</c:v>
                </c:pt>
                <c:pt idx="130">
                  <c:v>43.924113311887368</c:v>
                </c:pt>
                <c:pt idx="131">
                  <c:v>43.365504555254439</c:v>
                </c:pt>
                <c:pt idx="132">
                  <c:v>43.365504555254439</c:v>
                </c:pt>
                <c:pt idx="133">
                  <c:v>43.365504555254439</c:v>
                </c:pt>
                <c:pt idx="134">
                  <c:v>43.365504555254439</c:v>
                </c:pt>
                <c:pt idx="135">
                  <c:v>43.365504555254439</c:v>
                </c:pt>
                <c:pt idx="136">
                  <c:v>43.365504555254454</c:v>
                </c:pt>
                <c:pt idx="137">
                  <c:v>43.365504555254454</c:v>
                </c:pt>
                <c:pt idx="138">
                  <c:v>43.365504555254454</c:v>
                </c:pt>
                <c:pt idx="139">
                  <c:v>43.365504555254454</c:v>
                </c:pt>
                <c:pt idx="140">
                  <c:v>43.365504555254454</c:v>
                </c:pt>
                <c:pt idx="141">
                  <c:v>43.365504555254439</c:v>
                </c:pt>
                <c:pt idx="142">
                  <c:v>43.365504555254454</c:v>
                </c:pt>
                <c:pt idx="143">
                  <c:v>43.365504555254439</c:v>
                </c:pt>
                <c:pt idx="144">
                  <c:v>43.365504555254454</c:v>
                </c:pt>
                <c:pt idx="145">
                  <c:v>43.365504555254439</c:v>
                </c:pt>
                <c:pt idx="146">
                  <c:v>43.365504555254454</c:v>
                </c:pt>
                <c:pt idx="147">
                  <c:v>43.365504555254454</c:v>
                </c:pt>
                <c:pt idx="148">
                  <c:v>43.924113311887368</c:v>
                </c:pt>
                <c:pt idx="149">
                  <c:v>43.365504555254439</c:v>
                </c:pt>
                <c:pt idx="150">
                  <c:v>43.924113311887361</c:v>
                </c:pt>
                <c:pt idx="151">
                  <c:v>43.365504555254454</c:v>
                </c:pt>
                <c:pt idx="152">
                  <c:v>43.365504555254454</c:v>
                </c:pt>
                <c:pt idx="153">
                  <c:v>43.924113311887368</c:v>
                </c:pt>
                <c:pt idx="154">
                  <c:v>43.924113311887368</c:v>
                </c:pt>
                <c:pt idx="155">
                  <c:v>43.365504555254454</c:v>
                </c:pt>
                <c:pt idx="156">
                  <c:v>44.494773819951156</c:v>
                </c:pt>
                <c:pt idx="157">
                  <c:v>44.494773819951156</c:v>
                </c:pt>
                <c:pt idx="158">
                  <c:v>44.494773819951156</c:v>
                </c:pt>
                <c:pt idx="159">
                  <c:v>44.494773819951156</c:v>
                </c:pt>
                <c:pt idx="160">
                  <c:v>45.077880349837365</c:v>
                </c:pt>
                <c:pt idx="161">
                  <c:v>45.673844559506328</c:v>
                </c:pt>
                <c:pt idx="162">
                  <c:v>45.077880349837365</c:v>
                </c:pt>
                <c:pt idx="163">
                  <c:v>45.673844559506328</c:v>
                </c:pt>
                <c:pt idx="164">
                  <c:v>44.494773819951156</c:v>
                </c:pt>
                <c:pt idx="165">
                  <c:v>43.365504555254454</c:v>
                </c:pt>
                <c:pt idx="166">
                  <c:v>43.924113311887368</c:v>
                </c:pt>
                <c:pt idx="167">
                  <c:v>43.924113311887368</c:v>
                </c:pt>
                <c:pt idx="168">
                  <c:v>43.365504555254454</c:v>
                </c:pt>
                <c:pt idx="169">
                  <c:v>43.365504555254454</c:v>
                </c:pt>
                <c:pt idx="170">
                  <c:v>43.365504555254454</c:v>
                </c:pt>
                <c:pt idx="171">
                  <c:v>43.924113311887368</c:v>
                </c:pt>
                <c:pt idx="172">
                  <c:v>43.365504555254454</c:v>
                </c:pt>
                <c:pt idx="173">
                  <c:v>43.365504555254454</c:v>
                </c:pt>
                <c:pt idx="174">
                  <c:v>43.365504555254454</c:v>
                </c:pt>
                <c:pt idx="175">
                  <c:v>43.365504555254454</c:v>
                </c:pt>
                <c:pt idx="176">
                  <c:v>43.365504555254454</c:v>
                </c:pt>
                <c:pt idx="177">
                  <c:v>43.365504555254454</c:v>
                </c:pt>
                <c:pt idx="178">
                  <c:v>43.365504555254454</c:v>
                </c:pt>
                <c:pt idx="179">
                  <c:v>43.365504555254454</c:v>
                </c:pt>
                <c:pt idx="180">
                  <c:v>43.365504555254454</c:v>
                </c:pt>
                <c:pt idx="181">
                  <c:v>43.365504555254454</c:v>
                </c:pt>
                <c:pt idx="182">
                  <c:v>43.365504555254454</c:v>
                </c:pt>
                <c:pt idx="183">
                  <c:v>43.365504555254454</c:v>
                </c:pt>
                <c:pt idx="184">
                  <c:v>44.494773819951156</c:v>
                </c:pt>
                <c:pt idx="185">
                  <c:v>43.365504555254454</c:v>
                </c:pt>
                <c:pt idx="186">
                  <c:v>43.365504555254454</c:v>
                </c:pt>
                <c:pt idx="187">
                  <c:v>43.365504555254454</c:v>
                </c:pt>
                <c:pt idx="188">
                  <c:v>43.924113311887368</c:v>
                </c:pt>
                <c:pt idx="189">
                  <c:v>43.365504555254454</c:v>
                </c:pt>
                <c:pt idx="190">
                  <c:v>43.365504555254454</c:v>
                </c:pt>
                <c:pt idx="191">
                  <c:v>43.365504555254454</c:v>
                </c:pt>
                <c:pt idx="192">
                  <c:v>43.365504555254454</c:v>
                </c:pt>
                <c:pt idx="193">
                  <c:v>43.924113311887368</c:v>
                </c:pt>
                <c:pt idx="194">
                  <c:v>43.365504555254454</c:v>
                </c:pt>
                <c:pt idx="195">
                  <c:v>43.365504555254454</c:v>
                </c:pt>
                <c:pt idx="196">
                  <c:v>43.365504555254454</c:v>
                </c:pt>
                <c:pt idx="197">
                  <c:v>43.365504555254454</c:v>
                </c:pt>
                <c:pt idx="198">
                  <c:v>43.365504555254454</c:v>
                </c:pt>
                <c:pt idx="199">
                  <c:v>43.365504555254454</c:v>
                </c:pt>
                <c:pt idx="200">
                  <c:v>43.365504555254454</c:v>
                </c:pt>
                <c:pt idx="201">
                  <c:v>43.365504555254454</c:v>
                </c:pt>
                <c:pt idx="202">
                  <c:v>43.365504555254454</c:v>
                </c:pt>
                <c:pt idx="203">
                  <c:v>43.365504555254454</c:v>
                </c:pt>
                <c:pt idx="204">
                  <c:v>43.365504555254454</c:v>
                </c:pt>
                <c:pt idx="205">
                  <c:v>43.365504555254454</c:v>
                </c:pt>
                <c:pt idx="206">
                  <c:v>43.365504555254454</c:v>
                </c:pt>
                <c:pt idx="207">
                  <c:v>43.365504555254454</c:v>
                </c:pt>
                <c:pt idx="208">
                  <c:v>43.365504555254454</c:v>
                </c:pt>
                <c:pt idx="209">
                  <c:v>43.365504555254454</c:v>
                </c:pt>
                <c:pt idx="210">
                  <c:v>43.365504555254454</c:v>
                </c:pt>
                <c:pt idx="211">
                  <c:v>43.365504555254454</c:v>
                </c:pt>
                <c:pt idx="212">
                  <c:v>43.365504555254454</c:v>
                </c:pt>
                <c:pt idx="213">
                  <c:v>43.365504555254454</c:v>
                </c:pt>
                <c:pt idx="214">
                  <c:v>43.365504555254454</c:v>
                </c:pt>
                <c:pt idx="215">
                  <c:v>43.365504555254454</c:v>
                </c:pt>
                <c:pt idx="216">
                  <c:v>43.365504555254454</c:v>
                </c:pt>
                <c:pt idx="217">
                  <c:v>43.365504555254454</c:v>
                </c:pt>
                <c:pt idx="218">
                  <c:v>43.365504555254454</c:v>
                </c:pt>
                <c:pt idx="219">
                  <c:v>43.365504555254454</c:v>
                </c:pt>
                <c:pt idx="220">
                  <c:v>43.365504555254454</c:v>
                </c:pt>
                <c:pt idx="221">
                  <c:v>43.365504555254454</c:v>
                </c:pt>
                <c:pt idx="222">
                  <c:v>43.365504555254454</c:v>
                </c:pt>
                <c:pt idx="223">
                  <c:v>43.365504555254454</c:v>
                </c:pt>
                <c:pt idx="224">
                  <c:v>43.365504555254454</c:v>
                </c:pt>
                <c:pt idx="225">
                  <c:v>43.365504555254454</c:v>
                </c:pt>
                <c:pt idx="226">
                  <c:v>43.365504555254454</c:v>
                </c:pt>
                <c:pt idx="227">
                  <c:v>43.365504555254454</c:v>
                </c:pt>
                <c:pt idx="228">
                  <c:v>43.365504555254454</c:v>
                </c:pt>
                <c:pt idx="229">
                  <c:v>43.365504555254454</c:v>
                </c:pt>
                <c:pt idx="230">
                  <c:v>43.365504555254454</c:v>
                </c:pt>
                <c:pt idx="231">
                  <c:v>43.365504555254454</c:v>
                </c:pt>
                <c:pt idx="232">
                  <c:v>43.365504555254454</c:v>
                </c:pt>
                <c:pt idx="233">
                  <c:v>43.365504555254454</c:v>
                </c:pt>
                <c:pt idx="234">
                  <c:v>43.365504555254454</c:v>
                </c:pt>
                <c:pt idx="235">
                  <c:v>43.365504555254454</c:v>
                </c:pt>
                <c:pt idx="236">
                  <c:v>43.365504555254454</c:v>
                </c:pt>
                <c:pt idx="237">
                  <c:v>43.365504555254454</c:v>
                </c:pt>
                <c:pt idx="238">
                  <c:v>43.365504555254454</c:v>
                </c:pt>
                <c:pt idx="239">
                  <c:v>43.365504555254454</c:v>
                </c:pt>
                <c:pt idx="240">
                  <c:v>43.365504555254454</c:v>
                </c:pt>
                <c:pt idx="241">
                  <c:v>43.365504555254454</c:v>
                </c:pt>
                <c:pt idx="242">
                  <c:v>43.365504555254454</c:v>
                </c:pt>
                <c:pt idx="243">
                  <c:v>43.365504555254454</c:v>
                </c:pt>
                <c:pt idx="244">
                  <c:v>43.365504555254454</c:v>
                </c:pt>
                <c:pt idx="245">
                  <c:v>43.365504555254454</c:v>
                </c:pt>
                <c:pt idx="246">
                  <c:v>43.365504555254454</c:v>
                </c:pt>
                <c:pt idx="247">
                  <c:v>43.365504555254439</c:v>
                </c:pt>
                <c:pt idx="248">
                  <c:v>43.365504555254454</c:v>
                </c:pt>
                <c:pt idx="249">
                  <c:v>43.365504555254454</c:v>
                </c:pt>
                <c:pt idx="250">
                  <c:v>43.365504555254454</c:v>
                </c:pt>
                <c:pt idx="251">
                  <c:v>43.365504555254454</c:v>
                </c:pt>
                <c:pt idx="252">
                  <c:v>43.365504555254454</c:v>
                </c:pt>
                <c:pt idx="253">
                  <c:v>43.365504555254439</c:v>
                </c:pt>
                <c:pt idx="254">
                  <c:v>45.673844559506314</c:v>
                </c:pt>
                <c:pt idx="255">
                  <c:v>46.283096463675768</c:v>
                </c:pt>
                <c:pt idx="256">
                  <c:v>45.673844559506328</c:v>
                </c:pt>
                <c:pt idx="257">
                  <c:v>45.673844559506328</c:v>
                </c:pt>
                <c:pt idx="258">
                  <c:v>44.494773819951156</c:v>
                </c:pt>
                <c:pt idx="259">
                  <c:v>43.365504555254454</c:v>
                </c:pt>
                <c:pt idx="260">
                  <c:v>43.365504555254454</c:v>
                </c:pt>
                <c:pt idx="261">
                  <c:v>43.365504555254454</c:v>
                </c:pt>
                <c:pt idx="262">
                  <c:v>43.365504555254454</c:v>
                </c:pt>
                <c:pt idx="263">
                  <c:v>43.365504555254439</c:v>
                </c:pt>
                <c:pt idx="264">
                  <c:v>43.365504555254439</c:v>
                </c:pt>
                <c:pt idx="265">
                  <c:v>43.365504555254439</c:v>
                </c:pt>
                <c:pt idx="266">
                  <c:v>43.365504555254439</c:v>
                </c:pt>
                <c:pt idx="267">
                  <c:v>43.365504555254454</c:v>
                </c:pt>
                <c:pt idx="268">
                  <c:v>43.924113311887368</c:v>
                </c:pt>
                <c:pt idx="269">
                  <c:v>43.365504555254439</c:v>
                </c:pt>
                <c:pt idx="270">
                  <c:v>44.494773819951156</c:v>
                </c:pt>
                <c:pt idx="271">
                  <c:v>46.283096463675768</c:v>
                </c:pt>
                <c:pt idx="272">
                  <c:v>46.283096463675768</c:v>
                </c:pt>
                <c:pt idx="273">
                  <c:v>45.673844559506328</c:v>
                </c:pt>
                <c:pt idx="274">
                  <c:v>44.494773819951149</c:v>
                </c:pt>
                <c:pt idx="275">
                  <c:v>45.673844559506328</c:v>
                </c:pt>
                <c:pt idx="276">
                  <c:v>46.906085468567859</c:v>
                </c:pt>
                <c:pt idx="277">
                  <c:v>47.54328147744701</c:v>
                </c:pt>
                <c:pt idx="278">
                  <c:v>46.906085468567859</c:v>
                </c:pt>
                <c:pt idx="279">
                  <c:v>46.283096463675776</c:v>
                </c:pt>
                <c:pt idx="280">
                  <c:v>43.924113311887368</c:v>
                </c:pt>
                <c:pt idx="281">
                  <c:v>43.365504555254454</c:v>
                </c:pt>
                <c:pt idx="282">
                  <c:v>43.924113311887368</c:v>
                </c:pt>
                <c:pt idx="283">
                  <c:v>45.077880349837365</c:v>
                </c:pt>
                <c:pt idx="284">
                  <c:v>46.906085468567859</c:v>
                </c:pt>
                <c:pt idx="285">
                  <c:v>47.54328147744701</c:v>
                </c:pt>
                <c:pt idx="286">
                  <c:v>46.283096463675768</c:v>
                </c:pt>
                <c:pt idx="287">
                  <c:v>47.543281477447003</c:v>
                </c:pt>
                <c:pt idx="288">
                  <c:v>47.543281477447003</c:v>
                </c:pt>
                <c:pt idx="289">
                  <c:v>44.494773819951156</c:v>
                </c:pt>
                <c:pt idx="290">
                  <c:v>43.365504555254454</c:v>
                </c:pt>
                <c:pt idx="291">
                  <c:v>43.365504555254439</c:v>
                </c:pt>
                <c:pt idx="292">
                  <c:v>44.494773819951156</c:v>
                </c:pt>
                <c:pt idx="293">
                  <c:v>43.365504555254439</c:v>
                </c:pt>
                <c:pt idx="294">
                  <c:v>43.924113311887368</c:v>
                </c:pt>
                <c:pt idx="295">
                  <c:v>45.077880349837365</c:v>
                </c:pt>
                <c:pt idx="296">
                  <c:v>46.283096463675768</c:v>
                </c:pt>
                <c:pt idx="297">
                  <c:v>46.283096463675768</c:v>
                </c:pt>
                <c:pt idx="298">
                  <c:v>45.077880349837379</c:v>
                </c:pt>
                <c:pt idx="299">
                  <c:v>44.494773819951156</c:v>
                </c:pt>
                <c:pt idx="300">
                  <c:v>45.077880349837365</c:v>
                </c:pt>
                <c:pt idx="301">
                  <c:v>45.077880349837379</c:v>
                </c:pt>
                <c:pt idx="302">
                  <c:v>43.924113311887368</c:v>
                </c:pt>
                <c:pt idx="303">
                  <c:v>44.494773819951156</c:v>
                </c:pt>
                <c:pt idx="304">
                  <c:v>45.077880349837379</c:v>
                </c:pt>
                <c:pt idx="305">
                  <c:v>45.077880349837379</c:v>
                </c:pt>
                <c:pt idx="306">
                  <c:v>46.906085468567859</c:v>
                </c:pt>
                <c:pt idx="307">
                  <c:v>50.063378875196641</c:v>
                </c:pt>
                <c:pt idx="308">
                  <c:v>48.805649522192738</c:v>
                </c:pt>
                <c:pt idx="309">
                  <c:v>49.428261889997998</c:v>
                </c:pt>
                <c:pt idx="310">
                  <c:v>48.195176072664189</c:v>
                </c:pt>
                <c:pt idx="311">
                  <c:v>49.428261889997998</c:v>
                </c:pt>
                <c:pt idx="312">
                  <c:v>50.063378875196641</c:v>
                </c:pt>
                <c:pt idx="313">
                  <c:v>48.805649522192738</c:v>
                </c:pt>
                <c:pt idx="314">
                  <c:v>47.54328147744701</c:v>
                </c:pt>
                <c:pt idx="315">
                  <c:v>46.283096463675768</c:v>
                </c:pt>
                <c:pt idx="316">
                  <c:v>47.54328147744701</c:v>
                </c:pt>
                <c:pt idx="317">
                  <c:v>46.906085468567859</c:v>
                </c:pt>
                <c:pt idx="318">
                  <c:v>46.283096463675768</c:v>
                </c:pt>
                <c:pt idx="319">
                  <c:v>46.906085468567859</c:v>
                </c:pt>
                <c:pt idx="320">
                  <c:v>46.906085468567859</c:v>
                </c:pt>
                <c:pt idx="321">
                  <c:v>48.195176072664189</c:v>
                </c:pt>
                <c:pt idx="322">
                  <c:v>49.428261889997998</c:v>
                </c:pt>
                <c:pt idx="323">
                  <c:v>50.874588423736348</c:v>
                </c:pt>
                <c:pt idx="324">
                  <c:v>50.874588423736348</c:v>
                </c:pt>
                <c:pt idx="325">
                  <c:v>51.705110358037608</c:v>
                </c:pt>
                <c:pt idx="326">
                  <c:v>50.874588423736348</c:v>
                </c:pt>
                <c:pt idx="327">
                  <c:v>50.063378875196641</c:v>
                </c:pt>
                <c:pt idx="328">
                  <c:v>44.494773819951156</c:v>
                </c:pt>
                <c:pt idx="329">
                  <c:v>45.077880349837379</c:v>
                </c:pt>
                <c:pt idx="330">
                  <c:v>48.195176072664189</c:v>
                </c:pt>
                <c:pt idx="331">
                  <c:v>48.805649522192738</c:v>
                </c:pt>
                <c:pt idx="332">
                  <c:v>48.195176072664189</c:v>
                </c:pt>
                <c:pt idx="333">
                  <c:v>49.428261889997998</c:v>
                </c:pt>
                <c:pt idx="334">
                  <c:v>50.063378875196641</c:v>
                </c:pt>
                <c:pt idx="335">
                  <c:v>48.805649522192738</c:v>
                </c:pt>
                <c:pt idx="336">
                  <c:v>46.906085468567859</c:v>
                </c:pt>
                <c:pt idx="337">
                  <c:v>48.805649522192738</c:v>
                </c:pt>
                <c:pt idx="338">
                  <c:v>50.063378875196641</c:v>
                </c:pt>
                <c:pt idx="339">
                  <c:v>48.805649522192738</c:v>
                </c:pt>
                <c:pt idx="340">
                  <c:v>47.54328147744701</c:v>
                </c:pt>
                <c:pt idx="341">
                  <c:v>48.195176072664189</c:v>
                </c:pt>
                <c:pt idx="342">
                  <c:v>48.805649522192738</c:v>
                </c:pt>
                <c:pt idx="343">
                  <c:v>48.805649522192738</c:v>
                </c:pt>
                <c:pt idx="344">
                  <c:v>49.428261889997998</c:v>
                </c:pt>
                <c:pt idx="345">
                  <c:v>50.063378875196641</c:v>
                </c:pt>
                <c:pt idx="346">
                  <c:v>49.428261889997998</c:v>
                </c:pt>
                <c:pt idx="347">
                  <c:v>51.705110358037608</c:v>
                </c:pt>
                <c:pt idx="348">
                  <c:v>50.063378875196641</c:v>
                </c:pt>
                <c:pt idx="349">
                  <c:v>47.54328147744701</c:v>
                </c:pt>
                <c:pt idx="350">
                  <c:v>46.283096463675754</c:v>
                </c:pt>
                <c:pt idx="351">
                  <c:v>47.543281477447003</c:v>
                </c:pt>
                <c:pt idx="352">
                  <c:v>46.283096463675768</c:v>
                </c:pt>
                <c:pt idx="353">
                  <c:v>47.54328147744701</c:v>
                </c:pt>
                <c:pt idx="354">
                  <c:v>48.805649522192731</c:v>
                </c:pt>
                <c:pt idx="355">
                  <c:v>47.54328147744701</c:v>
                </c:pt>
                <c:pt idx="356">
                  <c:v>48.805649522192738</c:v>
                </c:pt>
                <c:pt idx="357">
                  <c:v>48.805649522192738</c:v>
                </c:pt>
                <c:pt idx="358">
                  <c:v>49.428261889997998</c:v>
                </c:pt>
                <c:pt idx="359">
                  <c:v>47.54328147744701</c:v>
                </c:pt>
                <c:pt idx="360">
                  <c:v>48.195176072664189</c:v>
                </c:pt>
                <c:pt idx="361">
                  <c:v>50.063378875196641</c:v>
                </c:pt>
                <c:pt idx="362">
                  <c:v>52.555642638331896</c:v>
                </c:pt>
                <c:pt idx="363">
                  <c:v>49.428261889997998</c:v>
                </c:pt>
                <c:pt idx="364">
                  <c:v>48.195176072664189</c:v>
                </c:pt>
              </c:numCache>
            </c:numRef>
          </c:yVal>
          <c:smooth val="0"/>
          <c:extLst>
            <c:ext xmlns:c16="http://schemas.microsoft.com/office/drawing/2014/chart" uri="{C3380CC4-5D6E-409C-BE32-E72D297353CC}">
              <c16:uniqueId val="{00000002-8A82-4C39-92BA-9C75103D1DE6}"/>
            </c:ext>
          </c:extLst>
        </c:ser>
        <c:ser>
          <c:idx val="0"/>
          <c:order val="1"/>
          <c:spPr>
            <a:ln w="25400" cap="rnd">
              <a:noFill/>
              <a:round/>
            </a:ln>
            <a:effectLst/>
          </c:spPr>
          <c:marker>
            <c:symbol val="circle"/>
            <c:size val="5"/>
            <c:spPr>
              <a:solidFill>
                <a:schemeClr val="accent1"/>
              </a:solidFill>
              <a:ln w="9525">
                <a:solidFill>
                  <a:schemeClr val="accent1"/>
                </a:solidFill>
              </a:ln>
              <a:effectLst/>
            </c:spPr>
          </c:marker>
          <c:yVal>
            <c:numRef>
              <c:f>'Systemberegning VP1'!$X$16:$X$380</c:f>
              <c:numCache>
                <c:formatCode>0.00</c:formatCode>
                <c:ptCount val="365"/>
                <c:pt idx="0">
                  <c:v>48.195176072664189</c:v>
                </c:pt>
                <c:pt idx="1">
                  <c:v>46.906085468567859</c:v>
                </c:pt>
                <c:pt idx="2">
                  <c:v>46.906085468567859</c:v>
                </c:pt>
                <c:pt idx="3">
                  <c:v>49.428261889997998</c:v>
                </c:pt>
                <c:pt idx="4">
                  <c:v>49.428261889997998</c:v>
                </c:pt>
                <c:pt idx="5">
                  <c:v>51.705110358037601</c:v>
                </c:pt>
                <c:pt idx="6">
                  <c:v>53.426917267849994</c:v>
                </c:pt>
                <c:pt idx="7">
                  <c:v>54.319702394001482</c:v>
                </c:pt>
                <c:pt idx="8">
                  <c:v>57.170372102086262</c:v>
                </c:pt>
                <c:pt idx="9">
                  <c:v>57.170372102086262</c:v>
                </c:pt>
                <c:pt idx="10">
                  <c:v>54.319702394001482</c:v>
                </c:pt>
                <c:pt idx="11">
                  <c:v>50.874588423736348</c:v>
                </c:pt>
                <c:pt idx="12">
                  <c:v>50.063378875196641</c:v>
                </c:pt>
                <c:pt idx="13">
                  <c:v>50.063378875196641</c:v>
                </c:pt>
                <c:pt idx="14">
                  <c:v>51.705110358037601</c:v>
                </c:pt>
                <c:pt idx="15">
                  <c:v>52.555642638331904</c:v>
                </c:pt>
                <c:pt idx="16">
                  <c:v>54.319702394001482</c:v>
                </c:pt>
                <c:pt idx="17">
                  <c:v>54.319702394001482</c:v>
                </c:pt>
                <c:pt idx="18">
                  <c:v>51.705110358037601</c:v>
                </c:pt>
                <c:pt idx="19">
                  <c:v>52.555642638331904</c:v>
                </c:pt>
                <c:pt idx="20">
                  <c:v>50.874588423736348</c:v>
                </c:pt>
                <c:pt idx="21">
                  <c:v>47.54328147744701</c:v>
                </c:pt>
                <c:pt idx="22">
                  <c:v>48.195176072664189</c:v>
                </c:pt>
                <c:pt idx="23">
                  <c:v>46.906085468567859</c:v>
                </c:pt>
                <c:pt idx="24">
                  <c:v>48.805649522192738</c:v>
                </c:pt>
                <c:pt idx="25">
                  <c:v>47.54328147744701</c:v>
                </c:pt>
                <c:pt idx="26">
                  <c:v>49.428261889997998</c:v>
                </c:pt>
                <c:pt idx="27">
                  <c:v>50.063378875196641</c:v>
                </c:pt>
                <c:pt idx="28">
                  <c:v>48.805649522192738</c:v>
                </c:pt>
                <c:pt idx="29">
                  <c:v>48.195176072664189</c:v>
                </c:pt>
                <c:pt idx="30">
                  <c:v>48.805649522192738</c:v>
                </c:pt>
                <c:pt idx="31">
                  <c:v>48.805649522192738</c:v>
                </c:pt>
                <c:pt idx="32">
                  <c:v>48.195176072664189</c:v>
                </c:pt>
                <c:pt idx="33">
                  <c:v>46.906085468567859</c:v>
                </c:pt>
                <c:pt idx="34">
                  <c:v>46.906085468567859</c:v>
                </c:pt>
                <c:pt idx="35">
                  <c:v>46.906085468567859</c:v>
                </c:pt>
                <c:pt idx="36">
                  <c:v>46.906085468567859</c:v>
                </c:pt>
                <c:pt idx="37">
                  <c:v>49.428261889997998</c:v>
                </c:pt>
                <c:pt idx="38">
                  <c:v>51.705110358037601</c:v>
                </c:pt>
                <c:pt idx="39">
                  <c:v>48.195176072664189</c:v>
                </c:pt>
                <c:pt idx="40">
                  <c:v>46.906085468567859</c:v>
                </c:pt>
                <c:pt idx="41">
                  <c:v>47.54328147744701</c:v>
                </c:pt>
                <c:pt idx="42">
                  <c:v>48.195176072664189</c:v>
                </c:pt>
                <c:pt idx="43">
                  <c:v>48.195176072664189</c:v>
                </c:pt>
                <c:pt idx="44">
                  <c:v>46.283096463675768</c:v>
                </c:pt>
                <c:pt idx="45">
                  <c:v>45.077880349837372</c:v>
                </c:pt>
                <c:pt idx="46">
                  <c:v>46.283096463675768</c:v>
                </c:pt>
                <c:pt idx="47">
                  <c:v>46.906085468567859</c:v>
                </c:pt>
                <c:pt idx="48">
                  <c:v>46.906085468567859</c:v>
                </c:pt>
                <c:pt idx="49">
                  <c:v>47.54328147744701</c:v>
                </c:pt>
                <c:pt idx="50">
                  <c:v>47.54328147744701</c:v>
                </c:pt>
                <c:pt idx="51">
                  <c:v>46.906085468567859</c:v>
                </c:pt>
                <c:pt idx="52">
                  <c:v>46.283096463675768</c:v>
                </c:pt>
                <c:pt idx="53">
                  <c:v>48.805649522192738</c:v>
                </c:pt>
                <c:pt idx="54">
                  <c:v>49.428261889997998</c:v>
                </c:pt>
                <c:pt idx="55">
                  <c:v>49.428261889997998</c:v>
                </c:pt>
                <c:pt idx="56">
                  <c:v>50.063378875196641</c:v>
                </c:pt>
                <c:pt idx="57">
                  <c:v>50.063378875196641</c:v>
                </c:pt>
                <c:pt idx="58">
                  <c:v>48.805649522192738</c:v>
                </c:pt>
                <c:pt idx="59">
                  <c:v>47.54328147744701</c:v>
                </c:pt>
                <c:pt idx="60">
                  <c:v>47.54328147744701</c:v>
                </c:pt>
                <c:pt idx="61">
                  <c:v>46.283096463675768</c:v>
                </c:pt>
                <c:pt idx="62">
                  <c:v>46.283096463675768</c:v>
                </c:pt>
                <c:pt idx="63">
                  <c:v>48.195176072664189</c:v>
                </c:pt>
                <c:pt idx="64">
                  <c:v>48.195176072664189</c:v>
                </c:pt>
                <c:pt idx="65">
                  <c:v>48.805649522192738</c:v>
                </c:pt>
                <c:pt idx="66">
                  <c:v>50.063378875196641</c:v>
                </c:pt>
                <c:pt idx="67">
                  <c:v>50.063378875196641</c:v>
                </c:pt>
                <c:pt idx="68">
                  <c:v>48.805649522192738</c:v>
                </c:pt>
                <c:pt idx="69">
                  <c:v>48.195176072664189</c:v>
                </c:pt>
                <c:pt idx="70">
                  <c:v>48.195176072664189</c:v>
                </c:pt>
                <c:pt idx="71">
                  <c:v>48.195176072664189</c:v>
                </c:pt>
                <c:pt idx="72">
                  <c:v>46.906085468567859</c:v>
                </c:pt>
                <c:pt idx="73">
                  <c:v>45.077880349837372</c:v>
                </c:pt>
                <c:pt idx="74">
                  <c:v>45.077880349837372</c:v>
                </c:pt>
                <c:pt idx="75">
                  <c:v>47.54328147744701</c:v>
                </c:pt>
                <c:pt idx="76">
                  <c:v>47.54328147744701</c:v>
                </c:pt>
                <c:pt idx="77">
                  <c:v>46.283096463675768</c:v>
                </c:pt>
                <c:pt idx="78">
                  <c:v>45.673844559506328</c:v>
                </c:pt>
                <c:pt idx="79">
                  <c:v>45.673844559506328</c:v>
                </c:pt>
                <c:pt idx="80">
                  <c:v>46.906085468567859</c:v>
                </c:pt>
                <c:pt idx="81">
                  <c:v>46.906085468567859</c:v>
                </c:pt>
                <c:pt idx="82">
                  <c:v>48.805649522192738</c:v>
                </c:pt>
                <c:pt idx="83">
                  <c:v>48.195176072664189</c:v>
                </c:pt>
                <c:pt idx="84">
                  <c:v>48.195176072664189</c:v>
                </c:pt>
                <c:pt idx="85">
                  <c:v>47.54328147744701</c:v>
                </c:pt>
                <c:pt idx="86">
                  <c:v>46.906085468567859</c:v>
                </c:pt>
                <c:pt idx="87">
                  <c:v>47.54328147744701</c:v>
                </c:pt>
                <c:pt idx="88">
                  <c:v>46.283096463675768</c:v>
                </c:pt>
                <c:pt idx="89">
                  <c:v>46.906085468567859</c:v>
                </c:pt>
                <c:pt idx="90">
                  <c:v>46.906085468567859</c:v>
                </c:pt>
                <c:pt idx="91">
                  <c:v>46.283096463675768</c:v>
                </c:pt>
                <c:pt idx="92">
                  <c:v>46.906085468567859</c:v>
                </c:pt>
                <c:pt idx="93">
                  <c:v>46.283096463675768</c:v>
                </c:pt>
                <c:pt idx="94">
                  <c:v>45.673844559506328</c:v>
                </c:pt>
                <c:pt idx="95">
                  <c:v>45.077880349837372</c:v>
                </c:pt>
                <c:pt idx="96">
                  <c:v>43.365504555254446</c:v>
                </c:pt>
                <c:pt idx="97">
                  <c:v>43.365504555254446</c:v>
                </c:pt>
                <c:pt idx="98">
                  <c:v>43.924113311887368</c:v>
                </c:pt>
                <c:pt idx="99">
                  <c:v>45.077880349837372</c:v>
                </c:pt>
                <c:pt idx="100">
                  <c:v>45.673844559506328</c:v>
                </c:pt>
                <c:pt idx="101">
                  <c:v>45.077880349837372</c:v>
                </c:pt>
                <c:pt idx="102">
                  <c:v>43.924113311887368</c:v>
                </c:pt>
                <c:pt idx="103">
                  <c:v>43.365504555254446</c:v>
                </c:pt>
                <c:pt idx="104">
                  <c:v>45.673844559506328</c:v>
                </c:pt>
                <c:pt idx="105">
                  <c:v>47.54328147744701</c:v>
                </c:pt>
                <c:pt idx="106">
                  <c:v>47.54328147744701</c:v>
                </c:pt>
                <c:pt idx="107">
                  <c:v>48.805649522192738</c:v>
                </c:pt>
                <c:pt idx="108">
                  <c:v>48.195176072664189</c:v>
                </c:pt>
                <c:pt idx="109">
                  <c:v>47.54328147744701</c:v>
                </c:pt>
                <c:pt idx="110">
                  <c:v>48.195176072664189</c:v>
                </c:pt>
                <c:pt idx="111">
                  <c:v>48.805649522192738</c:v>
                </c:pt>
                <c:pt idx="112">
                  <c:v>48.805649522192738</c:v>
                </c:pt>
                <c:pt idx="113">
                  <c:v>49.428261889997998</c:v>
                </c:pt>
                <c:pt idx="114">
                  <c:v>48.805649522192738</c:v>
                </c:pt>
                <c:pt idx="115">
                  <c:v>48.805649522192738</c:v>
                </c:pt>
                <c:pt idx="116">
                  <c:v>48.195176072664189</c:v>
                </c:pt>
                <c:pt idx="117">
                  <c:v>46.283096463675768</c:v>
                </c:pt>
                <c:pt idx="118">
                  <c:v>44.494773819951156</c:v>
                </c:pt>
                <c:pt idx="119">
                  <c:v>45.077880349837372</c:v>
                </c:pt>
                <c:pt idx="120">
                  <c:v>43.365504555254446</c:v>
                </c:pt>
                <c:pt idx="121">
                  <c:v>43.365504555254446</c:v>
                </c:pt>
                <c:pt idx="122">
                  <c:v>43.365504555254446</c:v>
                </c:pt>
                <c:pt idx="123">
                  <c:v>44.494773819951156</c:v>
                </c:pt>
                <c:pt idx="124">
                  <c:v>45.077880349837372</c:v>
                </c:pt>
                <c:pt idx="125">
                  <c:v>45.077880349837372</c:v>
                </c:pt>
                <c:pt idx="126">
                  <c:v>45.077880349837372</c:v>
                </c:pt>
                <c:pt idx="127">
                  <c:v>44.494773819951156</c:v>
                </c:pt>
                <c:pt idx="128">
                  <c:v>45.077880349837372</c:v>
                </c:pt>
                <c:pt idx="129">
                  <c:v>45.077880349837372</c:v>
                </c:pt>
                <c:pt idx="130">
                  <c:v>43.924113311887368</c:v>
                </c:pt>
                <c:pt idx="131">
                  <c:v>43.365504555254446</c:v>
                </c:pt>
                <c:pt idx="132">
                  <c:v>43.365504555254446</c:v>
                </c:pt>
                <c:pt idx="133">
                  <c:v>43.365504555254446</c:v>
                </c:pt>
                <c:pt idx="134">
                  <c:v>43.365504555254446</c:v>
                </c:pt>
                <c:pt idx="135">
                  <c:v>43.365504555254446</c:v>
                </c:pt>
                <c:pt idx="136">
                  <c:v>43.365504555254446</c:v>
                </c:pt>
                <c:pt idx="137">
                  <c:v>43.365504555254446</c:v>
                </c:pt>
                <c:pt idx="138">
                  <c:v>43.365504555254446</c:v>
                </c:pt>
                <c:pt idx="139">
                  <c:v>43.365504555254446</c:v>
                </c:pt>
                <c:pt idx="140">
                  <c:v>43.365504555254446</c:v>
                </c:pt>
                <c:pt idx="141">
                  <c:v>43.365504555254446</c:v>
                </c:pt>
                <c:pt idx="142">
                  <c:v>43.365504555254446</c:v>
                </c:pt>
                <c:pt idx="143">
                  <c:v>43.365504555254446</c:v>
                </c:pt>
                <c:pt idx="144">
                  <c:v>43.365504555254446</c:v>
                </c:pt>
                <c:pt idx="145">
                  <c:v>43.365504555254446</c:v>
                </c:pt>
                <c:pt idx="146">
                  <c:v>43.365504555254446</c:v>
                </c:pt>
                <c:pt idx="147">
                  <c:v>43.365504555254446</c:v>
                </c:pt>
                <c:pt idx="148">
                  <c:v>43.924113311887368</c:v>
                </c:pt>
                <c:pt idx="149">
                  <c:v>43.365504555254446</c:v>
                </c:pt>
                <c:pt idx="150">
                  <c:v>43.924113311887368</c:v>
                </c:pt>
                <c:pt idx="151">
                  <c:v>43.365504555254446</c:v>
                </c:pt>
                <c:pt idx="152">
                  <c:v>43.365504555254446</c:v>
                </c:pt>
                <c:pt idx="153">
                  <c:v>43.924113311887368</c:v>
                </c:pt>
                <c:pt idx="154">
                  <c:v>43.924113311887368</c:v>
                </c:pt>
                <c:pt idx="155">
                  <c:v>43.365504555254446</c:v>
                </c:pt>
                <c:pt idx="156">
                  <c:v>44.494773819951156</c:v>
                </c:pt>
                <c:pt idx="157">
                  <c:v>44.494773819951156</c:v>
                </c:pt>
                <c:pt idx="158">
                  <c:v>44.494773819951156</c:v>
                </c:pt>
                <c:pt idx="159">
                  <c:v>44.494773819951156</c:v>
                </c:pt>
                <c:pt idx="160">
                  <c:v>45.077880349837372</c:v>
                </c:pt>
                <c:pt idx="161">
                  <c:v>45.673844559506328</c:v>
                </c:pt>
                <c:pt idx="162">
                  <c:v>45.077880349837372</c:v>
                </c:pt>
                <c:pt idx="163">
                  <c:v>45.673844559506328</c:v>
                </c:pt>
                <c:pt idx="164">
                  <c:v>44.494773819951156</c:v>
                </c:pt>
                <c:pt idx="165">
                  <c:v>43.365504555254446</c:v>
                </c:pt>
                <c:pt idx="166">
                  <c:v>43.924113311887368</c:v>
                </c:pt>
                <c:pt idx="167">
                  <c:v>43.924113311887368</c:v>
                </c:pt>
                <c:pt idx="168">
                  <c:v>43.365504555254446</c:v>
                </c:pt>
                <c:pt idx="169">
                  <c:v>43.365504555254446</c:v>
                </c:pt>
                <c:pt idx="170">
                  <c:v>43.365504555254446</c:v>
                </c:pt>
                <c:pt idx="171">
                  <c:v>43.924113311887368</c:v>
                </c:pt>
                <c:pt idx="172">
                  <c:v>43.365504555254446</c:v>
                </c:pt>
                <c:pt idx="173">
                  <c:v>43.365504555254446</c:v>
                </c:pt>
                <c:pt idx="174">
                  <c:v>43.365504555254446</c:v>
                </c:pt>
                <c:pt idx="175">
                  <c:v>43.365504555254446</c:v>
                </c:pt>
                <c:pt idx="176">
                  <c:v>43.365504555254446</c:v>
                </c:pt>
                <c:pt idx="177">
                  <c:v>43.365504555254446</c:v>
                </c:pt>
                <c:pt idx="178">
                  <c:v>43.365504555254446</c:v>
                </c:pt>
                <c:pt idx="179">
                  <c:v>43.365504555254446</c:v>
                </c:pt>
                <c:pt idx="180">
                  <c:v>43.365504555254446</c:v>
                </c:pt>
                <c:pt idx="181">
                  <c:v>43.365504555254446</c:v>
                </c:pt>
                <c:pt idx="182">
                  <c:v>43.365504555254446</c:v>
                </c:pt>
                <c:pt idx="183">
                  <c:v>43.365504555254446</c:v>
                </c:pt>
                <c:pt idx="184">
                  <c:v>44.494773819951156</c:v>
                </c:pt>
                <c:pt idx="185">
                  <c:v>43.365504555254446</c:v>
                </c:pt>
                <c:pt idx="186">
                  <c:v>43.365504555254446</c:v>
                </c:pt>
                <c:pt idx="187">
                  <c:v>43.365504555254446</c:v>
                </c:pt>
                <c:pt idx="188">
                  <c:v>43.924113311887368</c:v>
                </c:pt>
                <c:pt idx="189">
                  <c:v>43.365504555254446</c:v>
                </c:pt>
                <c:pt idx="190">
                  <c:v>43.365504555254446</c:v>
                </c:pt>
                <c:pt idx="191">
                  <c:v>43.365504555254446</c:v>
                </c:pt>
                <c:pt idx="192">
                  <c:v>43.365504555254446</c:v>
                </c:pt>
                <c:pt idx="193">
                  <c:v>43.924113311887368</c:v>
                </c:pt>
                <c:pt idx="194">
                  <c:v>43.365504555254446</c:v>
                </c:pt>
                <c:pt idx="195">
                  <c:v>43.365504555254446</c:v>
                </c:pt>
                <c:pt idx="196">
                  <c:v>43.365504555254446</c:v>
                </c:pt>
                <c:pt idx="197">
                  <c:v>43.365504555254446</c:v>
                </c:pt>
                <c:pt idx="198">
                  <c:v>43.365504555254446</c:v>
                </c:pt>
                <c:pt idx="199">
                  <c:v>43.365504555254446</c:v>
                </c:pt>
                <c:pt idx="200">
                  <c:v>43.365504555254446</c:v>
                </c:pt>
                <c:pt idx="201">
                  <c:v>43.365504555254446</c:v>
                </c:pt>
                <c:pt idx="202">
                  <c:v>43.365504555254446</c:v>
                </c:pt>
                <c:pt idx="203">
                  <c:v>43.365504555254446</c:v>
                </c:pt>
                <c:pt idx="204">
                  <c:v>43.365504555254446</c:v>
                </c:pt>
                <c:pt idx="205">
                  <c:v>43.365504555254446</c:v>
                </c:pt>
                <c:pt idx="206">
                  <c:v>43.365504555254446</c:v>
                </c:pt>
                <c:pt idx="207">
                  <c:v>43.365504555254446</c:v>
                </c:pt>
                <c:pt idx="208">
                  <c:v>43.365504555254446</c:v>
                </c:pt>
                <c:pt idx="209">
                  <c:v>43.365504555254446</c:v>
                </c:pt>
                <c:pt idx="210">
                  <c:v>43.365504555254446</c:v>
                </c:pt>
                <c:pt idx="211">
                  <c:v>43.365504555254446</c:v>
                </c:pt>
                <c:pt idx="212">
                  <c:v>43.365504555254446</c:v>
                </c:pt>
                <c:pt idx="213">
                  <c:v>43.365504555254446</c:v>
                </c:pt>
                <c:pt idx="214">
                  <c:v>43.365504555254446</c:v>
                </c:pt>
                <c:pt idx="215">
                  <c:v>43.365504555254446</c:v>
                </c:pt>
                <c:pt idx="216">
                  <c:v>43.365504555254446</c:v>
                </c:pt>
                <c:pt idx="217">
                  <c:v>43.365504555254446</c:v>
                </c:pt>
                <c:pt idx="218">
                  <c:v>43.365504555254446</c:v>
                </c:pt>
                <c:pt idx="219">
                  <c:v>43.365504555254446</c:v>
                </c:pt>
                <c:pt idx="220">
                  <c:v>43.365504555254446</c:v>
                </c:pt>
                <c:pt idx="221">
                  <c:v>43.365504555254446</c:v>
                </c:pt>
                <c:pt idx="222">
                  <c:v>43.365504555254446</c:v>
                </c:pt>
                <c:pt idx="223">
                  <c:v>43.365504555254446</c:v>
                </c:pt>
                <c:pt idx="224">
                  <c:v>43.365504555254446</c:v>
                </c:pt>
                <c:pt idx="225">
                  <c:v>43.365504555254446</c:v>
                </c:pt>
                <c:pt idx="226">
                  <c:v>43.365504555254446</c:v>
                </c:pt>
                <c:pt idx="227">
                  <c:v>43.365504555254446</c:v>
                </c:pt>
                <c:pt idx="228">
                  <c:v>43.365504555254446</c:v>
                </c:pt>
                <c:pt idx="229">
                  <c:v>43.365504555254446</c:v>
                </c:pt>
                <c:pt idx="230">
                  <c:v>43.365504555254446</c:v>
                </c:pt>
                <c:pt idx="231">
                  <c:v>43.365504555254446</c:v>
                </c:pt>
                <c:pt idx="232">
                  <c:v>43.365504555254446</c:v>
                </c:pt>
                <c:pt idx="233">
                  <c:v>43.365504555254446</c:v>
                </c:pt>
                <c:pt idx="234">
                  <c:v>43.365504555254446</c:v>
                </c:pt>
                <c:pt idx="235">
                  <c:v>43.365504555254446</c:v>
                </c:pt>
                <c:pt idx="236">
                  <c:v>43.365504555254446</c:v>
                </c:pt>
                <c:pt idx="237">
                  <c:v>43.365504555254446</c:v>
                </c:pt>
                <c:pt idx="238">
                  <c:v>43.365504555254446</c:v>
                </c:pt>
                <c:pt idx="239">
                  <c:v>43.365504555254446</c:v>
                </c:pt>
                <c:pt idx="240">
                  <c:v>43.365504555254446</c:v>
                </c:pt>
                <c:pt idx="241">
                  <c:v>43.365504555254446</c:v>
                </c:pt>
                <c:pt idx="242">
                  <c:v>43.365504555254446</c:v>
                </c:pt>
                <c:pt idx="243">
                  <c:v>43.365504555254446</c:v>
                </c:pt>
                <c:pt idx="244">
                  <c:v>43.365504555254446</c:v>
                </c:pt>
                <c:pt idx="245">
                  <c:v>43.365504555254446</c:v>
                </c:pt>
                <c:pt idx="246">
                  <c:v>43.365504555254446</c:v>
                </c:pt>
                <c:pt idx="247">
                  <c:v>43.365504555254446</c:v>
                </c:pt>
                <c:pt idx="248">
                  <c:v>43.365504555254446</c:v>
                </c:pt>
                <c:pt idx="249">
                  <c:v>43.365504555254446</c:v>
                </c:pt>
                <c:pt idx="250">
                  <c:v>43.365504555254446</c:v>
                </c:pt>
                <c:pt idx="251">
                  <c:v>43.365504555254446</c:v>
                </c:pt>
                <c:pt idx="252">
                  <c:v>43.365504555254446</c:v>
                </c:pt>
                <c:pt idx="253">
                  <c:v>43.365504555254446</c:v>
                </c:pt>
                <c:pt idx="254">
                  <c:v>45.673844559506328</c:v>
                </c:pt>
                <c:pt idx="255">
                  <c:v>46.283096463675768</c:v>
                </c:pt>
                <c:pt idx="256">
                  <c:v>45.673844559506328</c:v>
                </c:pt>
                <c:pt idx="257">
                  <c:v>45.673844559506328</c:v>
                </c:pt>
                <c:pt idx="258">
                  <c:v>44.494773819951156</c:v>
                </c:pt>
                <c:pt idx="259">
                  <c:v>43.365504555254446</c:v>
                </c:pt>
                <c:pt idx="260">
                  <c:v>43.365504555254446</c:v>
                </c:pt>
                <c:pt idx="261">
                  <c:v>43.365504555254446</c:v>
                </c:pt>
                <c:pt idx="262">
                  <c:v>43.365504555254446</c:v>
                </c:pt>
                <c:pt idx="263">
                  <c:v>43.365504555254446</c:v>
                </c:pt>
                <c:pt idx="264">
                  <c:v>43.365504555254446</c:v>
                </c:pt>
                <c:pt idx="265">
                  <c:v>43.365504555254446</c:v>
                </c:pt>
                <c:pt idx="266">
                  <c:v>43.365504555254446</c:v>
                </c:pt>
                <c:pt idx="267">
                  <c:v>43.365504555254446</c:v>
                </c:pt>
                <c:pt idx="268">
                  <c:v>43.924113311887368</c:v>
                </c:pt>
                <c:pt idx="269">
                  <c:v>43.365504555254446</c:v>
                </c:pt>
                <c:pt idx="270">
                  <c:v>44.494773819951156</c:v>
                </c:pt>
                <c:pt idx="271">
                  <c:v>46.283096463675768</c:v>
                </c:pt>
                <c:pt idx="272">
                  <c:v>46.283096463675768</c:v>
                </c:pt>
                <c:pt idx="273">
                  <c:v>45.673844559506328</c:v>
                </c:pt>
                <c:pt idx="274">
                  <c:v>44.494773819951156</c:v>
                </c:pt>
                <c:pt idx="275">
                  <c:v>45.673844559506328</c:v>
                </c:pt>
                <c:pt idx="276">
                  <c:v>46.906085468567859</c:v>
                </c:pt>
                <c:pt idx="277">
                  <c:v>47.54328147744701</c:v>
                </c:pt>
                <c:pt idx="278">
                  <c:v>46.906085468567859</c:v>
                </c:pt>
                <c:pt idx="279">
                  <c:v>46.283096463675768</c:v>
                </c:pt>
                <c:pt idx="280">
                  <c:v>43.924113311887368</c:v>
                </c:pt>
                <c:pt idx="281">
                  <c:v>43.365504555254446</c:v>
                </c:pt>
                <c:pt idx="282">
                  <c:v>43.924113311887368</c:v>
                </c:pt>
                <c:pt idx="283">
                  <c:v>45.077880349837372</c:v>
                </c:pt>
                <c:pt idx="284">
                  <c:v>46.906085468567859</c:v>
                </c:pt>
                <c:pt idx="285">
                  <c:v>47.54328147744701</c:v>
                </c:pt>
                <c:pt idx="286">
                  <c:v>46.283096463675768</c:v>
                </c:pt>
                <c:pt idx="287">
                  <c:v>47.54328147744701</c:v>
                </c:pt>
                <c:pt idx="288">
                  <c:v>47.54328147744701</c:v>
                </c:pt>
                <c:pt idx="289">
                  <c:v>44.494773819951156</c:v>
                </c:pt>
                <c:pt idx="290">
                  <c:v>43.365504555254446</c:v>
                </c:pt>
                <c:pt idx="291">
                  <c:v>43.365504555254446</c:v>
                </c:pt>
                <c:pt idx="292">
                  <c:v>44.494773819951156</c:v>
                </c:pt>
                <c:pt idx="293">
                  <c:v>43.365504555254446</c:v>
                </c:pt>
                <c:pt idx="294">
                  <c:v>43.924113311887368</c:v>
                </c:pt>
                <c:pt idx="295">
                  <c:v>45.077880349837372</c:v>
                </c:pt>
                <c:pt idx="296">
                  <c:v>46.283096463675768</c:v>
                </c:pt>
                <c:pt idx="297">
                  <c:v>46.283096463675768</c:v>
                </c:pt>
                <c:pt idx="298">
                  <c:v>45.077880349837372</c:v>
                </c:pt>
                <c:pt idx="299">
                  <c:v>44.494773819951156</c:v>
                </c:pt>
                <c:pt idx="300">
                  <c:v>45.077880349837372</c:v>
                </c:pt>
                <c:pt idx="301">
                  <c:v>45.077880349837372</c:v>
                </c:pt>
                <c:pt idx="302">
                  <c:v>43.924113311887368</c:v>
                </c:pt>
                <c:pt idx="303">
                  <c:v>44.494773819951156</c:v>
                </c:pt>
                <c:pt idx="304">
                  <c:v>45.077880349837372</c:v>
                </c:pt>
                <c:pt idx="305">
                  <c:v>45.077880349837372</c:v>
                </c:pt>
                <c:pt idx="306">
                  <c:v>46.906085468567859</c:v>
                </c:pt>
                <c:pt idx="307">
                  <c:v>50.063378875196641</c:v>
                </c:pt>
                <c:pt idx="308">
                  <c:v>48.805649522192738</c:v>
                </c:pt>
                <c:pt idx="309">
                  <c:v>49.428261889997998</c:v>
                </c:pt>
                <c:pt idx="310">
                  <c:v>48.195176072664189</c:v>
                </c:pt>
                <c:pt idx="311">
                  <c:v>49.428261889997998</c:v>
                </c:pt>
                <c:pt idx="312">
                  <c:v>50.063378875196641</c:v>
                </c:pt>
                <c:pt idx="313">
                  <c:v>48.805649522192738</c:v>
                </c:pt>
                <c:pt idx="314">
                  <c:v>47.54328147744701</c:v>
                </c:pt>
                <c:pt idx="315">
                  <c:v>46.283096463675768</c:v>
                </c:pt>
                <c:pt idx="316">
                  <c:v>47.54328147744701</c:v>
                </c:pt>
                <c:pt idx="317">
                  <c:v>46.906085468567859</c:v>
                </c:pt>
                <c:pt idx="318">
                  <c:v>46.283096463675768</c:v>
                </c:pt>
                <c:pt idx="319">
                  <c:v>46.906085468567859</c:v>
                </c:pt>
                <c:pt idx="320">
                  <c:v>46.906085468567859</c:v>
                </c:pt>
                <c:pt idx="321">
                  <c:v>48.195176072664189</c:v>
                </c:pt>
                <c:pt idx="322">
                  <c:v>49.428261889997998</c:v>
                </c:pt>
                <c:pt idx="323">
                  <c:v>50.874588423736348</c:v>
                </c:pt>
                <c:pt idx="324">
                  <c:v>50.874588423736348</c:v>
                </c:pt>
                <c:pt idx="325">
                  <c:v>51.705110358037601</c:v>
                </c:pt>
                <c:pt idx="326">
                  <c:v>50.874588423736348</c:v>
                </c:pt>
                <c:pt idx="327">
                  <c:v>50.063378875196641</c:v>
                </c:pt>
                <c:pt idx="328">
                  <c:v>44.494773819951156</c:v>
                </c:pt>
                <c:pt idx="329">
                  <c:v>45.077880349837372</c:v>
                </c:pt>
                <c:pt idx="330">
                  <c:v>48.195176072664189</c:v>
                </c:pt>
                <c:pt idx="331">
                  <c:v>48.805649522192738</c:v>
                </c:pt>
                <c:pt idx="332">
                  <c:v>48.195176072664189</c:v>
                </c:pt>
                <c:pt idx="333">
                  <c:v>49.428261889997998</c:v>
                </c:pt>
                <c:pt idx="334">
                  <c:v>50.063378875196641</c:v>
                </c:pt>
                <c:pt idx="335">
                  <c:v>48.805649522192738</c:v>
                </c:pt>
                <c:pt idx="336">
                  <c:v>46.906085468567859</c:v>
                </c:pt>
                <c:pt idx="337">
                  <c:v>48.805649522192738</c:v>
                </c:pt>
                <c:pt idx="338">
                  <c:v>50.063378875196641</c:v>
                </c:pt>
                <c:pt idx="339">
                  <c:v>48.805649522192738</c:v>
                </c:pt>
                <c:pt idx="340">
                  <c:v>47.54328147744701</c:v>
                </c:pt>
                <c:pt idx="341">
                  <c:v>48.195176072664189</c:v>
                </c:pt>
                <c:pt idx="342">
                  <c:v>48.805649522192738</c:v>
                </c:pt>
                <c:pt idx="343">
                  <c:v>48.805649522192738</c:v>
                </c:pt>
                <c:pt idx="344">
                  <c:v>49.428261889997998</c:v>
                </c:pt>
                <c:pt idx="345">
                  <c:v>50.063378875196641</c:v>
                </c:pt>
                <c:pt idx="346">
                  <c:v>49.428261889997998</c:v>
                </c:pt>
                <c:pt idx="347">
                  <c:v>51.705110358037601</c:v>
                </c:pt>
                <c:pt idx="348">
                  <c:v>50.063378875196641</c:v>
                </c:pt>
                <c:pt idx="349">
                  <c:v>47.54328147744701</c:v>
                </c:pt>
                <c:pt idx="350">
                  <c:v>46.283096463675768</c:v>
                </c:pt>
                <c:pt idx="351">
                  <c:v>47.54328147744701</c:v>
                </c:pt>
                <c:pt idx="352">
                  <c:v>46.283096463675768</c:v>
                </c:pt>
                <c:pt idx="353">
                  <c:v>47.54328147744701</c:v>
                </c:pt>
                <c:pt idx="354">
                  <c:v>48.805649522192738</c:v>
                </c:pt>
                <c:pt idx="355">
                  <c:v>47.54328147744701</c:v>
                </c:pt>
                <c:pt idx="356">
                  <c:v>48.805649522192738</c:v>
                </c:pt>
                <c:pt idx="357">
                  <c:v>48.805649522192738</c:v>
                </c:pt>
                <c:pt idx="358">
                  <c:v>49.428261889997998</c:v>
                </c:pt>
                <c:pt idx="359">
                  <c:v>47.54328147744701</c:v>
                </c:pt>
                <c:pt idx="360">
                  <c:v>48.195176072664189</c:v>
                </c:pt>
                <c:pt idx="361">
                  <c:v>50.063378875196641</c:v>
                </c:pt>
                <c:pt idx="362">
                  <c:v>52.555642638331904</c:v>
                </c:pt>
                <c:pt idx="363">
                  <c:v>49.428261889997998</c:v>
                </c:pt>
                <c:pt idx="364">
                  <c:v>48.195176072664189</c:v>
                </c:pt>
              </c:numCache>
            </c:numRef>
          </c:yVal>
          <c:smooth val="0"/>
          <c:extLst>
            <c:ext xmlns:c16="http://schemas.microsoft.com/office/drawing/2014/chart" uri="{C3380CC4-5D6E-409C-BE32-E72D297353CC}">
              <c16:uniqueId val="{00000001-8A82-4C39-92BA-9C75103D1DE6}"/>
            </c:ext>
          </c:extLst>
        </c:ser>
        <c:dLbls>
          <c:showLegendKey val="0"/>
          <c:showVal val="0"/>
          <c:showCatName val="0"/>
          <c:showSerName val="0"/>
          <c:showPercent val="0"/>
          <c:showBubbleSize val="0"/>
        </c:dLbls>
        <c:axId val="223378399"/>
        <c:axId val="223377567"/>
      </c:scatterChart>
      <c:valAx>
        <c:axId val="223378399"/>
        <c:scaling>
          <c:orientation val="minMax"/>
        </c:scaling>
        <c:delete val="0"/>
        <c:axPos val="b"/>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223377567"/>
        <c:crosses val="autoZero"/>
        <c:crossBetween val="midCat"/>
      </c:valAx>
      <c:valAx>
        <c:axId val="22337756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223378399"/>
        <c:crosses val="autoZero"/>
        <c:crossBetween val="midCat"/>
      </c:valAx>
    </c:plotArea>
    <c:plotVisOnly val="1"/>
    <c:dispBlanksAs val="gap"/>
    <c:showDLblsOverMax val="0"/>
    <c:extLst/>
  </c:chart>
  <c:txPr>
    <a:bodyPr/>
    <a:lstStyle/>
    <a:p>
      <a:pPr>
        <a:defRPr/>
      </a:pPr>
      <a:endParaRPr lang="da-DK"/>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175911988113997E-2"/>
          <c:y val="3.940448862711516E-2"/>
          <c:w val="0.6508524604930862"/>
          <c:h val="0.83206623200007257"/>
        </c:manualLayout>
      </c:layout>
      <c:scatterChart>
        <c:scatterStyle val="lineMarker"/>
        <c:varyColors val="0"/>
        <c:ser>
          <c:idx val="3"/>
          <c:order val="0"/>
          <c:tx>
            <c:strRef>
              <c:f>'Varmepumpeberegning VP1'!$C$18</c:f>
              <c:strCache>
                <c:ptCount val="1"/>
                <c:pt idx="0">
                  <c:v>Varmeeffekt</c:v>
                </c:pt>
              </c:strCache>
            </c:strRef>
          </c:tx>
          <c:spPr>
            <a:ln w="19050" cap="rnd">
              <a:solidFill>
                <a:schemeClr val="accent6"/>
              </a:solidFill>
              <a:round/>
            </a:ln>
            <a:effectLst/>
          </c:spPr>
          <c:marker>
            <c:symbol val="none"/>
          </c:marker>
          <c:xVal>
            <c:numRef>
              <c:f>'Varmepumpeberegning VP1'!$A$19:$A$54</c:f>
              <c:numCache>
                <c:formatCode>0.0</c:formatCode>
                <c:ptCount val="36"/>
                <c:pt idx="0">
                  <c:v>-12</c:v>
                </c:pt>
                <c:pt idx="1">
                  <c:v>-11</c:v>
                </c:pt>
                <c:pt idx="2" formatCode="General">
                  <c:v>-10</c:v>
                </c:pt>
                <c:pt idx="3">
                  <c:v>-9</c:v>
                </c:pt>
                <c:pt idx="4">
                  <c:v>-8</c:v>
                </c:pt>
                <c:pt idx="5">
                  <c:v>-7</c:v>
                </c:pt>
                <c:pt idx="6">
                  <c:v>-6</c:v>
                </c:pt>
                <c:pt idx="7">
                  <c:v>-5</c:v>
                </c:pt>
                <c:pt idx="8">
                  <c:v>-4</c:v>
                </c:pt>
                <c:pt idx="9">
                  <c:v>-3</c:v>
                </c:pt>
                <c:pt idx="10">
                  <c:v>-2</c:v>
                </c:pt>
                <c:pt idx="11">
                  <c:v>-1</c:v>
                </c:pt>
                <c:pt idx="12">
                  <c:v>0</c:v>
                </c:pt>
                <c:pt idx="13">
                  <c:v>1</c:v>
                </c:pt>
                <c:pt idx="14">
                  <c:v>2</c:v>
                </c:pt>
                <c:pt idx="15">
                  <c:v>3</c:v>
                </c:pt>
                <c:pt idx="16">
                  <c:v>4</c:v>
                </c:pt>
                <c:pt idx="17">
                  <c:v>5</c:v>
                </c:pt>
                <c:pt idx="18">
                  <c:v>6</c:v>
                </c:pt>
                <c:pt idx="19">
                  <c:v>7</c:v>
                </c:pt>
                <c:pt idx="20">
                  <c:v>8</c:v>
                </c:pt>
                <c:pt idx="21">
                  <c:v>9</c:v>
                </c:pt>
                <c:pt idx="22">
                  <c:v>10</c:v>
                </c:pt>
                <c:pt idx="23">
                  <c:v>11</c:v>
                </c:pt>
                <c:pt idx="24">
                  <c:v>12</c:v>
                </c:pt>
                <c:pt idx="25">
                  <c:v>13</c:v>
                </c:pt>
                <c:pt idx="26">
                  <c:v>14</c:v>
                </c:pt>
                <c:pt idx="27">
                  <c:v>15</c:v>
                </c:pt>
                <c:pt idx="28">
                  <c:v>16</c:v>
                </c:pt>
                <c:pt idx="29">
                  <c:v>17</c:v>
                </c:pt>
                <c:pt idx="30">
                  <c:v>18</c:v>
                </c:pt>
                <c:pt idx="31">
                  <c:v>19</c:v>
                </c:pt>
                <c:pt idx="32">
                  <c:v>20</c:v>
                </c:pt>
                <c:pt idx="33">
                  <c:v>21</c:v>
                </c:pt>
                <c:pt idx="34">
                  <c:v>22</c:v>
                </c:pt>
                <c:pt idx="35">
                  <c:v>23</c:v>
                </c:pt>
              </c:numCache>
            </c:numRef>
          </c:xVal>
          <c:yVal>
            <c:numRef>
              <c:f>'Varmepumpeberegning VP1'!$C$19:$C$54</c:f>
              <c:numCache>
                <c:formatCode>0.000</c:formatCode>
                <c:ptCount val="36"/>
                <c:pt idx="0">
                  <c:v>7.0749025257856211</c:v>
                </c:pt>
                <c:pt idx="1">
                  <c:v>7.0749025257856211</c:v>
                </c:pt>
                <c:pt idx="2">
                  <c:v>7.0749025257856211</c:v>
                </c:pt>
                <c:pt idx="3">
                  <c:v>7.2338740215882558</c:v>
                </c:pt>
                <c:pt idx="4">
                  <c:v>7.3928455173908914</c:v>
                </c:pt>
                <c:pt idx="5">
                  <c:v>7.5518170131935261</c:v>
                </c:pt>
                <c:pt idx="6">
                  <c:v>7.7107885089961608</c:v>
                </c:pt>
                <c:pt idx="7">
                  <c:v>7.8697600047987963</c:v>
                </c:pt>
                <c:pt idx="8">
                  <c:v>8.028731500601431</c:v>
                </c:pt>
                <c:pt idx="9">
                  <c:v>8.1249693299080654</c:v>
                </c:pt>
                <c:pt idx="10">
                  <c:v>8.2212071592146998</c:v>
                </c:pt>
                <c:pt idx="11">
                  <c:v>8.3174449885213342</c:v>
                </c:pt>
                <c:pt idx="12">
                  <c:v>8.4201177660604785</c:v>
                </c:pt>
                <c:pt idx="13">
                  <c:v>8.5227905435996245</c:v>
                </c:pt>
                <c:pt idx="14">
                  <c:v>8.6254633211387688</c:v>
                </c:pt>
                <c:pt idx="15">
                  <c:v>8.7281360986779148</c:v>
                </c:pt>
                <c:pt idx="16">
                  <c:v>8.8308088762170591</c:v>
                </c:pt>
                <c:pt idx="17">
                  <c:v>8.9194883596172705</c:v>
                </c:pt>
                <c:pt idx="18">
                  <c:v>9.0081678430174801</c:v>
                </c:pt>
                <c:pt idx="19">
                  <c:v>9.0968473264176914</c:v>
                </c:pt>
                <c:pt idx="20">
                  <c:v>9.2017685704053669</c:v>
                </c:pt>
                <c:pt idx="21">
                  <c:v>9.3066898143930423</c:v>
                </c:pt>
                <c:pt idx="22">
                  <c:v>9.4116110583807178</c:v>
                </c:pt>
                <c:pt idx="23">
                  <c:v>9.5165323023683932</c:v>
                </c:pt>
                <c:pt idx="24">
                  <c:v>9.6214535463560686</c:v>
                </c:pt>
                <c:pt idx="25">
                  <c:v>9.7263747903437441</c:v>
                </c:pt>
                <c:pt idx="26">
                  <c:v>9.8312960343314195</c:v>
                </c:pt>
                <c:pt idx="27">
                  <c:v>9.936217278319095</c:v>
                </c:pt>
                <c:pt idx="28">
                  <c:v>9.936217278319095</c:v>
                </c:pt>
                <c:pt idx="29">
                  <c:v>9.936217278319095</c:v>
                </c:pt>
                <c:pt idx="30">
                  <c:v>9.936217278319095</c:v>
                </c:pt>
                <c:pt idx="31">
                  <c:v>9.936217278319095</c:v>
                </c:pt>
                <c:pt idx="32">
                  <c:v>9.936217278319095</c:v>
                </c:pt>
                <c:pt idx="33">
                  <c:v>9.936217278319095</c:v>
                </c:pt>
                <c:pt idx="34">
                  <c:v>9.936217278319095</c:v>
                </c:pt>
                <c:pt idx="35">
                  <c:v>9.936217278319095</c:v>
                </c:pt>
              </c:numCache>
            </c:numRef>
          </c:yVal>
          <c:smooth val="0"/>
          <c:extLst>
            <c:ext xmlns:c16="http://schemas.microsoft.com/office/drawing/2014/chart" uri="{C3380CC4-5D6E-409C-BE32-E72D297353CC}">
              <c16:uniqueId val="{0000000A-46B6-4AFB-A138-97D3C9EE7DE8}"/>
            </c:ext>
          </c:extLst>
        </c:ser>
        <c:ser>
          <c:idx val="1"/>
          <c:order val="1"/>
          <c:tx>
            <c:strRef>
              <c:f>'Varmepumpeberegning VP1'!$B$18</c:f>
              <c:strCache>
                <c:ptCount val="1"/>
                <c:pt idx="0">
                  <c:v>COP</c:v>
                </c:pt>
              </c:strCache>
            </c:strRef>
          </c:tx>
          <c:spPr>
            <a:ln w="19050">
              <a:solidFill>
                <a:schemeClr val="accent1"/>
              </a:solidFill>
            </a:ln>
          </c:spPr>
          <c:marker>
            <c:symbol val="none"/>
          </c:marker>
          <c:xVal>
            <c:numRef>
              <c:f>'Varmepumpeberegning VP1'!$A$19:$A$54</c:f>
              <c:numCache>
                <c:formatCode>0.0</c:formatCode>
                <c:ptCount val="36"/>
                <c:pt idx="0">
                  <c:v>-12</c:v>
                </c:pt>
                <c:pt idx="1">
                  <c:v>-11</c:v>
                </c:pt>
                <c:pt idx="2" formatCode="General">
                  <c:v>-10</c:v>
                </c:pt>
                <c:pt idx="3">
                  <c:v>-9</c:v>
                </c:pt>
                <c:pt idx="4">
                  <c:v>-8</c:v>
                </c:pt>
                <c:pt idx="5">
                  <c:v>-7</c:v>
                </c:pt>
                <c:pt idx="6">
                  <c:v>-6</c:v>
                </c:pt>
                <c:pt idx="7">
                  <c:v>-5</c:v>
                </c:pt>
                <c:pt idx="8">
                  <c:v>-4</c:v>
                </c:pt>
                <c:pt idx="9">
                  <c:v>-3</c:v>
                </c:pt>
                <c:pt idx="10">
                  <c:v>-2</c:v>
                </c:pt>
                <c:pt idx="11">
                  <c:v>-1</c:v>
                </c:pt>
                <c:pt idx="12">
                  <c:v>0</c:v>
                </c:pt>
                <c:pt idx="13">
                  <c:v>1</c:v>
                </c:pt>
                <c:pt idx="14">
                  <c:v>2</c:v>
                </c:pt>
                <c:pt idx="15">
                  <c:v>3</c:v>
                </c:pt>
                <c:pt idx="16">
                  <c:v>4</c:v>
                </c:pt>
                <c:pt idx="17">
                  <c:v>5</c:v>
                </c:pt>
                <c:pt idx="18">
                  <c:v>6</c:v>
                </c:pt>
                <c:pt idx="19">
                  <c:v>7</c:v>
                </c:pt>
                <c:pt idx="20">
                  <c:v>8</c:v>
                </c:pt>
                <c:pt idx="21">
                  <c:v>9</c:v>
                </c:pt>
                <c:pt idx="22">
                  <c:v>10</c:v>
                </c:pt>
                <c:pt idx="23">
                  <c:v>11</c:v>
                </c:pt>
                <c:pt idx="24">
                  <c:v>12</c:v>
                </c:pt>
                <c:pt idx="25">
                  <c:v>13</c:v>
                </c:pt>
                <c:pt idx="26">
                  <c:v>14</c:v>
                </c:pt>
                <c:pt idx="27">
                  <c:v>15</c:v>
                </c:pt>
                <c:pt idx="28">
                  <c:v>16</c:v>
                </c:pt>
                <c:pt idx="29">
                  <c:v>17</c:v>
                </c:pt>
                <c:pt idx="30">
                  <c:v>18</c:v>
                </c:pt>
                <c:pt idx="31">
                  <c:v>19</c:v>
                </c:pt>
                <c:pt idx="32">
                  <c:v>20</c:v>
                </c:pt>
                <c:pt idx="33">
                  <c:v>21</c:v>
                </c:pt>
                <c:pt idx="34">
                  <c:v>22</c:v>
                </c:pt>
                <c:pt idx="35">
                  <c:v>23</c:v>
                </c:pt>
              </c:numCache>
            </c:numRef>
          </c:xVal>
          <c:yVal>
            <c:numRef>
              <c:f>'Varmepumpeberegning VP1'!$B$19:$B$54</c:f>
              <c:numCache>
                <c:formatCode>0.00</c:formatCode>
                <c:ptCount val="36"/>
                <c:pt idx="0">
                  <c:v>2.294316581428701</c:v>
                </c:pt>
                <c:pt idx="1">
                  <c:v>2.294316581428701</c:v>
                </c:pt>
                <c:pt idx="2">
                  <c:v>2.294316581428701</c:v>
                </c:pt>
                <c:pt idx="3">
                  <c:v>2.3307421763550678</c:v>
                </c:pt>
                <c:pt idx="4">
                  <c:v>2.3667010048668562</c:v>
                </c:pt>
                <c:pt idx="5">
                  <c:v>2.4022019817332527</c:v>
                </c:pt>
                <c:pt idx="6">
                  <c:v>2.4372537961420666</c:v>
                </c:pt>
                <c:pt idx="7">
                  <c:v>2.4718649187900783</c:v>
                </c:pt>
                <c:pt idx="8">
                  <c:v>2.5060436087076292</c:v>
                </c:pt>
                <c:pt idx="9">
                  <c:v>2.550810656354646</c:v>
                </c:pt>
                <c:pt idx="10">
                  <c:v>2.5961006965534756</c:v>
                </c:pt>
                <c:pt idx="11">
                  <c:v>2.6419229479701314</c:v>
                </c:pt>
                <c:pt idx="12">
                  <c:v>2.6875605808333574</c:v>
                </c:pt>
                <c:pt idx="13">
                  <c:v>2.7336449008903867</c:v>
                </c:pt>
                <c:pt idx="14">
                  <c:v>2.7801824984496553</c:v>
                </c:pt>
                <c:pt idx="15">
                  <c:v>2.8271800941026166</c:v>
                </c:pt>
                <c:pt idx="16">
                  <c:v>2.8746445419591673</c:v>
                </c:pt>
                <c:pt idx="17">
                  <c:v>2.9129328437623547</c:v>
                </c:pt>
                <c:pt idx="18">
                  <c:v>2.9514704207300451</c:v>
                </c:pt>
                <c:pt idx="19">
                  <c:v>2.9902597151633996</c:v>
                </c:pt>
                <c:pt idx="20">
                  <c:v>3.0328225996421248</c:v>
                </c:pt>
                <c:pt idx="21">
                  <c:v>3.0756133144315161</c:v>
                </c:pt>
                <c:pt idx="22">
                  <c:v>3.1186336937333676</c:v>
                </c:pt>
                <c:pt idx="23">
                  <c:v>3.1618855914913517</c:v>
                </c:pt>
                <c:pt idx="24">
                  <c:v>3.2053708816573461</c:v>
                </c:pt>
                <c:pt idx="25">
                  <c:v>3.2490914584620767</c:v>
                </c:pt>
                <c:pt idx="26">
                  <c:v>3.2930492366901718</c:v>
                </c:pt>
                <c:pt idx="27">
                  <c:v>3.3372461519597025</c:v>
                </c:pt>
                <c:pt idx="28">
                  <c:v>3.3372461519597025</c:v>
                </c:pt>
                <c:pt idx="29">
                  <c:v>3.3372461519597025</c:v>
                </c:pt>
                <c:pt idx="30">
                  <c:v>3.3372461519597025</c:v>
                </c:pt>
                <c:pt idx="31">
                  <c:v>3.3372461519597025</c:v>
                </c:pt>
                <c:pt idx="32">
                  <c:v>3.3372461519597025</c:v>
                </c:pt>
                <c:pt idx="33">
                  <c:v>3.3372461519597025</c:v>
                </c:pt>
                <c:pt idx="34">
                  <c:v>3.3372461519597025</c:v>
                </c:pt>
                <c:pt idx="35">
                  <c:v>3.3372461519597025</c:v>
                </c:pt>
              </c:numCache>
            </c:numRef>
          </c:yVal>
          <c:smooth val="0"/>
          <c:extLst>
            <c:ext xmlns:c16="http://schemas.microsoft.com/office/drawing/2014/chart" uri="{C3380CC4-5D6E-409C-BE32-E72D297353CC}">
              <c16:uniqueId val="{00000006-46B6-4AFB-A138-97D3C9EE7DE8}"/>
            </c:ext>
          </c:extLst>
        </c:ser>
        <c:ser>
          <c:idx val="0"/>
          <c:order val="2"/>
          <c:tx>
            <c:strRef>
              <c:f>'Varmepumpeberegning VP1'!$D$18</c:f>
              <c:strCache>
                <c:ptCount val="1"/>
                <c:pt idx="0">
                  <c:v>Eleffekt</c:v>
                </c:pt>
              </c:strCache>
            </c:strRef>
          </c:tx>
          <c:spPr>
            <a:ln w="19050" cap="rnd">
              <a:solidFill>
                <a:schemeClr val="accent4"/>
              </a:solidFill>
              <a:round/>
            </a:ln>
            <a:effectLst/>
          </c:spPr>
          <c:marker>
            <c:symbol val="none"/>
          </c:marker>
          <c:xVal>
            <c:numRef>
              <c:f>'Varmepumpeberegning VP1'!$A$19:$A$54</c:f>
              <c:numCache>
                <c:formatCode>0.0</c:formatCode>
                <c:ptCount val="36"/>
                <c:pt idx="0">
                  <c:v>-12</c:v>
                </c:pt>
                <c:pt idx="1">
                  <c:v>-11</c:v>
                </c:pt>
                <c:pt idx="2" formatCode="General">
                  <c:v>-10</c:v>
                </c:pt>
                <c:pt idx="3">
                  <c:v>-9</c:v>
                </c:pt>
                <c:pt idx="4">
                  <c:v>-8</c:v>
                </c:pt>
                <c:pt idx="5">
                  <c:v>-7</c:v>
                </c:pt>
                <c:pt idx="6">
                  <c:v>-6</c:v>
                </c:pt>
                <c:pt idx="7">
                  <c:v>-5</c:v>
                </c:pt>
                <c:pt idx="8">
                  <c:v>-4</c:v>
                </c:pt>
                <c:pt idx="9">
                  <c:v>-3</c:v>
                </c:pt>
                <c:pt idx="10">
                  <c:v>-2</c:v>
                </c:pt>
                <c:pt idx="11">
                  <c:v>-1</c:v>
                </c:pt>
                <c:pt idx="12">
                  <c:v>0</c:v>
                </c:pt>
                <c:pt idx="13">
                  <c:v>1</c:v>
                </c:pt>
                <c:pt idx="14">
                  <c:v>2</c:v>
                </c:pt>
                <c:pt idx="15">
                  <c:v>3</c:v>
                </c:pt>
                <c:pt idx="16">
                  <c:v>4</c:v>
                </c:pt>
                <c:pt idx="17">
                  <c:v>5</c:v>
                </c:pt>
                <c:pt idx="18">
                  <c:v>6</c:v>
                </c:pt>
                <c:pt idx="19">
                  <c:v>7</c:v>
                </c:pt>
                <c:pt idx="20">
                  <c:v>8</c:v>
                </c:pt>
                <c:pt idx="21">
                  <c:v>9</c:v>
                </c:pt>
                <c:pt idx="22">
                  <c:v>10</c:v>
                </c:pt>
                <c:pt idx="23">
                  <c:v>11</c:v>
                </c:pt>
                <c:pt idx="24">
                  <c:v>12</c:v>
                </c:pt>
                <c:pt idx="25">
                  <c:v>13</c:v>
                </c:pt>
                <c:pt idx="26">
                  <c:v>14</c:v>
                </c:pt>
                <c:pt idx="27">
                  <c:v>15</c:v>
                </c:pt>
                <c:pt idx="28">
                  <c:v>16</c:v>
                </c:pt>
                <c:pt idx="29">
                  <c:v>17</c:v>
                </c:pt>
                <c:pt idx="30">
                  <c:v>18</c:v>
                </c:pt>
                <c:pt idx="31">
                  <c:v>19</c:v>
                </c:pt>
                <c:pt idx="32">
                  <c:v>20</c:v>
                </c:pt>
                <c:pt idx="33">
                  <c:v>21</c:v>
                </c:pt>
                <c:pt idx="34">
                  <c:v>22</c:v>
                </c:pt>
                <c:pt idx="35">
                  <c:v>23</c:v>
                </c:pt>
              </c:numCache>
            </c:numRef>
          </c:xVal>
          <c:yVal>
            <c:numRef>
              <c:f>'Varmepumpeberegning VP1'!$D$19:$D$54</c:f>
              <c:numCache>
                <c:formatCode>0.000</c:formatCode>
                <c:ptCount val="36"/>
                <c:pt idx="0">
                  <c:v>3.0836644703060054</c:v>
                </c:pt>
                <c:pt idx="1">
                  <c:v>3.0836644703060054</c:v>
                </c:pt>
                <c:pt idx="2">
                  <c:v>3.0836644703060054</c:v>
                </c:pt>
                <c:pt idx="3">
                  <c:v>3.103678345453444</c:v>
                </c:pt>
                <c:pt idx="4">
                  <c:v>3.123692220600883</c:v>
                </c:pt>
                <c:pt idx="5">
                  <c:v>3.143706095748322</c:v>
                </c:pt>
                <c:pt idx="6">
                  <c:v>3.1637199708957606</c:v>
                </c:pt>
                <c:pt idx="7">
                  <c:v>3.1837338460431992</c:v>
                </c:pt>
                <c:pt idx="8">
                  <c:v>3.2037477211906382</c:v>
                </c:pt>
                <c:pt idx="9">
                  <c:v>3.1852498771976392</c:v>
                </c:pt>
                <c:pt idx="10">
                  <c:v>3.1667520332046397</c:v>
                </c:pt>
                <c:pt idx="11">
                  <c:v>3.1482541892116407</c:v>
                </c:pt>
                <c:pt idx="12">
                  <c:v>3.1329964526602683</c:v>
                </c:pt>
                <c:pt idx="13">
                  <c:v>3.1177387161088959</c:v>
                </c:pt>
                <c:pt idx="14">
                  <c:v>3.1024809795575234</c:v>
                </c:pt>
                <c:pt idx="15">
                  <c:v>3.087223243006151</c:v>
                </c:pt>
                <c:pt idx="16">
                  <c:v>3.0719655064547786</c:v>
                </c:pt>
                <c:pt idx="17">
                  <c:v>3.062030207362016</c:v>
                </c:pt>
                <c:pt idx="18">
                  <c:v>3.052094908269253</c:v>
                </c:pt>
                <c:pt idx="19">
                  <c:v>3.0421596091764904</c:v>
                </c:pt>
                <c:pt idx="20">
                  <c:v>3.0340609343557325</c:v>
                </c:pt>
                <c:pt idx="21">
                  <c:v>3.0259622595349747</c:v>
                </c:pt>
                <c:pt idx="22">
                  <c:v>3.0178635847142163</c:v>
                </c:pt>
                <c:pt idx="23">
                  <c:v>3.0097649098934585</c:v>
                </c:pt>
                <c:pt idx="24">
                  <c:v>3.0016662350727006</c:v>
                </c:pt>
                <c:pt idx="25">
                  <c:v>2.9935675602519423</c:v>
                </c:pt>
                <c:pt idx="26">
                  <c:v>2.9854688854311844</c:v>
                </c:pt>
                <c:pt idx="27">
                  <c:v>2.9773702106104265</c:v>
                </c:pt>
                <c:pt idx="28">
                  <c:v>2.9773702106104265</c:v>
                </c:pt>
                <c:pt idx="29">
                  <c:v>2.9773702106104265</c:v>
                </c:pt>
                <c:pt idx="30">
                  <c:v>2.9773702106104265</c:v>
                </c:pt>
                <c:pt idx="31">
                  <c:v>2.9773702106104265</c:v>
                </c:pt>
                <c:pt idx="32">
                  <c:v>2.9773702106104265</c:v>
                </c:pt>
                <c:pt idx="33">
                  <c:v>2.9773702106104265</c:v>
                </c:pt>
                <c:pt idx="34">
                  <c:v>2.9773702106104265</c:v>
                </c:pt>
                <c:pt idx="35">
                  <c:v>2.9773702106104265</c:v>
                </c:pt>
              </c:numCache>
            </c:numRef>
          </c:yVal>
          <c:smooth val="0"/>
          <c:extLst>
            <c:ext xmlns:c16="http://schemas.microsoft.com/office/drawing/2014/chart" uri="{C3380CC4-5D6E-409C-BE32-E72D297353CC}">
              <c16:uniqueId val="{00000008-46B6-4AFB-A138-97D3C9EE7DE8}"/>
            </c:ext>
          </c:extLst>
        </c:ser>
        <c:ser>
          <c:idx val="2"/>
          <c:order val="3"/>
          <c:tx>
            <c:strRef>
              <c:f>'Varmepumpeberegning VP1'!$A$4</c:f>
              <c:strCache>
                <c:ptCount val="1"/>
                <c:pt idx="0">
                  <c:v>Leverandør varmeeffekt</c:v>
                </c:pt>
              </c:strCache>
            </c:strRef>
          </c:tx>
          <c:spPr>
            <a:ln>
              <a:noFill/>
            </a:ln>
          </c:spPr>
          <c:marker>
            <c:symbol val="circle"/>
            <c:size val="7"/>
            <c:spPr>
              <a:noFill/>
              <a:ln w="12700">
                <a:solidFill>
                  <a:schemeClr val="tx1"/>
                </a:solidFill>
              </a:ln>
            </c:spPr>
          </c:marker>
          <c:xVal>
            <c:numRef>
              <c:f>'Varmepumpeberegning VP1'!$B$10:$B$15</c:f>
              <c:numCache>
                <c:formatCode>General</c:formatCode>
                <c:ptCount val="6"/>
                <c:pt idx="0">
                  <c:v>-10</c:v>
                </c:pt>
                <c:pt idx="1">
                  <c:v>-4</c:v>
                </c:pt>
                <c:pt idx="2">
                  <c:v>-1</c:v>
                </c:pt>
                <c:pt idx="3">
                  <c:v>4</c:v>
                </c:pt>
                <c:pt idx="4">
                  <c:v>7</c:v>
                </c:pt>
                <c:pt idx="5">
                  <c:v>15</c:v>
                </c:pt>
              </c:numCache>
            </c:numRef>
          </c:xVal>
          <c:yVal>
            <c:numRef>
              <c:f>'Varmepumpeberegning VP1'!$D$10:$D$15</c:f>
              <c:numCache>
                <c:formatCode>#,##0.000</c:formatCode>
                <c:ptCount val="6"/>
                <c:pt idx="0">
                  <c:v>7.0749025257856211</c:v>
                </c:pt>
                <c:pt idx="1">
                  <c:v>8.028731500601431</c:v>
                </c:pt>
                <c:pt idx="2">
                  <c:v>8.3174449885213342</c:v>
                </c:pt>
                <c:pt idx="3">
                  <c:v>8.8308088762170591</c:v>
                </c:pt>
                <c:pt idx="4">
                  <c:v>9.0968473264176914</c:v>
                </c:pt>
                <c:pt idx="5">
                  <c:v>9.936217278319095</c:v>
                </c:pt>
              </c:numCache>
            </c:numRef>
          </c:yVal>
          <c:smooth val="0"/>
          <c:extLst>
            <c:ext xmlns:c16="http://schemas.microsoft.com/office/drawing/2014/chart" uri="{C3380CC4-5D6E-409C-BE32-E72D297353CC}">
              <c16:uniqueId val="{00000001-9372-47E9-8016-5124BCD2052D}"/>
            </c:ext>
          </c:extLst>
        </c:ser>
        <c:ser>
          <c:idx val="4"/>
          <c:order val="4"/>
          <c:tx>
            <c:strRef>
              <c:f>'Varmepumpeberegning VP1'!$A$5</c:f>
              <c:strCache>
                <c:ptCount val="1"/>
                <c:pt idx="0">
                  <c:v>Leverandør samlet eleffekt</c:v>
                </c:pt>
              </c:strCache>
            </c:strRef>
          </c:tx>
          <c:spPr>
            <a:ln>
              <a:noFill/>
            </a:ln>
          </c:spPr>
          <c:marker>
            <c:symbol val="square"/>
            <c:size val="7"/>
            <c:spPr>
              <a:noFill/>
              <a:ln>
                <a:solidFill>
                  <a:schemeClr val="tx1"/>
                </a:solidFill>
              </a:ln>
            </c:spPr>
          </c:marker>
          <c:xVal>
            <c:numRef>
              <c:f>'Varmepumpeberegning VP1'!$B$10:$B$15</c:f>
              <c:numCache>
                <c:formatCode>General</c:formatCode>
                <c:ptCount val="6"/>
                <c:pt idx="0">
                  <c:v>-10</c:v>
                </c:pt>
                <c:pt idx="1">
                  <c:v>-4</c:v>
                </c:pt>
                <c:pt idx="2">
                  <c:v>-1</c:v>
                </c:pt>
                <c:pt idx="3">
                  <c:v>4</c:v>
                </c:pt>
                <c:pt idx="4">
                  <c:v>7</c:v>
                </c:pt>
                <c:pt idx="5">
                  <c:v>15</c:v>
                </c:pt>
              </c:numCache>
            </c:numRef>
          </c:xVal>
          <c:yVal>
            <c:numRef>
              <c:f>'Varmepumpeberegning VP1'!$G$10:$G$15</c:f>
              <c:numCache>
                <c:formatCode>#,##0.000</c:formatCode>
                <c:ptCount val="6"/>
                <c:pt idx="0">
                  <c:v>3.0836644703060054</c:v>
                </c:pt>
                <c:pt idx="1">
                  <c:v>3.2037477211906382</c:v>
                </c:pt>
                <c:pt idx="2">
                  <c:v>3.1482541892116407</c:v>
                </c:pt>
                <c:pt idx="3">
                  <c:v>3.0719655064547786</c:v>
                </c:pt>
                <c:pt idx="4">
                  <c:v>3.0421596091764904</c:v>
                </c:pt>
                <c:pt idx="5">
                  <c:v>2.9773702106104265</c:v>
                </c:pt>
              </c:numCache>
            </c:numRef>
          </c:yVal>
          <c:smooth val="0"/>
          <c:extLst>
            <c:ext xmlns:c16="http://schemas.microsoft.com/office/drawing/2014/chart" uri="{C3380CC4-5D6E-409C-BE32-E72D297353CC}">
              <c16:uniqueId val="{00000002-9372-47E9-8016-5124BCD2052D}"/>
            </c:ext>
          </c:extLst>
        </c:ser>
        <c:ser>
          <c:idx val="5"/>
          <c:order val="5"/>
          <c:tx>
            <c:strRef>
              <c:f>'Varmepumpeberegning VP1'!$A$6</c:f>
              <c:strCache>
                <c:ptCount val="1"/>
                <c:pt idx="0">
                  <c:v>Leverandør COP</c:v>
                </c:pt>
              </c:strCache>
            </c:strRef>
          </c:tx>
          <c:spPr>
            <a:ln>
              <a:noFill/>
            </a:ln>
          </c:spPr>
          <c:marker>
            <c:symbol val="triangle"/>
            <c:size val="7"/>
            <c:spPr>
              <a:noFill/>
              <a:ln>
                <a:solidFill>
                  <a:schemeClr val="tx1"/>
                </a:solidFill>
              </a:ln>
            </c:spPr>
          </c:marker>
          <c:xVal>
            <c:numRef>
              <c:f>'Varmepumpeberegning VP1'!$B$10:$B$15</c:f>
              <c:numCache>
                <c:formatCode>General</c:formatCode>
                <c:ptCount val="6"/>
                <c:pt idx="0">
                  <c:v>-10</c:v>
                </c:pt>
                <c:pt idx="1">
                  <c:v>-4</c:v>
                </c:pt>
                <c:pt idx="2">
                  <c:v>-1</c:v>
                </c:pt>
                <c:pt idx="3">
                  <c:v>4</c:v>
                </c:pt>
                <c:pt idx="4">
                  <c:v>7</c:v>
                </c:pt>
                <c:pt idx="5">
                  <c:v>15</c:v>
                </c:pt>
              </c:numCache>
            </c:numRef>
          </c:xVal>
          <c:yVal>
            <c:numRef>
              <c:f>'Varmepumpeberegning VP1'!$I$10:$I$15</c:f>
              <c:numCache>
                <c:formatCode>0.00</c:formatCode>
                <c:ptCount val="6"/>
                <c:pt idx="0">
                  <c:v>2.294316581428701</c:v>
                </c:pt>
                <c:pt idx="1">
                  <c:v>2.5060436087076292</c:v>
                </c:pt>
                <c:pt idx="2">
                  <c:v>2.6419229479701314</c:v>
                </c:pt>
                <c:pt idx="3">
                  <c:v>2.8746445419591673</c:v>
                </c:pt>
                <c:pt idx="4">
                  <c:v>2.9902597151633996</c:v>
                </c:pt>
                <c:pt idx="5">
                  <c:v>3.3372461519597025</c:v>
                </c:pt>
              </c:numCache>
            </c:numRef>
          </c:yVal>
          <c:smooth val="0"/>
          <c:extLst>
            <c:ext xmlns:c16="http://schemas.microsoft.com/office/drawing/2014/chart" uri="{C3380CC4-5D6E-409C-BE32-E72D297353CC}">
              <c16:uniqueId val="{00000004-9372-47E9-8016-5124BCD2052D}"/>
            </c:ext>
          </c:extLst>
        </c:ser>
        <c:dLbls>
          <c:showLegendKey val="0"/>
          <c:showVal val="0"/>
          <c:showCatName val="0"/>
          <c:showSerName val="0"/>
          <c:showPercent val="0"/>
          <c:showBubbleSize val="0"/>
        </c:dLbls>
        <c:axId val="1225366719"/>
        <c:axId val="1225361727"/>
      </c:scatterChart>
      <c:valAx>
        <c:axId val="1225366719"/>
        <c:scaling>
          <c:orientation val="minMax"/>
        </c:scaling>
        <c:delete val="0"/>
        <c:axPos val="b"/>
        <c:title>
          <c:tx>
            <c:rich>
              <a:bodyPr/>
              <a:lstStyle/>
              <a:p>
                <a:pPr>
                  <a:defRPr/>
                </a:pPr>
                <a:r>
                  <a:rPr lang="da-DK"/>
                  <a:t>Udetemperatur</a:t>
                </a:r>
                <a:r>
                  <a:rPr lang="da-DK" baseline="0"/>
                  <a:t> [C]</a:t>
                </a:r>
                <a:endParaRPr lang="da-DK"/>
              </a:p>
            </c:rich>
          </c:tx>
          <c:overlay val="0"/>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1225361727"/>
        <c:crosses val="autoZero"/>
        <c:crossBetween val="midCat"/>
      </c:valAx>
      <c:valAx>
        <c:axId val="1225361727"/>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a:pPr>
                <a:r>
                  <a:rPr lang="da-DK"/>
                  <a:t>Effekt [MW]</a:t>
                </a:r>
                <a:r>
                  <a:rPr lang="da-DK" baseline="0"/>
                  <a:t> /COP [-]</a:t>
                </a:r>
              </a:p>
              <a:p>
                <a:pPr>
                  <a:defRPr/>
                </a:pPr>
                <a:endParaRPr lang="da-DK"/>
              </a:p>
            </c:rich>
          </c:tx>
          <c:overlay val="0"/>
        </c:title>
        <c:numFmt formatCode="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1225366719"/>
        <c:crosses val="autoZero"/>
        <c:crossBetween val="midCat"/>
      </c:valAx>
    </c:plotArea>
    <c:legend>
      <c:legendPos val="r"/>
      <c:overlay val="0"/>
    </c:legend>
    <c:plotVisOnly val="1"/>
    <c:dispBlanksAs val="gap"/>
    <c:showDLblsOverMax val="0"/>
    <c:extLst/>
  </c:chart>
  <c:txPr>
    <a:bodyPr/>
    <a:lstStyle/>
    <a:p>
      <a:pPr>
        <a:defRPr/>
      </a:pPr>
      <a:endParaRPr lang="da-DK"/>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scatterChart>
        <c:scatterStyle val="lineMarker"/>
        <c:varyColors val="0"/>
        <c:ser>
          <c:idx val="0"/>
          <c:order val="0"/>
          <c:tx>
            <c:strRef>
              <c:f>'Varmepumpeberegning VP1'!$W$3</c:f>
              <c:strCache>
                <c:ptCount val="1"/>
                <c:pt idx="0">
                  <c:v>COP</c:v>
                </c:pt>
              </c:strCache>
            </c:strRef>
          </c:tx>
          <c:spPr>
            <a:ln w="19050" cap="rnd">
              <a:noFill/>
              <a:round/>
            </a:ln>
            <a:effectLst/>
          </c:spPr>
          <c:marker>
            <c:symbol val="circle"/>
            <c:size val="5"/>
            <c:spPr>
              <a:solidFill>
                <a:schemeClr val="accent1"/>
              </a:solidFill>
              <a:ln w="9525">
                <a:solidFill>
                  <a:schemeClr val="accent1"/>
                </a:solidFill>
              </a:ln>
              <a:effectLst/>
            </c:spPr>
          </c:marker>
          <c:yVal>
            <c:numRef>
              <c:f>'Varmepumpeberegning VP1'!$W$4:$W$368</c:f>
              <c:numCache>
                <c:formatCode>0.00</c:formatCode>
                <c:ptCount val="365"/>
                <c:pt idx="0">
                  <c:v>2.9902597151633996</c:v>
                </c:pt>
                <c:pt idx="1">
                  <c:v>3.0756133144315161</c:v>
                </c:pt>
                <c:pt idx="2">
                  <c:v>3.0756133144315161</c:v>
                </c:pt>
                <c:pt idx="3">
                  <c:v>2.9129328437623547</c:v>
                </c:pt>
                <c:pt idx="4">
                  <c:v>2.9129328437623547</c:v>
                </c:pt>
                <c:pt idx="5">
                  <c:v>2.7801824984496553</c:v>
                </c:pt>
                <c:pt idx="6">
                  <c:v>2.6875605808333574</c:v>
                </c:pt>
                <c:pt idx="7">
                  <c:v>2.6419229479701314</c:v>
                </c:pt>
                <c:pt idx="8">
                  <c:v>2.5060436087076292</c:v>
                </c:pt>
                <c:pt idx="9">
                  <c:v>2.5060436087076292</c:v>
                </c:pt>
                <c:pt idx="10">
                  <c:v>2.6419229479701314</c:v>
                </c:pt>
                <c:pt idx="11">
                  <c:v>2.8271800941026166</c:v>
                </c:pt>
                <c:pt idx="12">
                  <c:v>2.8746445419591673</c:v>
                </c:pt>
                <c:pt idx="13">
                  <c:v>2.8746445419591673</c:v>
                </c:pt>
                <c:pt idx="14">
                  <c:v>2.7801824984496553</c:v>
                </c:pt>
                <c:pt idx="15">
                  <c:v>2.7336449008903867</c:v>
                </c:pt>
                <c:pt idx="16">
                  <c:v>2.6419229479701314</c:v>
                </c:pt>
                <c:pt idx="17">
                  <c:v>2.6419229479701314</c:v>
                </c:pt>
                <c:pt idx="18">
                  <c:v>2.7801824984496553</c:v>
                </c:pt>
                <c:pt idx="19">
                  <c:v>2.7336449008903867</c:v>
                </c:pt>
                <c:pt idx="20">
                  <c:v>2.8271800941026166</c:v>
                </c:pt>
                <c:pt idx="21">
                  <c:v>3.0328225996421248</c:v>
                </c:pt>
                <c:pt idx="22">
                  <c:v>2.9902597151633996</c:v>
                </c:pt>
                <c:pt idx="23">
                  <c:v>3.0756133144315161</c:v>
                </c:pt>
                <c:pt idx="24">
                  <c:v>2.9514704207300451</c:v>
                </c:pt>
                <c:pt idx="25">
                  <c:v>3.0328225996421248</c:v>
                </c:pt>
                <c:pt idx="26">
                  <c:v>2.9129328437623547</c:v>
                </c:pt>
                <c:pt idx="27">
                  <c:v>2.8746445419591673</c:v>
                </c:pt>
                <c:pt idx="28">
                  <c:v>2.9514704207300451</c:v>
                </c:pt>
                <c:pt idx="29">
                  <c:v>2.9902597151633996</c:v>
                </c:pt>
                <c:pt idx="30">
                  <c:v>2.9514704207300451</c:v>
                </c:pt>
                <c:pt idx="31">
                  <c:v>2.9514704207300451</c:v>
                </c:pt>
                <c:pt idx="32">
                  <c:v>2.9902597151633996</c:v>
                </c:pt>
                <c:pt idx="33">
                  <c:v>3.0756133144315161</c:v>
                </c:pt>
                <c:pt idx="34">
                  <c:v>3.0756133144315161</c:v>
                </c:pt>
                <c:pt idx="35">
                  <c:v>3.0756133144315161</c:v>
                </c:pt>
                <c:pt idx="36">
                  <c:v>3.0756133144315161</c:v>
                </c:pt>
                <c:pt idx="37">
                  <c:v>2.9129328437623547</c:v>
                </c:pt>
                <c:pt idx="38">
                  <c:v>2.7801824984496553</c:v>
                </c:pt>
                <c:pt idx="39">
                  <c:v>2.9902597151633996</c:v>
                </c:pt>
                <c:pt idx="40">
                  <c:v>3.0756133144315161</c:v>
                </c:pt>
                <c:pt idx="41">
                  <c:v>3.0328225996421248</c:v>
                </c:pt>
                <c:pt idx="42">
                  <c:v>2.9902597151633996</c:v>
                </c:pt>
                <c:pt idx="43">
                  <c:v>2.9902597151633996</c:v>
                </c:pt>
                <c:pt idx="44">
                  <c:v>3.1186336937333676</c:v>
                </c:pt>
                <c:pt idx="45">
                  <c:v>3.2053708816573461</c:v>
                </c:pt>
                <c:pt idx="46">
                  <c:v>3.1186336937333676</c:v>
                </c:pt>
                <c:pt idx="47">
                  <c:v>3.0756133144315161</c:v>
                </c:pt>
                <c:pt idx="48">
                  <c:v>3.0756133144315161</c:v>
                </c:pt>
                <c:pt idx="49">
                  <c:v>3.0328225996421248</c:v>
                </c:pt>
                <c:pt idx="50">
                  <c:v>3.0328225996421248</c:v>
                </c:pt>
                <c:pt idx="51">
                  <c:v>3.0756133144315161</c:v>
                </c:pt>
                <c:pt idx="52">
                  <c:v>3.1186336937333676</c:v>
                </c:pt>
                <c:pt idx="53">
                  <c:v>2.9514704207300451</c:v>
                </c:pt>
                <c:pt idx="54">
                  <c:v>2.9129328437623547</c:v>
                </c:pt>
                <c:pt idx="55">
                  <c:v>2.9129328437623547</c:v>
                </c:pt>
                <c:pt idx="56">
                  <c:v>2.8746445419591673</c:v>
                </c:pt>
                <c:pt idx="57">
                  <c:v>2.8746445419591673</c:v>
                </c:pt>
                <c:pt idx="58">
                  <c:v>2.9514704207300451</c:v>
                </c:pt>
                <c:pt idx="59">
                  <c:v>3.0328225996421248</c:v>
                </c:pt>
                <c:pt idx="60">
                  <c:v>3.0328225996421248</c:v>
                </c:pt>
                <c:pt idx="61">
                  <c:v>3.1186336937333676</c:v>
                </c:pt>
                <c:pt idx="62">
                  <c:v>3.1186336937333676</c:v>
                </c:pt>
                <c:pt idx="63">
                  <c:v>2.9902597151633996</c:v>
                </c:pt>
                <c:pt idx="64">
                  <c:v>2.9902597151633996</c:v>
                </c:pt>
                <c:pt idx="65">
                  <c:v>2.9514704207300451</c:v>
                </c:pt>
                <c:pt idx="66">
                  <c:v>2.8746445419591673</c:v>
                </c:pt>
                <c:pt idx="67">
                  <c:v>2.8746445419591673</c:v>
                </c:pt>
                <c:pt idx="68">
                  <c:v>2.9514704207300451</c:v>
                </c:pt>
                <c:pt idx="69">
                  <c:v>2.9902597151633996</c:v>
                </c:pt>
                <c:pt idx="70">
                  <c:v>2.9902597151633996</c:v>
                </c:pt>
                <c:pt idx="71">
                  <c:v>2.9902597151633996</c:v>
                </c:pt>
                <c:pt idx="72">
                  <c:v>3.0756133144315161</c:v>
                </c:pt>
                <c:pt idx="73">
                  <c:v>3.2053708816573461</c:v>
                </c:pt>
                <c:pt idx="74">
                  <c:v>3.2053708816573461</c:v>
                </c:pt>
                <c:pt idx="75">
                  <c:v>3.0328225996421248</c:v>
                </c:pt>
                <c:pt idx="76">
                  <c:v>3.0328225996421248</c:v>
                </c:pt>
                <c:pt idx="77">
                  <c:v>3.1186336937333676</c:v>
                </c:pt>
                <c:pt idx="78">
                  <c:v>3.1618855914913517</c:v>
                </c:pt>
                <c:pt idx="79">
                  <c:v>3.1618855914913517</c:v>
                </c:pt>
                <c:pt idx="80">
                  <c:v>3.0756133144315161</c:v>
                </c:pt>
                <c:pt idx="81">
                  <c:v>3.0756133144315161</c:v>
                </c:pt>
                <c:pt idx="82">
                  <c:v>2.9514704207300451</c:v>
                </c:pt>
                <c:pt idx="83">
                  <c:v>2.9902597151633996</c:v>
                </c:pt>
                <c:pt idx="84">
                  <c:v>2.9902597151633996</c:v>
                </c:pt>
                <c:pt idx="85">
                  <c:v>3.0328225996421248</c:v>
                </c:pt>
                <c:pt idx="86">
                  <c:v>3.0756133144315161</c:v>
                </c:pt>
                <c:pt idx="87">
                  <c:v>3.0328225996421248</c:v>
                </c:pt>
                <c:pt idx="88">
                  <c:v>3.1186336937333676</c:v>
                </c:pt>
                <c:pt idx="89">
                  <c:v>3.0756133144315161</c:v>
                </c:pt>
                <c:pt idx="90">
                  <c:v>3.0756133144315161</c:v>
                </c:pt>
                <c:pt idx="91">
                  <c:v>3.1186336937333676</c:v>
                </c:pt>
                <c:pt idx="92">
                  <c:v>3.0756133144315161</c:v>
                </c:pt>
                <c:pt idx="93">
                  <c:v>3.1186336937333676</c:v>
                </c:pt>
                <c:pt idx="94">
                  <c:v>3.1618855914913517</c:v>
                </c:pt>
                <c:pt idx="95">
                  <c:v>3.2053708816573461</c:v>
                </c:pt>
                <c:pt idx="96">
                  <c:v>3.3372461519597025</c:v>
                </c:pt>
                <c:pt idx="97">
                  <c:v>3.3372461519597025</c:v>
                </c:pt>
                <c:pt idx="98">
                  <c:v>3.2930492366901718</c:v>
                </c:pt>
                <c:pt idx="99">
                  <c:v>3.2053708816573461</c:v>
                </c:pt>
                <c:pt idx="100">
                  <c:v>3.1618855914913517</c:v>
                </c:pt>
                <c:pt idx="101">
                  <c:v>3.2053708816573461</c:v>
                </c:pt>
                <c:pt idx="102">
                  <c:v>3.2930492366901718</c:v>
                </c:pt>
                <c:pt idx="103">
                  <c:v>3.3372461519597025</c:v>
                </c:pt>
                <c:pt idx="104">
                  <c:v>3.1618855914913517</c:v>
                </c:pt>
                <c:pt idx="105">
                  <c:v>3.0328225996421248</c:v>
                </c:pt>
                <c:pt idx="106">
                  <c:v>3.0328225996421248</c:v>
                </c:pt>
                <c:pt idx="107">
                  <c:v>2.9514704207300451</c:v>
                </c:pt>
                <c:pt idx="108">
                  <c:v>2.9902597151633996</c:v>
                </c:pt>
                <c:pt idx="109">
                  <c:v>3.0328225996421248</c:v>
                </c:pt>
                <c:pt idx="110">
                  <c:v>2.9902597151633996</c:v>
                </c:pt>
                <c:pt idx="111">
                  <c:v>2.9514704207300451</c:v>
                </c:pt>
                <c:pt idx="112">
                  <c:v>2.9514704207300451</c:v>
                </c:pt>
                <c:pt idx="113">
                  <c:v>2.9129328437623547</c:v>
                </c:pt>
                <c:pt idx="114">
                  <c:v>2.9514704207300451</c:v>
                </c:pt>
                <c:pt idx="115">
                  <c:v>2.9514704207300451</c:v>
                </c:pt>
                <c:pt idx="116">
                  <c:v>2.9902597151633996</c:v>
                </c:pt>
                <c:pt idx="117">
                  <c:v>3.1186336937333676</c:v>
                </c:pt>
                <c:pt idx="118">
                  <c:v>3.2490914584620767</c:v>
                </c:pt>
                <c:pt idx="119">
                  <c:v>3.2053708816573461</c:v>
                </c:pt>
                <c:pt idx="120">
                  <c:v>3.3372461519597025</c:v>
                </c:pt>
                <c:pt idx="121">
                  <c:v>3.3372461519597025</c:v>
                </c:pt>
                <c:pt idx="122">
                  <c:v>3.3372461519597025</c:v>
                </c:pt>
                <c:pt idx="123">
                  <c:v>3.2490914584620767</c:v>
                </c:pt>
                <c:pt idx="124">
                  <c:v>3.2053708816573461</c:v>
                </c:pt>
                <c:pt idx="125">
                  <c:v>3.2053708816573461</c:v>
                </c:pt>
                <c:pt idx="126">
                  <c:v>3.2053708816573461</c:v>
                </c:pt>
                <c:pt idx="127">
                  <c:v>3.2490914584620767</c:v>
                </c:pt>
                <c:pt idx="128">
                  <c:v>3.2053708816573461</c:v>
                </c:pt>
                <c:pt idx="129">
                  <c:v>3.2053708816573461</c:v>
                </c:pt>
                <c:pt idx="130">
                  <c:v>3.2930492366901718</c:v>
                </c:pt>
                <c:pt idx="131">
                  <c:v>3.3372461519597025</c:v>
                </c:pt>
                <c:pt idx="132">
                  <c:v>3.3372461519597025</c:v>
                </c:pt>
                <c:pt idx="133">
                  <c:v>3.3372461519597025</c:v>
                </c:pt>
                <c:pt idx="134">
                  <c:v>3.3372461519597025</c:v>
                </c:pt>
                <c:pt idx="135">
                  <c:v>3.3372461519597025</c:v>
                </c:pt>
                <c:pt idx="136">
                  <c:v>3.3372461519597025</c:v>
                </c:pt>
                <c:pt idx="137">
                  <c:v>3.3372461519597025</c:v>
                </c:pt>
                <c:pt idx="138">
                  <c:v>3.3372461519597025</c:v>
                </c:pt>
                <c:pt idx="139">
                  <c:v>3.3372461519597025</c:v>
                </c:pt>
                <c:pt idx="140">
                  <c:v>3.3372461519597025</c:v>
                </c:pt>
                <c:pt idx="141">
                  <c:v>3.3372461519597025</c:v>
                </c:pt>
                <c:pt idx="142">
                  <c:v>3.3372461519597025</c:v>
                </c:pt>
                <c:pt idx="143">
                  <c:v>3.3372461519597025</c:v>
                </c:pt>
                <c:pt idx="144">
                  <c:v>3.3372461519597025</c:v>
                </c:pt>
                <c:pt idx="145">
                  <c:v>3.3372461519597025</c:v>
                </c:pt>
                <c:pt idx="146">
                  <c:v>3.3372461519597025</c:v>
                </c:pt>
                <c:pt idx="147">
                  <c:v>3.3372461519597025</c:v>
                </c:pt>
                <c:pt idx="148">
                  <c:v>3.2930492366901718</c:v>
                </c:pt>
                <c:pt idx="149">
                  <c:v>3.3372461519597025</c:v>
                </c:pt>
                <c:pt idx="150">
                  <c:v>3.2930492366901718</c:v>
                </c:pt>
                <c:pt idx="151">
                  <c:v>3.3372461519597025</c:v>
                </c:pt>
                <c:pt idx="152">
                  <c:v>3.3372461519597025</c:v>
                </c:pt>
                <c:pt idx="153">
                  <c:v>3.2930492366901718</c:v>
                </c:pt>
                <c:pt idx="154">
                  <c:v>3.2930492366901718</c:v>
                </c:pt>
                <c:pt idx="155">
                  <c:v>3.3372461519597025</c:v>
                </c:pt>
                <c:pt idx="156">
                  <c:v>3.2490914584620767</c:v>
                </c:pt>
                <c:pt idx="157">
                  <c:v>3.2490914584620767</c:v>
                </c:pt>
                <c:pt idx="158">
                  <c:v>3.2490914584620767</c:v>
                </c:pt>
                <c:pt idx="159">
                  <c:v>3.2490914584620767</c:v>
                </c:pt>
                <c:pt idx="160">
                  <c:v>3.2053708816573461</c:v>
                </c:pt>
                <c:pt idx="161">
                  <c:v>3.1618855914913517</c:v>
                </c:pt>
                <c:pt idx="162">
                  <c:v>3.2053708816573461</c:v>
                </c:pt>
                <c:pt idx="163">
                  <c:v>3.1618855914913517</c:v>
                </c:pt>
                <c:pt idx="164">
                  <c:v>3.2490914584620767</c:v>
                </c:pt>
                <c:pt idx="165">
                  <c:v>3.3372461519597025</c:v>
                </c:pt>
                <c:pt idx="166">
                  <c:v>3.2930492366901718</c:v>
                </c:pt>
                <c:pt idx="167">
                  <c:v>3.2930492366901718</c:v>
                </c:pt>
                <c:pt idx="168">
                  <c:v>3.3372461519597025</c:v>
                </c:pt>
                <c:pt idx="169">
                  <c:v>3.3372461519597025</c:v>
                </c:pt>
                <c:pt idx="170">
                  <c:v>3.3372461519597025</c:v>
                </c:pt>
                <c:pt idx="171">
                  <c:v>3.2930492366901718</c:v>
                </c:pt>
                <c:pt idx="172">
                  <c:v>3.3372461519597025</c:v>
                </c:pt>
                <c:pt idx="173">
                  <c:v>3.3372461519597025</c:v>
                </c:pt>
                <c:pt idx="174">
                  <c:v>3.3372461519597025</c:v>
                </c:pt>
                <c:pt idx="175">
                  <c:v>3.3372461519597025</c:v>
                </c:pt>
                <c:pt idx="176">
                  <c:v>3.3372461519597025</c:v>
                </c:pt>
                <c:pt idx="177">
                  <c:v>3.3372461519597025</c:v>
                </c:pt>
                <c:pt idx="178">
                  <c:v>3.3372461519597025</c:v>
                </c:pt>
                <c:pt idx="179">
                  <c:v>3.3372461519597025</c:v>
                </c:pt>
                <c:pt idx="180">
                  <c:v>3.3372461519597025</c:v>
                </c:pt>
                <c:pt idx="181">
                  <c:v>3.3372461519597025</c:v>
                </c:pt>
                <c:pt idx="182">
                  <c:v>3.3372461519597025</c:v>
                </c:pt>
                <c:pt idx="183">
                  <c:v>3.3372461519597025</c:v>
                </c:pt>
                <c:pt idx="184">
                  <c:v>3.2490914584620767</c:v>
                </c:pt>
                <c:pt idx="185">
                  <c:v>3.3372461519597025</c:v>
                </c:pt>
                <c:pt idx="186">
                  <c:v>3.3372461519597025</c:v>
                </c:pt>
                <c:pt idx="187">
                  <c:v>3.3372461519597025</c:v>
                </c:pt>
                <c:pt idx="188">
                  <c:v>3.2930492366901718</c:v>
                </c:pt>
                <c:pt idx="189">
                  <c:v>3.3372461519597025</c:v>
                </c:pt>
                <c:pt idx="190">
                  <c:v>3.3372461519597025</c:v>
                </c:pt>
                <c:pt idx="191">
                  <c:v>3.3372461519597025</c:v>
                </c:pt>
                <c:pt idx="192">
                  <c:v>3.3372461519597025</c:v>
                </c:pt>
                <c:pt idx="193">
                  <c:v>3.2930492366901718</c:v>
                </c:pt>
                <c:pt idx="194">
                  <c:v>3.3372461519597025</c:v>
                </c:pt>
                <c:pt idx="195">
                  <c:v>3.3372461519597025</c:v>
                </c:pt>
                <c:pt idx="196">
                  <c:v>3.3372461519597025</c:v>
                </c:pt>
                <c:pt idx="197">
                  <c:v>3.3372461519597025</c:v>
                </c:pt>
                <c:pt idx="198">
                  <c:v>3.3372461519597025</c:v>
                </c:pt>
                <c:pt idx="199">
                  <c:v>3.3372461519597025</c:v>
                </c:pt>
                <c:pt idx="200">
                  <c:v>3.3372461519597025</c:v>
                </c:pt>
                <c:pt idx="201">
                  <c:v>3.3372461519597025</c:v>
                </c:pt>
                <c:pt idx="202">
                  <c:v>3.3372461519597025</c:v>
                </c:pt>
                <c:pt idx="203">
                  <c:v>3.3372461519597025</c:v>
                </c:pt>
                <c:pt idx="204">
                  <c:v>3.3372461519597025</c:v>
                </c:pt>
                <c:pt idx="205">
                  <c:v>3.3372461519597025</c:v>
                </c:pt>
                <c:pt idx="206">
                  <c:v>3.3372461519597025</c:v>
                </c:pt>
                <c:pt idx="207">
                  <c:v>3.3372461519597025</c:v>
                </c:pt>
                <c:pt idx="208">
                  <c:v>3.3372461519597025</c:v>
                </c:pt>
                <c:pt idx="209">
                  <c:v>3.3372461519597025</c:v>
                </c:pt>
                <c:pt idx="210">
                  <c:v>3.3372461519597025</c:v>
                </c:pt>
                <c:pt idx="211">
                  <c:v>3.3372461519597025</c:v>
                </c:pt>
                <c:pt idx="212">
                  <c:v>3.3372461519597025</c:v>
                </c:pt>
                <c:pt idx="213">
                  <c:v>3.3372461519597025</c:v>
                </c:pt>
                <c:pt idx="214">
                  <c:v>3.3372461519597025</c:v>
                </c:pt>
                <c:pt idx="215">
                  <c:v>3.3372461519597025</c:v>
                </c:pt>
                <c:pt idx="216">
                  <c:v>3.3372461519597025</c:v>
                </c:pt>
                <c:pt idx="217">
                  <c:v>3.3372461519597025</c:v>
                </c:pt>
                <c:pt idx="218">
                  <c:v>3.3372461519597025</c:v>
                </c:pt>
                <c:pt idx="219">
                  <c:v>3.3372461519597025</c:v>
                </c:pt>
                <c:pt idx="220">
                  <c:v>3.3372461519597025</c:v>
                </c:pt>
                <c:pt idx="221">
                  <c:v>3.3372461519597025</c:v>
                </c:pt>
                <c:pt idx="222">
                  <c:v>3.3372461519597025</c:v>
                </c:pt>
                <c:pt idx="223">
                  <c:v>3.3372461519597025</c:v>
                </c:pt>
                <c:pt idx="224">
                  <c:v>3.3372461519597025</c:v>
                </c:pt>
                <c:pt idx="225">
                  <c:v>3.3372461519597025</c:v>
                </c:pt>
                <c:pt idx="226">
                  <c:v>3.3372461519597025</c:v>
                </c:pt>
                <c:pt idx="227">
                  <c:v>3.3372461519597025</c:v>
                </c:pt>
                <c:pt idx="228">
                  <c:v>3.3372461519597025</c:v>
                </c:pt>
                <c:pt idx="229">
                  <c:v>3.3372461519597025</c:v>
                </c:pt>
                <c:pt idx="230">
                  <c:v>3.3372461519597025</c:v>
                </c:pt>
                <c:pt idx="231">
                  <c:v>3.3372461519597025</c:v>
                </c:pt>
                <c:pt idx="232">
                  <c:v>3.3372461519597025</c:v>
                </c:pt>
                <c:pt idx="233">
                  <c:v>3.3372461519597025</c:v>
                </c:pt>
                <c:pt idx="234">
                  <c:v>3.3372461519597025</c:v>
                </c:pt>
                <c:pt idx="235">
                  <c:v>3.3372461519597025</c:v>
                </c:pt>
                <c:pt idx="236">
                  <c:v>3.3372461519597025</c:v>
                </c:pt>
                <c:pt idx="237">
                  <c:v>3.3372461519597025</c:v>
                </c:pt>
                <c:pt idx="238">
                  <c:v>3.3372461519597025</c:v>
                </c:pt>
                <c:pt idx="239">
                  <c:v>3.3372461519597025</c:v>
                </c:pt>
                <c:pt idx="240">
                  <c:v>3.3372461519597025</c:v>
                </c:pt>
                <c:pt idx="241">
                  <c:v>3.3372461519597025</c:v>
                </c:pt>
                <c:pt idx="242">
                  <c:v>3.3372461519597025</c:v>
                </c:pt>
                <c:pt idx="243">
                  <c:v>3.3372461519597025</c:v>
                </c:pt>
                <c:pt idx="244">
                  <c:v>3.3372461519597025</c:v>
                </c:pt>
                <c:pt idx="245">
                  <c:v>3.3372461519597025</c:v>
                </c:pt>
                <c:pt idx="246">
                  <c:v>3.3372461519597025</c:v>
                </c:pt>
                <c:pt idx="247">
                  <c:v>3.3372461519597025</c:v>
                </c:pt>
                <c:pt idx="248">
                  <c:v>3.3372461519597025</c:v>
                </c:pt>
                <c:pt idx="249">
                  <c:v>3.3372461519597025</c:v>
                </c:pt>
                <c:pt idx="250">
                  <c:v>3.3372461519597025</c:v>
                </c:pt>
                <c:pt idx="251">
                  <c:v>3.3372461519597025</c:v>
                </c:pt>
                <c:pt idx="252">
                  <c:v>3.3372461519597025</c:v>
                </c:pt>
                <c:pt idx="253">
                  <c:v>3.3372461519597025</c:v>
                </c:pt>
                <c:pt idx="254">
                  <c:v>3.1618855914913517</c:v>
                </c:pt>
                <c:pt idx="255">
                  <c:v>3.1186336937333676</c:v>
                </c:pt>
                <c:pt idx="256">
                  <c:v>3.1618855914913517</c:v>
                </c:pt>
                <c:pt idx="257">
                  <c:v>3.1618855914913517</c:v>
                </c:pt>
                <c:pt idx="258">
                  <c:v>3.2490914584620767</c:v>
                </c:pt>
                <c:pt idx="259">
                  <c:v>3.3372461519597025</c:v>
                </c:pt>
                <c:pt idx="260">
                  <c:v>3.3372461519597025</c:v>
                </c:pt>
                <c:pt idx="261">
                  <c:v>3.3372461519597025</c:v>
                </c:pt>
                <c:pt idx="262">
                  <c:v>3.3372461519597025</c:v>
                </c:pt>
                <c:pt idx="263">
                  <c:v>3.3372461519597025</c:v>
                </c:pt>
                <c:pt idx="264">
                  <c:v>3.3372461519597025</c:v>
                </c:pt>
                <c:pt idx="265">
                  <c:v>3.3372461519597025</c:v>
                </c:pt>
                <c:pt idx="266">
                  <c:v>3.3372461519597025</c:v>
                </c:pt>
                <c:pt idx="267">
                  <c:v>3.3372461519597025</c:v>
                </c:pt>
                <c:pt idx="268">
                  <c:v>3.2930492366901718</c:v>
                </c:pt>
                <c:pt idx="269">
                  <c:v>3.3372461519597025</c:v>
                </c:pt>
                <c:pt idx="270">
                  <c:v>3.2490914584620767</c:v>
                </c:pt>
                <c:pt idx="271">
                  <c:v>3.1186336937333676</c:v>
                </c:pt>
                <c:pt idx="272">
                  <c:v>3.1186336937333676</c:v>
                </c:pt>
                <c:pt idx="273">
                  <c:v>3.1618855914913517</c:v>
                </c:pt>
                <c:pt idx="274">
                  <c:v>3.2490914584620767</c:v>
                </c:pt>
                <c:pt idx="275">
                  <c:v>3.1618855914913517</c:v>
                </c:pt>
                <c:pt idx="276">
                  <c:v>3.0756133144315161</c:v>
                </c:pt>
                <c:pt idx="277">
                  <c:v>3.0328225996421248</c:v>
                </c:pt>
                <c:pt idx="278">
                  <c:v>3.0756133144315161</c:v>
                </c:pt>
                <c:pt idx="279">
                  <c:v>3.1186336937333676</c:v>
                </c:pt>
                <c:pt idx="280">
                  <c:v>3.2930492366901718</c:v>
                </c:pt>
                <c:pt idx="281">
                  <c:v>3.3372461519597025</c:v>
                </c:pt>
                <c:pt idx="282">
                  <c:v>3.2930492366901718</c:v>
                </c:pt>
                <c:pt idx="283">
                  <c:v>3.2053708816573461</c:v>
                </c:pt>
                <c:pt idx="284">
                  <c:v>3.0756133144315161</c:v>
                </c:pt>
                <c:pt idx="285">
                  <c:v>3.0328225996421248</c:v>
                </c:pt>
                <c:pt idx="286">
                  <c:v>3.1186336937333676</c:v>
                </c:pt>
                <c:pt idx="287">
                  <c:v>3.0328225996421248</c:v>
                </c:pt>
                <c:pt idx="288">
                  <c:v>3.0328225996421248</c:v>
                </c:pt>
                <c:pt idx="289">
                  <c:v>3.2490914584620767</c:v>
                </c:pt>
                <c:pt idx="290">
                  <c:v>3.3372461519597025</c:v>
                </c:pt>
                <c:pt idx="291">
                  <c:v>3.3372461519597025</c:v>
                </c:pt>
                <c:pt idx="292">
                  <c:v>3.2490914584620767</c:v>
                </c:pt>
                <c:pt idx="293">
                  <c:v>3.3372461519597025</c:v>
                </c:pt>
                <c:pt idx="294">
                  <c:v>3.2930492366901718</c:v>
                </c:pt>
                <c:pt idx="295">
                  <c:v>3.2053708816573461</c:v>
                </c:pt>
                <c:pt idx="296">
                  <c:v>3.1186336937333676</c:v>
                </c:pt>
                <c:pt idx="297">
                  <c:v>3.1186336937333676</c:v>
                </c:pt>
                <c:pt idx="298">
                  <c:v>3.2053708816573461</c:v>
                </c:pt>
                <c:pt idx="299">
                  <c:v>3.2490914584620767</c:v>
                </c:pt>
                <c:pt idx="300">
                  <c:v>3.2053708816573461</c:v>
                </c:pt>
                <c:pt idx="301">
                  <c:v>3.2053708816573461</c:v>
                </c:pt>
                <c:pt idx="302">
                  <c:v>3.2930492366901718</c:v>
                </c:pt>
                <c:pt idx="303">
                  <c:v>3.2490914584620767</c:v>
                </c:pt>
                <c:pt idx="304">
                  <c:v>3.2053708816573461</c:v>
                </c:pt>
                <c:pt idx="305">
                  <c:v>3.2053708816573461</c:v>
                </c:pt>
                <c:pt idx="306">
                  <c:v>3.0756133144315161</c:v>
                </c:pt>
                <c:pt idx="307">
                  <c:v>2.8746445419591673</c:v>
                </c:pt>
                <c:pt idx="308">
                  <c:v>2.9514704207300451</c:v>
                </c:pt>
                <c:pt idx="309">
                  <c:v>2.9129328437623547</c:v>
                </c:pt>
                <c:pt idx="310">
                  <c:v>2.9902597151633996</c:v>
                </c:pt>
                <c:pt idx="311">
                  <c:v>2.9129328437623547</c:v>
                </c:pt>
                <c:pt idx="312">
                  <c:v>2.8746445419591673</c:v>
                </c:pt>
                <c:pt idx="313">
                  <c:v>2.9514704207300451</c:v>
                </c:pt>
                <c:pt idx="314">
                  <c:v>3.0328225996421248</c:v>
                </c:pt>
                <c:pt idx="315">
                  <c:v>3.1186336937333676</c:v>
                </c:pt>
                <c:pt idx="316">
                  <c:v>3.0328225996421248</c:v>
                </c:pt>
                <c:pt idx="317">
                  <c:v>3.0756133144315161</c:v>
                </c:pt>
                <c:pt idx="318">
                  <c:v>3.1186336937333676</c:v>
                </c:pt>
                <c:pt idx="319">
                  <c:v>3.0756133144315161</c:v>
                </c:pt>
                <c:pt idx="320">
                  <c:v>3.0756133144315161</c:v>
                </c:pt>
                <c:pt idx="321">
                  <c:v>2.9902597151633996</c:v>
                </c:pt>
                <c:pt idx="322">
                  <c:v>2.9129328437623547</c:v>
                </c:pt>
                <c:pt idx="323">
                  <c:v>2.8271800941026166</c:v>
                </c:pt>
                <c:pt idx="324">
                  <c:v>2.8271800941026166</c:v>
                </c:pt>
                <c:pt idx="325">
                  <c:v>2.7801824984496553</c:v>
                </c:pt>
                <c:pt idx="326">
                  <c:v>2.8271800941026166</c:v>
                </c:pt>
                <c:pt idx="327">
                  <c:v>2.8746445419591673</c:v>
                </c:pt>
                <c:pt idx="328">
                  <c:v>3.2490914584620767</c:v>
                </c:pt>
                <c:pt idx="329">
                  <c:v>3.2053708816573461</c:v>
                </c:pt>
                <c:pt idx="330">
                  <c:v>2.9902597151633996</c:v>
                </c:pt>
                <c:pt idx="331">
                  <c:v>2.9514704207300451</c:v>
                </c:pt>
                <c:pt idx="332">
                  <c:v>2.9902597151633996</c:v>
                </c:pt>
                <c:pt idx="333">
                  <c:v>2.9129328437623547</c:v>
                </c:pt>
                <c:pt idx="334">
                  <c:v>2.8746445419591673</c:v>
                </c:pt>
                <c:pt idx="335">
                  <c:v>2.9514704207300451</c:v>
                </c:pt>
                <c:pt idx="336">
                  <c:v>3.0756133144315161</c:v>
                </c:pt>
                <c:pt idx="337">
                  <c:v>2.9514704207300451</c:v>
                </c:pt>
                <c:pt idx="338">
                  <c:v>2.8746445419591673</c:v>
                </c:pt>
                <c:pt idx="339">
                  <c:v>2.9514704207300451</c:v>
                </c:pt>
                <c:pt idx="340">
                  <c:v>3.0328225996421248</c:v>
                </c:pt>
                <c:pt idx="341">
                  <c:v>2.9902597151633996</c:v>
                </c:pt>
                <c:pt idx="342">
                  <c:v>2.9514704207300451</c:v>
                </c:pt>
                <c:pt idx="343">
                  <c:v>2.9514704207300451</c:v>
                </c:pt>
                <c:pt idx="344">
                  <c:v>2.9129328437623547</c:v>
                </c:pt>
                <c:pt idx="345">
                  <c:v>2.8746445419591673</c:v>
                </c:pt>
                <c:pt idx="346">
                  <c:v>2.9129328437623547</c:v>
                </c:pt>
                <c:pt idx="347">
                  <c:v>2.7801824984496553</c:v>
                </c:pt>
                <c:pt idx="348">
                  <c:v>2.8746445419591673</c:v>
                </c:pt>
                <c:pt idx="349">
                  <c:v>3.0328225996421248</c:v>
                </c:pt>
                <c:pt idx="350">
                  <c:v>3.1186336937333676</c:v>
                </c:pt>
                <c:pt idx="351">
                  <c:v>3.0328225996421248</c:v>
                </c:pt>
                <c:pt idx="352">
                  <c:v>3.1186336937333676</c:v>
                </c:pt>
                <c:pt idx="353">
                  <c:v>3.0328225996421248</c:v>
                </c:pt>
                <c:pt idx="354">
                  <c:v>2.9514704207300451</c:v>
                </c:pt>
                <c:pt idx="355">
                  <c:v>3.0328225996421248</c:v>
                </c:pt>
                <c:pt idx="356">
                  <c:v>2.9514704207300451</c:v>
                </c:pt>
                <c:pt idx="357">
                  <c:v>2.9514704207300451</c:v>
                </c:pt>
                <c:pt idx="358">
                  <c:v>2.9129328437623547</c:v>
                </c:pt>
                <c:pt idx="359">
                  <c:v>3.0328225996421248</c:v>
                </c:pt>
                <c:pt idx="360">
                  <c:v>2.9902597151633996</c:v>
                </c:pt>
                <c:pt idx="361">
                  <c:v>2.8746445419591673</c:v>
                </c:pt>
                <c:pt idx="362">
                  <c:v>2.7336449008903867</c:v>
                </c:pt>
                <c:pt idx="363">
                  <c:v>2.9129328437623547</c:v>
                </c:pt>
                <c:pt idx="364">
                  <c:v>2.9902597151633996</c:v>
                </c:pt>
              </c:numCache>
            </c:numRef>
          </c:yVal>
          <c:smooth val="0"/>
          <c:extLst>
            <c:ext xmlns:c16="http://schemas.microsoft.com/office/drawing/2014/chart" uri="{C3380CC4-5D6E-409C-BE32-E72D297353CC}">
              <c16:uniqueId val="{00000000-1ED9-4704-8D21-2C191B686F45}"/>
            </c:ext>
          </c:extLst>
        </c:ser>
        <c:dLbls>
          <c:showLegendKey val="0"/>
          <c:showVal val="0"/>
          <c:showCatName val="0"/>
          <c:showSerName val="0"/>
          <c:showPercent val="0"/>
          <c:showBubbleSize val="0"/>
        </c:dLbls>
        <c:axId val="767106144"/>
        <c:axId val="767111136"/>
      </c:scatterChart>
      <c:valAx>
        <c:axId val="767106144"/>
        <c:scaling>
          <c:orientation val="minMax"/>
        </c:scaling>
        <c:delete val="0"/>
        <c:axPos val="b"/>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767111136"/>
        <c:crosses val="autoZero"/>
        <c:crossBetween val="midCat"/>
      </c:valAx>
      <c:valAx>
        <c:axId val="76711113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767106144"/>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scatterChart>
        <c:scatterStyle val="lineMarker"/>
        <c:varyColors val="0"/>
        <c:ser>
          <c:idx val="0"/>
          <c:order val="0"/>
          <c:tx>
            <c:strRef>
              <c:f>'Varmepumpeberegning VP1'!$X$3</c:f>
              <c:strCache>
                <c:ptCount val="1"/>
                <c:pt idx="0">
                  <c:v>Varmeeffekt [MW]</c:v>
                </c:pt>
              </c:strCache>
            </c:strRef>
          </c:tx>
          <c:spPr>
            <a:ln w="25400" cap="rnd">
              <a:noFill/>
              <a:round/>
            </a:ln>
            <a:effectLst/>
          </c:spPr>
          <c:marker>
            <c:symbol val="circle"/>
            <c:size val="5"/>
            <c:spPr>
              <a:solidFill>
                <a:schemeClr val="accent1"/>
              </a:solidFill>
              <a:ln w="9525">
                <a:solidFill>
                  <a:schemeClr val="accent1"/>
                </a:solidFill>
              </a:ln>
              <a:effectLst/>
            </c:spPr>
          </c:marker>
          <c:yVal>
            <c:numRef>
              <c:f>'Varmepumpeberegning VP1'!$X$4:$X$368</c:f>
              <c:numCache>
                <c:formatCode>0.000</c:formatCode>
                <c:ptCount val="365"/>
                <c:pt idx="0">
                  <c:v>9.0968473264176914</c:v>
                </c:pt>
                <c:pt idx="1">
                  <c:v>9.3066898143930423</c:v>
                </c:pt>
                <c:pt idx="2">
                  <c:v>9.3066898143930423</c:v>
                </c:pt>
                <c:pt idx="3">
                  <c:v>8.9194883596172705</c:v>
                </c:pt>
                <c:pt idx="4">
                  <c:v>8.9194883596172705</c:v>
                </c:pt>
                <c:pt idx="5">
                  <c:v>8.6254633211387688</c:v>
                </c:pt>
                <c:pt idx="6">
                  <c:v>8.4201177660604785</c:v>
                </c:pt>
                <c:pt idx="7">
                  <c:v>8.3174449885213342</c:v>
                </c:pt>
                <c:pt idx="8">
                  <c:v>8.028731500601431</c:v>
                </c:pt>
                <c:pt idx="9">
                  <c:v>8.028731500601431</c:v>
                </c:pt>
                <c:pt idx="10">
                  <c:v>8.3174449885213342</c:v>
                </c:pt>
                <c:pt idx="11">
                  <c:v>8.7281360986779148</c:v>
                </c:pt>
                <c:pt idx="12">
                  <c:v>8.8308088762170591</c:v>
                </c:pt>
                <c:pt idx="13">
                  <c:v>8.8308088762170591</c:v>
                </c:pt>
                <c:pt idx="14">
                  <c:v>8.6254633211387688</c:v>
                </c:pt>
                <c:pt idx="15">
                  <c:v>8.5227905435996245</c:v>
                </c:pt>
                <c:pt idx="16">
                  <c:v>8.3174449885213342</c:v>
                </c:pt>
                <c:pt idx="17">
                  <c:v>8.3174449885213342</c:v>
                </c:pt>
                <c:pt idx="18">
                  <c:v>8.6254633211387688</c:v>
                </c:pt>
                <c:pt idx="19">
                  <c:v>8.5227905435996245</c:v>
                </c:pt>
                <c:pt idx="20">
                  <c:v>8.7281360986779148</c:v>
                </c:pt>
                <c:pt idx="21">
                  <c:v>9.2017685704053669</c:v>
                </c:pt>
                <c:pt idx="22">
                  <c:v>9.0968473264176914</c:v>
                </c:pt>
                <c:pt idx="23">
                  <c:v>9.3066898143930423</c:v>
                </c:pt>
                <c:pt idx="24">
                  <c:v>9.0081678430174801</c:v>
                </c:pt>
                <c:pt idx="25">
                  <c:v>9.2017685704053669</c:v>
                </c:pt>
                <c:pt idx="26">
                  <c:v>8.9194883596172705</c:v>
                </c:pt>
                <c:pt idx="27">
                  <c:v>8.8308088762170591</c:v>
                </c:pt>
                <c:pt idx="28">
                  <c:v>9.0081678430174801</c:v>
                </c:pt>
                <c:pt idx="29">
                  <c:v>9.0968473264176914</c:v>
                </c:pt>
                <c:pt idx="30">
                  <c:v>9.0081678430174801</c:v>
                </c:pt>
                <c:pt idx="31">
                  <c:v>9.0081678430174801</c:v>
                </c:pt>
                <c:pt idx="32">
                  <c:v>9.0968473264176914</c:v>
                </c:pt>
                <c:pt idx="33">
                  <c:v>9.3066898143930423</c:v>
                </c:pt>
                <c:pt idx="34">
                  <c:v>9.3066898143930423</c:v>
                </c:pt>
                <c:pt idx="35">
                  <c:v>9.3066898143930423</c:v>
                </c:pt>
                <c:pt idx="36">
                  <c:v>9.3066898143930423</c:v>
                </c:pt>
                <c:pt idx="37">
                  <c:v>8.9194883596172705</c:v>
                </c:pt>
                <c:pt idx="38">
                  <c:v>8.6254633211387688</c:v>
                </c:pt>
                <c:pt idx="39">
                  <c:v>9.0968473264176914</c:v>
                </c:pt>
                <c:pt idx="40">
                  <c:v>9.3066898143930423</c:v>
                </c:pt>
                <c:pt idx="41">
                  <c:v>9.2017685704053669</c:v>
                </c:pt>
                <c:pt idx="42">
                  <c:v>9.0968473264176914</c:v>
                </c:pt>
                <c:pt idx="43">
                  <c:v>9.0968473264176914</c:v>
                </c:pt>
                <c:pt idx="44">
                  <c:v>9.4116110583807178</c:v>
                </c:pt>
                <c:pt idx="45">
                  <c:v>9.6214535463560686</c:v>
                </c:pt>
                <c:pt idx="46">
                  <c:v>9.4116110583807178</c:v>
                </c:pt>
                <c:pt idx="47">
                  <c:v>9.3066898143930423</c:v>
                </c:pt>
                <c:pt idx="48">
                  <c:v>9.3066898143930423</c:v>
                </c:pt>
                <c:pt idx="49">
                  <c:v>9.2017685704053669</c:v>
                </c:pt>
                <c:pt idx="50">
                  <c:v>9.2017685704053669</c:v>
                </c:pt>
                <c:pt idx="51">
                  <c:v>9.3066898143930423</c:v>
                </c:pt>
                <c:pt idx="52">
                  <c:v>9.4116110583807178</c:v>
                </c:pt>
                <c:pt idx="53">
                  <c:v>9.0081678430174801</c:v>
                </c:pt>
                <c:pt idx="54">
                  <c:v>8.9194883596172705</c:v>
                </c:pt>
                <c:pt idx="55">
                  <c:v>8.9194883596172705</c:v>
                </c:pt>
                <c:pt idx="56">
                  <c:v>8.8308088762170591</c:v>
                </c:pt>
                <c:pt idx="57">
                  <c:v>8.8308088762170591</c:v>
                </c:pt>
                <c:pt idx="58">
                  <c:v>9.0081678430174801</c:v>
                </c:pt>
                <c:pt idx="59">
                  <c:v>9.2017685704053669</c:v>
                </c:pt>
                <c:pt idx="60">
                  <c:v>9.2017685704053669</c:v>
                </c:pt>
                <c:pt idx="61">
                  <c:v>9.4116110583807178</c:v>
                </c:pt>
                <c:pt idx="62">
                  <c:v>9.4116110583807178</c:v>
                </c:pt>
                <c:pt idx="63">
                  <c:v>9.0968473264176914</c:v>
                </c:pt>
                <c:pt idx="64">
                  <c:v>9.0968473264176914</c:v>
                </c:pt>
                <c:pt idx="65">
                  <c:v>9.0081678430174801</c:v>
                </c:pt>
                <c:pt idx="66">
                  <c:v>8.8308088762170591</c:v>
                </c:pt>
                <c:pt idx="67">
                  <c:v>8.8308088762170591</c:v>
                </c:pt>
                <c:pt idx="68">
                  <c:v>9.0081678430174801</c:v>
                </c:pt>
                <c:pt idx="69">
                  <c:v>9.0968473264176914</c:v>
                </c:pt>
                <c:pt idx="70">
                  <c:v>9.0968473264176914</c:v>
                </c:pt>
                <c:pt idx="71">
                  <c:v>9.0968473264176914</c:v>
                </c:pt>
                <c:pt idx="72">
                  <c:v>9.3066898143930423</c:v>
                </c:pt>
                <c:pt idx="73">
                  <c:v>9.6214535463560686</c:v>
                </c:pt>
                <c:pt idx="74">
                  <c:v>9.6214535463560686</c:v>
                </c:pt>
                <c:pt idx="75">
                  <c:v>9.2017685704053669</c:v>
                </c:pt>
                <c:pt idx="76">
                  <c:v>9.2017685704053669</c:v>
                </c:pt>
                <c:pt idx="77">
                  <c:v>9.4116110583807178</c:v>
                </c:pt>
                <c:pt idx="78">
                  <c:v>9.5165323023683932</c:v>
                </c:pt>
                <c:pt idx="79">
                  <c:v>9.5165323023683932</c:v>
                </c:pt>
                <c:pt idx="80">
                  <c:v>9.3066898143930423</c:v>
                </c:pt>
                <c:pt idx="81">
                  <c:v>9.3066898143930423</c:v>
                </c:pt>
                <c:pt idx="82">
                  <c:v>9.0081678430174801</c:v>
                </c:pt>
                <c:pt idx="83">
                  <c:v>9.0968473264176914</c:v>
                </c:pt>
                <c:pt idx="84">
                  <c:v>9.0968473264176914</c:v>
                </c:pt>
                <c:pt idx="85">
                  <c:v>9.2017685704053669</c:v>
                </c:pt>
                <c:pt idx="86">
                  <c:v>9.3066898143930423</c:v>
                </c:pt>
                <c:pt idx="87">
                  <c:v>9.2017685704053669</c:v>
                </c:pt>
                <c:pt idx="88">
                  <c:v>9.4116110583807178</c:v>
                </c:pt>
                <c:pt idx="89">
                  <c:v>9.3066898143930423</c:v>
                </c:pt>
                <c:pt idx="90">
                  <c:v>9.3066898143930423</c:v>
                </c:pt>
                <c:pt idx="91">
                  <c:v>9.4116110583807178</c:v>
                </c:pt>
                <c:pt idx="92">
                  <c:v>9.3066898143930423</c:v>
                </c:pt>
                <c:pt idx="93">
                  <c:v>9.4116110583807178</c:v>
                </c:pt>
                <c:pt idx="94">
                  <c:v>9.5165323023683932</c:v>
                </c:pt>
                <c:pt idx="95">
                  <c:v>9.6214535463560686</c:v>
                </c:pt>
                <c:pt idx="96">
                  <c:v>9.936217278319095</c:v>
                </c:pt>
                <c:pt idx="97">
                  <c:v>9.936217278319095</c:v>
                </c:pt>
                <c:pt idx="98">
                  <c:v>9.8312960343314195</c:v>
                </c:pt>
                <c:pt idx="99">
                  <c:v>9.6214535463560686</c:v>
                </c:pt>
                <c:pt idx="100">
                  <c:v>9.5165323023683932</c:v>
                </c:pt>
                <c:pt idx="101">
                  <c:v>9.6214535463560686</c:v>
                </c:pt>
                <c:pt idx="102">
                  <c:v>9.8312960343314195</c:v>
                </c:pt>
                <c:pt idx="103">
                  <c:v>9.936217278319095</c:v>
                </c:pt>
                <c:pt idx="104">
                  <c:v>9.5165323023683932</c:v>
                </c:pt>
                <c:pt idx="105">
                  <c:v>9.2017685704053669</c:v>
                </c:pt>
                <c:pt idx="106">
                  <c:v>9.2017685704053669</c:v>
                </c:pt>
                <c:pt idx="107">
                  <c:v>9.0081678430174801</c:v>
                </c:pt>
                <c:pt idx="108">
                  <c:v>9.0968473264176914</c:v>
                </c:pt>
                <c:pt idx="109">
                  <c:v>9.2017685704053669</c:v>
                </c:pt>
                <c:pt idx="110">
                  <c:v>9.0968473264176914</c:v>
                </c:pt>
                <c:pt idx="111">
                  <c:v>9.0081678430174801</c:v>
                </c:pt>
                <c:pt idx="112">
                  <c:v>9.0081678430174801</c:v>
                </c:pt>
                <c:pt idx="113">
                  <c:v>8.9194883596172705</c:v>
                </c:pt>
                <c:pt idx="114">
                  <c:v>9.0081678430174801</c:v>
                </c:pt>
                <c:pt idx="115">
                  <c:v>9.0081678430174801</c:v>
                </c:pt>
                <c:pt idx="116">
                  <c:v>9.0968473264176914</c:v>
                </c:pt>
                <c:pt idx="117">
                  <c:v>9.4116110583807178</c:v>
                </c:pt>
                <c:pt idx="118">
                  <c:v>9.7263747903437441</c:v>
                </c:pt>
                <c:pt idx="119">
                  <c:v>9.6214535463560686</c:v>
                </c:pt>
                <c:pt idx="120">
                  <c:v>9.936217278319095</c:v>
                </c:pt>
                <c:pt idx="121">
                  <c:v>9.936217278319095</c:v>
                </c:pt>
                <c:pt idx="122">
                  <c:v>9.936217278319095</c:v>
                </c:pt>
                <c:pt idx="123">
                  <c:v>9.7263747903437441</c:v>
                </c:pt>
                <c:pt idx="124">
                  <c:v>9.6214535463560686</c:v>
                </c:pt>
                <c:pt idx="125">
                  <c:v>9.6214535463560686</c:v>
                </c:pt>
                <c:pt idx="126">
                  <c:v>9.6214535463560686</c:v>
                </c:pt>
                <c:pt idx="127">
                  <c:v>9.7263747903437441</c:v>
                </c:pt>
                <c:pt idx="128">
                  <c:v>9.6214535463560686</c:v>
                </c:pt>
                <c:pt idx="129">
                  <c:v>9.6214535463560686</c:v>
                </c:pt>
                <c:pt idx="130">
                  <c:v>9.8312960343314195</c:v>
                </c:pt>
                <c:pt idx="131">
                  <c:v>9.936217278319095</c:v>
                </c:pt>
                <c:pt idx="132">
                  <c:v>9.936217278319095</c:v>
                </c:pt>
                <c:pt idx="133">
                  <c:v>9.936217278319095</c:v>
                </c:pt>
                <c:pt idx="134">
                  <c:v>9.936217278319095</c:v>
                </c:pt>
                <c:pt idx="135">
                  <c:v>9.936217278319095</c:v>
                </c:pt>
                <c:pt idx="136">
                  <c:v>9.936217278319095</c:v>
                </c:pt>
                <c:pt idx="137">
                  <c:v>9.936217278319095</c:v>
                </c:pt>
                <c:pt idx="138">
                  <c:v>9.936217278319095</c:v>
                </c:pt>
                <c:pt idx="139">
                  <c:v>9.936217278319095</c:v>
                </c:pt>
                <c:pt idx="140">
                  <c:v>9.936217278319095</c:v>
                </c:pt>
                <c:pt idx="141">
                  <c:v>9.936217278319095</c:v>
                </c:pt>
                <c:pt idx="142">
                  <c:v>9.936217278319095</c:v>
                </c:pt>
                <c:pt idx="143">
                  <c:v>9.936217278319095</c:v>
                </c:pt>
                <c:pt idx="144">
                  <c:v>9.936217278319095</c:v>
                </c:pt>
                <c:pt idx="145">
                  <c:v>9.936217278319095</c:v>
                </c:pt>
                <c:pt idx="146">
                  <c:v>9.936217278319095</c:v>
                </c:pt>
                <c:pt idx="147">
                  <c:v>9.936217278319095</c:v>
                </c:pt>
                <c:pt idx="148">
                  <c:v>9.8312960343314195</c:v>
                </c:pt>
                <c:pt idx="149">
                  <c:v>9.936217278319095</c:v>
                </c:pt>
                <c:pt idx="150">
                  <c:v>9.8312960343314195</c:v>
                </c:pt>
                <c:pt idx="151">
                  <c:v>9.936217278319095</c:v>
                </c:pt>
                <c:pt idx="152">
                  <c:v>9.936217278319095</c:v>
                </c:pt>
                <c:pt idx="153">
                  <c:v>9.8312960343314195</c:v>
                </c:pt>
                <c:pt idx="154">
                  <c:v>9.8312960343314195</c:v>
                </c:pt>
                <c:pt idx="155">
                  <c:v>9.936217278319095</c:v>
                </c:pt>
                <c:pt idx="156">
                  <c:v>9.7263747903437441</c:v>
                </c:pt>
                <c:pt idx="157">
                  <c:v>9.7263747903437441</c:v>
                </c:pt>
                <c:pt idx="158">
                  <c:v>9.7263747903437441</c:v>
                </c:pt>
                <c:pt idx="159">
                  <c:v>9.7263747903437441</c:v>
                </c:pt>
                <c:pt idx="160">
                  <c:v>9.6214535463560686</c:v>
                </c:pt>
                <c:pt idx="161">
                  <c:v>9.5165323023683932</c:v>
                </c:pt>
                <c:pt idx="162">
                  <c:v>9.6214535463560686</c:v>
                </c:pt>
                <c:pt idx="163">
                  <c:v>9.5165323023683932</c:v>
                </c:pt>
                <c:pt idx="164">
                  <c:v>9.7263747903437441</c:v>
                </c:pt>
                <c:pt idx="165">
                  <c:v>9.936217278319095</c:v>
                </c:pt>
                <c:pt idx="166">
                  <c:v>9.8312960343314195</c:v>
                </c:pt>
                <c:pt idx="167">
                  <c:v>9.8312960343314195</c:v>
                </c:pt>
                <c:pt idx="168">
                  <c:v>9.936217278319095</c:v>
                </c:pt>
                <c:pt idx="169">
                  <c:v>9.936217278319095</c:v>
                </c:pt>
                <c:pt idx="170">
                  <c:v>9.936217278319095</c:v>
                </c:pt>
                <c:pt idx="171">
                  <c:v>9.8312960343314195</c:v>
                </c:pt>
                <c:pt idx="172">
                  <c:v>9.936217278319095</c:v>
                </c:pt>
                <c:pt idx="173">
                  <c:v>9.936217278319095</c:v>
                </c:pt>
                <c:pt idx="174">
                  <c:v>9.936217278319095</c:v>
                </c:pt>
                <c:pt idx="175">
                  <c:v>9.936217278319095</c:v>
                </c:pt>
                <c:pt idx="176">
                  <c:v>9.936217278319095</c:v>
                </c:pt>
                <c:pt idx="177">
                  <c:v>9.936217278319095</c:v>
                </c:pt>
                <c:pt idx="178">
                  <c:v>9.936217278319095</c:v>
                </c:pt>
                <c:pt idx="179">
                  <c:v>9.936217278319095</c:v>
                </c:pt>
                <c:pt idx="180">
                  <c:v>9.936217278319095</c:v>
                </c:pt>
                <c:pt idx="181">
                  <c:v>9.936217278319095</c:v>
                </c:pt>
                <c:pt idx="182">
                  <c:v>9.936217278319095</c:v>
                </c:pt>
                <c:pt idx="183">
                  <c:v>9.936217278319095</c:v>
                </c:pt>
                <c:pt idx="184">
                  <c:v>9.7263747903437441</c:v>
                </c:pt>
                <c:pt idx="185">
                  <c:v>9.936217278319095</c:v>
                </c:pt>
                <c:pt idx="186">
                  <c:v>9.936217278319095</c:v>
                </c:pt>
                <c:pt idx="187">
                  <c:v>9.936217278319095</c:v>
                </c:pt>
                <c:pt idx="188">
                  <c:v>9.8312960343314195</c:v>
                </c:pt>
                <c:pt idx="189">
                  <c:v>9.936217278319095</c:v>
                </c:pt>
                <c:pt idx="190">
                  <c:v>9.936217278319095</c:v>
                </c:pt>
                <c:pt idx="191">
                  <c:v>9.936217278319095</c:v>
                </c:pt>
                <c:pt idx="192">
                  <c:v>9.936217278319095</c:v>
                </c:pt>
                <c:pt idx="193">
                  <c:v>9.8312960343314195</c:v>
                </c:pt>
                <c:pt idx="194">
                  <c:v>9.936217278319095</c:v>
                </c:pt>
                <c:pt idx="195">
                  <c:v>9.936217278319095</c:v>
                </c:pt>
                <c:pt idx="196">
                  <c:v>9.936217278319095</c:v>
                </c:pt>
                <c:pt idx="197">
                  <c:v>9.936217278319095</c:v>
                </c:pt>
                <c:pt idx="198">
                  <c:v>9.936217278319095</c:v>
                </c:pt>
                <c:pt idx="199">
                  <c:v>9.936217278319095</c:v>
                </c:pt>
                <c:pt idx="200">
                  <c:v>9.936217278319095</c:v>
                </c:pt>
                <c:pt idx="201">
                  <c:v>9.936217278319095</c:v>
                </c:pt>
                <c:pt idx="202">
                  <c:v>9.936217278319095</c:v>
                </c:pt>
                <c:pt idx="203">
                  <c:v>9.936217278319095</c:v>
                </c:pt>
                <c:pt idx="204">
                  <c:v>9.936217278319095</c:v>
                </c:pt>
                <c:pt idx="205">
                  <c:v>9.936217278319095</c:v>
                </c:pt>
                <c:pt idx="206">
                  <c:v>9.936217278319095</c:v>
                </c:pt>
                <c:pt idx="207">
                  <c:v>9.936217278319095</c:v>
                </c:pt>
                <c:pt idx="208">
                  <c:v>9.936217278319095</c:v>
                </c:pt>
                <c:pt idx="209">
                  <c:v>9.936217278319095</c:v>
                </c:pt>
                <c:pt idx="210">
                  <c:v>9.936217278319095</c:v>
                </c:pt>
                <c:pt idx="211">
                  <c:v>9.936217278319095</c:v>
                </c:pt>
                <c:pt idx="212">
                  <c:v>9.936217278319095</c:v>
                </c:pt>
                <c:pt idx="213">
                  <c:v>9.936217278319095</c:v>
                </c:pt>
                <c:pt idx="214">
                  <c:v>9.936217278319095</c:v>
                </c:pt>
                <c:pt idx="215">
                  <c:v>9.936217278319095</c:v>
                </c:pt>
                <c:pt idx="216">
                  <c:v>9.936217278319095</c:v>
                </c:pt>
                <c:pt idx="217">
                  <c:v>9.936217278319095</c:v>
                </c:pt>
                <c:pt idx="218">
                  <c:v>9.936217278319095</c:v>
                </c:pt>
                <c:pt idx="219">
                  <c:v>9.936217278319095</c:v>
                </c:pt>
                <c:pt idx="220">
                  <c:v>9.936217278319095</c:v>
                </c:pt>
                <c:pt idx="221">
                  <c:v>9.936217278319095</c:v>
                </c:pt>
                <c:pt idx="222">
                  <c:v>9.936217278319095</c:v>
                </c:pt>
                <c:pt idx="223">
                  <c:v>9.936217278319095</c:v>
                </c:pt>
                <c:pt idx="224">
                  <c:v>9.936217278319095</c:v>
                </c:pt>
                <c:pt idx="225">
                  <c:v>9.936217278319095</c:v>
                </c:pt>
                <c:pt idx="226">
                  <c:v>9.936217278319095</c:v>
                </c:pt>
                <c:pt idx="227">
                  <c:v>9.936217278319095</c:v>
                </c:pt>
                <c:pt idx="228">
                  <c:v>9.936217278319095</c:v>
                </c:pt>
                <c:pt idx="229">
                  <c:v>9.936217278319095</c:v>
                </c:pt>
                <c:pt idx="230">
                  <c:v>9.936217278319095</c:v>
                </c:pt>
                <c:pt idx="231">
                  <c:v>9.936217278319095</c:v>
                </c:pt>
                <c:pt idx="232">
                  <c:v>9.936217278319095</c:v>
                </c:pt>
                <c:pt idx="233">
                  <c:v>9.936217278319095</c:v>
                </c:pt>
                <c:pt idx="234">
                  <c:v>9.936217278319095</c:v>
                </c:pt>
                <c:pt idx="235">
                  <c:v>9.936217278319095</c:v>
                </c:pt>
                <c:pt idx="236">
                  <c:v>9.936217278319095</c:v>
                </c:pt>
                <c:pt idx="237">
                  <c:v>9.936217278319095</c:v>
                </c:pt>
                <c:pt idx="238">
                  <c:v>9.936217278319095</c:v>
                </c:pt>
                <c:pt idx="239">
                  <c:v>9.936217278319095</c:v>
                </c:pt>
                <c:pt idx="240">
                  <c:v>9.936217278319095</c:v>
                </c:pt>
                <c:pt idx="241">
                  <c:v>9.936217278319095</c:v>
                </c:pt>
                <c:pt idx="242">
                  <c:v>9.936217278319095</c:v>
                </c:pt>
                <c:pt idx="243">
                  <c:v>9.936217278319095</c:v>
                </c:pt>
                <c:pt idx="244">
                  <c:v>9.936217278319095</c:v>
                </c:pt>
                <c:pt idx="245">
                  <c:v>9.936217278319095</c:v>
                </c:pt>
                <c:pt idx="246">
                  <c:v>9.936217278319095</c:v>
                </c:pt>
                <c:pt idx="247">
                  <c:v>9.936217278319095</c:v>
                </c:pt>
                <c:pt idx="248">
                  <c:v>9.936217278319095</c:v>
                </c:pt>
                <c:pt idx="249">
                  <c:v>9.936217278319095</c:v>
                </c:pt>
                <c:pt idx="250">
                  <c:v>9.936217278319095</c:v>
                </c:pt>
                <c:pt idx="251">
                  <c:v>9.936217278319095</c:v>
                </c:pt>
                <c:pt idx="252">
                  <c:v>9.936217278319095</c:v>
                </c:pt>
                <c:pt idx="253">
                  <c:v>9.936217278319095</c:v>
                </c:pt>
                <c:pt idx="254">
                  <c:v>9.5165323023683932</c:v>
                </c:pt>
                <c:pt idx="255">
                  <c:v>9.4116110583807178</c:v>
                </c:pt>
                <c:pt idx="256">
                  <c:v>9.5165323023683932</c:v>
                </c:pt>
                <c:pt idx="257">
                  <c:v>9.5165323023683932</c:v>
                </c:pt>
                <c:pt idx="258">
                  <c:v>9.7263747903437441</c:v>
                </c:pt>
                <c:pt idx="259">
                  <c:v>9.936217278319095</c:v>
                </c:pt>
                <c:pt idx="260">
                  <c:v>9.936217278319095</c:v>
                </c:pt>
                <c:pt idx="261">
                  <c:v>9.936217278319095</c:v>
                </c:pt>
                <c:pt idx="262">
                  <c:v>9.936217278319095</c:v>
                </c:pt>
                <c:pt idx="263">
                  <c:v>9.936217278319095</c:v>
                </c:pt>
                <c:pt idx="264">
                  <c:v>9.936217278319095</c:v>
                </c:pt>
                <c:pt idx="265">
                  <c:v>9.936217278319095</c:v>
                </c:pt>
                <c:pt idx="266">
                  <c:v>9.936217278319095</c:v>
                </c:pt>
                <c:pt idx="267">
                  <c:v>9.936217278319095</c:v>
                </c:pt>
                <c:pt idx="268">
                  <c:v>9.8312960343314195</c:v>
                </c:pt>
                <c:pt idx="269">
                  <c:v>9.936217278319095</c:v>
                </c:pt>
                <c:pt idx="270">
                  <c:v>9.7263747903437441</c:v>
                </c:pt>
                <c:pt idx="271">
                  <c:v>9.4116110583807178</c:v>
                </c:pt>
                <c:pt idx="272">
                  <c:v>9.4116110583807178</c:v>
                </c:pt>
                <c:pt idx="273">
                  <c:v>9.5165323023683932</c:v>
                </c:pt>
                <c:pt idx="274">
                  <c:v>9.7263747903437441</c:v>
                </c:pt>
                <c:pt idx="275">
                  <c:v>9.5165323023683932</c:v>
                </c:pt>
                <c:pt idx="276">
                  <c:v>9.3066898143930423</c:v>
                </c:pt>
                <c:pt idx="277">
                  <c:v>9.2017685704053669</c:v>
                </c:pt>
                <c:pt idx="278">
                  <c:v>9.3066898143930423</c:v>
                </c:pt>
                <c:pt idx="279">
                  <c:v>9.4116110583807178</c:v>
                </c:pt>
                <c:pt idx="280">
                  <c:v>9.8312960343314195</c:v>
                </c:pt>
                <c:pt idx="281">
                  <c:v>9.936217278319095</c:v>
                </c:pt>
                <c:pt idx="282">
                  <c:v>9.8312960343314195</c:v>
                </c:pt>
                <c:pt idx="283">
                  <c:v>9.6214535463560686</c:v>
                </c:pt>
                <c:pt idx="284">
                  <c:v>9.3066898143930423</c:v>
                </c:pt>
                <c:pt idx="285">
                  <c:v>9.2017685704053669</c:v>
                </c:pt>
                <c:pt idx="286">
                  <c:v>9.4116110583807178</c:v>
                </c:pt>
                <c:pt idx="287">
                  <c:v>9.2017685704053669</c:v>
                </c:pt>
                <c:pt idx="288">
                  <c:v>9.2017685704053669</c:v>
                </c:pt>
                <c:pt idx="289">
                  <c:v>9.7263747903437441</c:v>
                </c:pt>
                <c:pt idx="290">
                  <c:v>9.936217278319095</c:v>
                </c:pt>
                <c:pt idx="291">
                  <c:v>9.936217278319095</c:v>
                </c:pt>
                <c:pt idx="292">
                  <c:v>9.7263747903437441</c:v>
                </c:pt>
                <c:pt idx="293">
                  <c:v>9.936217278319095</c:v>
                </c:pt>
                <c:pt idx="294">
                  <c:v>9.8312960343314195</c:v>
                </c:pt>
                <c:pt idx="295">
                  <c:v>9.6214535463560686</c:v>
                </c:pt>
                <c:pt idx="296">
                  <c:v>9.4116110583807178</c:v>
                </c:pt>
                <c:pt idx="297">
                  <c:v>9.4116110583807178</c:v>
                </c:pt>
                <c:pt idx="298">
                  <c:v>9.6214535463560686</c:v>
                </c:pt>
                <c:pt idx="299">
                  <c:v>9.7263747903437441</c:v>
                </c:pt>
                <c:pt idx="300">
                  <c:v>9.6214535463560686</c:v>
                </c:pt>
                <c:pt idx="301">
                  <c:v>9.6214535463560686</c:v>
                </c:pt>
                <c:pt idx="302">
                  <c:v>9.8312960343314195</c:v>
                </c:pt>
                <c:pt idx="303">
                  <c:v>9.7263747903437441</c:v>
                </c:pt>
                <c:pt idx="304">
                  <c:v>9.6214535463560686</c:v>
                </c:pt>
                <c:pt idx="305">
                  <c:v>9.6214535463560686</c:v>
                </c:pt>
                <c:pt idx="306">
                  <c:v>9.3066898143930423</c:v>
                </c:pt>
                <c:pt idx="307">
                  <c:v>8.8308088762170591</c:v>
                </c:pt>
                <c:pt idx="308">
                  <c:v>9.0081678430174801</c:v>
                </c:pt>
                <c:pt idx="309">
                  <c:v>8.9194883596172705</c:v>
                </c:pt>
                <c:pt idx="310">
                  <c:v>9.0968473264176914</c:v>
                </c:pt>
                <c:pt idx="311">
                  <c:v>8.9194883596172705</c:v>
                </c:pt>
                <c:pt idx="312">
                  <c:v>8.8308088762170591</c:v>
                </c:pt>
                <c:pt idx="313">
                  <c:v>9.0081678430174801</c:v>
                </c:pt>
                <c:pt idx="314">
                  <c:v>9.2017685704053669</c:v>
                </c:pt>
                <c:pt idx="315">
                  <c:v>9.4116110583807178</c:v>
                </c:pt>
                <c:pt idx="316">
                  <c:v>9.2017685704053669</c:v>
                </c:pt>
                <c:pt idx="317">
                  <c:v>9.3066898143930423</c:v>
                </c:pt>
                <c:pt idx="318">
                  <c:v>9.4116110583807178</c:v>
                </c:pt>
                <c:pt idx="319">
                  <c:v>9.3066898143930423</c:v>
                </c:pt>
                <c:pt idx="320">
                  <c:v>9.3066898143930423</c:v>
                </c:pt>
                <c:pt idx="321">
                  <c:v>9.0968473264176914</c:v>
                </c:pt>
                <c:pt idx="322">
                  <c:v>8.9194883596172705</c:v>
                </c:pt>
                <c:pt idx="323">
                  <c:v>8.7281360986779148</c:v>
                </c:pt>
                <c:pt idx="324">
                  <c:v>8.7281360986779148</c:v>
                </c:pt>
                <c:pt idx="325">
                  <c:v>8.6254633211387688</c:v>
                </c:pt>
                <c:pt idx="326">
                  <c:v>8.7281360986779148</c:v>
                </c:pt>
                <c:pt idx="327">
                  <c:v>8.8308088762170591</c:v>
                </c:pt>
                <c:pt idx="328">
                  <c:v>9.7263747903437441</c:v>
                </c:pt>
                <c:pt idx="329">
                  <c:v>9.6214535463560686</c:v>
                </c:pt>
                <c:pt idx="330">
                  <c:v>9.0968473264176914</c:v>
                </c:pt>
                <c:pt idx="331">
                  <c:v>9.0081678430174801</c:v>
                </c:pt>
                <c:pt idx="332">
                  <c:v>9.0968473264176914</c:v>
                </c:pt>
                <c:pt idx="333">
                  <c:v>8.9194883596172705</c:v>
                </c:pt>
                <c:pt idx="334">
                  <c:v>8.8308088762170591</c:v>
                </c:pt>
                <c:pt idx="335">
                  <c:v>9.0081678430174801</c:v>
                </c:pt>
                <c:pt idx="336">
                  <c:v>9.3066898143930423</c:v>
                </c:pt>
                <c:pt idx="337">
                  <c:v>9.0081678430174801</c:v>
                </c:pt>
                <c:pt idx="338">
                  <c:v>8.8308088762170591</c:v>
                </c:pt>
                <c:pt idx="339">
                  <c:v>9.0081678430174801</c:v>
                </c:pt>
                <c:pt idx="340">
                  <c:v>9.2017685704053669</c:v>
                </c:pt>
                <c:pt idx="341">
                  <c:v>9.0968473264176914</c:v>
                </c:pt>
                <c:pt idx="342">
                  <c:v>9.0081678430174801</c:v>
                </c:pt>
                <c:pt idx="343">
                  <c:v>9.0081678430174801</c:v>
                </c:pt>
                <c:pt idx="344">
                  <c:v>8.9194883596172705</c:v>
                </c:pt>
                <c:pt idx="345">
                  <c:v>8.8308088762170591</c:v>
                </c:pt>
                <c:pt idx="346">
                  <c:v>8.9194883596172705</c:v>
                </c:pt>
                <c:pt idx="347">
                  <c:v>8.6254633211387688</c:v>
                </c:pt>
                <c:pt idx="348">
                  <c:v>8.8308088762170591</c:v>
                </c:pt>
                <c:pt idx="349">
                  <c:v>9.2017685704053669</c:v>
                </c:pt>
                <c:pt idx="350">
                  <c:v>9.4116110583807178</c:v>
                </c:pt>
                <c:pt idx="351">
                  <c:v>9.2017685704053669</c:v>
                </c:pt>
                <c:pt idx="352">
                  <c:v>9.4116110583807178</c:v>
                </c:pt>
                <c:pt idx="353">
                  <c:v>9.2017685704053669</c:v>
                </c:pt>
                <c:pt idx="354">
                  <c:v>9.0081678430174801</c:v>
                </c:pt>
                <c:pt idx="355">
                  <c:v>9.2017685704053669</c:v>
                </c:pt>
                <c:pt idx="356">
                  <c:v>9.0081678430174801</c:v>
                </c:pt>
                <c:pt idx="357">
                  <c:v>9.0081678430174801</c:v>
                </c:pt>
                <c:pt idx="358">
                  <c:v>8.9194883596172705</c:v>
                </c:pt>
                <c:pt idx="359">
                  <c:v>9.2017685704053669</c:v>
                </c:pt>
                <c:pt idx="360">
                  <c:v>9.0968473264176914</c:v>
                </c:pt>
                <c:pt idx="361">
                  <c:v>8.8308088762170591</c:v>
                </c:pt>
                <c:pt idx="362">
                  <c:v>8.5227905435996245</c:v>
                </c:pt>
                <c:pt idx="363">
                  <c:v>8.9194883596172705</c:v>
                </c:pt>
                <c:pt idx="364">
                  <c:v>9.0968473264176914</c:v>
                </c:pt>
              </c:numCache>
            </c:numRef>
          </c:yVal>
          <c:smooth val="0"/>
          <c:extLst>
            <c:ext xmlns:c16="http://schemas.microsoft.com/office/drawing/2014/chart" uri="{C3380CC4-5D6E-409C-BE32-E72D297353CC}">
              <c16:uniqueId val="{00000000-D28C-4F14-85DD-54AE9B5BF129}"/>
            </c:ext>
          </c:extLst>
        </c:ser>
        <c:dLbls>
          <c:showLegendKey val="0"/>
          <c:showVal val="0"/>
          <c:showCatName val="0"/>
          <c:showSerName val="0"/>
          <c:showPercent val="0"/>
          <c:showBubbleSize val="0"/>
        </c:dLbls>
        <c:axId val="767106144"/>
        <c:axId val="767111136"/>
      </c:scatterChart>
      <c:valAx>
        <c:axId val="767106144"/>
        <c:scaling>
          <c:orientation val="minMax"/>
        </c:scaling>
        <c:delete val="0"/>
        <c:axPos val="b"/>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767111136"/>
        <c:crosses val="autoZero"/>
        <c:crossBetween val="midCat"/>
      </c:valAx>
      <c:valAx>
        <c:axId val="76711113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767106144"/>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Radio" firstButton="1" lockText="1" noThreeD="1"/>
</file>

<file path=xl/ctrlProps/ctrlProp2.xml><?xml version="1.0" encoding="utf-8"?>
<formControlPr xmlns="http://schemas.microsoft.com/office/spreadsheetml/2009/9/main" objectType="Radio"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4" Type="http://schemas.openxmlformats.org/officeDocument/2006/relationships/chart" Target="../charts/chart6.xml"/></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openxmlformats.org/officeDocument/2006/relationships/chart" Target="../charts/chart12.xml"/><Relationship Id="rId5" Type="http://schemas.openxmlformats.org/officeDocument/2006/relationships/chart" Target="../charts/chart11.xml"/><Relationship Id="rId4"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oneCellAnchor>
    <xdr:from>
      <xdr:col>4</xdr:col>
      <xdr:colOff>3933825</xdr:colOff>
      <xdr:row>50</xdr:row>
      <xdr:rowOff>63500</xdr:rowOff>
    </xdr:from>
    <xdr:ext cx="1232535" cy="267970"/>
    <xdr:pic>
      <xdr:nvPicPr>
        <xdr:cNvPr id="2" name="Picture 13" descr="logo.wmf">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a:srcRect/>
        <a:stretch>
          <a:fillRect/>
        </a:stretch>
      </xdr:blipFill>
      <xdr:spPr bwMode="auto">
        <a:xfrm>
          <a:off x="5343525" y="9036050"/>
          <a:ext cx="1232535" cy="267970"/>
        </a:xfrm>
        <a:prstGeom prst="rect">
          <a:avLst/>
        </a:prstGeom>
        <a:noFill/>
      </xdr:spPr>
    </xdr:pic>
    <xdr:clientData/>
  </xdr:oneCellAnchor>
  <xdr:oneCellAnchor>
    <xdr:from>
      <xdr:col>4</xdr:col>
      <xdr:colOff>3933825</xdr:colOff>
      <xdr:row>100</xdr:row>
      <xdr:rowOff>63500</xdr:rowOff>
    </xdr:from>
    <xdr:ext cx="1232535" cy="267970"/>
    <xdr:pic>
      <xdr:nvPicPr>
        <xdr:cNvPr id="3" name="Picture 13" descr="logo.wmf">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1"/>
        <a:srcRect/>
        <a:stretch>
          <a:fillRect/>
        </a:stretch>
      </xdr:blipFill>
      <xdr:spPr bwMode="auto">
        <a:xfrm>
          <a:off x="5343525" y="19123025"/>
          <a:ext cx="1232535" cy="267970"/>
        </a:xfrm>
        <a:prstGeom prst="rect">
          <a:avLst/>
        </a:prstGeom>
        <a:noFill/>
      </xdr:spPr>
    </xdr:pic>
    <xdr:clientData/>
  </xdr:oneCellAnchor>
  <xdr:oneCellAnchor>
    <xdr:from>
      <xdr:col>4</xdr:col>
      <xdr:colOff>3933825</xdr:colOff>
      <xdr:row>121</xdr:row>
      <xdr:rowOff>63500</xdr:rowOff>
    </xdr:from>
    <xdr:ext cx="1232535" cy="267970"/>
    <xdr:pic>
      <xdr:nvPicPr>
        <xdr:cNvPr id="4" name="Picture 13" descr="logo.wmf">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1"/>
        <a:srcRect/>
        <a:stretch>
          <a:fillRect/>
        </a:stretch>
      </xdr:blipFill>
      <xdr:spPr bwMode="auto">
        <a:xfrm>
          <a:off x="5343525" y="24352250"/>
          <a:ext cx="1232535" cy="267970"/>
        </a:xfrm>
        <a:prstGeom prst="rect">
          <a:avLst/>
        </a:prstGeom>
        <a:noFill/>
      </xdr:spPr>
    </xdr:pic>
    <xdr:clientData/>
  </xdr:oneCellAnchor>
  <xdr:oneCellAnchor>
    <xdr:from>
      <xdr:col>4</xdr:col>
      <xdr:colOff>3946037</xdr:colOff>
      <xdr:row>137</xdr:row>
      <xdr:rowOff>170961</xdr:rowOff>
    </xdr:from>
    <xdr:ext cx="1232535" cy="267970"/>
    <xdr:pic>
      <xdr:nvPicPr>
        <xdr:cNvPr id="5" name="Picture 13" descr="logo.wmf">
          <a:extLst>
            <a:ext uri="{FF2B5EF4-FFF2-40B4-BE49-F238E27FC236}">
              <a16:creationId xmlns:a16="http://schemas.microsoft.com/office/drawing/2014/main" id="{00000000-0008-0000-0200-000005000000}"/>
            </a:ext>
          </a:extLst>
        </xdr:cNvPr>
        <xdr:cNvPicPr/>
      </xdr:nvPicPr>
      <xdr:blipFill>
        <a:blip xmlns:r="http://schemas.openxmlformats.org/officeDocument/2006/relationships" r:embed="rId1"/>
        <a:srcRect/>
        <a:stretch>
          <a:fillRect/>
        </a:stretch>
      </xdr:blipFill>
      <xdr:spPr bwMode="auto">
        <a:xfrm>
          <a:off x="5350364" y="34167884"/>
          <a:ext cx="1232535" cy="267970"/>
        </a:xfrm>
        <a:prstGeom prst="rect">
          <a:avLst/>
        </a:prstGeom>
        <a:noFill/>
      </xdr:spPr>
    </xdr:pic>
    <xdr:clientData/>
  </xdr:oneCellAnchor>
  <xdr:twoCellAnchor editAs="oneCell">
    <xdr:from>
      <xdr:col>4</xdr:col>
      <xdr:colOff>3921125</xdr:colOff>
      <xdr:row>2</xdr:row>
      <xdr:rowOff>50800</xdr:rowOff>
    </xdr:from>
    <xdr:to>
      <xdr:col>5</xdr:col>
      <xdr:colOff>929989</xdr:colOff>
      <xdr:row>3</xdr:row>
      <xdr:rowOff>131446</xdr:rowOff>
    </xdr:to>
    <xdr:pic>
      <xdr:nvPicPr>
        <xdr:cNvPr id="7" name="Picture 13" descr="logo.wmf">
          <a:extLst>
            <a:ext uri="{FF2B5EF4-FFF2-40B4-BE49-F238E27FC236}">
              <a16:creationId xmlns:a16="http://schemas.microsoft.com/office/drawing/2014/main" id="{00000000-0008-0000-0200-000007000000}"/>
            </a:ext>
          </a:extLst>
        </xdr:cNvPr>
        <xdr:cNvPicPr/>
      </xdr:nvPicPr>
      <xdr:blipFill>
        <a:blip xmlns:r="http://schemas.openxmlformats.org/officeDocument/2006/relationships" r:embed="rId1"/>
        <a:srcRect/>
        <a:stretch>
          <a:fillRect/>
        </a:stretch>
      </xdr:blipFill>
      <xdr:spPr bwMode="auto">
        <a:xfrm>
          <a:off x="5330825" y="431800"/>
          <a:ext cx="1218914" cy="271146"/>
        </a:xfrm>
        <a:prstGeom prst="rect">
          <a:avLst/>
        </a:prstGeom>
        <a:noFill/>
      </xdr:spPr>
    </xdr:pic>
    <xdr:clientData/>
  </xdr:twoCellAnchor>
  <mc:AlternateContent xmlns:mc="http://schemas.openxmlformats.org/markup-compatibility/2006">
    <mc:Choice xmlns:a14="http://schemas.microsoft.com/office/drawing/2010/main" Requires="a14">
      <xdr:twoCellAnchor editAs="oneCell">
        <xdr:from>
          <xdr:col>3</xdr:col>
          <xdr:colOff>95250</xdr:colOff>
          <xdr:row>37</xdr:row>
          <xdr:rowOff>180975</xdr:rowOff>
        </xdr:from>
        <xdr:to>
          <xdr:col>4</xdr:col>
          <xdr:colOff>3990975</xdr:colOff>
          <xdr:row>39</xdr:row>
          <xdr:rowOff>66675</xdr:rowOff>
        </xdr:to>
        <xdr:sp macro="" textlink="">
          <xdr:nvSpPr>
            <xdr:cNvPr id="48129" name="Option Button 1" hidden="1">
              <a:extLst>
                <a:ext uri="{63B3BB69-23CF-44E3-9099-C40C66FF867C}">
                  <a14:compatExt spid="_x0000_s48129"/>
                </a:ext>
                <a:ext uri="{FF2B5EF4-FFF2-40B4-BE49-F238E27FC236}">
                  <a16:creationId xmlns:a16="http://schemas.microsoft.com/office/drawing/2014/main" id="{00000000-0008-0000-01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Hovedtilbuddet er baseret på rammetidsplan (alternativ tidsplan mulig som optionpris)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39</xdr:row>
          <xdr:rowOff>0</xdr:rowOff>
        </xdr:from>
        <xdr:to>
          <xdr:col>4</xdr:col>
          <xdr:colOff>3600450</xdr:colOff>
          <xdr:row>40</xdr:row>
          <xdr:rowOff>76200</xdr:rowOff>
        </xdr:to>
        <xdr:sp macro="" textlink="">
          <xdr:nvSpPr>
            <xdr:cNvPr id="48130" name="Option Button 2" hidden="1">
              <a:extLst>
                <a:ext uri="{63B3BB69-23CF-44E3-9099-C40C66FF867C}">
                  <a14:compatExt spid="_x0000_s48130"/>
                </a:ext>
                <a:ext uri="{FF2B5EF4-FFF2-40B4-BE49-F238E27FC236}">
                  <a16:creationId xmlns:a16="http://schemas.microsoft.com/office/drawing/2014/main" id="{00000000-0008-0000-01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Hovedtilbuddet er baseret på alternativ tidsplan beskrevet i tilbudsteksten</a:t>
              </a:r>
            </a:p>
          </xdr:txBody>
        </xdr:sp>
        <xdr:clientData/>
      </xdr:twoCellAnchor>
    </mc:Choice>
    <mc:Fallback/>
  </mc:AlternateContent>
  <xdr:oneCellAnchor>
    <xdr:from>
      <xdr:col>4</xdr:col>
      <xdr:colOff>3933825</xdr:colOff>
      <xdr:row>198</xdr:row>
      <xdr:rowOff>63500</xdr:rowOff>
    </xdr:from>
    <xdr:ext cx="1232535" cy="267970"/>
    <xdr:pic>
      <xdr:nvPicPr>
        <xdr:cNvPr id="6" name="Picture 13" descr="logo.wmf">
          <a:extLst>
            <a:ext uri="{FF2B5EF4-FFF2-40B4-BE49-F238E27FC236}">
              <a16:creationId xmlns:a16="http://schemas.microsoft.com/office/drawing/2014/main" id="{00000000-0008-0000-0200-000006000000}"/>
            </a:ext>
          </a:extLst>
        </xdr:cNvPr>
        <xdr:cNvPicPr/>
      </xdr:nvPicPr>
      <xdr:blipFill>
        <a:blip xmlns:r="http://schemas.openxmlformats.org/officeDocument/2006/relationships" r:embed="rId1"/>
        <a:srcRect/>
        <a:stretch>
          <a:fillRect/>
        </a:stretch>
      </xdr:blipFill>
      <xdr:spPr bwMode="auto">
        <a:xfrm>
          <a:off x="5355248" y="9976827"/>
          <a:ext cx="1232535" cy="267970"/>
        </a:xfrm>
        <a:prstGeom prst="rect">
          <a:avLst/>
        </a:prstGeom>
        <a:noFill/>
      </xdr:spPr>
    </xdr:pic>
    <xdr:clientData/>
  </xdr:oneCellAnchor>
  <xdr:oneCellAnchor>
    <xdr:from>
      <xdr:col>4</xdr:col>
      <xdr:colOff>3933825</xdr:colOff>
      <xdr:row>252</xdr:row>
      <xdr:rowOff>63500</xdr:rowOff>
    </xdr:from>
    <xdr:ext cx="1232535" cy="267970"/>
    <xdr:pic>
      <xdr:nvPicPr>
        <xdr:cNvPr id="8" name="Picture 13" descr="logo.wmf">
          <a:extLst>
            <a:ext uri="{FF2B5EF4-FFF2-40B4-BE49-F238E27FC236}">
              <a16:creationId xmlns:a16="http://schemas.microsoft.com/office/drawing/2014/main" id="{00000000-0008-0000-0200-000008000000}"/>
            </a:ext>
          </a:extLst>
        </xdr:cNvPr>
        <xdr:cNvPicPr/>
      </xdr:nvPicPr>
      <xdr:blipFill>
        <a:blip xmlns:r="http://schemas.openxmlformats.org/officeDocument/2006/relationships" r:embed="rId1"/>
        <a:srcRect/>
        <a:stretch>
          <a:fillRect/>
        </a:stretch>
      </xdr:blipFill>
      <xdr:spPr bwMode="auto">
        <a:xfrm>
          <a:off x="5355248" y="20578885"/>
          <a:ext cx="1232535" cy="267970"/>
        </a:xfrm>
        <a:prstGeom prst="rect">
          <a:avLst/>
        </a:prstGeom>
        <a:noFill/>
      </xdr:spPr>
    </xdr:pic>
    <xdr:clientData/>
  </xdr:oneCellAnchor>
</xdr:wsDr>
</file>

<file path=xl/drawings/drawing2.xml><?xml version="1.0" encoding="utf-8"?>
<xdr:wsDr xmlns:xdr="http://schemas.openxmlformats.org/drawingml/2006/spreadsheetDrawing" xmlns:a="http://schemas.openxmlformats.org/drawingml/2006/main">
  <xdr:twoCellAnchor>
    <xdr:from>
      <xdr:col>16</xdr:col>
      <xdr:colOff>232684</xdr:colOff>
      <xdr:row>16</xdr:row>
      <xdr:rowOff>0</xdr:rowOff>
    </xdr:from>
    <xdr:to>
      <xdr:col>28</xdr:col>
      <xdr:colOff>299358</xdr:colOff>
      <xdr:row>33</xdr:row>
      <xdr:rowOff>71438</xdr:rowOff>
    </xdr:to>
    <xdr:graphicFrame macro="">
      <xdr:nvGraphicFramePr>
        <xdr:cNvPr id="2" name="Diagram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213631</xdr:colOff>
      <xdr:row>34</xdr:row>
      <xdr:rowOff>42182</xdr:rowOff>
    </xdr:from>
    <xdr:to>
      <xdr:col>28</xdr:col>
      <xdr:colOff>312963</xdr:colOff>
      <xdr:row>53</xdr:row>
      <xdr:rowOff>222249</xdr:rowOff>
    </xdr:to>
    <xdr:graphicFrame macro="">
      <xdr:nvGraphicFramePr>
        <xdr:cNvPr id="3" name="Diagram 2">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11</xdr:col>
      <xdr:colOff>234485</xdr:colOff>
      <xdr:row>0</xdr:row>
      <xdr:rowOff>198235</xdr:rowOff>
    </xdr:from>
    <xdr:to>
      <xdr:col>13</xdr:col>
      <xdr:colOff>723648</xdr:colOff>
      <xdr:row>3</xdr:row>
      <xdr:rowOff>86858</xdr:rowOff>
    </xdr:to>
    <xdr:pic>
      <xdr:nvPicPr>
        <xdr:cNvPr id="4" name="Billed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bwMode="auto">
        <a:xfrm>
          <a:off x="14249842" y="198235"/>
          <a:ext cx="2301636" cy="490512"/>
        </a:xfrm>
        <a:prstGeom prst="rect">
          <a:avLst/>
        </a:prstGeom>
        <a:solidFill>
          <a:schemeClr val="bg1"/>
        </a:solid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378732</xdr:colOff>
      <xdr:row>69</xdr:row>
      <xdr:rowOff>130487</xdr:rowOff>
    </xdr:from>
    <xdr:to>
      <xdr:col>8</xdr:col>
      <xdr:colOff>513292</xdr:colOff>
      <xdr:row>98</xdr:row>
      <xdr:rowOff>19276</xdr:rowOff>
    </xdr:to>
    <xdr:graphicFrame macro="">
      <xdr:nvGraphicFramePr>
        <xdr:cNvPr id="5" name="Diagram 4">
          <a:extLst>
            <a:ext uri="{FF2B5EF4-FFF2-40B4-BE49-F238E27FC236}">
              <a16:creationId xmlns:a16="http://schemas.microsoft.com/office/drawing/2014/main" id="{00000000-0008-0000-05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389131</xdr:colOff>
      <xdr:row>101</xdr:row>
      <xdr:rowOff>84448</xdr:rowOff>
    </xdr:from>
    <xdr:to>
      <xdr:col>8</xdr:col>
      <xdr:colOff>50784</xdr:colOff>
      <xdr:row>129</xdr:row>
      <xdr:rowOff>162999</xdr:rowOff>
    </xdr:to>
    <xdr:graphicFrame macro="">
      <xdr:nvGraphicFramePr>
        <xdr:cNvPr id="6" name="Diagram 5">
          <a:extLst>
            <a:ext uri="{FF2B5EF4-FFF2-40B4-BE49-F238E27FC236}">
              <a16:creationId xmlns:a16="http://schemas.microsoft.com/office/drawing/2014/main" id="{00000000-0008-0000-05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36</xdr:col>
      <xdr:colOff>537482</xdr:colOff>
      <xdr:row>13</xdr:row>
      <xdr:rowOff>166007</xdr:rowOff>
    </xdr:from>
    <xdr:to>
      <xdr:col>44</xdr:col>
      <xdr:colOff>210910</xdr:colOff>
      <xdr:row>27</xdr:row>
      <xdr:rowOff>119743</xdr:rowOff>
    </xdr:to>
    <xdr:graphicFrame macro="">
      <xdr:nvGraphicFramePr>
        <xdr:cNvPr id="2" name="Diagram 1">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36</xdr:col>
      <xdr:colOff>518583</xdr:colOff>
      <xdr:row>28</xdr:row>
      <xdr:rowOff>127000</xdr:rowOff>
    </xdr:from>
    <xdr:to>
      <xdr:col>44</xdr:col>
      <xdr:colOff>192011</xdr:colOff>
      <xdr:row>43</xdr:row>
      <xdr:rowOff>17236</xdr:rowOff>
    </xdr:to>
    <xdr:graphicFrame macro="">
      <xdr:nvGraphicFramePr>
        <xdr:cNvPr id="3" name="Diagram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419100</xdr:colOff>
      <xdr:row>2</xdr:row>
      <xdr:rowOff>104775</xdr:rowOff>
    </xdr:from>
    <xdr:to>
      <xdr:col>12</xdr:col>
      <xdr:colOff>563016</xdr:colOff>
      <xdr:row>46</xdr:row>
      <xdr:rowOff>20208</xdr:rowOff>
    </xdr:to>
    <xdr:pic>
      <xdr:nvPicPr>
        <xdr:cNvPr id="2" name="Billed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419100" y="485775"/>
          <a:ext cx="7459116" cy="8297433"/>
        </a:xfrm>
        <a:prstGeom prst="rect">
          <a:avLst/>
        </a:prstGeom>
      </xdr:spPr>
    </xdr:pic>
    <xdr:clientData/>
  </xdr:twoCellAnchor>
  <xdr:twoCellAnchor editAs="oneCell">
    <xdr:from>
      <xdr:col>16</xdr:col>
      <xdr:colOff>0</xdr:colOff>
      <xdr:row>4</xdr:row>
      <xdr:rowOff>104775</xdr:rowOff>
    </xdr:from>
    <xdr:to>
      <xdr:col>26</xdr:col>
      <xdr:colOff>267588</xdr:colOff>
      <xdr:row>45</xdr:row>
      <xdr:rowOff>1076</xdr:rowOff>
    </xdr:to>
    <xdr:pic>
      <xdr:nvPicPr>
        <xdr:cNvPr id="4" name="Billede 3">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a:stretch>
          <a:fillRect/>
        </a:stretch>
      </xdr:blipFill>
      <xdr:spPr>
        <a:xfrm>
          <a:off x="9753600" y="866775"/>
          <a:ext cx="6363588" cy="770680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7</xdr:col>
      <xdr:colOff>10507</xdr:colOff>
      <xdr:row>18</xdr:row>
      <xdr:rowOff>7396</xdr:rowOff>
    </xdr:from>
    <xdr:to>
      <xdr:col>19</xdr:col>
      <xdr:colOff>11906</xdr:colOff>
      <xdr:row>40</xdr:row>
      <xdr:rowOff>6274</xdr:rowOff>
    </xdr:to>
    <xdr:graphicFrame macro="">
      <xdr:nvGraphicFramePr>
        <xdr:cNvPr id="6" name="Diagram 5">
          <a:extLst>
            <a:ext uri="{FF2B5EF4-FFF2-40B4-BE49-F238E27FC236}">
              <a16:creationId xmlns:a16="http://schemas.microsoft.com/office/drawing/2014/main" id="{00000000-0008-0000-08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327421</xdr:colOff>
      <xdr:row>1</xdr:row>
      <xdr:rowOff>182165</xdr:rowOff>
    </xdr:from>
    <xdr:to>
      <xdr:col>35</xdr:col>
      <xdr:colOff>41671</xdr:colOff>
      <xdr:row>16</xdr:row>
      <xdr:rowOff>55958</xdr:rowOff>
    </xdr:to>
    <xdr:graphicFrame macro="">
      <xdr:nvGraphicFramePr>
        <xdr:cNvPr id="2" name="Diagram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27</xdr:col>
      <xdr:colOff>261937</xdr:colOff>
      <xdr:row>17</xdr:row>
      <xdr:rowOff>178593</xdr:rowOff>
    </xdr:from>
    <xdr:to>
      <xdr:col>34</xdr:col>
      <xdr:colOff>583406</xdr:colOff>
      <xdr:row>32</xdr:row>
      <xdr:rowOff>64293</xdr:rowOff>
    </xdr:to>
    <xdr:graphicFrame macro="">
      <xdr:nvGraphicFramePr>
        <xdr:cNvPr id="4" name="Diagram 3">
          <a:extLst>
            <a:ext uri="{FF2B5EF4-FFF2-40B4-BE49-F238E27FC236}">
              <a16:creationId xmlns:a16="http://schemas.microsoft.com/office/drawing/2014/main" id="{00000000-0008-0000-08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27</xdr:col>
      <xdr:colOff>261937</xdr:colOff>
      <xdr:row>33</xdr:row>
      <xdr:rowOff>71437</xdr:rowOff>
    </xdr:from>
    <xdr:to>
      <xdr:col>34</xdr:col>
      <xdr:colOff>583406</xdr:colOff>
      <xdr:row>47</xdr:row>
      <xdr:rowOff>147637</xdr:rowOff>
    </xdr:to>
    <xdr:graphicFrame macro="">
      <xdr:nvGraphicFramePr>
        <xdr:cNvPr id="5" name="Diagram 4">
          <a:extLst>
            <a:ext uri="{FF2B5EF4-FFF2-40B4-BE49-F238E27FC236}">
              <a16:creationId xmlns:a16="http://schemas.microsoft.com/office/drawing/2014/main" id="{00000000-0008-0000-08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27</xdr:col>
      <xdr:colOff>297657</xdr:colOff>
      <xdr:row>48</xdr:row>
      <xdr:rowOff>107156</xdr:rowOff>
    </xdr:from>
    <xdr:to>
      <xdr:col>35</xdr:col>
      <xdr:colOff>11907</xdr:colOff>
      <xdr:row>62</xdr:row>
      <xdr:rowOff>183356</xdr:rowOff>
    </xdr:to>
    <xdr:graphicFrame macro="">
      <xdr:nvGraphicFramePr>
        <xdr:cNvPr id="7" name="Diagram 6">
          <a:extLst>
            <a:ext uri="{FF2B5EF4-FFF2-40B4-BE49-F238E27FC236}">
              <a16:creationId xmlns:a16="http://schemas.microsoft.com/office/drawing/2014/main" id="{00000000-0008-0000-08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107674</xdr:colOff>
      <xdr:row>40</xdr:row>
      <xdr:rowOff>91109</xdr:rowOff>
    </xdr:from>
    <xdr:to>
      <xdr:col>19</xdr:col>
      <xdr:colOff>109073</xdr:colOff>
      <xdr:row>62</xdr:row>
      <xdr:rowOff>89987</xdr:rowOff>
    </xdr:to>
    <xdr:graphicFrame macro="">
      <xdr:nvGraphicFramePr>
        <xdr:cNvPr id="3" name="Diagram 2">
          <a:extLst>
            <a:ext uri="{FF2B5EF4-FFF2-40B4-BE49-F238E27FC236}">
              <a16:creationId xmlns:a16="http://schemas.microsoft.com/office/drawing/2014/main" id="{00000000-0008-0000-08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Pernille Hartmund Jørgensen" id="{A82D23BF-841B-48E4-B74F-3EAD6D10CCF0}" userId="S::phaj@planenergi.dk::04950e3d-cf2e-4fb1-80e5-99d2ba4a70db"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86" dT="2023-02-21T08:56:08.36" personId="{A82D23BF-841B-48E4-B74F-3EAD6D10CCF0}" id="{C97FF5F1-577A-4F03-8AC2-D311583775B4}">
    <text>8 mill pr MW ved -1</text>
  </threadedComment>
  <threadedComment ref="F97" dT="2023-02-21T08:56:55.37" personId="{A82D23BF-841B-48E4-B74F-3EAD6D10CCF0}" id="{3FBCFE7B-159D-4963-B4F5-F1CEE4BEF07A}">
    <text>15000 pr. m^2</text>
  </threadedComment>
  <threadedComment ref="F108" dT="2023-02-21T09:02:17.77" personId="{A82D23BF-841B-48E4-B74F-3EAD6D10CCF0}" id="{F226E536-6311-4B2B-8924-4C7601FBAD47}">
    <text>1 mill pr MW ved -1 C</text>
  </threadedComment>
</ThreadedComments>
</file>

<file path=xl/threadedComments/threadedComment2.xml><?xml version="1.0" encoding="utf-8"?>
<ThreadedComments xmlns="http://schemas.microsoft.com/office/spreadsheetml/2018/threadedcomments" xmlns:x="http://schemas.openxmlformats.org/spreadsheetml/2006/main">
  <threadedComment ref="D3" dT="2022-04-06T13:44:08.44" personId="{A82D23BF-841B-48E4-B74F-3EAD6D10CCF0}" id="{51137788-09A3-4BD9-B069-F19F4B50936C}">
    <text>Solkorrektionsfaktor</text>
  </threadedComment>
  <threadedComment ref="E4" dT="2022-07-25T14:42:29.74" personId="{A82D23BF-841B-48E4-B74F-3EAD6D10CCF0}" id="{6966E51B-C638-4225-8BAB-5903F07575D9}">
    <text>Ændret for at undgå cirkulært problem</text>
  </threadedComment>
  <threadedComment ref="F4" dT="2022-05-04T15:04:17.77" personId="{A82D23BF-841B-48E4-B74F-3EAD6D10CCF0}" id="{4A32F72D-9D75-4E18-9BAA-2E87DB3709DD}">
    <text>kr/MWh-el</text>
  </threadedComment>
</ThreadedComments>
</file>

<file path=xl/threadedComments/threadedComment3.xml><?xml version="1.0" encoding="utf-8"?>
<ThreadedComments xmlns="http://schemas.microsoft.com/office/spreadsheetml/2018/threadedcomments" xmlns:x="http://schemas.openxmlformats.org/spreadsheetml/2006/main">
  <threadedComment ref="V2" dT="2023-08-31T09:18:10.36" personId="{A82D23BF-841B-48E4-B74F-3EAD6D10CCF0}" id="{32E9E82D-4D94-49FE-8404-2EF6D4F7849C}">
    <text>DRY Zone 2</text>
  </threadedComment>
</ThreadedComments>
</file>

<file path=xl/threadedComments/threadedComment4.xml><?xml version="1.0" encoding="utf-8"?>
<ThreadedComments xmlns="http://schemas.microsoft.com/office/spreadsheetml/2018/threadedcomments" xmlns:x="http://schemas.openxmlformats.org/spreadsheetml/2006/main">
  <threadedComment ref="C2" dT="2022-04-22T12:21:18.57" personId="{A82D23BF-841B-48E4-B74F-3EAD6D10CCF0}" id="{1FF32410-E68E-4F6A-99BE-27BE05A27C0A}">
    <text>Ingen sol i skanderborg</text>
  </threadedComment>
  <threadedComment ref="D2" dT="2022-04-22T14:01:59.68" personId="{A82D23BF-841B-48E4-B74F-3EAD6D10CCF0}" id="{08F9CF4A-DEC0-4722-9396-79323B4A72D9}">
    <text>bruges ikke</text>
  </threadedComment>
</ThreadedComments>
</file>

<file path=xl/threadedComments/threadedComment5.xml><?xml version="1.0" encoding="utf-8"?>
<ThreadedComments xmlns="http://schemas.microsoft.com/office/spreadsheetml/2018/threadedcomments" xmlns:x="http://schemas.openxmlformats.org/spreadsheetml/2006/main">
  <threadedComment ref="E2" dT="2022-04-22T12:24:40.64" personId="{A82D23BF-841B-48E4-B74F-3EAD6D10CCF0}" id="{9BE5A5C1-BDAA-47A0-94D4-511CA4087888}">
    <text>Driftsvægtet gennemsnit fra EnergyPRO fil</text>
  </threadedComment>
  <threadedComment ref="G2" dT="2022-04-22T12:25:08.92" personId="{A82D23BF-841B-48E4-B74F-3EAD6D10CCF0}" id="{08C2E443-D7ED-44AA-BBAE-73D96355A9C0}">
    <text>Spot 2019 variation + samfundsøkonomisk pris</text>
  </threadedComment>
  <threadedComment ref="G3" dT="2022-07-15T12:25:59.40" personId="{A82D23BF-841B-48E4-B74F-3EAD6D10CCF0}" id="{46BD1DE1-0517-453D-A105-9AED3C17545D}">
    <text>ikke vægtet pris</text>
  </threadedComment>
  <threadedComment ref="G4" dT="2023-02-21T16:26:57.02" personId="{A82D23BF-841B-48E4-B74F-3EAD6D10CCF0}" id="{5AA2A851-8677-4FBE-84C6-C13ED3CE879F}">
    <text>Sat af bygherre da vi gennemgik VP01</text>
  </threadedComment>
</ThreadedComment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microsoft.com/office/2017/10/relationships/threadedComment" Target="../threadedComments/threadedComment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4.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 Id="rId4" Type="http://schemas.microsoft.com/office/2017/10/relationships/threadedComment" Target="../threadedComments/threadedComment4.xml"/></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2B57AE-7BC9-473B-83ED-49A37212BD53}">
  <sheetPr codeName="Ark4"/>
  <dimension ref="A1:A23"/>
  <sheetViews>
    <sheetView workbookViewId="0">
      <selection activeCell="A28" sqref="A28"/>
    </sheetView>
  </sheetViews>
  <sheetFormatPr defaultRowHeight="15" x14ac:dyDescent="0.25"/>
  <cols>
    <col min="1" max="1" width="40.7109375" bestFit="1" customWidth="1"/>
  </cols>
  <sheetData>
    <row r="1" spans="1:1" x14ac:dyDescent="0.25">
      <c r="A1" s="13" t="s">
        <v>0</v>
      </c>
    </row>
    <row r="3" spans="1:1" x14ac:dyDescent="0.25">
      <c r="A3" s="110" t="s">
        <v>1</v>
      </c>
    </row>
    <row r="4" spans="1:1" x14ac:dyDescent="0.25">
      <c r="A4" t="s">
        <v>2</v>
      </c>
    </row>
    <row r="5" spans="1:1" x14ac:dyDescent="0.25">
      <c r="A5" t="s">
        <v>3</v>
      </c>
    </row>
    <row r="6" spans="1:1" x14ac:dyDescent="0.25">
      <c r="A6" t="s">
        <v>4</v>
      </c>
    </row>
    <row r="8" spans="1:1" x14ac:dyDescent="0.25">
      <c r="A8" s="110" t="s">
        <v>5</v>
      </c>
    </row>
    <row r="10" spans="1:1" x14ac:dyDescent="0.25">
      <c r="A10" s="5" t="s">
        <v>6</v>
      </c>
    </row>
    <row r="11" spans="1:1" x14ac:dyDescent="0.25">
      <c r="A11" t="s">
        <v>7</v>
      </c>
    </row>
    <row r="13" spans="1:1" x14ac:dyDescent="0.25">
      <c r="A13" s="5" t="s">
        <v>8</v>
      </c>
    </row>
    <row r="14" spans="1:1" x14ac:dyDescent="0.25">
      <c r="A14" t="s">
        <v>9</v>
      </c>
    </row>
    <row r="16" spans="1:1" x14ac:dyDescent="0.25">
      <c r="A16" s="110" t="s">
        <v>10</v>
      </c>
    </row>
    <row r="18" spans="1:1" x14ac:dyDescent="0.25">
      <c r="A18" t="s">
        <v>11</v>
      </c>
    </row>
    <row r="19" spans="1:1" x14ac:dyDescent="0.25">
      <c r="A19" t="s">
        <v>12</v>
      </c>
    </row>
    <row r="22" spans="1:1" x14ac:dyDescent="0.25">
      <c r="A22" s="137" t="s">
        <v>13</v>
      </c>
    </row>
    <row r="23" spans="1:1" x14ac:dyDescent="0.25">
      <c r="A23" t="s">
        <v>14</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2F34DA-8F7F-4B18-B739-7A82D0EB0637}">
  <sheetPr codeName="Ark10">
    <tabColor theme="8" tint="0.39997558519241921"/>
  </sheetPr>
  <dimension ref="A2:C3"/>
  <sheetViews>
    <sheetView workbookViewId="0"/>
  </sheetViews>
  <sheetFormatPr defaultRowHeight="15" x14ac:dyDescent="0.25"/>
  <cols>
    <col min="1" max="1" width="18.7109375" bestFit="1" customWidth="1"/>
  </cols>
  <sheetData>
    <row r="2" spans="1:3" x14ac:dyDescent="0.25">
      <c r="C2" t="s">
        <v>254</v>
      </c>
    </row>
    <row r="3" spans="1:3" x14ac:dyDescent="0.25">
      <c r="A3" s="12" t="s">
        <v>345</v>
      </c>
      <c r="B3">
        <v>273.14999999999998</v>
      </c>
      <c r="C3" t="s">
        <v>208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5EA8E-768C-46C0-9C07-A52F24F930BA}">
  <sheetPr codeName="Ark8">
    <tabColor theme="8" tint="0.39997558519241921"/>
  </sheetPr>
  <dimension ref="B3:J36"/>
  <sheetViews>
    <sheetView workbookViewId="0"/>
  </sheetViews>
  <sheetFormatPr defaultRowHeight="15" x14ac:dyDescent="0.25"/>
  <cols>
    <col min="2" max="2" width="20.140625" bestFit="1" customWidth="1"/>
    <col min="3" max="3" width="12.5703125" bestFit="1" customWidth="1"/>
    <col min="4" max="4" width="11.28515625" bestFit="1" customWidth="1"/>
    <col min="5" max="5" width="15.28515625" bestFit="1" customWidth="1"/>
    <col min="6" max="6" width="11.28515625" bestFit="1" customWidth="1"/>
    <col min="8" max="8" width="10.7109375" bestFit="1" customWidth="1"/>
    <col min="9" max="9" width="14" bestFit="1" customWidth="1"/>
    <col min="10" max="10" width="53.28515625" bestFit="1" customWidth="1"/>
  </cols>
  <sheetData>
    <row r="3" spans="2:9" x14ac:dyDescent="0.25">
      <c r="B3" s="94" t="s">
        <v>346</v>
      </c>
      <c r="C3" s="95">
        <v>1</v>
      </c>
      <c r="D3" s="82"/>
    </row>
    <row r="4" spans="2:9" x14ac:dyDescent="0.25">
      <c r="B4" s="88" t="s">
        <v>347</v>
      </c>
      <c r="C4" s="85">
        <v>1</v>
      </c>
      <c r="D4" s="96"/>
    </row>
    <row r="5" spans="2:9" x14ac:dyDescent="0.25">
      <c r="B5" s="83" t="s">
        <v>348</v>
      </c>
      <c r="C5" s="84">
        <f>'Varmepumpeberegning VP1'!L4*1000</f>
        <v>8563.1056268912398</v>
      </c>
      <c r="D5" s="89" t="s">
        <v>206</v>
      </c>
    </row>
    <row r="6" spans="2:9" x14ac:dyDescent="0.25">
      <c r="B6" s="83" t="s">
        <v>349</v>
      </c>
      <c r="C6" s="97">
        <f>AVERAGE('Driftsdata LUFT VP'!F45:N45)</f>
        <v>0.46173239485059409</v>
      </c>
      <c r="D6" s="89" t="s">
        <v>211</v>
      </c>
      <c r="I6" s="1"/>
    </row>
    <row r="7" spans="2:9" x14ac:dyDescent="0.25">
      <c r="B7" s="98" t="s">
        <v>214</v>
      </c>
      <c r="C7" s="92">
        <f>'Systemberegning VP1'!B38</f>
        <v>19291131.580996808</v>
      </c>
      <c r="D7" s="93" t="s">
        <v>201</v>
      </c>
    </row>
    <row r="9" spans="2:9" x14ac:dyDescent="0.25">
      <c r="B9" s="79" t="s">
        <v>350</v>
      </c>
      <c r="C9" s="80"/>
      <c r="D9" s="81"/>
      <c r="E9" s="81" t="str">
        <f>B$3</f>
        <v>Størrelsesfaktor</v>
      </c>
      <c r="F9" s="82"/>
    </row>
    <row r="10" spans="2:9" x14ac:dyDescent="0.25">
      <c r="B10" s="83"/>
      <c r="C10" s="84">
        <f>C5</f>
        <v>8563.1056268912398</v>
      </c>
      <c r="D10" s="85">
        <v>0.99</v>
      </c>
      <c r="E10" s="86">
        <v>1</v>
      </c>
      <c r="F10" s="87">
        <v>1.01</v>
      </c>
    </row>
    <row r="11" spans="2:9" x14ac:dyDescent="0.25">
      <c r="B11" s="88"/>
      <c r="C11" s="85">
        <v>1.01</v>
      </c>
      <c r="D11" s="84">
        <f t="dataTable" ref="D11:F13" dt2D="1" dtr="1" r1="C3" r2="C4"/>
        <v>8477.4745706223275</v>
      </c>
      <c r="E11" s="84">
        <v>8563.1056268912398</v>
      </c>
      <c r="F11" s="89">
        <v>8648.7366831601521</v>
      </c>
    </row>
    <row r="12" spans="2:9" x14ac:dyDescent="0.25">
      <c r="B12" s="88" t="str">
        <f>B$4</f>
        <v>El-faktor</v>
      </c>
      <c r="C12" s="86">
        <v>1</v>
      </c>
      <c r="D12" s="84">
        <v>8477.4745706223275</v>
      </c>
      <c r="E12" s="84">
        <v>8563.1056268912398</v>
      </c>
      <c r="F12" s="89">
        <v>8648.7366831601521</v>
      </c>
    </row>
    <row r="13" spans="2:9" x14ac:dyDescent="0.25">
      <c r="B13" s="90"/>
      <c r="C13" s="91">
        <v>0.99</v>
      </c>
      <c r="D13" s="92">
        <v>8477.4745706223275</v>
      </c>
      <c r="E13" s="92">
        <v>8563.1056268912398</v>
      </c>
      <c r="F13" s="93">
        <v>8648.7366831601521</v>
      </c>
    </row>
    <row r="15" spans="2:9" x14ac:dyDescent="0.25">
      <c r="B15" s="79" t="s">
        <v>349</v>
      </c>
      <c r="C15" s="80"/>
      <c r="D15" s="81"/>
      <c r="E15" s="81" t="str">
        <f>B$3</f>
        <v>Størrelsesfaktor</v>
      </c>
      <c r="F15" s="82"/>
    </row>
    <row r="16" spans="2:9" x14ac:dyDescent="0.25">
      <c r="B16" s="83"/>
      <c r="C16" s="97">
        <f>C6</f>
        <v>0.46173239485059409</v>
      </c>
      <c r="D16" s="86">
        <f>D10</f>
        <v>0.99</v>
      </c>
      <c r="E16" s="86">
        <f>E10</f>
        <v>1</v>
      </c>
      <c r="F16" s="302">
        <f>F10</f>
        <v>1.01</v>
      </c>
    </row>
    <row r="17" spans="2:10" x14ac:dyDescent="0.25">
      <c r="B17" s="88"/>
      <c r="C17" s="86">
        <f>C11</f>
        <v>1.01</v>
      </c>
      <c r="D17" s="97">
        <f t="dataTable" ref="D17:F19" dt2D="1" dtr="1" r1="C3" r2="C4" ca="1"/>
        <v>0.45716078698078622</v>
      </c>
      <c r="E17" s="97">
        <v>0.45716078698078622</v>
      </c>
      <c r="F17" s="102">
        <v>0.45716078698078622</v>
      </c>
    </row>
    <row r="18" spans="2:10" x14ac:dyDescent="0.25">
      <c r="B18" s="88" t="str">
        <f>B$4</f>
        <v>El-faktor</v>
      </c>
      <c r="C18" s="86">
        <f>C12</f>
        <v>1</v>
      </c>
      <c r="D18" s="97">
        <v>0.46173239485059409</v>
      </c>
      <c r="E18" s="97">
        <v>0.46173239485059409</v>
      </c>
      <c r="F18" s="102">
        <v>0.46173239485059409</v>
      </c>
    </row>
    <row r="19" spans="2:10" x14ac:dyDescent="0.25">
      <c r="B19" s="90"/>
      <c r="C19" s="301">
        <f>C13</f>
        <v>0.99</v>
      </c>
      <c r="D19" s="103">
        <v>0.46639635843494354</v>
      </c>
      <c r="E19" s="103">
        <v>0.46639635843494354</v>
      </c>
      <c r="F19" s="104">
        <v>0.46639635843494354</v>
      </c>
    </row>
    <row r="20" spans="2:10" x14ac:dyDescent="0.25">
      <c r="B20" s="1"/>
      <c r="C20" s="86"/>
      <c r="D20" s="105"/>
      <c r="E20" s="105"/>
      <c r="F20" s="105"/>
      <c r="I20" s="106" t="s">
        <v>214</v>
      </c>
    </row>
    <row r="21" spans="2:10" x14ac:dyDescent="0.25">
      <c r="B21" s="79" t="s">
        <v>351</v>
      </c>
      <c r="C21" s="80"/>
      <c r="D21" s="81"/>
      <c r="E21" s="81" t="str">
        <f>B$3</f>
        <v>Størrelsesfaktor</v>
      </c>
      <c r="F21" s="82"/>
      <c r="I21" s="106" t="s">
        <v>352</v>
      </c>
    </row>
    <row r="22" spans="2:10" x14ac:dyDescent="0.25">
      <c r="B22" s="83"/>
      <c r="C22" s="84">
        <f>C7</f>
        <v>19291131.580996808</v>
      </c>
      <c r="D22" s="86">
        <f>D10</f>
        <v>0.99</v>
      </c>
      <c r="E22" s="86">
        <f>E10</f>
        <v>1</v>
      </c>
      <c r="F22" s="302">
        <f>F10</f>
        <v>1.01</v>
      </c>
      <c r="I22" s="106"/>
    </row>
    <row r="23" spans="2:10" x14ac:dyDescent="0.25">
      <c r="B23" s="88"/>
      <c r="C23" s="86">
        <f>C11</f>
        <v>1.01</v>
      </c>
      <c r="D23" s="84">
        <f t="dataTable" ref="D23:F25" dt2D="1" dtr="1" r1="C3" r2="C4" ca="1"/>
        <v>18710912.244393948</v>
      </c>
      <c r="E23" s="84">
        <v>19062353.309458926</v>
      </c>
      <c r="F23" s="89">
        <v>19408232.327820145</v>
      </c>
      <c r="I23" s="107">
        <f>(E23-E$24)/(E17-E$18)/100</f>
        <v>500432.84125218762</v>
      </c>
    </row>
    <row r="24" spans="2:10" x14ac:dyDescent="0.25">
      <c r="B24" s="88" t="str">
        <f>B$4</f>
        <v>El-faktor</v>
      </c>
      <c r="C24" s="86">
        <f>C12</f>
        <v>1</v>
      </c>
      <c r="D24" s="84">
        <v>18941075.6642166</v>
      </c>
      <c r="E24" s="84">
        <v>19291131.580996808</v>
      </c>
      <c r="F24" s="89">
        <v>19635632.724448446</v>
      </c>
      <c r="I24" s="107"/>
    </row>
    <row r="25" spans="2:10" x14ac:dyDescent="0.25">
      <c r="B25" s="90"/>
      <c r="C25" s="301">
        <f>C13</f>
        <v>0.99</v>
      </c>
      <c r="D25" s="92">
        <v>19171239.084039282</v>
      </c>
      <c r="E25" s="92">
        <v>19519909.852534898</v>
      </c>
      <c r="F25" s="93">
        <v>19863033.121076744</v>
      </c>
      <c r="I25" s="107">
        <f>(E25-E$24)/(E19-E$18)/100</f>
        <v>490523.28003971948</v>
      </c>
    </row>
    <row r="28" spans="2:10" x14ac:dyDescent="0.25">
      <c r="I28" s="139">
        <f>(I23+I25)/2/100</f>
        <v>4954.7806064595352</v>
      </c>
      <c r="J28" s="108" t="s">
        <v>353</v>
      </c>
    </row>
    <row r="29" spans="2:10" x14ac:dyDescent="0.25">
      <c r="D29" s="24" t="s">
        <v>354</v>
      </c>
      <c r="I29" s="135">
        <f>I28/3</f>
        <v>1651.5935354865117</v>
      </c>
      <c r="J29" s="109" t="s">
        <v>355</v>
      </c>
    </row>
    <row r="30" spans="2:10" x14ac:dyDescent="0.25">
      <c r="B30" t="s">
        <v>356</v>
      </c>
      <c r="C30" s="1">
        <f>SUM('Systemberegning VP1'!AF16:AF135)+SUM('Systemberegning VP1'!AF289:AF380)</f>
        <v>1784903.4171885652</v>
      </c>
      <c r="D30" s="101">
        <f>C30/C32</f>
        <v>0.86567995808822873</v>
      </c>
    </row>
    <row r="31" spans="2:10" x14ac:dyDescent="0.25">
      <c r="B31" t="s">
        <v>357</v>
      </c>
      <c r="C31" s="6">
        <f>SUM('Systemberegning VP1'!AF136:AF288)</f>
        <v>276947.96392733062</v>
      </c>
      <c r="D31" s="101">
        <f>C31/C32</f>
        <v>0.13432004191177127</v>
      </c>
    </row>
    <row r="32" spans="2:10" x14ac:dyDescent="0.25">
      <c r="C32" s="1">
        <f>C30+C31</f>
        <v>2061851.3811158959</v>
      </c>
    </row>
    <row r="34" spans="2:3" x14ac:dyDescent="0.25">
      <c r="B34" s="7" t="s">
        <v>358</v>
      </c>
    </row>
    <row r="35" spans="2:3" x14ac:dyDescent="0.25">
      <c r="B35" t="s">
        <v>359</v>
      </c>
      <c r="C35" s="303">
        <f>I29*D30</f>
        <v>1429.7514225787529</v>
      </c>
    </row>
    <row r="36" spans="2:3" x14ac:dyDescent="0.25">
      <c r="B36" t="s">
        <v>360</v>
      </c>
      <c r="C36" s="303">
        <f>I29*D31</f>
        <v>221.84211290775875</v>
      </c>
    </row>
  </sheetData>
  <conditionalFormatting sqref="D11:F13">
    <cfRule type="colorScale" priority="3">
      <colorScale>
        <cfvo type="min"/>
        <cfvo type="percentile" val="50"/>
        <cfvo type="max"/>
        <color rgb="FFF8696B"/>
        <color rgb="FFFFEB84"/>
        <color rgb="FF63BE7B"/>
      </colorScale>
    </cfRule>
  </conditionalFormatting>
  <conditionalFormatting sqref="D17:F19">
    <cfRule type="colorScale" priority="1">
      <colorScale>
        <cfvo type="min"/>
        <cfvo type="percentile" val="50"/>
        <cfvo type="max"/>
        <color rgb="FFF8696B"/>
        <color rgb="FFFFEB84"/>
        <color rgb="FF63BE7B"/>
      </colorScale>
    </cfRule>
  </conditionalFormatting>
  <conditionalFormatting sqref="D23:F25">
    <cfRule type="colorScale" priority="2">
      <colorScale>
        <cfvo type="min"/>
        <cfvo type="percentile" val="50"/>
        <cfvo type="max"/>
        <color rgb="FFF8696B"/>
        <color rgb="FFFFEB84"/>
        <color rgb="FF63BE7B"/>
      </colorScale>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44428-5827-4042-AFA8-8AC43B03B2F4}">
  <sheetPr>
    <tabColor rgb="FFFF0000"/>
  </sheetPr>
  <dimension ref="C3:T267"/>
  <sheetViews>
    <sheetView showGridLines="0" view="pageBreakPreview" topLeftCell="A98" zoomScale="130" zoomScaleNormal="100" zoomScaleSheetLayoutView="130" workbookViewId="0">
      <selection activeCell="F108" sqref="F108"/>
    </sheetView>
  </sheetViews>
  <sheetFormatPr defaultRowHeight="15" x14ac:dyDescent="0.25"/>
  <cols>
    <col min="1" max="2" width="3.7109375" customWidth="1"/>
    <col min="3" max="3" width="5.5703125" customWidth="1"/>
    <col min="4" max="4" width="8.28515625" customWidth="1"/>
    <col min="5" max="5" width="63.28515625" style="162" customWidth="1"/>
    <col min="6" max="6" width="18.7109375" style="22" bestFit="1" customWidth="1"/>
    <col min="7" max="7" width="3.7109375" customWidth="1"/>
  </cols>
  <sheetData>
    <row r="3" spans="3:6" x14ac:dyDescent="0.25">
      <c r="C3" s="5" t="s">
        <v>15</v>
      </c>
    </row>
    <row r="4" spans="3:6" x14ac:dyDescent="0.25">
      <c r="C4" s="5" t="s">
        <v>16</v>
      </c>
    </row>
    <row r="5" spans="3:6" ht="15" customHeight="1" x14ac:dyDescent="0.25">
      <c r="C5" s="5" t="s">
        <v>17</v>
      </c>
      <c r="E5" s="163" t="s">
        <v>18</v>
      </c>
      <c r="F5" s="164" t="s">
        <v>19</v>
      </c>
    </row>
    <row r="6" spans="3:6" ht="52.5" customHeight="1" x14ac:dyDescent="0.25">
      <c r="C6" s="401" t="s">
        <v>20</v>
      </c>
      <c r="D6" s="401"/>
      <c r="E6" s="401"/>
      <c r="F6" s="401"/>
    </row>
    <row r="8" spans="3:6" x14ac:dyDescent="0.25">
      <c r="C8" s="259" t="s">
        <v>21</v>
      </c>
      <c r="D8" s="259"/>
      <c r="E8" s="166"/>
      <c r="F8" s="174"/>
    </row>
    <row r="9" spans="3:6" x14ac:dyDescent="0.25">
      <c r="C9" s="259" t="s">
        <v>22</v>
      </c>
      <c r="D9" s="259"/>
      <c r="E9" s="166"/>
      <c r="F9" s="174"/>
    </row>
    <row r="10" spans="3:6" x14ac:dyDescent="0.25">
      <c r="C10" s="259" t="s">
        <v>23</v>
      </c>
      <c r="D10" s="259"/>
      <c r="E10" s="166"/>
      <c r="F10" s="174"/>
    </row>
    <row r="11" spans="3:6" x14ac:dyDescent="0.25">
      <c r="C11" s="259" t="s">
        <v>22</v>
      </c>
      <c r="D11" s="259"/>
      <c r="E11" s="166"/>
      <c r="F11" s="174"/>
    </row>
    <row r="12" spans="3:6" x14ac:dyDescent="0.25">
      <c r="C12" s="259" t="s">
        <v>24</v>
      </c>
      <c r="D12" s="259"/>
      <c r="E12" s="166"/>
      <c r="F12" s="174"/>
    </row>
    <row r="13" spans="3:6" x14ac:dyDescent="0.25">
      <c r="C13" s="259" t="s">
        <v>22</v>
      </c>
      <c r="D13" s="259"/>
      <c r="E13" s="166"/>
      <c r="F13" s="174"/>
    </row>
    <row r="14" spans="3:6" x14ac:dyDescent="0.25">
      <c r="C14" s="259" t="s">
        <v>25</v>
      </c>
      <c r="D14" s="259"/>
      <c r="E14" s="166"/>
      <c r="F14" s="174"/>
    </row>
    <row r="15" spans="3:6" x14ac:dyDescent="0.25">
      <c r="C15" s="259"/>
      <c r="D15" s="259"/>
      <c r="E15" s="166"/>
      <c r="F15" s="174"/>
    </row>
    <row r="16" spans="3:6" x14ac:dyDescent="0.25">
      <c r="C16" s="259" t="s">
        <v>26</v>
      </c>
      <c r="D16" s="259"/>
      <c r="E16" s="166"/>
      <c r="F16" s="174"/>
    </row>
    <row r="17" spans="3:20" x14ac:dyDescent="0.25">
      <c r="C17" s="259" t="s">
        <v>22</v>
      </c>
      <c r="D17" s="259"/>
      <c r="E17" s="166"/>
      <c r="F17" s="174"/>
    </row>
    <row r="18" spans="3:20" x14ac:dyDescent="0.25">
      <c r="C18" s="259"/>
      <c r="D18" s="259"/>
      <c r="E18" s="166"/>
      <c r="F18" s="174"/>
    </row>
    <row r="19" spans="3:20" x14ac:dyDescent="0.25">
      <c r="C19" s="259" t="s">
        <v>27</v>
      </c>
      <c r="D19" s="259"/>
      <c r="E19" s="167"/>
      <c r="F19" s="174"/>
    </row>
    <row r="20" spans="3:20" x14ac:dyDescent="0.25">
      <c r="C20" s="259"/>
      <c r="D20" s="259"/>
      <c r="E20" s="166"/>
      <c r="F20" s="174"/>
    </row>
    <row r="21" spans="3:20" x14ac:dyDescent="0.25">
      <c r="C21" s="259"/>
      <c r="D21" s="259"/>
      <c r="E21" s="168"/>
      <c r="F21" s="174"/>
    </row>
    <row r="22" spans="3:20" ht="15.75" thickBot="1" x14ac:dyDescent="0.3">
      <c r="E22" s="169"/>
      <c r="F22" s="275" t="s">
        <v>28</v>
      </c>
    </row>
    <row r="23" spans="3:20" ht="15.75" thickBot="1" x14ac:dyDescent="0.3">
      <c r="C23" t="s">
        <v>29</v>
      </c>
      <c r="F23" s="255">
        <f>F119</f>
        <v>102565</v>
      </c>
    </row>
    <row r="24" spans="3:20" ht="15.75" thickBot="1" x14ac:dyDescent="0.3">
      <c r="C24" t="s">
        <v>30</v>
      </c>
      <c r="F24" s="255">
        <f>F266</f>
        <v>57750000</v>
      </c>
    </row>
    <row r="25" spans="3:20" ht="15.75" thickBot="1" x14ac:dyDescent="0.3"/>
    <row r="26" spans="3:20" ht="15.75" thickBot="1" x14ac:dyDescent="0.3">
      <c r="C26" t="s">
        <v>31</v>
      </c>
      <c r="F26" s="255">
        <f>F24+F23</f>
        <v>57852565</v>
      </c>
    </row>
    <row r="27" spans="3:20" ht="15.75" thickBot="1" x14ac:dyDescent="0.3"/>
    <row r="28" spans="3:20" ht="15.75" thickBot="1" x14ac:dyDescent="0.3">
      <c r="C28" t="s">
        <v>32</v>
      </c>
      <c r="F28" s="269"/>
    </row>
    <row r="29" spans="3:20" ht="15.75" thickBot="1" x14ac:dyDescent="0.3">
      <c r="C29" t="s">
        <v>33</v>
      </c>
      <c r="F29" s="269"/>
    </row>
    <row r="30" spans="3:20" ht="15.75" thickBot="1" x14ac:dyDescent="0.3"/>
    <row r="31" spans="3:20" ht="15.75" thickBot="1" x14ac:dyDescent="0.3">
      <c r="C31" t="s">
        <v>34</v>
      </c>
      <c r="E31" s="170"/>
      <c r="F31" s="269"/>
    </row>
    <row r="32" spans="3:20" ht="15.75" thickBot="1" x14ac:dyDescent="0.3">
      <c r="C32" t="s">
        <v>35</v>
      </c>
      <c r="E32" s="166"/>
      <c r="F32" s="269"/>
      <c r="H32" s="5"/>
      <c r="I32" s="5"/>
      <c r="J32" s="5"/>
      <c r="K32" s="5"/>
      <c r="L32" s="5"/>
      <c r="M32" s="5"/>
      <c r="N32" s="5"/>
      <c r="O32" s="5"/>
      <c r="P32" s="5"/>
      <c r="Q32" s="5"/>
      <c r="R32" s="5"/>
      <c r="S32" s="5"/>
      <c r="T32" s="5"/>
    </row>
    <row r="33" spans="3:7" ht="15.75" thickBot="1" x14ac:dyDescent="0.3">
      <c r="G33" s="171"/>
    </row>
    <row r="34" spans="3:7" ht="15.75" thickBot="1" x14ac:dyDescent="0.3">
      <c r="C34" t="s">
        <v>36</v>
      </c>
      <c r="F34" s="255">
        <f>F32*0.3+F29*0.7</f>
        <v>0</v>
      </c>
      <c r="G34" s="171"/>
    </row>
    <row r="35" spans="3:7" x14ac:dyDescent="0.25">
      <c r="E35" s="170"/>
    </row>
    <row r="36" spans="3:7" ht="15" customHeight="1" x14ac:dyDescent="0.25">
      <c r="C36" s="172" t="s">
        <v>37</v>
      </c>
      <c r="D36" s="172"/>
      <c r="E36" s="173"/>
      <c r="F36" s="260"/>
    </row>
    <row r="37" spans="3:7" ht="15" customHeight="1" x14ac:dyDescent="0.25">
      <c r="C37" s="172"/>
      <c r="D37" s="172"/>
      <c r="E37" s="173"/>
      <c r="F37" s="174"/>
    </row>
    <row r="38" spans="3:7" ht="15" customHeight="1" x14ac:dyDescent="0.25">
      <c r="C38" s="172" t="s">
        <v>38</v>
      </c>
      <c r="D38" s="172"/>
      <c r="E38" s="173"/>
      <c r="F38" s="174"/>
    </row>
    <row r="39" spans="3:7" ht="15" customHeight="1" x14ac:dyDescent="0.25">
      <c r="C39" s="172"/>
      <c r="D39" s="172"/>
      <c r="E39" s="173"/>
      <c r="F39" s="174"/>
    </row>
    <row r="40" spans="3:7" ht="15" customHeight="1" x14ac:dyDescent="0.25">
      <c r="C40" s="172"/>
      <c r="D40" s="172"/>
      <c r="E40" s="173"/>
      <c r="F40" s="174"/>
    </row>
    <row r="41" spans="3:7" ht="15" customHeight="1" x14ac:dyDescent="0.25">
      <c r="C41" s="172"/>
      <c r="D41" s="172"/>
      <c r="E41" s="173"/>
      <c r="F41" s="174"/>
    </row>
    <row r="42" spans="3:7" ht="30" customHeight="1" x14ac:dyDescent="0.25">
      <c r="C42" s="401" t="s">
        <v>39</v>
      </c>
      <c r="D42" s="401"/>
      <c r="E42" s="401"/>
      <c r="F42" s="401"/>
    </row>
    <row r="44" spans="3:7" x14ac:dyDescent="0.25">
      <c r="C44" t="s">
        <v>40</v>
      </c>
    </row>
    <row r="45" spans="3:7" ht="15" customHeight="1" x14ac:dyDescent="0.25"/>
    <row r="46" spans="3:7" ht="46.5" customHeight="1" x14ac:dyDescent="0.25">
      <c r="C46" s="401" t="s">
        <v>41</v>
      </c>
      <c r="D46" s="401"/>
      <c r="E46" s="401"/>
      <c r="F46" s="401"/>
    </row>
    <row r="47" spans="3:7" x14ac:dyDescent="0.25">
      <c r="C47" s="165"/>
      <c r="D47" s="165"/>
      <c r="E47" s="165"/>
      <c r="F47" s="165"/>
    </row>
    <row r="48" spans="3:7" ht="45" customHeight="1" x14ac:dyDescent="0.25">
      <c r="C48" s="401" t="s">
        <v>42</v>
      </c>
      <c r="D48" s="401"/>
      <c r="E48" s="401"/>
      <c r="F48" s="401"/>
    </row>
    <row r="49" spans="3:6" ht="18" customHeight="1" x14ac:dyDescent="0.25"/>
    <row r="51" spans="3:6" x14ac:dyDescent="0.25">
      <c r="C51" s="5" t="str">
        <f>C3</f>
        <v>Haderslev Fjernvarme a.m.b.a.</v>
      </c>
    </row>
    <row r="52" spans="3:6" x14ac:dyDescent="0.25">
      <c r="C52" s="5" t="str">
        <f>C4</f>
        <v xml:space="preserve">Tilbudsliste - Luftvarmepumpe, Totalentreprise </v>
      </c>
    </row>
    <row r="53" spans="3:6" s="5" customFormat="1" ht="15.75" thickBot="1" x14ac:dyDescent="0.3">
      <c r="C53" s="5" t="s">
        <v>43</v>
      </c>
      <c r="D53"/>
      <c r="E53" s="162"/>
      <c r="F53" s="22"/>
    </row>
    <row r="54" spans="3:6" ht="30" x14ac:dyDescent="0.25">
      <c r="C54" s="175" t="s">
        <v>44</v>
      </c>
      <c r="D54" s="176" t="s">
        <v>45</v>
      </c>
      <c r="E54" s="177" t="s">
        <v>46</v>
      </c>
      <c r="F54" s="178" t="s">
        <v>47</v>
      </c>
    </row>
    <row r="55" spans="3:6" x14ac:dyDescent="0.25">
      <c r="C55" s="179"/>
      <c r="D55" s="180" t="s">
        <v>48</v>
      </c>
      <c r="E55" s="181" t="s">
        <v>49</v>
      </c>
      <c r="F55" s="182"/>
    </row>
    <row r="56" spans="3:6" x14ac:dyDescent="0.25">
      <c r="C56" s="183">
        <v>1</v>
      </c>
      <c r="D56" s="184" t="s">
        <v>50</v>
      </c>
      <c r="E56" s="185" t="s">
        <v>51</v>
      </c>
      <c r="F56" s="186"/>
    </row>
    <row r="57" spans="3:6" x14ac:dyDescent="0.25">
      <c r="C57" s="183"/>
      <c r="D57" s="184"/>
      <c r="E57" s="185" t="s">
        <v>52</v>
      </c>
      <c r="F57" s="186"/>
    </row>
    <row r="58" spans="3:6" x14ac:dyDescent="0.25">
      <c r="C58" s="183">
        <v>2</v>
      </c>
      <c r="D58" s="184" t="s">
        <v>53</v>
      </c>
      <c r="E58" s="185" t="s">
        <v>54</v>
      </c>
      <c r="F58" s="186"/>
    </row>
    <row r="59" spans="3:6" x14ac:dyDescent="0.25">
      <c r="C59" s="183">
        <v>3</v>
      </c>
      <c r="D59" s="184" t="s">
        <v>55</v>
      </c>
      <c r="E59" s="185" t="s">
        <v>56</v>
      </c>
      <c r="F59" s="186"/>
    </row>
    <row r="60" spans="3:6" x14ac:dyDescent="0.25">
      <c r="C60" s="183">
        <v>4</v>
      </c>
      <c r="D60" s="184" t="s">
        <v>57</v>
      </c>
      <c r="E60" s="185" t="s">
        <v>58</v>
      </c>
      <c r="F60" s="186"/>
    </row>
    <row r="61" spans="3:6" x14ac:dyDescent="0.25">
      <c r="C61" s="183">
        <v>5</v>
      </c>
      <c r="D61" s="187" t="s">
        <v>59</v>
      </c>
      <c r="E61" s="188" t="s">
        <v>60</v>
      </c>
      <c r="F61" s="189"/>
    </row>
    <row r="62" spans="3:6" x14ac:dyDescent="0.25">
      <c r="C62" s="183">
        <v>6</v>
      </c>
      <c r="D62" s="187"/>
      <c r="E62" s="188" t="s">
        <v>61</v>
      </c>
      <c r="F62" s="189"/>
    </row>
    <row r="63" spans="3:6" x14ac:dyDescent="0.25">
      <c r="C63" s="179"/>
      <c r="D63" s="190">
        <v>4</v>
      </c>
      <c r="E63" s="191" t="s">
        <v>62</v>
      </c>
      <c r="F63" s="192"/>
    </row>
    <row r="64" spans="3:6" x14ac:dyDescent="0.25">
      <c r="C64" s="183">
        <v>7</v>
      </c>
      <c r="D64" s="187" t="s">
        <v>63</v>
      </c>
      <c r="E64" s="188" t="s">
        <v>64</v>
      </c>
      <c r="F64" s="189"/>
    </row>
    <row r="65" spans="3:6" x14ac:dyDescent="0.25">
      <c r="C65" s="183">
        <v>8</v>
      </c>
      <c r="D65" s="187" t="s">
        <v>65</v>
      </c>
      <c r="E65" s="188" t="s">
        <v>66</v>
      </c>
      <c r="F65" s="189"/>
    </row>
    <row r="66" spans="3:6" x14ac:dyDescent="0.25">
      <c r="C66" s="183">
        <v>9</v>
      </c>
      <c r="D66" s="187" t="s">
        <v>67</v>
      </c>
      <c r="E66" s="188" t="s">
        <v>68</v>
      </c>
      <c r="F66" s="189"/>
    </row>
    <row r="67" spans="3:6" x14ac:dyDescent="0.25">
      <c r="C67" s="183">
        <v>10</v>
      </c>
      <c r="D67" s="187" t="s">
        <v>69</v>
      </c>
      <c r="E67" s="188" t="s">
        <v>70</v>
      </c>
      <c r="F67" s="189"/>
    </row>
    <row r="68" spans="3:6" x14ac:dyDescent="0.25">
      <c r="C68" s="183">
        <v>11</v>
      </c>
      <c r="D68" s="187" t="s">
        <v>71</v>
      </c>
      <c r="E68" s="188" t="s">
        <v>72</v>
      </c>
      <c r="F68" s="189"/>
    </row>
    <row r="69" spans="3:6" x14ac:dyDescent="0.25">
      <c r="C69" s="183">
        <v>12</v>
      </c>
      <c r="D69" s="187" t="s">
        <v>73</v>
      </c>
      <c r="E69" s="188" t="s">
        <v>74</v>
      </c>
      <c r="F69" s="189"/>
    </row>
    <row r="70" spans="3:6" x14ac:dyDescent="0.25">
      <c r="C70" s="183">
        <v>13</v>
      </c>
      <c r="D70" s="187" t="s">
        <v>75</v>
      </c>
      <c r="E70" s="188" t="s">
        <v>76</v>
      </c>
      <c r="F70" s="189"/>
    </row>
    <row r="71" spans="3:6" x14ac:dyDescent="0.25">
      <c r="C71" s="183">
        <v>14</v>
      </c>
      <c r="D71" s="187" t="s">
        <v>77</v>
      </c>
      <c r="E71" s="188" t="s">
        <v>78</v>
      </c>
      <c r="F71" s="189"/>
    </row>
    <row r="72" spans="3:6" x14ac:dyDescent="0.25">
      <c r="C72" s="183">
        <v>15</v>
      </c>
      <c r="D72" s="187" t="s">
        <v>79</v>
      </c>
      <c r="E72" s="188" t="s">
        <v>80</v>
      </c>
      <c r="F72" s="189"/>
    </row>
    <row r="73" spans="3:6" x14ac:dyDescent="0.25">
      <c r="C73" s="183">
        <v>16</v>
      </c>
      <c r="D73" s="187" t="s">
        <v>81</v>
      </c>
      <c r="E73" s="188" t="s">
        <v>82</v>
      </c>
      <c r="F73" s="189"/>
    </row>
    <row r="74" spans="3:6" x14ac:dyDescent="0.25">
      <c r="C74" s="183">
        <v>17</v>
      </c>
      <c r="D74" s="187" t="s">
        <v>83</v>
      </c>
      <c r="E74" s="188" t="s">
        <v>84</v>
      </c>
      <c r="F74" s="189"/>
    </row>
    <row r="75" spans="3:6" x14ac:dyDescent="0.25">
      <c r="C75" s="183">
        <v>18</v>
      </c>
      <c r="D75" s="187" t="s">
        <v>85</v>
      </c>
      <c r="E75" s="188" t="s">
        <v>86</v>
      </c>
      <c r="F75" s="189"/>
    </row>
    <row r="76" spans="3:6" ht="27.6" customHeight="1" x14ac:dyDescent="0.25">
      <c r="C76" s="183">
        <v>19</v>
      </c>
      <c r="D76" s="187"/>
      <c r="E76" s="193" t="s">
        <v>87</v>
      </c>
      <c r="F76" s="189"/>
    </row>
    <row r="77" spans="3:6" x14ac:dyDescent="0.25">
      <c r="C77" s="183">
        <v>20</v>
      </c>
      <c r="D77" s="187" t="s">
        <v>88</v>
      </c>
      <c r="E77" s="193" t="s">
        <v>89</v>
      </c>
      <c r="F77" s="189"/>
    </row>
    <row r="78" spans="3:6" x14ac:dyDescent="0.25">
      <c r="C78" s="183">
        <v>21</v>
      </c>
      <c r="D78" s="187" t="s">
        <v>90</v>
      </c>
      <c r="E78" s="276" t="s">
        <v>91</v>
      </c>
      <c r="F78" s="189"/>
    </row>
    <row r="79" spans="3:6" x14ac:dyDescent="0.25">
      <c r="C79" s="183">
        <v>22</v>
      </c>
      <c r="D79" s="187" t="s">
        <v>92</v>
      </c>
      <c r="E79" s="188" t="s">
        <v>93</v>
      </c>
      <c r="F79" s="189"/>
    </row>
    <row r="80" spans="3:6" x14ac:dyDescent="0.25">
      <c r="C80" s="183">
        <v>23</v>
      </c>
      <c r="D80" s="187"/>
      <c r="E80" s="188" t="s">
        <v>94</v>
      </c>
      <c r="F80" s="189"/>
    </row>
    <row r="81" spans="3:6" x14ac:dyDescent="0.25">
      <c r="C81" s="183">
        <v>24</v>
      </c>
      <c r="D81" s="187" t="s">
        <v>95</v>
      </c>
      <c r="E81" s="188" t="s">
        <v>96</v>
      </c>
      <c r="F81" s="189"/>
    </row>
    <row r="82" spans="3:6" x14ac:dyDescent="0.25">
      <c r="C82" s="183">
        <v>25</v>
      </c>
      <c r="D82" s="187" t="s">
        <v>95</v>
      </c>
      <c r="E82" s="188" t="s">
        <v>97</v>
      </c>
      <c r="F82" s="189"/>
    </row>
    <row r="83" spans="3:6" x14ac:dyDescent="0.25">
      <c r="C83" s="183">
        <v>26</v>
      </c>
      <c r="D83" s="187" t="s">
        <v>98</v>
      </c>
      <c r="E83" s="188" t="s">
        <v>99</v>
      </c>
      <c r="F83" s="189"/>
    </row>
    <row r="84" spans="3:6" x14ac:dyDescent="0.25">
      <c r="C84" s="183">
        <v>27</v>
      </c>
      <c r="D84" s="194" t="s">
        <v>100</v>
      </c>
      <c r="E84" s="188" t="s">
        <v>101</v>
      </c>
      <c r="F84" s="189"/>
    </row>
    <row r="85" spans="3:6" x14ac:dyDescent="0.25">
      <c r="C85" s="183">
        <v>28</v>
      </c>
      <c r="D85" s="194" t="s">
        <v>102</v>
      </c>
      <c r="E85" s="188" t="s">
        <v>103</v>
      </c>
      <c r="F85" s="189"/>
    </row>
    <row r="86" spans="3:6" x14ac:dyDescent="0.25">
      <c r="C86" s="183">
        <v>29</v>
      </c>
      <c r="D86" s="194"/>
      <c r="E86" s="188" t="s">
        <v>104</v>
      </c>
      <c r="F86" s="189"/>
    </row>
    <row r="87" spans="3:6" x14ac:dyDescent="0.25">
      <c r="C87" s="179"/>
      <c r="D87" s="195">
        <v>5</v>
      </c>
      <c r="E87" s="196" t="s">
        <v>105</v>
      </c>
      <c r="F87" s="192"/>
    </row>
    <row r="88" spans="3:6" ht="30" x14ac:dyDescent="0.25">
      <c r="C88" s="183">
        <v>30</v>
      </c>
      <c r="D88" s="194" t="s">
        <v>106</v>
      </c>
      <c r="E88" s="193" t="s">
        <v>107</v>
      </c>
      <c r="F88" s="189"/>
    </row>
    <row r="89" spans="3:6" x14ac:dyDescent="0.25">
      <c r="C89" s="183">
        <v>31</v>
      </c>
      <c r="D89" s="194" t="s">
        <v>106</v>
      </c>
      <c r="E89" s="193" t="s">
        <v>108</v>
      </c>
      <c r="F89" s="189"/>
    </row>
    <row r="90" spans="3:6" ht="30" x14ac:dyDescent="0.25">
      <c r="C90" s="183">
        <v>32</v>
      </c>
      <c r="D90" s="194" t="s">
        <v>109</v>
      </c>
      <c r="E90" s="193" t="s">
        <v>110</v>
      </c>
      <c r="F90" s="189"/>
    </row>
    <row r="91" spans="3:6" x14ac:dyDescent="0.25">
      <c r="C91" s="183">
        <v>33</v>
      </c>
      <c r="D91" s="194" t="s">
        <v>109</v>
      </c>
      <c r="E91" s="193" t="s">
        <v>111</v>
      </c>
      <c r="F91" s="189"/>
    </row>
    <row r="92" spans="3:6" x14ac:dyDescent="0.25">
      <c r="C92" s="183">
        <v>34</v>
      </c>
      <c r="D92" s="194" t="s">
        <v>109</v>
      </c>
      <c r="E92" s="193" t="s">
        <v>112</v>
      </c>
      <c r="F92" s="189"/>
    </row>
    <row r="93" spans="3:6" ht="30" x14ac:dyDescent="0.25">
      <c r="C93" s="183">
        <v>35</v>
      </c>
      <c r="D93" s="194" t="s">
        <v>113</v>
      </c>
      <c r="E93" s="193" t="s">
        <v>114</v>
      </c>
      <c r="F93" s="189"/>
    </row>
    <row r="94" spans="3:6" ht="30" x14ac:dyDescent="0.25">
      <c r="C94" s="183">
        <v>36</v>
      </c>
      <c r="D94" s="194" t="s">
        <v>115</v>
      </c>
      <c r="E94" s="193" t="s">
        <v>116</v>
      </c>
      <c r="F94" s="189"/>
    </row>
    <row r="95" spans="3:6" x14ac:dyDescent="0.25">
      <c r="C95" s="183"/>
      <c r="D95" s="285" t="s">
        <v>117</v>
      </c>
      <c r="E95" s="276" t="s">
        <v>118</v>
      </c>
      <c r="F95" s="189"/>
    </row>
    <row r="96" spans="3:6" x14ac:dyDescent="0.25">
      <c r="C96" s="183">
        <v>37</v>
      </c>
      <c r="D96" s="194" t="s">
        <v>119</v>
      </c>
      <c r="E96" s="193" t="s">
        <v>120</v>
      </c>
      <c r="F96" s="189"/>
    </row>
    <row r="97" spans="3:6" ht="41.25" customHeight="1" thickBot="1" x14ac:dyDescent="0.3">
      <c r="C97" s="183">
        <v>38</v>
      </c>
      <c r="D97" s="198"/>
      <c r="E97" s="199" t="s">
        <v>121</v>
      </c>
      <c r="F97" s="189"/>
    </row>
    <row r="98" spans="3:6" ht="15.75" thickBot="1" x14ac:dyDescent="0.3">
      <c r="C98" s="200" t="s">
        <v>122</v>
      </c>
      <c r="D98" s="201"/>
      <c r="E98" s="202" t="s">
        <v>123</v>
      </c>
      <c r="F98" s="203">
        <f>SUM(F55:F97)</f>
        <v>0</v>
      </c>
    </row>
    <row r="99" spans="3:6" x14ac:dyDescent="0.25">
      <c r="C99" s="5"/>
      <c r="D99" s="5"/>
      <c r="E99" s="204"/>
    </row>
    <row r="100" spans="3:6" x14ac:dyDescent="0.25">
      <c r="D100" s="5"/>
      <c r="E100" s="205"/>
    </row>
    <row r="101" spans="3:6" x14ac:dyDescent="0.25">
      <c r="C101" s="5" t="str">
        <f>C3</f>
        <v>Haderslev Fjernvarme a.m.b.a.</v>
      </c>
    </row>
    <row r="102" spans="3:6" x14ac:dyDescent="0.25">
      <c r="C102" s="5" t="str">
        <f>C4</f>
        <v xml:space="preserve">Tilbudsliste - Luftvarmepumpe, Totalentreprise </v>
      </c>
    </row>
    <row r="103" spans="3:6" ht="15.75" thickBot="1" x14ac:dyDescent="0.3">
      <c r="C103" s="5" t="s">
        <v>124</v>
      </c>
    </row>
    <row r="104" spans="3:6" ht="60" x14ac:dyDescent="0.25">
      <c r="C104" s="206" t="s">
        <v>125</v>
      </c>
      <c r="D104" s="207"/>
      <c r="E104" s="208" t="s">
        <v>126</v>
      </c>
      <c r="F104" s="209" t="s">
        <v>47</v>
      </c>
    </row>
    <row r="105" spans="3:6" x14ac:dyDescent="0.25">
      <c r="C105" s="197" t="s">
        <v>127</v>
      </c>
      <c r="D105" s="210"/>
      <c r="E105" s="211" t="s">
        <v>128</v>
      </c>
      <c r="F105" s="186">
        <v>41667</v>
      </c>
    </row>
    <row r="106" spans="3:6" x14ac:dyDescent="0.25">
      <c r="C106" s="212" t="s">
        <v>129</v>
      </c>
      <c r="D106" s="210"/>
      <c r="E106" s="211" t="s">
        <v>130</v>
      </c>
      <c r="F106" s="186">
        <v>22436</v>
      </c>
    </row>
    <row r="107" spans="3:6" ht="32.25" customHeight="1" x14ac:dyDescent="0.25">
      <c r="C107" s="197" t="s">
        <v>131</v>
      </c>
      <c r="D107" s="210"/>
      <c r="E107" s="211" t="s">
        <v>132</v>
      </c>
      <c r="F107" s="186">
        <v>38462</v>
      </c>
    </row>
    <row r="108" spans="3:6" ht="117" customHeight="1" x14ac:dyDescent="0.25">
      <c r="C108" s="197" t="s">
        <v>133</v>
      </c>
      <c r="D108" s="210"/>
      <c r="E108" s="211" t="s">
        <v>134</v>
      </c>
      <c r="F108" s="186"/>
    </row>
    <row r="109" spans="3:6" ht="21.4" customHeight="1" x14ac:dyDescent="0.25">
      <c r="C109" s="197" t="s">
        <v>135</v>
      </c>
      <c r="D109" s="210"/>
      <c r="E109" s="211" t="s">
        <v>136</v>
      </c>
      <c r="F109" s="186"/>
    </row>
    <row r="110" spans="3:6" ht="46.9" customHeight="1" x14ac:dyDescent="0.25">
      <c r="C110" s="197" t="s">
        <v>137</v>
      </c>
      <c r="D110" s="210"/>
      <c r="E110" s="211" t="s">
        <v>138</v>
      </c>
      <c r="F110" s="258"/>
    </row>
    <row r="111" spans="3:6" ht="60" customHeight="1" x14ac:dyDescent="0.25">
      <c r="C111" s="197" t="s">
        <v>139</v>
      </c>
      <c r="D111" s="210"/>
      <c r="E111" s="211" t="s">
        <v>140</v>
      </c>
      <c r="F111" s="186"/>
    </row>
    <row r="112" spans="3:6" ht="44.25" customHeight="1" x14ac:dyDescent="0.25">
      <c r="C112" s="256"/>
      <c r="D112" s="257"/>
      <c r="E112" s="239"/>
      <c r="F112" s="186"/>
    </row>
    <row r="113" spans="3:6" ht="41.25" customHeight="1" thickBot="1" x14ac:dyDescent="0.3">
      <c r="C113" s="256"/>
      <c r="D113" s="257"/>
      <c r="E113" s="239"/>
      <c r="F113" s="186"/>
    </row>
    <row r="114" spans="3:6" ht="15.75" thickBot="1" x14ac:dyDescent="0.3">
      <c r="C114" s="200" t="s">
        <v>122</v>
      </c>
      <c r="D114" s="213"/>
      <c r="E114" s="202" t="s">
        <v>141</v>
      </c>
      <c r="F114" s="214">
        <f>SUM(F105:F113)</f>
        <v>102565</v>
      </c>
    </row>
    <row r="115" spans="3:6" ht="15.75" thickBot="1" x14ac:dyDescent="0.3">
      <c r="C115" s="18"/>
      <c r="E115" s="173"/>
    </row>
    <row r="116" spans="3:6" ht="30" x14ac:dyDescent="0.25">
      <c r="C116" s="206" t="s">
        <v>125</v>
      </c>
      <c r="D116" s="207"/>
      <c r="E116" s="215" t="s">
        <v>142</v>
      </c>
      <c r="F116" s="216" t="s">
        <v>47</v>
      </c>
    </row>
    <row r="117" spans="3:6" x14ac:dyDescent="0.25">
      <c r="C117" s="217" t="s">
        <v>143</v>
      </c>
      <c r="D117" s="218"/>
      <c r="E117" s="219" t="s">
        <v>144</v>
      </c>
      <c r="F117" s="220">
        <f>+F98</f>
        <v>0</v>
      </c>
    </row>
    <row r="118" spans="3:6" ht="15.75" thickBot="1" x14ac:dyDescent="0.3">
      <c r="C118" s="221" t="s">
        <v>145</v>
      </c>
      <c r="D118" s="222"/>
      <c r="E118" s="223" t="s">
        <v>146</v>
      </c>
      <c r="F118" s="224">
        <f>+F114</f>
        <v>102565</v>
      </c>
    </row>
    <row r="119" spans="3:6" ht="15.75" thickBot="1" x14ac:dyDescent="0.3">
      <c r="C119" s="200" t="s">
        <v>122</v>
      </c>
      <c r="D119" s="213"/>
      <c r="E119" s="202" t="s">
        <v>147</v>
      </c>
      <c r="F119" s="214">
        <f>SUM(F117:F118)</f>
        <v>102565</v>
      </c>
    </row>
    <row r="120" spans="3:6" x14ac:dyDescent="0.25">
      <c r="C120" s="5"/>
      <c r="D120" s="5"/>
      <c r="E120" s="204"/>
    </row>
    <row r="121" spans="3:6" x14ac:dyDescent="0.25">
      <c r="C121" s="5"/>
      <c r="D121" s="5"/>
      <c r="E121" s="204"/>
    </row>
    <row r="122" spans="3:6" x14ac:dyDescent="0.25">
      <c r="C122" s="5" t="str">
        <f>C3</f>
        <v>Haderslev Fjernvarme a.m.b.a.</v>
      </c>
    </row>
    <row r="123" spans="3:6" x14ac:dyDescent="0.25">
      <c r="C123" s="5" t="str">
        <f>C4</f>
        <v xml:space="preserve">Tilbudsliste - Luftvarmepumpe, Totalentreprise </v>
      </c>
    </row>
    <row r="124" spans="3:6" ht="15.75" thickBot="1" x14ac:dyDescent="0.3">
      <c r="C124" s="5" t="s">
        <v>148</v>
      </c>
    </row>
    <row r="125" spans="3:6" ht="60" x14ac:dyDescent="0.25">
      <c r="C125" s="225" t="s">
        <v>44</v>
      </c>
      <c r="D125" s="226" t="s">
        <v>45</v>
      </c>
      <c r="E125" s="208" t="s">
        <v>149</v>
      </c>
      <c r="F125" s="209" t="s">
        <v>47</v>
      </c>
    </row>
    <row r="126" spans="3:6" ht="92.25" customHeight="1" x14ac:dyDescent="0.25">
      <c r="C126" s="212" t="s">
        <v>150</v>
      </c>
      <c r="D126" s="194"/>
      <c r="E126" s="254" t="s">
        <v>151</v>
      </c>
      <c r="F126" s="227"/>
    </row>
    <row r="127" spans="3:6" ht="60" x14ac:dyDescent="0.25">
      <c r="C127" s="212" t="s">
        <v>152</v>
      </c>
      <c r="D127" s="228" t="s">
        <v>153</v>
      </c>
      <c r="E127" s="219" t="s">
        <v>154</v>
      </c>
      <c r="F127" s="227"/>
    </row>
    <row r="128" spans="3:6" ht="60" x14ac:dyDescent="0.25">
      <c r="C128" s="212" t="s">
        <v>155</v>
      </c>
      <c r="D128" s="228" t="s">
        <v>156</v>
      </c>
      <c r="E128" s="219" t="s">
        <v>157</v>
      </c>
      <c r="F128" s="227"/>
    </row>
    <row r="129" spans="3:6" x14ac:dyDescent="0.25">
      <c r="C129" s="247"/>
      <c r="D129" s="248"/>
      <c r="E129" s="223"/>
      <c r="F129" s="249"/>
    </row>
    <row r="130" spans="3:6" ht="15.75" thickBot="1" x14ac:dyDescent="0.3">
      <c r="C130" s="229"/>
      <c r="D130" s="251"/>
      <c r="E130" s="250"/>
      <c r="F130" s="249"/>
    </row>
    <row r="131" spans="3:6" ht="30.75" thickBot="1" x14ac:dyDescent="0.3">
      <c r="C131" s="229" t="s">
        <v>158</v>
      </c>
      <c r="D131" s="251"/>
      <c r="E131" s="250" t="s">
        <v>159</v>
      </c>
      <c r="F131" s="249"/>
    </row>
    <row r="132" spans="3:6" ht="30.75" thickBot="1" x14ac:dyDescent="0.3">
      <c r="C132" s="229" t="s">
        <v>160</v>
      </c>
      <c r="D132" s="251"/>
      <c r="E132" s="250" t="s">
        <v>161</v>
      </c>
      <c r="F132" s="249"/>
    </row>
    <row r="133" spans="3:6" ht="30.75" thickBot="1" x14ac:dyDescent="0.3">
      <c r="C133" s="229" t="s">
        <v>162</v>
      </c>
      <c r="D133" s="251"/>
      <c r="E133" s="250" t="s">
        <v>163</v>
      </c>
      <c r="F133" s="230"/>
    </row>
    <row r="134" spans="3:6" ht="15.75" thickBot="1" x14ac:dyDescent="0.3">
      <c r="C134" s="229" t="s">
        <v>164</v>
      </c>
      <c r="D134" s="251"/>
      <c r="E134" s="250" t="s">
        <v>165</v>
      </c>
      <c r="F134" s="230"/>
    </row>
    <row r="135" spans="3:6" ht="15.75" thickBot="1" x14ac:dyDescent="0.3">
      <c r="C135" s="229" t="s">
        <v>166</v>
      </c>
      <c r="D135" s="251"/>
      <c r="E135" s="250" t="s">
        <v>167</v>
      </c>
      <c r="F135" s="230"/>
    </row>
    <row r="136" spans="3:6" ht="21.75" customHeight="1" thickBot="1" x14ac:dyDescent="0.3">
      <c r="C136" s="229" t="s">
        <v>168</v>
      </c>
      <c r="D136" s="251"/>
      <c r="E136" s="250" t="s">
        <v>167</v>
      </c>
      <c r="F136" s="230"/>
    </row>
    <row r="138" spans="3:6" x14ac:dyDescent="0.25">
      <c r="D138" s="5"/>
      <c r="E138" s="205"/>
    </row>
    <row r="139" spans="3:6" x14ac:dyDescent="0.25">
      <c r="C139" s="5" t="str">
        <f>C3</f>
        <v>Haderslev Fjernvarme a.m.b.a.</v>
      </c>
    </row>
    <row r="140" spans="3:6" x14ac:dyDescent="0.25">
      <c r="C140" s="5" t="str">
        <f>C4</f>
        <v xml:space="preserve">Tilbudsliste - Luftvarmepumpe, Totalentreprise </v>
      </c>
    </row>
    <row r="141" spans="3:6" ht="15.75" thickBot="1" x14ac:dyDescent="0.3">
      <c r="C141" s="5" t="s">
        <v>169</v>
      </c>
    </row>
    <row r="142" spans="3:6" x14ac:dyDescent="0.25">
      <c r="C142" s="231"/>
      <c r="D142" s="207"/>
      <c r="E142" s="208" t="s">
        <v>170</v>
      </c>
      <c r="F142" s="216"/>
    </row>
    <row r="143" spans="3:6" x14ac:dyDescent="0.25">
      <c r="C143" s="232"/>
      <c r="D143" s="233"/>
      <c r="E143" s="185" t="s">
        <v>171</v>
      </c>
      <c r="F143" s="234"/>
    </row>
    <row r="144" spans="3:6" x14ac:dyDescent="0.25">
      <c r="C144" s="235"/>
      <c r="D144" s="210"/>
      <c r="E144" s="211" t="s">
        <v>172</v>
      </c>
      <c r="F144" s="236"/>
    </row>
    <row r="145" spans="3:6" x14ac:dyDescent="0.25">
      <c r="C145" s="235"/>
      <c r="D145" s="210"/>
      <c r="E145" s="211" t="s">
        <v>173</v>
      </c>
      <c r="F145" s="236"/>
    </row>
    <row r="146" spans="3:6" x14ac:dyDescent="0.25">
      <c r="C146" s="235"/>
      <c r="D146" s="210"/>
      <c r="E146" s="211" t="s">
        <v>174</v>
      </c>
      <c r="F146" s="236"/>
    </row>
    <row r="147" spans="3:6" x14ac:dyDescent="0.25">
      <c r="C147" s="235"/>
      <c r="D147" s="210"/>
      <c r="E147" s="211" t="s">
        <v>175</v>
      </c>
      <c r="F147" s="237"/>
    </row>
    <row r="148" spans="3:6" x14ac:dyDescent="0.25">
      <c r="C148" s="235"/>
      <c r="D148" s="210"/>
      <c r="E148" s="211" t="s">
        <v>176</v>
      </c>
      <c r="F148" s="237"/>
    </row>
    <row r="149" spans="3:6" x14ac:dyDescent="0.25">
      <c r="C149" s="235"/>
      <c r="D149" s="210"/>
      <c r="E149" s="211" t="s">
        <v>177</v>
      </c>
      <c r="F149" s="237"/>
    </row>
    <row r="150" spans="3:6" x14ac:dyDescent="0.25">
      <c r="C150" s="232"/>
      <c r="D150" s="233"/>
      <c r="E150" s="211" t="s">
        <v>178</v>
      </c>
      <c r="F150" s="234"/>
    </row>
    <row r="151" spans="3:6" x14ac:dyDescent="0.25">
      <c r="C151" s="232"/>
      <c r="D151" s="233"/>
      <c r="E151" s="211" t="s">
        <v>179</v>
      </c>
      <c r="F151" s="234"/>
    </row>
    <row r="152" spans="3:6" x14ac:dyDescent="0.25">
      <c r="C152" s="235"/>
      <c r="D152" s="210"/>
      <c r="E152" s="185" t="s">
        <v>180</v>
      </c>
      <c r="F152" s="236"/>
    </row>
    <row r="153" spans="3:6" x14ac:dyDescent="0.25">
      <c r="C153" s="235"/>
      <c r="D153" s="210"/>
      <c r="E153" s="185" t="s">
        <v>181</v>
      </c>
      <c r="F153" s="237"/>
    </row>
    <row r="154" spans="3:6" x14ac:dyDescent="0.25">
      <c r="C154" s="235"/>
      <c r="D154" s="210"/>
      <c r="E154" s="211" t="s">
        <v>182</v>
      </c>
      <c r="F154" s="237"/>
    </row>
    <row r="155" spans="3:6" x14ac:dyDescent="0.25">
      <c r="C155" s="232"/>
      <c r="D155" s="233"/>
      <c r="E155" s="211" t="s">
        <v>183</v>
      </c>
      <c r="F155" s="234"/>
    </row>
    <row r="156" spans="3:6" x14ac:dyDescent="0.25">
      <c r="C156" s="235"/>
      <c r="D156" s="210"/>
      <c r="E156" s="211" t="s">
        <v>184</v>
      </c>
      <c r="F156" s="236"/>
    </row>
    <row r="157" spans="3:6" x14ac:dyDescent="0.25">
      <c r="C157" s="235"/>
      <c r="D157" s="210"/>
      <c r="E157" s="185" t="s">
        <v>185</v>
      </c>
      <c r="F157" s="237"/>
    </row>
    <row r="158" spans="3:6" x14ac:dyDescent="0.25">
      <c r="C158" s="235"/>
      <c r="D158" s="210"/>
      <c r="E158" s="211" t="s">
        <v>186</v>
      </c>
      <c r="F158" s="237"/>
    </row>
    <row r="159" spans="3:6" x14ac:dyDescent="0.25">
      <c r="C159" s="235"/>
      <c r="D159" s="210"/>
      <c r="E159" s="211" t="s">
        <v>187</v>
      </c>
      <c r="F159" s="237"/>
    </row>
    <row r="160" spans="3:6" x14ac:dyDescent="0.25">
      <c r="C160" s="235"/>
      <c r="D160" s="194"/>
      <c r="E160" s="211" t="s">
        <v>188</v>
      </c>
      <c r="F160" s="237"/>
    </row>
    <row r="161" spans="3:6" x14ac:dyDescent="0.25">
      <c r="C161" s="232"/>
      <c r="D161" s="233"/>
      <c r="E161" s="185" t="s">
        <v>189</v>
      </c>
      <c r="F161" s="234"/>
    </row>
    <row r="162" spans="3:6" x14ac:dyDescent="0.25">
      <c r="C162" s="235"/>
      <c r="D162" s="210"/>
      <c r="E162" s="238"/>
      <c r="F162" s="237"/>
    </row>
    <row r="163" spans="3:6" x14ac:dyDescent="0.25">
      <c r="C163" s="235"/>
      <c r="D163" s="210"/>
      <c r="E163" s="166"/>
      <c r="F163" s="237"/>
    </row>
    <row r="164" spans="3:6" x14ac:dyDescent="0.25">
      <c r="C164" s="235"/>
      <c r="D164" s="210"/>
      <c r="E164" s="239"/>
      <c r="F164" s="237"/>
    </row>
    <row r="165" spans="3:6" x14ac:dyDescent="0.25">
      <c r="C165" s="235"/>
      <c r="D165" s="194"/>
      <c r="E165" s="239"/>
      <c r="F165" s="237"/>
    </row>
    <row r="166" spans="3:6" x14ac:dyDescent="0.25">
      <c r="C166" s="232"/>
      <c r="D166" s="233"/>
      <c r="E166" s="240"/>
      <c r="F166" s="234"/>
    </row>
    <row r="167" spans="3:6" ht="15.75" thickBot="1" x14ac:dyDescent="0.3">
      <c r="C167" s="241"/>
      <c r="D167" s="242"/>
      <c r="E167" s="243"/>
      <c r="F167" s="244"/>
    </row>
    <row r="199" spans="3:6" x14ac:dyDescent="0.25">
      <c r="C199" s="5" t="str">
        <f>C122</f>
        <v>Haderslev Fjernvarme a.m.b.a.</v>
      </c>
    </row>
    <row r="200" spans="3:6" x14ac:dyDescent="0.25">
      <c r="C200" s="5" t="str">
        <f>C123</f>
        <v xml:space="preserve">Tilbudsliste - Luftvarmepumpe, Totalentreprise </v>
      </c>
    </row>
    <row r="201" spans="3:6" s="5" customFormat="1" ht="15.75" thickBot="1" x14ac:dyDescent="0.3">
      <c r="C201" s="5" t="s">
        <v>190</v>
      </c>
      <c r="D201"/>
      <c r="E201" s="162"/>
      <c r="F201" s="22"/>
    </row>
    <row r="202" spans="3:6" ht="30" x14ac:dyDescent="0.25">
      <c r="C202" s="175" t="s">
        <v>44</v>
      </c>
      <c r="D202" s="176" t="s">
        <v>45</v>
      </c>
      <c r="E202" s="177" t="s">
        <v>191</v>
      </c>
      <c r="F202" s="178" t="s">
        <v>47</v>
      </c>
    </row>
    <row r="204" spans="3:6" x14ac:dyDescent="0.25">
      <c r="C204" s="179"/>
      <c r="D204" s="180" t="s">
        <v>48</v>
      </c>
      <c r="E204" s="181" t="s">
        <v>49</v>
      </c>
      <c r="F204" s="182"/>
    </row>
    <row r="205" spans="3:6" x14ac:dyDescent="0.25">
      <c r="C205" s="183">
        <v>1</v>
      </c>
      <c r="D205" s="184" t="s">
        <v>50</v>
      </c>
      <c r="E205" s="277" t="s">
        <v>51</v>
      </c>
      <c r="F205" s="186"/>
    </row>
    <row r="206" spans="3:6" x14ac:dyDescent="0.25">
      <c r="C206" s="183">
        <v>2</v>
      </c>
      <c r="D206" s="184" t="s">
        <v>53</v>
      </c>
      <c r="E206" s="277" t="s">
        <v>54</v>
      </c>
      <c r="F206" s="186"/>
    </row>
    <row r="207" spans="3:6" x14ac:dyDescent="0.25">
      <c r="C207" s="183">
        <v>3</v>
      </c>
      <c r="D207" s="184" t="s">
        <v>55</v>
      </c>
      <c r="E207" s="277" t="s">
        <v>56</v>
      </c>
      <c r="F207" s="186"/>
    </row>
    <row r="208" spans="3:6" x14ac:dyDescent="0.25">
      <c r="C208" s="183">
        <v>4</v>
      </c>
      <c r="D208" s="184" t="s">
        <v>57</v>
      </c>
      <c r="E208" s="277" t="s">
        <v>58</v>
      </c>
      <c r="F208" s="186"/>
    </row>
    <row r="209" spans="3:6" x14ac:dyDescent="0.25">
      <c r="C209" s="183">
        <v>5</v>
      </c>
      <c r="D209" s="187" t="s">
        <v>59</v>
      </c>
      <c r="E209" s="278" t="s">
        <v>60</v>
      </c>
      <c r="F209" s="189"/>
    </row>
    <row r="210" spans="3:6" x14ac:dyDescent="0.25">
      <c r="C210" s="183">
        <v>6</v>
      </c>
      <c r="D210" s="187"/>
      <c r="E210" s="278" t="s">
        <v>61</v>
      </c>
      <c r="F210" s="189"/>
    </row>
    <row r="211" spans="3:6" x14ac:dyDescent="0.25">
      <c r="C211" s="179"/>
      <c r="D211" s="190">
        <v>4</v>
      </c>
      <c r="E211" s="279" t="s">
        <v>62</v>
      </c>
      <c r="F211" s="192"/>
    </row>
    <row r="212" spans="3:6" x14ac:dyDescent="0.25">
      <c r="C212" s="183">
        <v>7</v>
      </c>
      <c r="D212" s="187" t="s">
        <v>63</v>
      </c>
      <c r="E212" s="278" t="s">
        <v>64</v>
      </c>
      <c r="F212" s="189"/>
    </row>
    <row r="213" spans="3:6" x14ac:dyDescent="0.25">
      <c r="C213" s="183">
        <v>8</v>
      </c>
      <c r="D213" s="187" t="s">
        <v>65</v>
      </c>
      <c r="E213" s="278" t="s">
        <v>66</v>
      </c>
      <c r="F213" s="189"/>
    </row>
    <row r="214" spans="3:6" x14ac:dyDescent="0.25">
      <c r="C214" s="183">
        <v>9</v>
      </c>
      <c r="D214" s="187" t="s">
        <v>67</v>
      </c>
      <c r="E214" s="278" t="s">
        <v>68</v>
      </c>
      <c r="F214" s="189"/>
    </row>
    <row r="215" spans="3:6" x14ac:dyDescent="0.25">
      <c r="C215" s="183">
        <v>10</v>
      </c>
      <c r="D215" s="187" t="s">
        <v>69</v>
      </c>
      <c r="E215" s="278" t="s">
        <v>70</v>
      </c>
      <c r="F215" s="189"/>
    </row>
    <row r="216" spans="3:6" x14ac:dyDescent="0.25">
      <c r="C216" s="183">
        <v>11</v>
      </c>
      <c r="D216" s="187" t="s">
        <v>71</v>
      </c>
      <c r="E216" s="278" t="s">
        <v>72</v>
      </c>
      <c r="F216" s="189"/>
    </row>
    <row r="217" spans="3:6" x14ac:dyDescent="0.25">
      <c r="C217" s="183">
        <v>12</v>
      </c>
      <c r="D217" s="187" t="s">
        <v>73</v>
      </c>
      <c r="E217" s="278" t="s">
        <v>74</v>
      </c>
      <c r="F217" s="189"/>
    </row>
    <row r="218" spans="3:6" x14ac:dyDescent="0.25">
      <c r="C218" s="183">
        <v>13</v>
      </c>
      <c r="D218" s="187" t="s">
        <v>75</v>
      </c>
      <c r="E218" s="278" t="s">
        <v>76</v>
      </c>
      <c r="F218" s="189"/>
    </row>
    <row r="219" spans="3:6" x14ac:dyDescent="0.25">
      <c r="C219" s="183">
        <v>14</v>
      </c>
      <c r="D219" s="187" t="s">
        <v>77</v>
      </c>
      <c r="E219" s="278" t="s">
        <v>78</v>
      </c>
      <c r="F219" s="189"/>
    </row>
    <row r="220" spans="3:6" x14ac:dyDescent="0.25">
      <c r="C220" s="183">
        <v>15</v>
      </c>
      <c r="D220" s="187" t="s">
        <v>79</v>
      </c>
      <c r="E220" s="278" t="s">
        <v>80</v>
      </c>
      <c r="F220" s="189"/>
    </row>
    <row r="221" spans="3:6" x14ac:dyDescent="0.25">
      <c r="C221" s="183">
        <v>16</v>
      </c>
      <c r="D221" s="187" t="s">
        <v>81</v>
      </c>
      <c r="E221" s="278" t="s">
        <v>82</v>
      </c>
      <c r="F221" s="189"/>
    </row>
    <row r="222" spans="3:6" x14ac:dyDescent="0.25">
      <c r="C222" s="183">
        <v>17</v>
      </c>
      <c r="D222" s="187" t="s">
        <v>83</v>
      </c>
      <c r="E222" s="278" t="s">
        <v>84</v>
      </c>
      <c r="F222" s="189"/>
    </row>
    <row r="223" spans="3:6" x14ac:dyDescent="0.25">
      <c r="C223" s="183">
        <v>18</v>
      </c>
      <c r="D223" s="187" t="s">
        <v>85</v>
      </c>
      <c r="E223" s="278" t="s">
        <v>86</v>
      </c>
      <c r="F223" s="189"/>
    </row>
    <row r="224" spans="3:6" ht="27.6" customHeight="1" x14ac:dyDescent="0.25">
      <c r="C224" s="183">
        <v>19</v>
      </c>
      <c r="D224" s="187"/>
      <c r="E224" s="276" t="s">
        <v>87</v>
      </c>
      <c r="F224" s="189"/>
    </row>
    <row r="225" spans="3:6" x14ac:dyDescent="0.25">
      <c r="C225" s="183">
        <v>20</v>
      </c>
      <c r="D225" s="187" t="s">
        <v>88</v>
      </c>
      <c r="E225" s="276" t="s">
        <v>89</v>
      </c>
      <c r="F225" s="189"/>
    </row>
    <row r="226" spans="3:6" x14ac:dyDescent="0.25">
      <c r="C226" s="183">
        <v>21</v>
      </c>
      <c r="D226" s="187" t="s">
        <v>90</v>
      </c>
      <c r="E226" s="280" t="s">
        <v>192</v>
      </c>
      <c r="F226" s="189"/>
    </row>
    <row r="227" spans="3:6" x14ac:dyDescent="0.25">
      <c r="C227" s="183">
        <v>22</v>
      </c>
      <c r="D227" s="187" t="s">
        <v>92</v>
      </c>
      <c r="E227" s="278" t="s">
        <v>93</v>
      </c>
      <c r="F227" s="189"/>
    </row>
    <row r="228" spans="3:6" x14ac:dyDescent="0.25">
      <c r="C228" s="183">
        <v>23</v>
      </c>
      <c r="D228" s="187"/>
      <c r="E228" s="278" t="s">
        <v>94</v>
      </c>
      <c r="F228" s="189"/>
    </row>
    <row r="229" spans="3:6" x14ac:dyDescent="0.25">
      <c r="C229" s="183">
        <v>24</v>
      </c>
      <c r="D229" s="187" t="s">
        <v>95</v>
      </c>
      <c r="E229" s="278" t="s">
        <v>96</v>
      </c>
      <c r="F229" s="189"/>
    </row>
    <row r="230" spans="3:6" x14ac:dyDescent="0.25">
      <c r="C230" s="183">
        <v>25</v>
      </c>
      <c r="D230" s="187" t="s">
        <v>95</v>
      </c>
      <c r="E230" s="278" t="s">
        <v>97</v>
      </c>
      <c r="F230" s="189"/>
    </row>
    <row r="231" spans="3:6" x14ac:dyDescent="0.25">
      <c r="C231" s="183">
        <v>26</v>
      </c>
      <c r="D231" s="187" t="s">
        <v>98</v>
      </c>
      <c r="E231" s="278" t="s">
        <v>99</v>
      </c>
      <c r="F231" s="189"/>
    </row>
    <row r="232" spans="3:6" x14ac:dyDescent="0.25">
      <c r="C232" s="183">
        <v>27</v>
      </c>
      <c r="D232" s="194" t="s">
        <v>100</v>
      </c>
      <c r="E232" s="278" t="s">
        <v>101</v>
      </c>
      <c r="F232" s="189"/>
    </row>
    <row r="233" spans="3:6" x14ac:dyDescent="0.25">
      <c r="C233" s="183">
        <v>28</v>
      </c>
      <c r="D233" s="194" t="s">
        <v>102</v>
      </c>
      <c r="E233" s="278" t="s">
        <v>103</v>
      </c>
      <c r="F233" s="189"/>
    </row>
    <row r="234" spans="3:6" x14ac:dyDescent="0.25">
      <c r="C234" s="183">
        <v>29</v>
      </c>
      <c r="D234" s="194"/>
      <c r="E234" s="278" t="s">
        <v>104</v>
      </c>
      <c r="F234" s="189">
        <f>8000*5750</f>
        <v>46000000</v>
      </c>
    </row>
    <row r="235" spans="3:6" x14ac:dyDescent="0.25">
      <c r="C235" s="179"/>
      <c r="D235" s="195">
        <v>5</v>
      </c>
      <c r="E235" s="281" t="s">
        <v>105</v>
      </c>
      <c r="F235" s="192"/>
    </row>
    <row r="236" spans="3:6" ht="30" x14ac:dyDescent="0.25">
      <c r="C236" s="183">
        <v>30</v>
      </c>
      <c r="D236" s="194" t="s">
        <v>106</v>
      </c>
      <c r="E236" s="276" t="s">
        <v>107</v>
      </c>
      <c r="F236" s="189"/>
    </row>
    <row r="237" spans="3:6" x14ac:dyDescent="0.25">
      <c r="C237" s="183">
        <v>31</v>
      </c>
      <c r="D237" s="194" t="s">
        <v>106</v>
      </c>
      <c r="E237" s="276" t="s">
        <v>108</v>
      </c>
      <c r="F237" s="189"/>
    </row>
    <row r="238" spans="3:6" ht="30" x14ac:dyDescent="0.25">
      <c r="C238" s="183">
        <v>32</v>
      </c>
      <c r="D238" s="194" t="s">
        <v>109</v>
      </c>
      <c r="E238" s="276" t="s">
        <v>110</v>
      </c>
      <c r="F238" s="189"/>
    </row>
    <row r="239" spans="3:6" x14ac:dyDescent="0.25">
      <c r="C239" s="183">
        <v>33</v>
      </c>
      <c r="D239" s="194" t="s">
        <v>109</v>
      </c>
      <c r="E239" s="276" t="s">
        <v>111</v>
      </c>
      <c r="F239" s="189"/>
    </row>
    <row r="240" spans="3:6" x14ac:dyDescent="0.25">
      <c r="C240" s="183">
        <v>34</v>
      </c>
      <c r="D240" s="194" t="s">
        <v>109</v>
      </c>
      <c r="E240" s="276" t="s">
        <v>112</v>
      </c>
      <c r="F240" s="189"/>
    </row>
    <row r="241" spans="3:6" ht="30" x14ac:dyDescent="0.25">
      <c r="C241" s="183">
        <v>35</v>
      </c>
      <c r="D241" s="194" t="s">
        <v>113</v>
      </c>
      <c r="E241" s="276" t="s">
        <v>114</v>
      </c>
      <c r="F241" s="189"/>
    </row>
    <row r="242" spans="3:6" ht="30" x14ac:dyDescent="0.25">
      <c r="C242" s="183">
        <v>36</v>
      </c>
      <c r="D242" s="194" t="s">
        <v>115</v>
      </c>
      <c r="E242" s="276" t="s">
        <v>116</v>
      </c>
      <c r="F242" s="189"/>
    </row>
    <row r="243" spans="3:6" x14ac:dyDescent="0.25">
      <c r="C243" s="183">
        <v>37</v>
      </c>
      <c r="D243" s="194" t="s">
        <v>119</v>
      </c>
      <c r="E243" s="276" t="s">
        <v>120</v>
      </c>
      <c r="F243" s="189"/>
    </row>
    <row r="244" spans="3:6" ht="41.25" customHeight="1" thickBot="1" x14ac:dyDescent="0.3">
      <c r="C244" s="183">
        <v>38</v>
      </c>
      <c r="D244" s="198"/>
      <c r="E244" s="282" t="s">
        <v>121</v>
      </c>
      <c r="F244" s="189">
        <f>400*15000</f>
        <v>6000000</v>
      </c>
    </row>
    <row r="245" spans="3:6" ht="15.75" thickBot="1" x14ac:dyDescent="0.3">
      <c r="C245" s="200" t="s">
        <v>122</v>
      </c>
      <c r="D245" s="201"/>
      <c r="E245" s="202" t="s">
        <v>193</v>
      </c>
      <c r="F245" s="203">
        <f>SUM(F204:F244)</f>
        <v>52000000</v>
      </c>
    </row>
    <row r="246" spans="3:6" x14ac:dyDescent="0.25">
      <c r="C246" s="265"/>
      <c r="D246" s="266"/>
      <c r="E246" s="267"/>
      <c r="F246" s="268"/>
    </row>
    <row r="247" spans="3:6" x14ac:dyDescent="0.25">
      <c r="C247" s="265"/>
      <c r="D247" s="266"/>
      <c r="E247" s="267"/>
      <c r="F247" s="268"/>
    </row>
    <row r="248" spans="3:6" x14ac:dyDescent="0.25">
      <c r="C248" s="5"/>
      <c r="D248" s="5"/>
      <c r="E248" s="204"/>
    </row>
    <row r="249" spans="3:6" x14ac:dyDescent="0.25">
      <c r="C249" s="5"/>
      <c r="D249" s="5"/>
      <c r="E249" s="204"/>
    </row>
    <row r="250" spans="3:6" x14ac:dyDescent="0.25">
      <c r="C250" s="5"/>
      <c r="D250" s="5"/>
      <c r="E250" s="204"/>
    </row>
    <row r="251" spans="3:6" x14ac:dyDescent="0.25">
      <c r="C251" s="5"/>
      <c r="D251" s="5"/>
      <c r="E251" s="204"/>
    </row>
    <row r="252" spans="3:6" x14ac:dyDescent="0.25">
      <c r="D252" s="5"/>
      <c r="E252" s="205"/>
    </row>
    <row r="253" spans="3:6" x14ac:dyDescent="0.25">
      <c r="C253" s="5" t="str">
        <f>C139</f>
        <v>Haderslev Fjernvarme a.m.b.a.</v>
      </c>
    </row>
    <row r="254" spans="3:6" x14ac:dyDescent="0.25">
      <c r="C254" s="5" t="str">
        <f>C140</f>
        <v xml:space="preserve">Tilbudsliste - Luftvarmepumpe, Totalentreprise </v>
      </c>
    </row>
    <row r="255" spans="3:6" ht="15.75" thickBot="1" x14ac:dyDescent="0.3">
      <c r="C255" s="5" t="s">
        <v>194</v>
      </c>
    </row>
    <row r="256" spans="3:6" ht="60" x14ac:dyDescent="0.25">
      <c r="C256" s="206" t="s">
        <v>125</v>
      </c>
      <c r="D256" s="207"/>
      <c r="E256" s="208" t="s">
        <v>195</v>
      </c>
      <c r="F256" s="209" t="s">
        <v>47</v>
      </c>
    </row>
    <row r="257" spans="3:6" ht="105" x14ac:dyDescent="0.25">
      <c r="C257" s="197" t="s">
        <v>196</v>
      </c>
      <c r="D257" s="210"/>
      <c r="E257" s="283" t="s">
        <v>197</v>
      </c>
      <c r="F257" s="186">
        <f>1000*5750</f>
        <v>5750000</v>
      </c>
    </row>
    <row r="258" spans="3:6" x14ac:dyDescent="0.25">
      <c r="C258" s="212"/>
      <c r="D258" s="210"/>
      <c r="E258" s="283" t="s">
        <v>198</v>
      </c>
      <c r="F258" s="186"/>
    </row>
    <row r="259" spans="3:6" ht="44.25" customHeight="1" x14ac:dyDescent="0.25">
      <c r="C259" s="256"/>
      <c r="D259" s="257"/>
      <c r="E259" s="239"/>
      <c r="F259" s="186"/>
    </row>
    <row r="260" spans="3:6" ht="41.25" customHeight="1" thickBot="1" x14ac:dyDescent="0.3">
      <c r="C260" s="256"/>
      <c r="D260" s="257"/>
      <c r="E260" s="239"/>
      <c r="F260" s="186"/>
    </row>
    <row r="261" spans="3:6" ht="15.75" thickBot="1" x14ac:dyDescent="0.3">
      <c r="C261" s="200" t="s">
        <v>122</v>
      </c>
      <c r="D261" s="213"/>
      <c r="E261" s="202" t="s">
        <v>141</v>
      </c>
      <c r="F261" s="214">
        <f>SUM(F257:F260)</f>
        <v>5750000</v>
      </c>
    </row>
    <row r="262" spans="3:6" ht="15.75" thickBot="1" x14ac:dyDescent="0.3">
      <c r="C262" s="18"/>
      <c r="E262" s="173"/>
    </row>
    <row r="263" spans="3:6" ht="30" x14ac:dyDescent="0.25">
      <c r="C263" s="206" t="s">
        <v>125</v>
      </c>
      <c r="D263" s="207"/>
      <c r="E263" s="215" t="s">
        <v>142</v>
      </c>
      <c r="F263" s="216" t="s">
        <v>47</v>
      </c>
    </row>
    <row r="264" spans="3:6" x14ac:dyDescent="0.25">
      <c r="C264" s="217" t="s">
        <v>199</v>
      </c>
      <c r="D264" s="218"/>
      <c r="E264" s="219" t="s">
        <v>144</v>
      </c>
      <c r="F264" s="220">
        <f>+F245</f>
        <v>52000000</v>
      </c>
    </row>
    <row r="265" spans="3:6" ht="15.75" thickBot="1" x14ac:dyDescent="0.3">
      <c r="C265" s="221" t="s">
        <v>200</v>
      </c>
      <c r="D265" s="222"/>
      <c r="E265" s="223" t="s">
        <v>146</v>
      </c>
      <c r="F265" s="224">
        <f>+F261</f>
        <v>5750000</v>
      </c>
    </row>
    <row r="266" spans="3:6" ht="15.75" thickBot="1" x14ac:dyDescent="0.3">
      <c r="C266" s="200" t="s">
        <v>122</v>
      </c>
      <c r="D266" s="213"/>
      <c r="E266" s="202" t="s">
        <v>147</v>
      </c>
      <c r="F266" s="214">
        <f>SUM(F264:F265)</f>
        <v>57750000</v>
      </c>
    </row>
    <row r="267" spans="3:6" x14ac:dyDescent="0.25">
      <c r="C267" s="5"/>
      <c r="D267" s="5"/>
      <c r="E267" s="204"/>
    </row>
  </sheetData>
  <mergeCells count="4">
    <mergeCell ref="C6:F6"/>
    <mergeCell ref="C42:F42"/>
    <mergeCell ref="C46:F46"/>
    <mergeCell ref="C48:F48"/>
  </mergeCells>
  <pageMargins left="0.7" right="0.7" top="0.75" bottom="0.75" header="0.3" footer="0.3"/>
  <pageSetup paperSize="9" scale="82" orientation="portrait" r:id="rId1"/>
  <headerFooter>
    <oddHeader xml:space="preserve">&amp;C&amp;"-,Fed" </oddHeader>
  </headerFooter>
  <rowBreaks count="4" manualBreakCount="4">
    <brk id="49" max="16383" man="1"/>
    <brk id="99" max="16383" man="1"/>
    <brk id="120" min="1" max="6" man="1"/>
    <brk id="13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8129" r:id="rId4" name="Option Button 1">
              <controlPr defaultSize="0" autoFill="0" autoLine="0" autoPict="0">
                <anchor moveWithCells="1">
                  <from>
                    <xdr:col>3</xdr:col>
                    <xdr:colOff>95250</xdr:colOff>
                    <xdr:row>37</xdr:row>
                    <xdr:rowOff>180975</xdr:rowOff>
                  </from>
                  <to>
                    <xdr:col>4</xdr:col>
                    <xdr:colOff>3990975</xdr:colOff>
                    <xdr:row>39</xdr:row>
                    <xdr:rowOff>66675</xdr:rowOff>
                  </to>
                </anchor>
              </controlPr>
            </control>
          </mc:Choice>
        </mc:AlternateContent>
        <mc:AlternateContent xmlns:mc="http://schemas.openxmlformats.org/markup-compatibility/2006">
          <mc:Choice Requires="x14">
            <control shapeId="48130" r:id="rId5" name="Option Button 2">
              <controlPr defaultSize="0" autoFill="0" autoLine="0" autoPict="0">
                <anchor moveWithCells="1">
                  <from>
                    <xdr:col>3</xdr:col>
                    <xdr:colOff>104775</xdr:colOff>
                    <xdr:row>39</xdr:row>
                    <xdr:rowOff>0</xdr:rowOff>
                  </from>
                  <to>
                    <xdr:col>4</xdr:col>
                    <xdr:colOff>3600450</xdr:colOff>
                    <xdr:row>40</xdr:row>
                    <xdr:rowOff>76200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215D5-64F9-42BA-9C9A-96D6E33C4372}">
  <sheetPr codeName="Ark1">
    <tabColor theme="8" tint="0.39997558519241921"/>
    <pageSetUpPr fitToPage="1"/>
  </sheetPr>
  <dimension ref="B1:R59"/>
  <sheetViews>
    <sheetView tabSelected="1" zoomScale="70" zoomScaleNormal="70" zoomScaleSheetLayoutView="70" workbookViewId="0">
      <selection activeCell="D12" sqref="D12"/>
    </sheetView>
  </sheetViews>
  <sheetFormatPr defaultColWidth="9.28515625" defaultRowHeight="15" x14ac:dyDescent="0.25"/>
  <cols>
    <col min="2" max="2" width="25.7109375" customWidth="1"/>
    <col min="3" max="3" width="39.7109375" customWidth="1"/>
    <col min="4" max="4" width="28.7109375" customWidth="1"/>
    <col min="5" max="5" width="22.42578125" customWidth="1"/>
    <col min="6" max="10" width="13.7109375" customWidth="1"/>
    <col min="11" max="11" width="16.42578125" customWidth="1"/>
    <col min="12" max="14" width="13.7109375" customWidth="1"/>
    <col min="15" max="16" width="3.7109375" customWidth="1"/>
  </cols>
  <sheetData>
    <row r="1" spans="2:15" ht="15.75" thickBot="1" x14ac:dyDescent="0.3"/>
    <row r="2" spans="2:15" ht="15.75" thickBot="1" x14ac:dyDescent="0.3">
      <c r="B2" s="312" t="s">
        <v>391</v>
      </c>
      <c r="C2" s="313"/>
      <c r="F2" s="5" t="s">
        <v>388</v>
      </c>
    </row>
    <row r="3" spans="2:15" x14ac:dyDescent="0.25">
      <c r="B3" s="314" t="s">
        <v>392</v>
      </c>
      <c r="F3" s="5" t="s">
        <v>389</v>
      </c>
      <c r="G3" s="315"/>
    </row>
    <row r="4" spans="2:15" x14ac:dyDescent="0.25">
      <c r="B4" s="314" t="s">
        <v>393</v>
      </c>
      <c r="F4" t="s">
        <v>390</v>
      </c>
      <c r="G4" s="315"/>
    </row>
    <row r="5" spans="2:15" x14ac:dyDescent="0.25">
      <c r="G5" s="315"/>
    </row>
    <row r="6" spans="2:15" x14ac:dyDescent="0.25">
      <c r="B6" s="316" t="s">
        <v>394</v>
      </c>
      <c r="G6" s="315"/>
    </row>
    <row r="7" spans="2:15" ht="15.75" x14ac:dyDescent="0.25">
      <c r="B7" s="317"/>
      <c r="F7" s="396" t="s">
        <v>419</v>
      </c>
      <c r="G7" s="315"/>
    </row>
    <row r="8" spans="2:15" ht="15.75" x14ac:dyDescent="0.25">
      <c r="B8" s="318" t="s">
        <v>395</v>
      </c>
      <c r="D8" s="246" t="s">
        <v>407</v>
      </c>
      <c r="F8" s="397" t="s">
        <v>420</v>
      </c>
    </row>
    <row r="9" spans="2:15" x14ac:dyDescent="0.25">
      <c r="B9" s="318"/>
      <c r="D9" s="315"/>
      <c r="F9" s="398" t="s">
        <v>421</v>
      </c>
    </row>
    <row r="10" spans="2:15" x14ac:dyDescent="0.25">
      <c r="B10" s="317" t="s">
        <v>396</v>
      </c>
      <c r="D10" s="378" t="s">
        <v>408</v>
      </c>
    </row>
    <row r="11" spans="2:15" x14ac:dyDescent="0.25">
      <c r="B11" s="314"/>
    </row>
    <row r="12" spans="2:15" x14ac:dyDescent="0.25">
      <c r="B12" s="400" t="s">
        <v>397</v>
      </c>
      <c r="C12" s="400"/>
      <c r="D12" s="304">
        <f>35249793.8993897*E58/E59</f>
        <v>14194547.878948871</v>
      </c>
      <c r="E12" s="319" t="s">
        <v>414</v>
      </c>
    </row>
    <row r="13" spans="2:15" x14ac:dyDescent="0.25">
      <c r="D13" s="22"/>
      <c r="E13" s="5"/>
    </row>
    <row r="14" spans="2:15" ht="38.25" customHeight="1" x14ac:dyDescent="0.25">
      <c r="B14" s="399" t="s">
        <v>398</v>
      </c>
      <c r="C14" s="399"/>
      <c r="D14" s="286">
        <f>(958339.45+3450+174877.78)*2*E58/E59</f>
        <v>915436.69530201342</v>
      </c>
      <c r="E14" s="319" t="s">
        <v>414</v>
      </c>
    </row>
    <row r="15" spans="2:15" x14ac:dyDescent="0.25">
      <c r="B15" s="320"/>
      <c r="C15" s="320"/>
      <c r="D15" s="22"/>
      <c r="E15" s="319"/>
    </row>
    <row r="16" spans="2:15" ht="17.25" x14ac:dyDescent="0.25">
      <c r="B16" s="5" t="s">
        <v>399</v>
      </c>
      <c r="D16" s="321">
        <f>D12-D14</f>
        <v>13279111.183646858</v>
      </c>
      <c r="E16" s="319" t="s">
        <v>414</v>
      </c>
      <c r="G16" s="322"/>
      <c r="I16" s="322"/>
      <c r="J16" s="322"/>
      <c r="L16" s="322"/>
      <c r="M16" s="322"/>
      <c r="N16" s="323"/>
      <c r="O16" s="323"/>
    </row>
    <row r="17" spans="2:15" ht="30.75" thickBot="1" x14ac:dyDescent="0.3">
      <c r="G17" s="315"/>
      <c r="K17" s="324" t="s">
        <v>406</v>
      </c>
      <c r="L17" s="315"/>
      <c r="M17" s="315"/>
      <c r="N17" s="315"/>
      <c r="O17" s="314"/>
    </row>
    <row r="18" spans="2:15" x14ac:dyDescent="0.25">
      <c r="B18" s="325"/>
      <c r="C18" s="326" t="s">
        <v>361</v>
      </c>
      <c r="D18" s="327"/>
      <c r="E18" s="328">
        <v>1</v>
      </c>
      <c r="F18" s="328">
        <v>2</v>
      </c>
      <c r="G18" s="328">
        <v>3</v>
      </c>
      <c r="H18" s="328">
        <v>4</v>
      </c>
      <c r="I18" s="328">
        <v>5</v>
      </c>
      <c r="J18" s="328">
        <v>6</v>
      </c>
      <c r="K18" s="328">
        <v>7</v>
      </c>
      <c r="L18" s="328">
        <v>8</v>
      </c>
      <c r="M18" s="328">
        <v>9</v>
      </c>
      <c r="N18" s="329">
        <v>10</v>
      </c>
      <c r="O18" s="320"/>
    </row>
    <row r="19" spans="2:15" x14ac:dyDescent="0.25">
      <c r="B19" s="330"/>
      <c r="C19" s="331" t="s">
        <v>362</v>
      </c>
      <c r="D19" s="7"/>
      <c r="E19" s="379">
        <v>1</v>
      </c>
      <c r="F19" s="379">
        <v>1</v>
      </c>
      <c r="G19" s="379">
        <v>1</v>
      </c>
      <c r="H19" s="379">
        <v>1</v>
      </c>
      <c r="I19" s="379">
        <v>1</v>
      </c>
      <c r="J19" s="379">
        <v>1</v>
      </c>
      <c r="K19" s="379">
        <v>1</v>
      </c>
      <c r="L19" s="379">
        <v>1</v>
      </c>
      <c r="M19" s="379">
        <v>1</v>
      </c>
      <c r="N19" s="332">
        <v>1</v>
      </c>
      <c r="O19" s="333"/>
    </row>
    <row r="20" spans="2:15" x14ac:dyDescent="0.25">
      <c r="B20" s="334" t="s">
        <v>381</v>
      </c>
      <c r="C20" s="335"/>
      <c r="D20" s="336"/>
      <c r="E20" s="336"/>
      <c r="F20" s="336"/>
      <c r="G20" s="336"/>
      <c r="H20" s="336"/>
      <c r="I20" s="336"/>
      <c r="J20" s="336"/>
      <c r="K20" s="336"/>
      <c r="L20" s="336"/>
      <c r="M20" s="336"/>
      <c r="N20" s="337"/>
      <c r="O20" s="314"/>
    </row>
    <row r="21" spans="2:15" x14ac:dyDescent="0.25">
      <c r="B21" s="338"/>
      <c r="C21" s="314" t="s">
        <v>363</v>
      </c>
      <c r="D21" s="315" t="s">
        <v>203</v>
      </c>
      <c r="E21" s="380">
        <v>15</v>
      </c>
      <c r="F21" s="380">
        <v>15</v>
      </c>
      <c r="G21" s="380">
        <v>7</v>
      </c>
      <c r="H21" s="380">
        <v>7</v>
      </c>
      <c r="I21" s="380">
        <v>4</v>
      </c>
      <c r="J21" s="380">
        <v>4</v>
      </c>
      <c r="K21" s="380">
        <v>-1</v>
      </c>
      <c r="L21" s="380">
        <v>-1</v>
      </c>
      <c r="M21" s="380">
        <v>-4</v>
      </c>
      <c r="N21" s="339">
        <v>-10</v>
      </c>
      <c r="O21" s="314"/>
    </row>
    <row r="22" spans="2:15" x14ac:dyDescent="0.25">
      <c r="B22" s="340"/>
      <c r="C22" s="314" t="s">
        <v>364</v>
      </c>
      <c r="D22" s="315" t="s">
        <v>204</v>
      </c>
      <c r="E22" s="10">
        <v>0.6</v>
      </c>
      <c r="F22" s="10">
        <v>0.6</v>
      </c>
      <c r="G22" s="10">
        <v>0.75</v>
      </c>
      <c r="H22" s="245">
        <v>0.75</v>
      </c>
      <c r="I22" s="10">
        <v>0.85</v>
      </c>
      <c r="J22" s="10">
        <v>0.85</v>
      </c>
      <c r="K22" s="10">
        <v>0.9</v>
      </c>
      <c r="L22" s="10">
        <v>0.9</v>
      </c>
      <c r="M22" s="10">
        <v>0.9</v>
      </c>
      <c r="N22" s="11">
        <v>0.95</v>
      </c>
      <c r="O22" s="323"/>
    </row>
    <row r="23" spans="2:15" ht="17.25" x14ac:dyDescent="0.25">
      <c r="B23" s="340"/>
      <c r="C23" s="314" t="s">
        <v>365</v>
      </c>
      <c r="D23" s="315" t="s">
        <v>205</v>
      </c>
      <c r="E23" s="2">
        <f>1241616*$E$58</f>
        <v>3724848</v>
      </c>
      <c r="F23" s="2">
        <f t="shared" ref="F23:N23" si="0">1241616*$E$58</f>
        <v>3724848</v>
      </c>
      <c r="G23" s="2">
        <f t="shared" si="0"/>
        <v>3724848</v>
      </c>
      <c r="H23" s="2">
        <f t="shared" si="0"/>
        <v>3724848</v>
      </c>
      <c r="I23" s="2">
        <f t="shared" si="0"/>
        <v>3724848</v>
      </c>
      <c r="J23" s="2">
        <f t="shared" si="0"/>
        <v>3724848</v>
      </c>
      <c r="K23" s="2">
        <f t="shared" si="0"/>
        <v>3724848</v>
      </c>
      <c r="L23" s="2">
        <f t="shared" si="0"/>
        <v>3724848</v>
      </c>
      <c r="M23" s="2">
        <f t="shared" si="0"/>
        <v>3724848</v>
      </c>
      <c r="N23" s="3">
        <f t="shared" si="0"/>
        <v>3724848</v>
      </c>
      <c r="O23" s="323"/>
    </row>
    <row r="24" spans="2:15" x14ac:dyDescent="0.25">
      <c r="B24" s="340"/>
      <c r="C24" s="323" t="s">
        <v>366</v>
      </c>
      <c r="D24" s="322" t="s">
        <v>206</v>
      </c>
      <c r="E24" s="381">
        <f>2309.63142148635*E58</f>
        <v>6928.8942644590497</v>
      </c>
      <c r="F24" s="381">
        <f>2517.03163422088*E58</f>
        <v>7551.0949026626395</v>
      </c>
      <c r="G24" s="381">
        <f>2021.02446290799*E58</f>
        <v>6063.0733887239703</v>
      </c>
      <c r="H24" s="381">
        <f>2204.31371013157*E58</f>
        <v>6612.9411303947109</v>
      </c>
      <c r="I24" s="381">
        <f>1926.77333737212*E58</f>
        <v>5780.32001211636</v>
      </c>
      <c r="J24" s="381">
        <f>2102.11037160181*E58</f>
        <v>6306.3311148054308</v>
      </c>
      <c r="K24" s="381">
        <f>1739.29523108077*E58</f>
        <v>5217.8856932423096</v>
      </c>
      <c r="L24" s="381">
        <f>1898.60644942991*E58</f>
        <v>5695.8193482897304</v>
      </c>
      <c r="M24" s="381">
        <f>1704.94743822575*E58</f>
        <v>5114.8423146772493</v>
      </c>
      <c r="N24" s="4">
        <f>1424.92924400529*E58</f>
        <v>4274.7877320158696</v>
      </c>
      <c r="O24" s="323"/>
    </row>
    <row r="25" spans="2:15" x14ac:dyDescent="0.25">
      <c r="B25" s="338"/>
      <c r="C25" s="314" t="s">
        <v>367</v>
      </c>
      <c r="D25" s="315" t="s">
        <v>207</v>
      </c>
      <c r="E25" s="2">
        <v>450</v>
      </c>
      <c r="F25" s="2">
        <v>450</v>
      </c>
      <c r="G25" s="2">
        <v>450</v>
      </c>
      <c r="H25" s="2">
        <v>450</v>
      </c>
      <c r="I25" s="2">
        <v>450</v>
      </c>
      <c r="J25" s="2">
        <v>450</v>
      </c>
      <c r="K25" s="2">
        <v>450</v>
      </c>
      <c r="L25" s="2">
        <v>450</v>
      </c>
      <c r="M25" s="2">
        <v>450</v>
      </c>
      <c r="N25" s="3">
        <v>450</v>
      </c>
      <c r="O25" s="314"/>
    </row>
    <row r="26" spans="2:15" x14ac:dyDescent="0.25">
      <c r="B26" s="338"/>
      <c r="C26" s="323" t="s">
        <v>368</v>
      </c>
      <c r="D26" s="322" t="s">
        <v>203</v>
      </c>
      <c r="E26" s="382">
        <v>5.3694783033844766</v>
      </c>
      <c r="F26" s="382">
        <v>4.8427879058488781</v>
      </c>
      <c r="G26" s="382">
        <v>-0.61328670858193224</v>
      </c>
      <c r="H26" s="382">
        <v>-1.1560132968408094</v>
      </c>
      <c r="I26" s="382">
        <v>-2.7346020541231306</v>
      </c>
      <c r="J26" s="382">
        <v>-3.2797808680140887</v>
      </c>
      <c r="K26" s="382">
        <v>-7.2412158855112585</v>
      </c>
      <c r="L26" s="382">
        <v>-7.7863449390976474</v>
      </c>
      <c r="M26" s="382">
        <v>-10.367069627534708</v>
      </c>
      <c r="N26" s="9">
        <v>-15.52241182731939</v>
      </c>
      <c r="O26" s="314"/>
    </row>
    <row r="27" spans="2:15" x14ac:dyDescent="0.25">
      <c r="B27" s="334" t="s">
        <v>382</v>
      </c>
      <c r="C27" s="335"/>
      <c r="D27" s="336"/>
      <c r="E27" s="336"/>
      <c r="F27" s="336"/>
      <c r="G27" s="336"/>
      <c r="H27" s="336"/>
      <c r="I27" s="336"/>
      <c r="J27" s="336"/>
      <c r="K27" s="336"/>
      <c r="L27" s="336"/>
      <c r="M27" s="336"/>
      <c r="N27" s="337"/>
      <c r="O27" s="314"/>
    </row>
    <row r="28" spans="2:15" x14ac:dyDescent="0.25">
      <c r="B28" s="338"/>
      <c r="C28" s="314" t="s">
        <v>369</v>
      </c>
      <c r="D28" s="315" t="s">
        <v>203</v>
      </c>
      <c r="E28" s="380">
        <v>43</v>
      </c>
      <c r="F28" s="380">
        <v>33</v>
      </c>
      <c r="G28" s="380">
        <v>43</v>
      </c>
      <c r="H28" s="380">
        <v>33</v>
      </c>
      <c r="I28" s="380">
        <v>43</v>
      </c>
      <c r="J28" s="380">
        <v>33</v>
      </c>
      <c r="K28" s="380">
        <v>43</v>
      </c>
      <c r="L28" s="380">
        <v>33</v>
      </c>
      <c r="M28" s="380">
        <v>38</v>
      </c>
      <c r="N28" s="339">
        <v>38</v>
      </c>
      <c r="O28" s="314"/>
    </row>
    <row r="29" spans="2:15" x14ac:dyDescent="0.25">
      <c r="B29" s="340"/>
      <c r="C29" s="314" t="s">
        <v>370</v>
      </c>
      <c r="D29" s="315" t="s">
        <v>203</v>
      </c>
      <c r="E29" s="380">
        <v>70</v>
      </c>
      <c r="F29" s="380">
        <v>70</v>
      </c>
      <c r="G29" s="380">
        <v>70</v>
      </c>
      <c r="H29" s="380">
        <v>70</v>
      </c>
      <c r="I29" s="380">
        <v>70</v>
      </c>
      <c r="J29" s="380">
        <v>70</v>
      </c>
      <c r="K29" s="380">
        <v>70</v>
      </c>
      <c r="L29" s="380">
        <v>70</v>
      </c>
      <c r="M29" s="380">
        <v>70</v>
      </c>
      <c r="N29" s="339">
        <v>70</v>
      </c>
      <c r="O29" s="323"/>
    </row>
    <row r="30" spans="2:15" x14ac:dyDescent="0.25">
      <c r="B30" s="338"/>
      <c r="C30" s="314" t="s">
        <v>371</v>
      </c>
      <c r="D30" s="315" t="s">
        <v>208</v>
      </c>
      <c r="E30" s="315">
        <f>E29-E28</f>
        <v>27</v>
      </c>
      <c r="F30" s="315">
        <f>F29-F28</f>
        <v>37</v>
      </c>
      <c r="G30" s="315">
        <f t="shared" ref="G30:N30" si="1">G29-G28</f>
        <v>27</v>
      </c>
      <c r="H30" s="315">
        <f t="shared" si="1"/>
        <v>37</v>
      </c>
      <c r="I30" s="315">
        <f t="shared" si="1"/>
        <v>27</v>
      </c>
      <c r="J30" s="315">
        <f t="shared" si="1"/>
        <v>37</v>
      </c>
      <c r="K30" s="315">
        <f t="shared" si="1"/>
        <v>27</v>
      </c>
      <c r="L30" s="315">
        <f t="shared" si="1"/>
        <v>37</v>
      </c>
      <c r="M30" s="315">
        <f t="shared" si="1"/>
        <v>32</v>
      </c>
      <c r="N30" s="341">
        <f t="shared" si="1"/>
        <v>32</v>
      </c>
      <c r="O30" s="314"/>
    </row>
    <row r="31" spans="2:15" ht="17.25" x14ac:dyDescent="0.25">
      <c r="B31" s="338"/>
      <c r="C31" s="323" t="s">
        <v>372</v>
      </c>
      <c r="D31" s="322" t="s">
        <v>206</v>
      </c>
      <c r="E31" s="383">
        <f>3207.45552289165*E58</f>
        <v>9622.36656867495</v>
      </c>
      <c r="F31" s="383">
        <f>3416.68932932108*E58</f>
        <v>10250.067987963241</v>
      </c>
      <c r="G31" s="383">
        <f>2939.22881328865*E58</f>
        <v>8817.6864398659509</v>
      </c>
      <c r="H31" s="383">
        <f>3125.33607098981*E58</f>
        <v>9376.008212969431</v>
      </c>
      <c r="I31" s="383">
        <f>2854.29563836006*E58</f>
        <v>8562.8869150801802</v>
      </c>
      <c r="J31" s="383">
        <f>3032.91027911798*E58</f>
        <v>9098.7308373539399</v>
      </c>
      <c r="K31" s="383">
        <f>2690.59478338381*E58</f>
        <v>8071.7843501514299</v>
      </c>
      <c r="L31" s="383">
        <f>2854.36854229708*E58</f>
        <v>8563.1056268912398</v>
      </c>
      <c r="M31" s="383">
        <f>2676.24383353381*E58</f>
        <v>8028.7315006014305</v>
      </c>
      <c r="N31" s="376">
        <f>2358.30084192854*E58</f>
        <v>7074.902525785621</v>
      </c>
      <c r="O31" s="314"/>
    </row>
    <row r="32" spans="2:15" ht="17.25" x14ac:dyDescent="0.25">
      <c r="B32" s="340"/>
      <c r="C32" s="314" t="s">
        <v>209</v>
      </c>
      <c r="D32" s="315" t="s">
        <v>205</v>
      </c>
      <c r="E32" s="322">
        <f>E31/(980*4.19*E30)*3600</f>
        <v>312.45000466530121</v>
      </c>
      <c r="F32" s="322">
        <f t="shared" ref="F32:N32" si="2">F31/(980*4.19*F30)*3600</f>
        <v>242.87757837961357</v>
      </c>
      <c r="G32" s="322">
        <f t="shared" si="2"/>
        <v>286.3210572586479</v>
      </c>
      <c r="H32" s="322">
        <f t="shared" si="2"/>
        <v>222.16654292513462</v>
      </c>
      <c r="I32" s="322">
        <f t="shared" si="2"/>
        <v>278.04740522722318</v>
      </c>
      <c r="J32" s="322">
        <f t="shared" si="2"/>
        <v>215.59639552630486</v>
      </c>
      <c r="K32" s="322">
        <f t="shared" si="2"/>
        <v>262.10070463044269</v>
      </c>
      <c r="L32" s="322">
        <f t="shared" si="2"/>
        <v>202.90464029219137</v>
      </c>
      <c r="M32" s="322">
        <f t="shared" si="2"/>
        <v>219.96792504448413</v>
      </c>
      <c r="N32" s="342">
        <f t="shared" si="2"/>
        <v>193.83530615919398</v>
      </c>
      <c r="O32" s="323"/>
    </row>
    <row r="33" spans="2:18" ht="17.25" x14ac:dyDescent="0.25">
      <c r="B33" s="340"/>
      <c r="C33" s="314" t="s">
        <v>373</v>
      </c>
      <c r="D33" s="315" t="s">
        <v>210</v>
      </c>
      <c r="E33" s="381">
        <f>21.6183490591665*E58</f>
        <v>64.8550471774995</v>
      </c>
      <c r="F33" s="381">
        <f>13.0628007368608*E58</f>
        <v>39.188402210582396</v>
      </c>
      <c r="G33" s="381">
        <f>18.1538202925059*E58</f>
        <v>54.461460877517695</v>
      </c>
      <c r="H33" s="381">
        <f>10.9299649224299*E58</f>
        <v>32.789894767289695</v>
      </c>
      <c r="I33" s="381">
        <f>17.119818140942*E58</f>
        <v>51.359454422826005</v>
      </c>
      <c r="J33" s="381">
        <f>10.2930586034791*E58</f>
        <v>30.8791758104373</v>
      </c>
      <c r="K33" s="381">
        <f>15.212403310962*E58</f>
        <v>45.637209932885995</v>
      </c>
      <c r="L33" s="381">
        <f>9.11686265503284*E58</f>
        <v>27.350587965098519</v>
      </c>
      <c r="M33" s="381">
        <f>10.7147038088984*E58</f>
        <v>32.144111426695204</v>
      </c>
      <c r="N33" s="4">
        <f>8.32007465141114*E58</f>
        <v>24.96022395423342</v>
      </c>
      <c r="O33" s="323"/>
    </row>
    <row r="34" spans="2:18" x14ac:dyDescent="0.25">
      <c r="B34" s="343" t="s">
        <v>383</v>
      </c>
      <c r="C34" s="335"/>
      <c r="D34" s="336"/>
      <c r="E34" s="336"/>
      <c r="F34" s="336"/>
      <c r="G34" s="336"/>
      <c r="H34" s="336"/>
      <c r="I34" s="336"/>
      <c r="J34" s="336"/>
      <c r="K34" s="336"/>
      <c r="L34" s="336"/>
      <c r="M34" s="336"/>
      <c r="N34" s="337"/>
      <c r="O34" s="314"/>
    </row>
    <row r="35" spans="2:18" ht="17.25" x14ac:dyDescent="0.25">
      <c r="B35" s="338"/>
      <c r="C35" s="314" t="s">
        <v>374</v>
      </c>
      <c r="D35" s="315" t="s">
        <v>206</v>
      </c>
      <c r="E35" s="382">
        <f>942.715306475568*E58</f>
        <v>2828.145919426704</v>
      </c>
      <c r="F35" s="384">
        <f>944.640579855212*E58</f>
        <v>2833.921739565636</v>
      </c>
      <c r="G35" s="382">
        <f>964.114567899693*E58</f>
        <v>2892.343703699079</v>
      </c>
      <c r="H35" s="384">
        <f>967.07347890115*E58</f>
        <v>2901.2204367034501</v>
      </c>
      <c r="I35" s="382">
        <f>973.898416037338*E58</f>
        <v>2921.6952481120143</v>
      </c>
      <c r="J35" s="384">
        <f>977.339902891986*E58</f>
        <v>2932.0197086759581</v>
      </c>
      <c r="K35" s="382">
        <f>998.864529918192*E58</f>
        <v>2996.593589754576</v>
      </c>
      <c r="L35" s="384">
        <f>1003.55019751053*E58</f>
        <v>3010.6505925315901</v>
      </c>
      <c r="M35" s="384">
        <f>1019.86121507346*E58</f>
        <v>3059.5836452203803</v>
      </c>
      <c r="N35" s="377">
        <f>980.040177819412*E58</f>
        <v>2940.120533458236</v>
      </c>
      <c r="O35" s="314"/>
    </row>
    <row r="36" spans="2:18" ht="17.25" x14ac:dyDescent="0.25">
      <c r="B36" s="338"/>
      <c r="C36" s="323" t="s">
        <v>417</v>
      </c>
      <c r="D36" s="322" t="s">
        <v>206</v>
      </c>
      <c r="E36" s="305">
        <f>44.4*$E$58</f>
        <v>133.19999999999999</v>
      </c>
      <c r="F36" s="305">
        <f t="shared" ref="F36:N36" si="3">44.4*$E$58</f>
        <v>133.19999999999999</v>
      </c>
      <c r="G36" s="305">
        <f t="shared" si="3"/>
        <v>133.19999999999999</v>
      </c>
      <c r="H36" s="305">
        <f t="shared" si="3"/>
        <v>133.19999999999999</v>
      </c>
      <c r="I36" s="305">
        <f t="shared" si="3"/>
        <v>133.19999999999999</v>
      </c>
      <c r="J36" s="305">
        <f t="shared" si="3"/>
        <v>133.19999999999999</v>
      </c>
      <c r="K36" s="305">
        <f t="shared" si="3"/>
        <v>133.19999999999999</v>
      </c>
      <c r="L36" s="305">
        <f t="shared" si="3"/>
        <v>133.19999999999999</v>
      </c>
      <c r="M36" s="305">
        <f t="shared" si="3"/>
        <v>133.19999999999999</v>
      </c>
      <c r="N36" s="306">
        <f t="shared" si="3"/>
        <v>133.19999999999999</v>
      </c>
      <c r="O36" s="314"/>
    </row>
    <row r="37" spans="2:18" x14ac:dyDescent="0.25">
      <c r="B37" s="338"/>
      <c r="C37" s="385" t="s">
        <v>418</v>
      </c>
      <c r="D37" s="315" t="s">
        <v>206</v>
      </c>
      <c r="E37" s="386">
        <f>E32/3600*E33</f>
        <v>5.6288777203272353</v>
      </c>
      <c r="F37" s="386">
        <f>F32/3600*F33</f>
        <v>2.6438845081868187</v>
      </c>
      <c r="G37" s="386">
        <f t="shared" ref="G37:N37" si="4">G32/3600*G33</f>
        <v>4.3315175161948218</v>
      </c>
      <c r="H37" s="386">
        <f t="shared" si="4"/>
        <v>2.023560434257698</v>
      </c>
      <c r="I37" s="386">
        <f t="shared" si="4"/>
        <v>3.9667675100423896</v>
      </c>
      <c r="J37" s="386">
        <f t="shared" si="4"/>
        <v>1.8492886115425959</v>
      </c>
      <c r="K37" s="386">
        <f t="shared" si="4"/>
        <v>3.3226513557713493</v>
      </c>
      <c r="L37" s="386">
        <f t="shared" si="4"/>
        <v>1.5415447813439593</v>
      </c>
      <c r="M37" s="386">
        <f t="shared" si="4"/>
        <v>1.9640759702580102</v>
      </c>
      <c r="N37" s="344">
        <f t="shared" si="4"/>
        <v>1.3439368477696894</v>
      </c>
      <c r="O37" s="314"/>
    </row>
    <row r="38" spans="2:18" ht="17.25" x14ac:dyDescent="0.25">
      <c r="B38" s="338"/>
      <c r="C38" s="345" t="s">
        <v>375</v>
      </c>
      <c r="D38" s="346" t="s">
        <v>206</v>
      </c>
      <c r="E38" s="154">
        <f>3*$E$58</f>
        <v>9</v>
      </c>
      <c r="F38" s="154">
        <f t="shared" ref="F38:N38" si="5">3*$E$58</f>
        <v>9</v>
      </c>
      <c r="G38" s="154">
        <f t="shared" si="5"/>
        <v>9</v>
      </c>
      <c r="H38" s="154">
        <f t="shared" si="5"/>
        <v>9</v>
      </c>
      <c r="I38" s="154">
        <f t="shared" si="5"/>
        <v>9</v>
      </c>
      <c r="J38" s="154">
        <f t="shared" si="5"/>
        <v>9</v>
      </c>
      <c r="K38" s="154">
        <f t="shared" si="5"/>
        <v>9</v>
      </c>
      <c r="L38" s="154">
        <f t="shared" si="5"/>
        <v>9</v>
      </c>
      <c r="M38" s="154">
        <f t="shared" si="5"/>
        <v>9</v>
      </c>
      <c r="N38" s="155">
        <f t="shared" si="5"/>
        <v>9</v>
      </c>
      <c r="O38" s="314"/>
    </row>
    <row r="39" spans="2:18" ht="17.25" x14ac:dyDescent="0.25">
      <c r="B39" s="347"/>
      <c r="C39" s="345" t="s">
        <v>376</v>
      </c>
      <c r="D39" s="346" t="s">
        <v>206</v>
      </c>
      <c r="E39" s="346">
        <f t="shared" ref="E39:N39" si="6">SUM(E35:E38)*Elfaktor</f>
        <v>2975.974797147031</v>
      </c>
      <c r="F39" s="346">
        <f t="shared" si="6"/>
        <v>2978.7656240738224</v>
      </c>
      <c r="G39" s="346">
        <f t="shared" si="6"/>
        <v>3038.8752212152735</v>
      </c>
      <c r="H39" s="346">
        <f t="shared" si="6"/>
        <v>3045.4439971377078</v>
      </c>
      <c r="I39" s="346">
        <f t="shared" si="6"/>
        <v>3067.8620156220563</v>
      </c>
      <c r="J39" s="346">
        <f t="shared" si="6"/>
        <v>3076.0689972875007</v>
      </c>
      <c r="K39" s="346">
        <f t="shared" si="6"/>
        <v>3142.1162411103473</v>
      </c>
      <c r="L39" s="346">
        <f t="shared" si="6"/>
        <v>3154.3921373129338</v>
      </c>
      <c r="M39" s="346">
        <f t="shared" si="6"/>
        <v>3203.747721190638</v>
      </c>
      <c r="N39" s="348">
        <f t="shared" si="6"/>
        <v>3083.6644703060056</v>
      </c>
      <c r="O39" s="314"/>
    </row>
    <row r="40" spans="2:18" x14ac:dyDescent="0.25">
      <c r="B40" s="349" t="s">
        <v>384</v>
      </c>
      <c r="C40" s="387"/>
      <c r="D40" s="388"/>
      <c r="E40" s="388"/>
      <c r="F40" s="388"/>
      <c r="G40" s="388"/>
      <c r="H40" s="388"/>
      <c r="I40" s="388"/>
      <c r="J40" s="388"/>
      <c r="K40" s="388"/>
      <c r="L40" s="388"/>
      <c r="M40" s="388"/>
      <c r="N40" s="350"/>
      <c r="O40" s="314"/>
    </row>
    <row r="41" spans="2:18" x14ac:dyDescent="0.25">
      <c r="B41" s="338"/>
      <c r="C41" s="385" t="s">
        <v>377</v>
      </c>
      <c r="D41" s="389" t="s">
        <v>211</v>
      </c>
      <c r="E41" s="390">
        <f>E31/MAX(1,E39)</f>
        <v>3.233349481957843</v>
      </c>
      <c r="F41" s="390">
        <f>F31/MAX(1,F39)</f>
        <v>3.4410454804245498</v>
      </c>
      <c r="G41" s="390">
        <f t="shared" ref="G41:N41" si="7">G31/MAX(1,G39)</f>
        <v>2.9016283321891967</v>
      </c>
      <c r="H41" s="390">
        <f t="shared" si="7"/>
        <v>3.0786999274265328</v>
      </c>
      <c r="I41" s="390">
        <f t="shared" si="7"/>
        <v>2.7911577742012375</v>
      </c>
      <c r="J41" s="390">
        <f t="shared" si="7"/>
        <v>2.957908566217879</v>
      </c>
      <c r="K41" s="390">
        <f t="shared" si="7"/>
        <v>2.5689006168973108</v>
      </c>
      <c r="L41" s="390">
        <f t="shared" si="7"/>
        <v>2.714661099233437</v>
      </c>
      <c r="M41" s="390">
        <f t="shared" si="7"/>
        <v>2.5060436087076292</v>
      </c>
      <c r="N41" s="351">
        <f t="shared" si="7"/>
        <v>2.294316581428701</v>
      </c>
      <c r="O41" s="314"/>
    </row>
    <row r="42" spans="2:18" x14ac:dyDescent="0.25">
      <c r="B42" s="352"/>
      <c r="C42" s="391" t="s">
        <v>212</v>
      </c>
      <c r="D42" s="390" t="s">
        <v>211</v>
      </c>
      <c r="E42" s="390">
        <f>E44/MAX(1,E44-E43)</f>
        <v>7.349225997310981</v>
      </c>
      <c r="F42" s="390">
        <f>F44/MAX(1,F44-F43)</f>
        <v>8.1764178410016566</v>
      </c>
      <c r="G42" s="390">
        <f t="shared" ref="G42:N42" si="8">G44/MAX(1,G44-G43)</f>
        <v>6.236289766959267</v>
      </c>
      <c r="H42" s="390">
        <f t="shared" si="8"/>
        <v>6.8039766601432969</v>
      </c>
      <c r="I42" s="390">
        <f t="shared" si="8"/>
        <v>5.9011707800908075</v>
      </c>
      <c r="J42" s="390">
        <f t="shared" si="8"/>
        <v>6.4010604281325687</v>
      </c>
      <c r="K42" s="390">
        <f t="shared" si="8"/>
        <v>5.4160961501637424</v>
      </c>
      <c r="L42" s="390">
        <f t="shared" si="8"/>
        <v>5.8260501415229387</v>
      </c>
      <c r="M42" s="390">
        <f t="shared" si="8"/>
        <v>5.3365827222299549</v>
      </c>
      <c r="N42" s="351">
        <f t="shared" si="8"/>
        <v>4.8604616229226689</v>
      </c>
      <c r="O42" s="353"/>
    </row>
    <row r="43" spans="2:18" s="357" customFormat="1" x14ac:dyDescent="0.25">
      <c r="B43" s="354"/>
      <c r="C43" s="392" t="s">
        <v>378</v>
      </c>
      <c r="D43" s="389" t="s">
        <v>208</v>
      </c>
      <c r="E43" s="389">
        <f>(E21-(E21-7))/LN((E21+Kelvin)/MAX(1,E21-7+Kelvin))</f>
        <v>284.63565431943726</v>
      </c>
      <c r="F43" s="389">
        <f t="shared" ref="F43:N43" si="9">(F21-(F21-7))/LN((F21+Kelvin)/MAX(1,F21-7+Kelvin))</f>
        <v>284.63565431943726</v>
      </c>
      <c r="G43" s="389">
        <f t="shared" si="9"/>
        <v>276.63523944466863</v>
      </c>
      <c r="H43" s="389">
        <f t="shared" si="9"/>
        <v>276.63523944466863</v>
      </c>
      <c r="I43" s="389">
        <f t="shared" si="9"/>
        <v>273.63507761200395</v>
      </c>
      <c r="J43" s="389">
        <f t="shared" si="9"/>
        <v>273.63507761200395</v>
      </c>
      <c r="K43" s="389">
        <f t="shared" si="9"/>
        <v>268.63479985792429</v>
      </c>
      <c r="L43" s="389">
        <f t="shared" si="9"/>
        <v>268.63479985792429</v>
      </c>
      <c r="M43" s="389">
        <f t="shared" si="9"/>
        <v>265.63462818608167</v>
      </c>
      <c r="N43" s="355">
        <f t="shared" si="9"/>
        <v>259.63427293970688</v>
      </c>
      <c r="O43" s="356"/>
      <c r="P43"/>
      <c r="Q43"/>
      <c r="R43"/>
    </row>
    <row r="44" spans="2:18" s="357" customFormat="1" x14ac:dyDescent="0.25">
      <c r="B44" s="354"/>
      <c r="C44" s="385" t="s">
        <v>379</v>
      </c>
      <c r="D44" s="389" t="s">
        <v>208</v>
      </c>
      <c r="E44" s="389">
        <f>(E29-E28)/LN((E29+Kelvin)/MAX(1,E28+Kelvin))</f>
        <v>329.46563114495677</v>
      </c>
      <c r="F44" s="389">
        <f t="shared" ref="F44:N44" si="10">(F29-F28)/LN((F29+Kelvin)/MAX(1,F28+Kelvin))</f>
        <v>324.29829111480382</v>
      </c>
      <c r="G44" s="389">
        <f t="shared" si="10"/>
        <v>329.46563114495677</v>
      </c>
      <c r="H44" s="389">
        <f t="shared" si="10"/>
        <v>324.29829111480382</v>
      </c>
      <c r="I44" s="389">
        <f t="shared" si="10"/>
        <v>329.46563114495677</v>
      </c>
      <c r="J44" s="389">
        <f t="shared" si="10"/>
        <v>324.29829111480382</v>
      </c>
      <c r="K44" s="389">
        <f t="shared" si="10"/>
        <v>329.46563114495677</v>
      </c>
      <c r="L44" s="389">
        <f t="shared" si="10"/>
        <v>324.29829111480382</v>
      </c>
      <c r="M44" s="389">
        <f t="shared" si="10"/>
        <v>326.88899486157476</v>
      </c>
      <c r="N44" s="355">
        <f t="shared" si="10"/>
        <v>326.88899486157476</v>
      </c>
      <c r="O44" s="356"/>
      <c r="P44"/>
      <c r="Q44"/>
      <c r="R44"/>
    </row>
    <row r="45" spans="2:18" ht="17.25" x14ac:dyDescent="0.25">
      <c r="B45" s="358"/>
      <c r="C45" s="359" t="s">
        <v>380</v>
      </c>
      <c r="D45" s="360" t="s">
        <v>213</v>
      </c>
      <c r="E45" s="360">
        <f>E41/E42</f>
        <v>0.43995782455742932</v>
      </c>
      <c r="F45" s="360">
        <f t="shared" ref="F45:N45" si="11">F41/F42</f>
        <v>0.42085000391846444</v>
      </c>
      <c r="G45" s="360">
        <f t="shared" si="11"/>
        <v>0.4652811913202668</v>
      </c>
      <c r="H45" s="360">
        <f>H41/H42</f>
        <v>0.45248537454002569</v>
      </c>
      <c r="I45" s="360">
        <f t="shared" si="11"/>
        <v>0.47298373123142978</v>
      </c>
      <c r="J45" s="360">
        <f t="shared" si="11"/>
        <v>0.46209664780196624</v>
      </c>
      <c r="K45" s="360">
        <f t="shared" si="11"/>
        <v>0.4743085325063231</v>
      </c>
      <c r="L45" s="360">
        <f t="shared" si="11"/>
        <v>0.46595223750062342</v>
      </c>
      <c r="M45" s="360">
        <f t="shared" si="11"/>
        <v>0.46959706972563314</v>
      </c>
      <c r="N45" s="361">
        <f t="shared" si="11"/>
        <v>0.47203676511061388</v>
      </c>
      <c r="O45" s="362"/>
    </row>
    <row r="46" spans="2:18" x14ac:dyDescent="0.25">
      <c r="B46" s="349" t="s">
        <v>385</v>
      </c>
      <c r="C46" s="387"/>
      <c r="D46" s="388"/>
      <c r="E46" s="388"/>
      <c r="F46" s="388"/>
      <c r="G46" s="388"/>
      <c r="H46" s="388"/>
      <c r="I46" s="388"/>
      <c r="J46" s="388"/>
      <c r="K46" s="388"/>
      <c r="L46" s="388"/>
      <c r="M46" s="388"/>
      <c r="N46" s="350"/>
      <c r="O46" s="362"/>
    </row>
    <row r="47" spans="2:18" ht="17.25" x14ac:dyDescent="0.25">
      <c r="B47" s="338"/>
      <c r="C47" s="323" t="s">
        <v>409</v>
      </c>
      <c r="D47" s="322" t="s">
        <v>206</v>
      </c>
      <c r="E47" s="322">
        <f>E31-E39</f>
        <v>6646.3917715279185</v>
      </c>
      <c r="F47" s="322">
        <f t="shared" ref="F47:N47" si="12">F31-F39</f>
        <v>7271.3023638894183</v>
      </c>
      <c r="G47" s="322">
        <f t="shared" si="12"/>
        <v>5778.8112186506769</v>
      </c>
      <c r="H47" s="322">
        <f t="shared" si="12"/>
        <v>6330.5642158317232</v>
      </c>
      <c r="I47" s="322">
        <f t="shared" si="12"/>
        <v>5495.0248994581234</v>
      </c>
      <c r="J47" s="322">
        <f t="shared" si="12"/>
        <v>6022.6618400664393</v>
      </c>
      <c r="K47" s="322">
        <f t="shared" si="12"/>
        <v>4929.6681090410821</v>
      </c>
      <c r="L47" s="322">
        <f t="shared" si="12"/>
        <v>5408.7134895783056</v>
      </c>
      <c r="M47" s="322">
        <f t="shared" si="12"/>
        <v>4824.9837794107925</v>
      </c>
      <c r="N47" s="342">
        <f t="shared" si="12"/>
        <v>3991.2380554796155</v>
      </c>
      <c r="O47" s="314"/>
    </row>
    <row r="48" spans="2:18" x14ac:dyDescent="0.25">
      <c r="B48" s="347"/>
      <c r="C48" s="7" t="s">
        <v>410</v>
      </c>
      <c r="D48" s="346" t="s">
        <v>206</v>
      </c>
      <c r="E48" s="363">
        <f t="shared" ref="E48:M48" si="13">E39+E24-E31</f>
        <v>282.5024929311312</v>
      </c>
      <c r="F48" s="363">
        <f t="shared" si="13"/>
        <v>279.79253877322117</v>
      </c>
      <c r="G48" s="363">
        <f t="shared" si="13"/>
        <v>284.26217007329251</v>
      </c>
      <c r="H48" s="363">
        <f t="shared" si="13"/>
        <v>282.37691456298853</v>
      </c>
      <c r="I48" s="363">
        <f t="shared" si="13"/>
        <v>285.29511265823567</v>
      </c>
      <c r="J48" s="363">
        <f t="shared" si="13"/>
        <v>283.66927473899159</v>
      </c>
      <c r="K48" s="363">
        <f t="shared" si="13"/>
        <v>288.2175842012266</v>
      </c>
      <c r="L48" s="363">
        <f t="shared" si="13"/>
        <v>287.10585871142393</v>
      </c>
      <c r="M48" s="363">
        <f t="shared" si="13"/>
        <v>289.85853526645769</v>
      </c>
      <c r="N48" s="364">
        <f>N39+N24-N31</f>
        <v>283.54967653625408</v>
      </c>
      <c r="O48" s="314"/>
    </row>
    <row r="49" spans="2:15" x14ac:dyDescent="0.25">
      <c r="B49" s="365" t="s">
        <v>386</v>
      </c>
      <c r="C49" s="387"/>
      <c r="D49" s="388"/>
      <c r="E49" s="388"/>
      <c r="F49" s="388"/>
      <c r="G49" s="388"/>
      <c r="H49" s="388"/>
      <c r="I49" s="388"/>
      <c r="J49" s="388"/>
      <c r="K49" s="388"/>
      <c r="L49" s="388"/>
      <c r="M49" s="388"/>
      <c r="N49" s="350"/>
      <c r="O49" s="314"/>
    </row>
    <row r="50" spans="2:15" ht="15.75" thickBot="1" x14ac:dyDescent="0.3">
      <c r="B50" s="33"/>
      <c r="C50" s="366"/>
      <c r="D50" s="366"/>
      <c r="E50" s="367">
        <f>'Systemberegning VP1'!B38</f>
        <v>19291131.580996808</v>
      </c>
      <c r="F50" s="368" t="s">
        <v>414</v>
      </c>
      <c r="G50" s="369" t="s">
        <v>387</v>
      </c>
      <c r="H50" s="21"/>
      <c r="I50" s="21"/>
      <c r="J50" s="21"/>
      <c r="K50" s="370"/>
      <c r="L50" s="21"/>
      <c r="M50" s="370"/>
      <c r="N50" s="371"/>
      <c r="O50" s="314"/>
    </row>
    <row r="51" spans="2:15" ht="18" thickBot="1" x14ac:dyDescent="0.3">
      <c r="B51" t="s">
        <v>400</v>
      </c>
    </row>
    <row r="52" spans="2:15" ht="18" thickBot="1" x14ac:dyDescent="0.3">
      <c r="B52" t="s">
        <v>401</v>
      </c>
      <c r="D52" s="372" t="s">
        <v>405</v>
      </c>
      <c r="E52" s="373"/>
      <c r="F52" s="374">
        <f>'Systemberegning VP1'!B24</f>
        <v>4567.7553140042655</v>
      </c>
      <c r="G52" s="375" t="s">
        <v>215</v>
      </c>
    </row>
    <row r="53" spans="2:15" ht="17.25" x14ac:dyDescent="0.25">
      <c r="B53" t="s">
        <v>402</v>
      </c>
    </row>
    <row r="54" spans="2:15" ht="17.25" x14ac:dyDescent="0.25">
      <c r="B54" t="s">
        <v>403</v>
      </c>
    </row>
    <row r="55" spans="2:15" ht="17.25" x14ac:dyDescent="0.25">
      <c r="B55" t="s">
        <v>404</v>
      </c>
    </row>
    <row r="57" spans="2:15" ht="15.75" thickBot="1" x14ac:dyDescent="0.3"/>
    <row r="58" spans="2:15" x14ac:dyDescent="0.25">
      <c r="C58" t="s">
        <v>416</v>
      </c>
      <c r="D58" s="394" t="s">
        <v>411</v>
      </c>
      <c r="E58" s="395">
        <v>3</v>
      </c>
    </row>
    <row r="59" spans="2:15" ht="15.75" thickBot="1" x14ac:dyDescent="0.3">
      <c r="D59" s="33" t="s">
        <v>414</v>
      </c>
      <c r="E59" s="297">
        <v>7.45</v>
      </c>
    </row>
  </sheetData>
  <sheetProtection algorithmName="SHA-512" hashValue="3KyKrIWrQg5Boe3ii8/T0rvDFQaLJ6JERYBliYtyrumMvMTiW5PN/1RO3tGQCN+FvEz1gt3Hm3edI8tuLvmlsg==" saltValue="eKZE8lxA8qEXboRt5QWLmg==" spinCount="100000" sheet="1" objects="1" scenarios="1"/>
  <protectedRanges>
    <protectedRange sqref="E25:F25" name="Område1_5_1"/>
    <protectedRange sqref="E26:F26" name="Område1_7_1"/>
    <protectedRange sqref="E24:N24" name="Område1_2_7"/>
    <protectedRange sqref="E23:N23" name="Område1_15"/>
    <protectedRange sqref="G25:H25" name="Område1_5_2"/>
    <protectedRange sqref="G26:H26" name="Område1_7_2"/>
    <protectedRange sqref="I25:N25" name="Område1_5_3"/>
    <protectedRange sqref="I26:N26" name="Område1_7_3"/>
    <protectedRange sqref="F33" name="Område1_4_3_3_1"/>
    <protectedRange sqref="E33" name="Område1_1_2_1"/>
    <protectedRange sqref="G33:H33" name="Område1_4_3_4_1"/>
    <protectedRange sqref="I33" name="Område1_9_2_1"/>
    <protectedRange sqref="J33" name="Område1_10_2_1"/>
    <protectedRange sqref="K33" name="Område1_11_2_1"/>
    <protectedRange sqref="L33" name="Område1_12_2_1"/>
    <protectedRange sqref="M33:N33" name="Område1_14_2_1"/>
    <protectedRange sqref="E36:N36" name="Område1_3_1_3_1"/>
  </protectedRanges>
  <mergeCells count="2">
    <mergeCell ref="B14:C14"/>
    <mergeCell ref="B12:C12"/>
  </mergeCells>
  <pageMargins left="0.7" right="0.7" top="0.75" bottom="0.75" header="0.3" footer="0.3"/>
  <pageSetup paperSize="9" scale="35" orientation="landscape" r:id="rId1"/>
  <colBreaks count="1" manualBreakCount="1">
    <brk id="15" max="1048575" man="1"/>
  </colBreaks>
  <ignoredErrors>
    <ignoredError sqref="E35:E36 E23:N23 E31 E33:N33 F35:N36 E38:N38 E24:N24 D12 D14 G31:N31"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638BD3-263C-41EA-868A-9A652BFAF400}">
  <sheetPr>
    <tabColor theme="8" tint="0.39997558519241921"/>
  </sheetPr>
  <dimension ref="A1:E6"/>
  <sheetViews>
    <sheetView workbookViewId="0"/>
  </sheetViews>
  <sheetFormatPr defaultRowHeight="15" x14ac:dyDescent="0.25"/>
  <cols>
    <col min="1" max="1" width="31.5703125" customWidth="1"/>
    <col min="3" max="5" width="10.140625" bestFit="1" customWidth="1"/>
  </cols>
  <sheetData>
    <row r="1" spans="1:5" x14ac:dyDescent="0.25">
      <c r="A1" t="s">
        <v>216</v>
      </c>
      <c r="B1">
        <v>40</v>
      </c>
      <c r="C1" s="1">
        <v>6000000</v>
      </c>
      <c r="D1" s="1">
        <v>6000000</v>
      </c>
    </row>
    <row r="2" spans="1:5" x14ac:dyDescent="0.25">
      <c r="A2" t="s">
        <v>217</v>
      </c>
      <c r="B2">
        <v>30</v>
      </c>
      <c r="C2" s="1">
        <v>3975000</v>
      </c>
      <c r="D2" s="1">
        <v>3975000</v>
      </c>
    </row>
    <row r="3" spans="1:5" x14ac:dyDescent="0.25">
      <c r="A3" t="s">
        <v>218</v>
      </c>
      <c r="B3">
        <v>25</v>
      </c>
      <c r="C3" s="1">
        <v>29886895</v>
      </c>
      <c r="D3" s="1">
        <v>29886895</v>
      </c>
    </row>
    <row r="4" spans="1:5" x14ac:dyDescent="0.25">
      <c r="A4" t="s">
        <v>219</v>
      </c>
      <c r="B4">
        <v>25</v>
      </c>
      <c r="C4" s="1">
        <v>3481920</v>
      </c>
      <c r="D4" s="1">
        <v>3481920</v>
      </c>
    </row>
    <row r="6" spans="1:5" x14ac:dyDescent="0.25">
      <c r="C6" s="1">
        <f>SUM(C1:C4)</f>
        <v>43343815</v>
      </c>
      <c r="D6" s="1">
        <f>SUM(D1:D4)</f>
        <v>43343815</v>
      </c>
      <c r="E6" s="1">
        <f>D6+C6</f>
        <v>86687630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1462C-1E53-4AB8-B7A9-468F518052BF}">
  <sheetPr codeName="Ark3">
    <tabColor theme="8" tint="0.39997558519241921"/>
  </sheetPr>
  <dimension ref="A1:AL570"/>
  <sheetViews>
    <sheetView zoomScale="54" zoomScaleNormal="70" workbookViewId="0">
      <selection activeCell="C14" sqref="C14"/>
    </sheetView>
  </sheetViews>
  <sheetFormatPr defaultRowHeight="15" x14ac:dyDescent="0.25"/>
  <cols>
    <col min="1" max="1" width="37.28515625" bestFit="1" customWidth="1"/>
    <col min="2" max="2" width="29.28515625" bestFit="1" customWidth="1"/>
    <col min="3" max="3" width="19.7109375" bestFit="1" customWidth="1"/>
    <col min="4" max="4" width="18.5703125" bestFit="1" customWidth="1"/>
    <col min="5" max="5" width="21.5703125" bestFit="1" customWidth="1"/>
    <col min="6" max="6" width="24.28515625" customWidth="1"/>
    <col min="7" max="7" width="23.42578125" customWidth="1"/>
    <col min="8" max="8" width="22.7109375" bestFit="1" customWidth="1"/>
    <col min="9" max="9" width="13.5703125" bestFit="1" customWidth="1"/>
    <col min="10" max="10" width="12.7109375" bestFit="1" customWidth="1"/>
    <col min="11" max="11" width="8.42578125" bestFit="1" customWidth="1"/>
    <col min="12" max="12" width="12.140625" customWidth="1"/>
    <col min="13" max="13" width="16.7109375" customWidth="1"/>
    <col min="14" max="14" width="15.7109375" bestFit="1" customWidth="1"/>
    <col min="16" max="16" width="13.42578125" bestFit="1" customWidth="1"/>
    <col min="17" max="17" width="18.7109375" bestFit="1" customWidth="1"/>
    <col min="18" max="18" width="18.5703125" bestFit="1" customWidth="1"/>
    <col min="19" max="19" width="18.5703125" customWidth="1"/>
    <col min="20" max="20" width="31.7109375" bestFit="1" customWidth="1"/>
    <col min="21" max="21" width="17.7109375" bestFit="1" customWidth="1"/>
    <col min="22" max="22" width="8.28515625" customWidth="1"/>
    <col min="23" max="23" width="7.85546875" customWidth="1"/>
    <col min="24" max="24" width="10.7109375" customWidth="1"/>
    <col min="25" max="25" width="13" bestFit="1" customWidth="1"/>
    <col min="26" max="26" width="14" bestFit="1" customWidth="1"/>
    <col min="27" max="27" width="18.7109375" bestFit="1" customWidth="1"/>
    <col min="28" max="28" width="18.5703125" bestFit="1" customWidth="1"/>
    <col min="29" max="29" width="18.5703125" customWidth="1"/>
    <col min="30" max="30" width="31.7109375" bestFit="1" customWidth="1"/>
    <col min="31" max="31" width="16.7109375" bestFit="1" customWidth="1"/>
    <col min="32" max="32" width="14.28515625" bestFit="1" customWidth="1"/>
    <col min="33" max="33" width="17.28515625" bestFit="1" customWidth="1"/>
    <col min="34" max="34" width="12.42578125" bestFit="1" customWidth="1"/>
    <col min="35" max="35" width="24.28515625" bestFit="1" customWidth="1"/>
    <col min="38" max="38" width="16.42578125" bestFit="1" customWidth="1"/>
  </cols>
  <sheetData>
    <row r="1" spans="1:38" ht="21.75" thickBot="1" x14ac:dyDescent="0.4">
      <c r="A1" s="405" t="s">
        <v>220</v>
      </c>
      <c r="B1" s="405"/>
      <c r="C1" s="405"/>
      <c r="D1" s="405"/>
      <c r="E1" s="405"/>
      <c r="F1" s="405"/>
      <c r="G1" s="405"/>
      <c r="H1" s="405"/>
      <c r="P1" s="406" t="s">
        <v>221</v>
      </c>
      <c r="Q1" s="406"/>
      <c r="R1" s="406"/>
      <c r="S1" s="406"/>
      <c r="T1" s="406"/>
      <c r="Y1" s="406" t="s">
        <v>222</v>
      </c>
      <c r="Z1" s="406"/>
      <c r="AA1" s="406"/>
      <c r="AB1" s="406"/>
      <c r="AC1" s="406"/>
      <c r="AD1" s="406"/>
    </row>
    <row r="2" spans="1:38" x14ac:dyDescent="0.25">
      <c r="A2" s="29" t="s">
        <v>223</v>
      </c>
      <c r="B2" s="30" t="s">
        <v>224</v>
      </c>
      <c r="C2" s="30" t="s">
        <v>225</v>
      </c>
      <c r="D2" s="30" t="s">
        <v>226</v>
      </c>
      <c r="E2" s="30" t="s">
        <v>227</v>
      </c>
      <c r="F2" s="30" t="s">
        <v>228</v>
      </c>
      <c r="G2" s="30" t="s">
        <v>229</v>
      </c>
      <c r="H2" s="31" t="s">
        <v>230</v>
      </c>
      <c r="P2" s="403" t="s">
        <v>231</v>
      </c>
      <c r="Q2" s="403"/>
      <c r="R2" s="403"/>
      <c r="S2" s="261"/>
      <c r="T2" s="42" t="s">
        <v>232</v>
      </c>
      <c r="Y2" s="403" t="s">
        <v>231</v>
      </c>
      <c r="Z2" s="403"/>
      <c r="AA2" s="403"/>
      <c r="AB2" s="403"/>
      <c r="AC2" s="261"/>
      <c r="AD2" s="42" t="s">
        <v>232</v>
      </c>
    </row>
    <row r="3" spans="1:38" ht="15.75" thickBot="1" x14ac:dyDescent="0.3">
      <c r="A3" s="32">
        <v>1</v>
      </c>
      <c r="B3" s="61" t="s">
        <v>233</v>
      </c>
      <c r="C3" s="125" t="s">
        <v>234</v>
      </c>
      <c r="D3" s="66">
        <v>0</v>
      </c>
      <c r="E3" s="125">
        <v>0</v>
      </c>
      <c r="F3" s="125"/>
      <c r="G3" s="125">
        <v>0</v>
      </c>
      <c r="H3" s="126">
        <f>SUM(E3:G3)</f>
        <v>0</v>
      </c>
      <c r="L3" s="61" t="s">
        <v>235</v>
      </c>
      <c r="M3" s="311" t="s">
        <v>236</v>
      </c>
      <c r="N3" s="311">
        <v>1</v>
      </c>
      <c r="P3" s="18" t="str">
        <f>P14</f>
        <v>Ingen sol</v>
      </c>
      <c r="Q3" s="18" t="str">
        <f>Q14</f>
        <v>Gas boiler</v>
      </c>
      <c r="R3" s="18" t="str">
        <f>R14</f>
        <v>Ikke i brug</v>
      </c>
      <c r="S3" s="18" t="str">
        <f>S14</f>
        <v>Ikke i brug</v>
      </c>
      <c r="Y3" s="299" t="str">
        <f>Y14</f>
        <v>Ingen sol</v>
      </c>
      <c r="Z3" s="299" t="str">
        <f>Z14</f>
        <v>Heat pump</v>
      </c>
      <c r="AA3" s="299" t="str">
        <f>AA14</f>
        <v>Gas boiler</v>
      </c>
      <c r="AB3" s="299" t="str">
        <f>AB14</f>
        <v>Ikke i brug</v>
      </c>
      <c r="AC3" s="77" t="str">
        <f>AC14</f>
        <v>Ikke i brug</v>
      </c>
      <c r="AD3" s="299"/>
    </row>
    <row r="4" spans="1:38" ht="15.75" thickBot="1" x14ac:dyDescent="0.3">
      <c r="A4" s="32">
        <v>2</v>
      </c>
      <c r="B4" s="14" t="s">
        <v>412</v>
      </c>
      <c r="C4" s="18" t="s">
        <v>234</v>
      </c>
      <c r="D4" s="18" t="s">
        <v>211</v>
      </c>
      <c r="E4" s="393">
        <f>'Driftsdata LUFT VP'!D14/(AVERAGE('Driftsdata LUFT VP'!E31:N31)/1000*6000*B17)</f>
        <v>1.7443613505690629</v>
      </c>
      <c r="F4" s="128">
        <f>Netselskaber!D7+Netselskaber!E7+Netselskaber!F7</f>
        <v>61.6</v>
      </c>
      <c r="G4" s="271">
        <f>Netselskaber!G7</f>
        <v>77.3</v>
      </c>
      <c r="H4" s="130" t="s">
        <v>234</v>
      </c>
      <c r="I4" s="17"/>
      <c r="M4" s="292" t="s">
        <v>237</v>
      </c>
      <c r="N4" s="291">
        <f>SUM(N16:N380)*24</f>
        <v>47656.313295636239</v>
      </c>
      <c r="O4" s="35" t="s">
        <v>122</v>
      </c>
      <c r="P4" s="48">
        <f>SUM(P16:P380)*24</f>
        <v>0</v>
      </c>
      <c r="Q4" s="148">
        <f>SUM(Q16:Q380)*24</f>
        <v>47656.313295636239</v>
      </c>
      <c r="R4" s="148">
        <f>SUM(R16:R380)*24</f>
        <v>0</v>
      </c>
      <c r="S4" s="148">
        <f>SUM(S16:S380)*24</f>
        <v>0</v>
      </c>
      <c r="T4" s="298">
        <f>SUM(P4:S4)</f>
        <v>47656.313295636239</v>
      </c>
      <c r="X4" s="35" t="s">
        <v>122</v>
      </c>
      <c r="Y4" s="49">
        <f>SUM(Y16:Y380)*24</f>
        <v>0</v>
      </c>
      <c r="Z4" s="147">
        <f>SUM(Z16:Z380)*24</f>
        <v>43272.256357740131</v>
      </c>
      <c r="AA4" s="147">
        <f>SUM(AA16:AA380)*24</f>
        <v>4384.0569378962246</v>
      </c>
      <c r="AB4" s="147">
        <f>SUM(AB16:AB380)*24</f>
        <v>0</v>
      </c>
      <c r="AC4" s="284">
        <f>SUM(AC16:AC380)*24</f>
        <v>0</v>
      </c>
      <c r="AD4" s="115">
        <f>SUM(Y4:AC4)</f>
        <v>47656.313295636355</v>
      </c>
    </row>
    <row r="5" spans="1:38" x14ac:dyDescent="0.25">
      <c r="A5" s="32">
        <v>3</v>
      </c>
      <c r="B5" s="14" t="s">
        <v>413</v>
      </c>
      <c r="C5" s="129">
        <v>50</v>
      </c>
      <c r="D5" s="263">
        <v>1</v>
      </c>
      <c r="E5" s="18">
        <v>0</v>
      </c>
      <c r="F5" s="18">
        <v>0</v>
      </c>
      <c r="G5" s="18">
        <v>0</v>
      </c>
      <c r="H5" s="270">
        <v>113</v>
      </c>
      <c r="I5" s="18">
        <v>750</v>
      </c>
      <c r="M5" s="13" t="str">
        <f>IF(ROUND(N4,0)=ROUND(T4,0),"OK","RET")</f>
        <v>OK</v>
      </c>
      <c r="O5" s="35" t="s">
        <v>238</v>
      </c>
      <c r="P5" s="34">
        <f>P4/$N$4</f>
        <v>0</v>
      </c>
      <c r="Q5" s="34">
        <f>Q4/$N$4</f>
        <v>1</v>
      </c>
      <c r="R5" s="34">
        <f>R4/$N$4</f>
        <v>0</v>
      </c>
      <c r="S5" s="34">
        <f>S4/$N$4</f>
        <v>0</v>
      </c>
      <c r="T5" s="47">
        <f>SUM(P5:S5)</f>
        <v>1</v>
      </c>
      <c r="X5" s="35" t="s">
        <v>238</v>
      </c>
      <c r="Y5" s="39">
        <f>Y4/$N$4</f>
        <v>0</v>
      </c>
      <c r="Z5" s="39">
        <f>Z4/$N$4</f>
        <v>0.90800679627272918</v>
      </c>
      <c r="AA5" s="39">
        <f>AA4/$N$4</f>
        <v>9.1993203727273237E-2</v>
      </c>
      <c r="AB5" s="39">
        <f>AB4/$N$4</f>
        <v>0</v>
      </c>
      <c r="AC5" s="39">
        <f>AC4/$N$4</f>
        <v>0</v>
      </c>
      <c r="AD5" s="43">
        <f>SUM(Y5:AC5)</f>
        <v>1.0000000000000024</v>
      </c>
      <c r="AG5" s="118"/>
    </row>
    <row r="6" spans="1:38" x14ac:dyDescent="0.25">
      <c r="A6" s="32">
        <v>4</v>
      </c>
      <c r="B6" s="14" t="s">
        <v>239</v>
      </c>
      <c r="C6" s="129">
        <v>0</v>
      </c>
      <c r="D6" s="156">
        <v>0</v>
      </c>
      <c r="E6" s="18">
        <v>0</v>
      </c>
      <c r="F6" s="18">
        <v>0</v>
      </c>
      <c r="G6" s="18">
        <v>0</v>
      </c>
      <c r="H6" s="130">
        <v>0</v>
      </c>
      <c r="I6">
        <v>1011.89</v>
      </c>
      <c r="M6" s="13" t="str">
        <f>IF(ROUND(N4,0)=ROUND(AD4,0),"OK","RET")</f>
        <v>OK</v>
      </c>
      <c r="P6" s="404" t="s">
        <v>240</v>
      </c>
      <c r="Q6" s="404"/>
      <c r="R6" s="404"/>
      <c r="S6" s="262"/>
      <c r="T6" s="46"/>
      <c r="Y6" s="404" t="s">
        <v>240</v>
      </c>
      <c r="Z6" s="404"/>
      <c r="AA6" s="404"/>
      <c r="AB6" s="404"/>
      <c r="AC6" s="264"/>
      <c r="AD6" s="44"/>
      <c r="AG6" t="s">
        <v>241</v>
      </c>
    </row>
    <row r="7" spans="1:38" x14ac:dyDescent="0.25">
      <c r="A7" s="32">
        <v>5</v>
      </c>
      <c r="B7" s="14" t="s">
        <v>239</v>
      </c>
      <c r="C7" s="129">
        <v>0</v>
      </c>
      <c r="D7" s="86">
        <v>0</v>
      </c>
      <c r="E7" s="18">
        <v>0</v>
      </c>
      <c r="F7" s="18">
        <v>0</v>
      </c>
      <c r="G7" s="18">
        <v>0</v>
      </c>
      <c r="H7" s="130">
        <v>0</v>
      </c>
      <c r="O7" t="s">
        <v>122</v>
      </c>
      <c r="P7" s="40">
        <f>SUM(P16:P380)*24*$H$3</f>
        <v>0</v>
      </c>
      <c r="Q7" s="40">
        <f>SUM(Q16:Q380)*24*$H$5</f>
        <v>5385163.4024068946</v>
      </c>
      <c r="R7" s="40">
        <f>SUM(R16:R380)*24*$H$6</f>
        <v>0</v>
      </c>
      <c r="S7" s="40">
        <f>SUM(S16:S380)*24*$H$7</f>
        <v>0</v>
      </c>
      <c r="T7" s="45">
        <f>SUM(P7:S7)</f>
        <v>5385163.4024068946</v>
      </c>
      <c r="U7" s="37">
        <f>SUM(T16:T380)</f>
        <v>5385163.4024068937</v>
      </c>
      <c r="V7" s="38"/>
      <c r="W7" s="38"/>
      <c r="X7" t="s">
        <v>122</v>
      </c>
      <c r="Y7" s="40">
        <f>SUM(Y16:Y380)*24*$H$3</f>
        <v>0</v>
      </c>
      <c r="Z7" s="40">
        <f>SUM(AF16:AF380)</f>
        <v>2061851.3811159043</v>
      </c>
      <c r="AA7" s="40">
        <f>SUM(AA16:AA380)*24*$H$5</f>
        <v>495398.43398227339</v>
      </c>
      <c r="AB7" s="6">
        <f>SUM(AB16:AB380)*24*$H$6</f>
        <v>0</v>
      </c>
      <c r="AC7" s="6">
        <f>SUM(AC16:AC380)*24*$H$7</f>
        <v>0</v>
      </c>
      <c r="AD7" s="45">
        <f>SUM(Y7:AC7)</f>
        <v>2557249.8150981776</v>
      </c>
      <c r="AE7" s="37">
        <f>SUM(AD16:AD380)</f>
        <v>2557249.8150981776</v>
      </c>
      <c r="AG7" s="119">
        <f>U7-AE7</f>
        <v>2827913.587308716</v>
      </c>
      <c r="AL7" s="149"/>
    </row>
    <row r="8" spans="1:38" x14ac:dyDescent="0.25">
      <c r="A8" s="32">
        <v>6</v>
      </c>
      <c r="B8" s="158" t="s">
        <v>211</v>
      </c>
      <c r="C8" s="129">
        <v>0</v>
      </c>
      <c r="D8" s="101"/>
      <c r="E8" s="18">
        <v>0</v>
      </c>
      <c r="F8" s="18">
        <v>0</v>
      </c>
      <c r="G8" s="18">
        <v>0</v>
      </c>
      <c r="H8" s="130">
        <v>0</v>
      </c>
      <c r="O8" t="s">
        <v>238</v>
      </c>
      <c r="P8" s="41">
        <f>P7/$T$7</f>
        <v>0</v>
      </c>
      <c r="Q8" s="41">
        <f>Q7/$T$7</f>
        <v>1</v>
      </c>
      <c r="R8" s="41">
        <f>R7/$T$7</f>
        <v>0</v>
      </c>
      <c r="S8" s="41">
        <f>S7/$T$7</f>
        <v>0</v>
      </c>
      <c r="T8" s="43">
        <f>SUM(P8:S8)</f>
        <v>1</v>
      </c>
      <c r="U8" s="27"/>
      <c r="V8" s="27"/>
      <c r="X8" t="s">
        <v>238</v>
      </c>
      <c r="Y8" s="41">
        <f>Y7/$AD$7</f>
        <v>0</v>
      </c>
      <c r="Z8" s="41">
        <f>Z7/$AD$7</f>
        <v>0.80627687171687057</v>
      </c>
      <c r="AA8" s="41">
        <f>AA7/$AD$7</f>
        <v>0.19372312828312946</v>
      </c>
      <c r="AB8" s="41">
        <f>AB7/$AD$7</f>
        <v>0</v>
      </c>
      <c r="AC8" s="41">
        <f>AC7/$AD$7</f>
        <v>0</v>
      </c>
      <c r="AD8" s="43">
        <f>SUM(Y8:AC8)</f>
        <v>1</v>
      </c>
      <c r="AE8" s="27"/>
      <c r="AL8" s="27"/>
    </row>
    <row r="9" spans="1:38" x14ac:dyDescent="0.25">
      <c r="A9" s="32">
        <v>7</v>
      </c>
      <c r="B9" s="158" t="s">
        <v>211</v>
      </c>
      <c r="C9" s="129">
        <v>0</v>
      </c>
      <c r="D9" s="101" t="s">
        <v>211</v>
      </c>
      <c r="E9" s="18">
        <v>0</v>
      </c>
      <c r="F9" s="18">
        <v>0</v>
      </c>
      <c r="G9" s="18">
        <v>0</v>
      </c>
      <c r="H9" s="130">
        <v>0</v>
      </c>
    </row>
    <row r="10" spans="1:38" ht="15.75" thickBot="1" x14ac:dyDescent="0.3">
      <c r="A10" s="33">
        <v>8</v>
      </c>
      <c r="B10" s="159" t="s">
        <v>211</v>
      </c>
      <c r="C10" s="132">
        <v>0</v>
      </c>
      <c r="D10" s="59" t="s">
        <v>211</v>
      </c>
      <c r="E10" s="59">
        <v>0</v>
      </c>
      <c r="F10" s="59">
        <v>0</v>
      </c>
      <c r="G10" s="59">
        <v>0</v>
      </c>
      <c r="H10" s="131">
        <v>0</v>
      </c>
    </row>
    <row r="11" spans="1:38" x14ac:dyDescent="0.25">
      <c r="D11" s="18"/>
      <c r="E11" s="18"/>
      <c r="F11" s="18"/>
      <c r="G11" s="18"/>
      <c r="H11" s="18"/>
    </row>
    <row r="12" spans="1:38" x14ac:dyDescent="0.25">
      <c r="A12" s="161" t="s">
        <v>242</v>
      </c>
      <c r="B12" s="252">
        <f>MAX(N16:N380)</f>
        <v>17.754300000000004</v>
      </c>
      <c r="C12" s="117" t="str">
        <f>IF(SUM(C5:C10)&gt;B12,"OK","RET")</f>
        <v>OK</v>
      </c>
    </row>
    <row r="13" spans="1:38" x14ac:dyDescent="0.25">
      <c r="M13" s="61" t="s">
        <v>235</v>
      </c>
    </row>
    <row r="14" spans="1:38" ht="30" x14ac:dyDescent="0.25">
      <c r="A14" s="8" t="s">
        <v>243</v>
      </c>
      <c r="B14" s="7"/>
      <c r="C14" s="7"/>
      <c r="K14" s="76" t="s">
        <v>244</v>
      </c>
      <c r="L14" s="76" t="s">
        <v>245</v>
      </c>
      <c r="M14" s="308" t="s">
        <v>246</v>
      </c>
      <c r="N14" s="134" t="s">
        <v>247</v>
      </c>
      <c r="P14" s="76" t="str">
        <f>B3</f>
        <v>Ingen sol</v>
      </c>
      <c r="Q14" s="76" t="str">
        <f>B5</f>
        <v>Gas boiler</v>
      </c>
      <c r="R14" s="76" t="str">
        <f>B6</f>
        <v>Ikke i brug</v>
      </c>
      <c r="S14" s="76" t="str">
        <f>B7</f>
        <v>Ikke i brug</v>
      </c>
      <c r="T14" s="146" t="s">
        <v>248</v>
      </c>
      <c r="V14" s="5"/>
      <c r="W14" s="5"/>
      <c r="Y14" s="76" t="str">
        <f>B3</f>
        <v>Ingen sol</v>
      </c>
      <c r="Z14" s="76" t="str">
        <f>B4</f>
        <v>Heat pump</v>
      </c>
      <c r="AA14" s="76" t="str">
        <f>B5</f>
        <v>Gas boiler</v>
      </c>
      <c r="AB14" s="76" t="str">
        <f>B6</f>
        <v>Ikke i brug</v>
      </c>
      <c r="AC14" s="76" t="s">
        <v>239</v>
      </c>
      <c r="AD14" s="76" t="s">
        <v>248</v>
      </c>
      <c r="AF14" t="s">
        <v>249</v>
      </c>
      <c r="AG14" t="s">
        <v>250</v>
      </c>
      <c r="AH14" t="s">
        <v>251</v>
      </c>
      <c r="AI14" t="s">
        <v>252</v>
      </c>
    </row>
    <row r="15" spans="1:38" ht="15.75" thickBot="1" x14ac:dyDescent="0.3">
      <c r="A15" t="s">
        <v>253</v>
      </c>
      <c r="B15">
        <v>15</v>
      </c>
      <c r="C15" s="117" t="str" cm="1">
        <f t="array" ref="C15">IF(B15=INDEX(A42:A56,COUNT(A42:A56)),"OK","RET")</f>
        <v>OK</v>
      </c>
      <c r="D15" s="116"/>
      <c r="J15" t="s">
        <v>254</v>
      </c>
      <c r="K15" s="7"/>
      <c r="L15" s="7"/>
      <c r="M15" s="309" t="s">
        <v>255</v>
      </c>
      <c r="N15" s="143" t="s">
        <v>255</v>
      </c>
      <c r="O15" s="7"/>
      <c r="P15" s="143" t="s">
        <v>256</v>
      </c>
      <c r="Q15" s="143" t="s">
        <v>257</v>
      </c>
      <c r="R15" s="143" t="s">
        <v>257</v>
      </c>
      <c r="S15" s="143" t="s">
        <v>257</v>
      </c>
      <c r="T15" s="144" t="s">
        <v>258</v>
      </c>
      <c r="V15" s="287" t="s">
        <v>259</v>
      </c>
      <c r="W15" s="287" t="s">
        <v>260</v>
      </c>
      <c r="X15" s="288" t="s">
        <v>261</v>
      </c>
      <c r="Y15" s="143" t="s">
        <v>255</v>
      </c>
      <c r="Z15" s="143" t="s">
        <v>257</v>
      </c>
      <c r="AA15" s="143" t="s">
        <v>257</v>
      </c>
      <c r="AB15" s="143" t="s">
        <v>257</v>
      </c>
      <c r="AC15" s="143" t="s">
        <v>257</v>
      </c>
      <c r="AD15" s="144" t="s">
        <v>258</v>
      </c>
      <c r="AF15" s="143" t="s">
        <v>258</v>
      </c>
      <c r="AG15" s="143" t="s">
        <v>262</v>
      </c>
      <c r="AH15" s="143" t="s">
        <v>263</v>
      </c>
      <c r="AI15" s="143" t="s">
        <v>257</v>
      </c>
    </row>
    <row r="16" spans="1:38" x14ac:dyDescent="0.25">
      <c r="A16" t="s">
        <v>264</v>
      </c>
      <c r="B16" s="274">
        <v>3.5000000000000003E-2</v>
      </c>
      <c r="C16" t="s">
        <v>265</v>
      </c>
      <c r="E16" s="294" t="s">
        <v>266</v>
      </c>
      <c r="F16" s="295" t="s">
        <v>267</v>
      </c>
      <c r="J16" s="13"/>
      <c r="K16">
        <v>1</v>
      </c>
      <c r="L16">
        <v>1</v>
      </c>
      <c r="M16" s="310">
        <v>0.64518749999999991</v>
      </c>
      <c r="N16" s="15">
        <v>8.5435318181818172</v>
      </c>
      <c r="P16" s="15">
        <f>MAX(0,MIN('Potentiel produktion'!C3*$D$3,N16))</f>
        <v>0</v>
      </c>
      <c r="Q16" s="15">
        <f>MAX(0,MIN($C$5*$D$5,N16-SUM(P16)))</f>
        <v>8.5435318181818172</v>
      </c>
      <c r="R16" s="15">
        <v>0</v>
      </c>
      <c r="S16" s="15">
        <v>0</v>
      </c>
      <c r="T16" s="160">
        <f>(P16*$H$3+Q16*$H$5+R16*$H$6+S16*$H$7)*24</f>
        <v>23170.058290909088</v>
      </c>
      <c r="U16" s="15"/>
      <c r="V16" s="289">
        <f>'Varmepumpeberegning VP1'!W4</f>
        <v>2.9902597151633996</v>
      </c>
      <c r="W16" s="289">
        <f>'Varmepumpeberegning VP1'!X4</f>
        <v>9.0968473264176914</v>
      </c>
      <c r="X16" s="289">
        <f>($G$4+$F$4)/V16+$E$4</f>
        <v>48.195176072664189</v>
      </c>
      <c r="Y16" s="15">
        <f>MAX(0,MIN('Potentiel produktion'!C3*$D$3,N16))</f>
        <v>0</v>
      </c>
      <c r="Z16" s="15">
        <f>IF(X16&lt;=$H$5,MAX(0,MIN(W16,N16-SUM(Y16))),MAX(0,MIN(W16,N16-Y16-30)))</f>
        <v>8.5435318181818172</v>
      </c>
      <c r="AA16" s="16">
        <f>MAX(0,MIN($C$5*$D$5,N16-SUM(Y16:Z16)))</f>
        <v>0</v>
      </c>
      <c r="AB16" s="16">
        <v>0</v>
      </c>
      <c r="AC16" s="16">
        <v>0</v>
      </c>
      <c r="AD16" s="145">
        <f>(Y16*$H$3+Z16*'Varmepumpeberegning VP1'!Z4+AA16*$H$5+AB16*$H$6+AC16*$H$7)*24</f>
        <v>9882.1684862323564</v>
      </c>
      <c r="AF16" s="16">
        <f>Z16*'Varmepumpeberegning VP1'!Z4*24</f>
        <v>9882.1684862323564</v>
      </c>
      <c r="AG16" s="20">
        <f>(Z16/'Varmepumpeberegning VP1'!W4)*24</f>
        <v>68.570887871911538</v>
      </c>
      <c r="AH16" s="17">
        <f>AF16/Z16/24</f>
        <v>48.195176072664196</v>
      </c>
      <c r="AI16" s="15">
        <f>'Varmepumpeberegning VP1'!X4-'Systemberegning VP1'!Z16</f>
        <v>0.55331550823587428</v>
      </c>
    </row>
    <row r="17" spans="1:35" x14ac:dyDescent="0.25">
      <c r="A17" t="s">
        <v>268</v>
      </c>
      <c r="B17">
        <v>10</v>
      </c>
      <c r="C17" t="s">
        <v>269</v>
      </c>
      <c r="E17" s="32"/>
      <c r="F17" s="296" t="s">
        <v>270</v>
      </c>
      <c r="J17" s="13"/>
      <c r="K17">
        <v>1</v>
      </c>
      <c r="L17">
        <v>2</v>
      </c>
      <c r="M17" s="310">
        <v>0.81380000000000008</v>
      </c>
      <c r="N17" s="15">
        <v>7.0591625000000002</v>
      </c>
      <c r="P17" s="15">
        <f>MAX(0,MIN('Potentiel produktion'!C4*$D$3,N17))</f>
        <v>0</v>
      </c>
      <c r="Q17" s="15">
        <f t="shared" ref="Q17:Q80" si="0">MAX(0,MIN($C$5*$D$5,N17-SUM(P17)))</f>
        <v>7.0591625000000002</v>
      </c>
      <c r="R17" s="15">
        <v>0</v>
      </c>
      <c r="S17" s="15">
        <v>0</v>
      </c>
      <c r="T17" s="160">
        <f t="shared" ref="T17:T80" si="1">(P17*$H$3+Q17*$H$5+R17*$H$6+S17*$H$7)*24</f>
        <v>19144.448700000001</v>
      </c>
      <c r="U17" s="15"/>
      <c r="V17" s="289">
        <f>'Varmepumpeberegning VP1'!W5</f>
        <v>3.0756133144315161</v>
      </c>
      <c r="W17" s="289">
        <f>'Varmepumpeberegning VP1'!X5</f>
        <v>9.3066898143930423</v>
      </c>
      <c r="X17" s="289">
        <f t="shared" ref="X17:X80" si="2">($G$4+$F$4)/V17+$E$4</f>
        <v>46.906085468567859</v>
      </c>
      <c r="Y17" s="15">
        <f>MAX(0,MIN('Potentiel produktion'!C4*$D$3,N17))</f>
        <v>0</v>
      </c>
      <c r="Z17" s="15">
        <f>IF(X17&lt;=$H$5,MAX(0,MIN(W17,N17-SUM(Y17))),MAX(0,MIN(W17,N17-Y17-30)))</f>
        <v>7.0591625000000002</v>
      </c>
      <c r="AA17" s="16">
        <f t="shared" ref="AA17:AA80" si="3">MAX(0,MIN($C$5*$D$5,N17-SUM(Y17:Z17)))</f>
        <v>0</v>
      </c>
      <c r="AB17" s="16">
        <v>0</v>
      </c>
      <c r="AC17" s="16">
        <v>0</v>
      </c>
      <c r="AD17" s="145">
        <f>(Y17*$H$3+Z17*'Varmepumpeberegning VP1'!Z5+AA17*$H$5+AB17*$H$6+AC17*$H$7)*24</f>
        <v>7946.8243094762202</v>
      </c>
      <c r="AF17" s="16">
        <f>Z17*'Varmepumpeberegning VP1'!Z5*24</f>
        <v>7946.8243094762202</v>
      </c>
      <c r="AG17" s="20">
        <f>(Z17/'Varmepumpeberegning VP1'!W5)*24</f>
        <v>55.084915650820335</v>
      </c>
      <c r="AH17" s="17">
        <f>AF17/Z17/24</f>
        <v>46.906085468567859</v>
      </c>
      <c r="AI17" s="15">
        <f>'Varmepumpeberegning VP1'!X5-'Systemberegning VP1'!Z17</f>
        <v>2.2475273143930421</v>
      </c>
    </row>
    <row r="18" spans="1:35" x14ac:dyDescent="0.25">
      <c r="A18" t="s">
        <v>271</v>
      </c>
      <c r="B18" s="157">
        <v>0</v>
      </c>
      <c r="C18" t="s">
        <v>201</v>
      </c>
      <c r="E18" s="32"/>
      <c r="F18" s="296" t="s">
        <v>272</v>
      </c>
      <c r="J18" s="13"/>
      <c r="K18">
        <v>1</v>
      </c>
      <c r="L18">
        <v>3</v>
      </c>
      <c r="M18" s="310">
        <v>0.96781249999999985</v>
      </c>
      <c r="N18" s="15">
        <v>7.3092749999999986</v>
      </c>
      <c r="P18" s="15">
        <f>MAX(0,MIN('Potentiel produktion'!C5*$D$3,N18))</f>
        <v>0</v>
      </c>
      <c r="Q18" s="15">
        <f t="shared" si="0"/>
        <v>7.3092749999999986</v>
      </c>
      <c r="R18" s="15">
        <v>0</v>
      </c>
      <c r="S18" s="15">
        <v>0</v>
      </c>
      <c r="T18" s="160">
        <f t="shared" si="1"/>
        <v>19822.753799999995</v>
      </c>
      <c r="U18" s="15"/>
      <c r="V18" s="289">
        <f>'Varmepumpeberegning VP1'!W6</f>
        <v>3.0756133144315161</v>
      </c>
      <c r="W18" s="289">
        <f>'Varmepumpeberegning VP1'!X6</f>
        <v>9.3066898143930423</v>
      </c>
      <c r="X18" s="289">
        <f t="shared" si="2"/>
        <v>46.906085468567859</v>
      </c>
      <c r="Y18" s="15">
        <f>MAX(0,MIN('Potentiel produktion'!C5*$D$3,N18))</f>
        <v>0</v>
      </c>
      <c r="Z18" s="15">
        <f t="shared" ref="Z18:Z80" si="4">IF(X18&lt;=$H$5,MAX(0,MIN(W18,N18-SUM(Y18))),MAX(0,MIN(W18,N18-Y18-30)))</f>
        <v>7.3092749999999986</v>
      </c>
      <c r="AA18" s="16">
        <f t="shared" si="3"/>
        <v>0</v>
      </c>
      <c r="AB18" s="16">
        <v>0</v>
      </c>
      <c r="AC18" s="16">
        <v>0</v>
      </c>
      <c r="AD18" s="145">
        <f>(Y18*$H$3+Z18*'Varmepumpeberegning VP1'!Z6+AA18*$H$5+AB18*$H$6+AC18*$H$7)*24</f>
        <v>8228.3874687183907</v>
      </c>
      <c r="AF18" s="16">
        <f>Z18*'Varmepumpeberegning VP1'!Z6*24</f>
        <v>8228.3874687183907</v>
      </c>
      <c r="AG18" s="20">
        <f>(Z18/'Varmepumpeberegning VP1'!W6)*24</f>
        <v>57.036623939971584</v>
      </c>
      <c r="AH18" s="17">
        <f>AF18/Z18/24</f>
        <v>46.906085468567859</v>
      </c>
      <c r="AI18" s="15">
        <f>'Varmepumpeberegning VP1'!X6-'Systemberegning VP1'!Z18</f>
        <v>1.9974148143930437</v>
      </c>
    </row>
    <row r="19" spans="1:35" x14ac:dyDescent="0.25">
      <c r="A19" t="s">
        <v>273</v>
      </c>
      <c r="B19" s="27"/>
      <c r="C19" t="s">
        <v>274</v>
      </c>
      <c r="E19" s="32"/>
      <c r="F19" s="296" t="s">
        <v>275</v>
      </c>
      <c r="J19" s="13"/>
      <c r="K19">
        <v>1</v>
      </c>
      <c r="L19">
        <v>4</v>
      </c>
      <c r="M19" s="310">
        <v>0.74046249999999969</v>
      </c>
      <c r="N19" s="15">
        <v>10.433979166666669</v>
      </c>
      <c r="P19" s="15">
        <f>MAX(0,MIN('Potentiel produktion'!C6*$D$3,N19))</f>
        <v>0</v>
      </c>
      <c r="Q19" s="15">
        <f t="shared" si="0"/>
        <v>10.433979166666669</v>
      </c>
      <c r="R19" s="15">
        <v>0</v>
      </c>
      <c r="S19" s="15">
        <v>0</v>
      </c>
      <c r="T19" s="160">
        <f t="shared" si="1"/>
        <v>28296.95150000001</v>
      </c>
      <c r="U19" s="15"/>
      <c r="V19" s="289">
        <f>'Varmepumpeberegning VP1'!W7</f>
        <v>2.9129328437623547</v>
      </c>
      <c r="W19" s="289">
        <f>'Varmepumpeberegning VP1'!X7</f>
        <v>8.9194883596172705</v>
      </c>
      <c r="X19" s="289">
        <f t="shared" si="2"/>
        <v>49.428261889997998</v>
      </c>
      <c r="Y19" s="15">
        <f>MAX(0,MIN('Potentiel produktion'!C6*$D$3,N19))</f>
        <v>0</v>
      </c>
      <c r="Z19" s="15">
        <f t="shared" si="4"/>
        <v>8.9194883596172705</v>
      </c>
      <c r="AA19" s="16">
        <f t="shared" si="3"/>
        <v>1.5144908070493983</v>
      </c>
      <c r="AB19" s="16">
        <v>0</v>
      </c>
      <c r="AC19" s="16">
        <v>0</v>
      </c>
      <c r="AD19" s="145">
        <f>(Y19*$H$3+Z19*'Varmepumpeberegning VP1'!Z7+AA19*$H$5+AB19*$H$6+AC19*$H$7)*24</f>
        <v>14688.294426252796</v>
      </c>
      <c r="AF19" s="16">
        <f>Z19*'Varmepumpeberegning VP1'!Z7*24</f>
        <v>10580.995357534826</v>
      </c>
      <c r="AG19" s="20">
        <f>(Z19/'Varmepumpeberegning VP1'!W7)*24</f>
        <v>73.488724976688388</v>
      </c>
      <c r="AH19" s="17">
        <f>AF19/Z19/24</f>
        <v>49.428261889997998</v>
      </c>
      <c r="AI19" s="15">
        <f>'Varmepumpeberegning VP1'!X7-'Systemberegning VP1'!Z19</f>
        <v>0</v>
      </c>
    </row>
    <row r="20" spans="1:35" x14ac:dyDescent="0.25">
      <c r="E20" s="32"/>
      <c r="F20" s="296" t="s">
        <v>276</v>
      </c>
      <c r="J20" s="13"/>
      <c r="K20">
        <v>1</v>
      </c>
      <c r="L20">
        <v>5</v>
      </c>
      <c r="M20" s="310">
        <v>0.79483749999999986</v>
      </c>
      <c r="N20" s="15">
        <v>10.673533333333332</v>
      </c>
      <c r="P20" s="15">
        <f>MAX(0,MIN('Potentiel produktion'!C7*$D$3,N20))</f>
        <v>0</v>
      </c>
      <c r="Q20" s="15">
        <f t="shared" si="0"/>
        <v>10.673533333333332</v>
      </c>
      <c r="R20" s="15">
        <v>0</v>
      </c>
      <c r="S20" s="15">
        <v>0</v>
      </c>
      <c r="T20" s="160">
        <f t="shared" si="1"/>
        <v>28946.622399999993</v>
      </c>
      <c r="U20" s="15"/>
      <c r="V20" s="289">
        <f>'Varmepumpeberegning VP1'!W8</f>
        <v>2.9129328437623547</v>
      </c>
      <c r="W20" s="289">
        <f>'Varmepumpeberegning VP1'!X8</f>
        <v>8.9194883596172705</v>
      </c>
      <c r="X20" s="289">
        <f t="shared" si="2"/>
        <v>49.428261889997998</v>
      </c>
      <c r="Y20" s="15">
        <f>MAX(0,MIN('Potentiel produktion'!C7*$D$3,N20))</f>
        <v>0</v>
      </c>
      <c r="Z20" s="15">
        <f t="shared" si="4"/>
        <v>8.9194883596172705</v>
      </c>
      <c r="AA20" s="16">
        <f t="shared" si="3"/>
        <v>1.7540449737160611</v>
      </c>
      <c r="AB20" s="16">
        <v>0</v>
      </c>
      <c r="AC20" s="16">
        <v>0</v>
      </c>
      <c r="AD20" s="145">
        <f>(Y20*$H$3+Z20*'Varmepumpeberegning VP1'!Z8+AA20*$H$5+AB20*$H$6+AC20*$H$7)*24</f>
        <v>15337.965326252783</v>
      </c>
      <c r="AF20" s="16">
        <f>Z20*'Varmepumpeberegning VP1'!Z8*24</f>
        <v>10580.995357534826</v>
      </c>
      <c r="AG20" s="20">
        <f>(Z20/'Varmepumpeberegning VP1'!W8)*24</f>
        <v>73.488724976688388</v>
      </c>
      <c r="AH20" s="17">
        <f>AF20/Z20/24</f>
        <v>49.428261889997998</v>
      </c>
      <c r="AI20" s="15">
        <f>'Varmepumpeberegning VP1'!X8-'Systemberegning VP1'!Z20</f>
        <v>0</v>
      </c>
    </row>
    <row r="21" spans="1:35" ht="16.5" customHeight="1" thickBot="1" x14ac:dyDescent="0.4">
      <c r="E21" s="33"/>
      <c r="F21" s="297" t="s">
        <v>277</v>
      </c>
      <c r="G21" s="58"/>
      <c r="H21" s="58"/>
      <c r="J21" s="13"/>
      <c r="K21">
        <v>1</v>
      </c>
      <c r="L21">
        <v>6</v>
      </c>
      <c r="M21" s="310">
        <v>0.69523749999999984</v>
      </c>
      <c r="N21" s="15">
        <v>13.308554166666665</v>
      </c>
      <c r="P21" s="15">
        <f>MAX(0,MIN('Potentiel produktion'!C8*$D$3,N21))</f>
        <v>0</v>
      </c>
      <c r="Q21" s="15">
        <f t="shared" si="0"/>
        <v>13.308554166666665</v>
      </c>
      <c r="R21" s="15">
        <v>0</v>
      </c>
      <c r="S21" s="15">
        <v>0</v>
      </c>
      <c r="T21" s="160">
        <f t="shared" si="1"/>
        <v>36092.798899999994</v>
      </c>
      <c r="U21" s="15"/>
      <c r="V21" s="289">
        <f>'Varmepumpeberegning VP1'!W9</f>
        <v>2.7801824984496553</v>
      </c>
      <c r="W21" s="289">
        <f>'Varmepumpeberegning VP1'!X9</f>
        <v>8.6254633211387688</v>
      </c>
      <c r="X21" s="289">
        <f t="shared" si="2"/>
        <v>51.705110358037601</v>
      </c>
      <c r="Y21" s="15">
        <f>MAX(0,MIN('Potentiel produktion'!C8*$D$3,N21))</f>
        <v>0</v>
      </c>
      <c r="Z21" s="15">
        <f t="shared" si="4"/>
        <v>8.6254633211387688</v>
      </c>
      <c r="AA21" s="16">
        <f t="shared" si="3"/>
        <v>4.6830908455278966</v>
      </c>
      <c r="AB21" s="16">
        <v>0</v>
      </c>
      <c r="AC21" s="16">
        <v>0</v>
      </c>
      <c r="AD21" s="145">
        <f>(Y21*$H$3+Z21*'Varmepumpeberegning VP1'!Z9+AA21*$H$5+AB21*$H$6+AC21*$H$7)*24</f>
        <v>23404.075162880112</v>
      </c>
      <c r="AF21" s="16">
        <f>Z21*'Varmepumpeberegning VP1'!Z9*24</f>
        <v>10703.532789808454</v>
      </c>
      <c r="AG21" s="20">
        <f>(Z21/'Varmepumpeberegning VP1'!W9)*24</f>
        <v>74.459543509380566</v>
      </c>
      <c r="AH21" s="17">
        <f t="shared" ref="AH21:AH84" si="5">AF21/Z21/24</f>
        <v>51.705110358037608</v>
      </c>
      <c r="AI21" s="15">
        <f>'Varmepumpeberegning VP1'!X9-'Systemberegning VP1'!Z21</f>
        <v>0</v>
      </c>
    </row>
    <row r="22" spans="1:35" x14ac:dyDescent="0.25">
      <c r="E22" t="s">
        <v>414</v>
      </c>
      <c r="F22">
        <v>7.45</v>
      </c>
      <c r="J22" s="13"/>
      <c r="K22">
        <v>1</v>
      </c>
      <c r="L22">
        <v>7</v>
      </c>
      <c r="M22" s="310">
        <v>0.58707500000000024</v>
      </c>
      <c r="N22" s="15">
        <v>14.971316666666665</v>
      </c>
      <c r="P22" s="15">
        <f>MAX(0,MIN('Potentiel produktion'!C9*$D$3,N22))</f>
        <v>0</v>
      </c>
      <c r="Q22" s="15">
        <f t="shared" si="0"/>
        <v>14.971316666666665</v>
      </c>
      <c r="R22" s="15">
        <v>0</v>
      </c>
      <c r="S22" s="15">
        <v>0</v>
      </c>
      <c r="T22" s="160">
        <f t="shared" si="1"/>
        <v>40602.210800000001</v>
      </c>
      <c r="U22" s="15"/>
      <c r="V22" s="289">
        <f>'Varmepumpeberegning VP1'!W10</f>
        <v>2.6875605808333574</v>
      </c>
      <c r="W22" s="289">
        <f>'Varmepumpeberegning VP1'!X10</f>
        <v>8.4201177660604785</v>
      </c>
      <c r="X22" s="289">
        <f t="shared" si="2"/>
        <v>53.426917267849994</v>
      </c>
      <c r="Y22" s="15">
        <f>MAX(0,MIN('Potentiel produktion'!C9*$D$3,N22))</f>
        <v>0</v>
      </c>
      <c r="Z22" s="15">
        <f t="shared" si="4"/>
        <v>8.4201177660604785</v>
      </c>
      <c r="AA22" s="16">
        <f t="shared" si="3"/>
        <v>6.5511989006061864</v>
      </c>
      <c r="AB22" s="16">
        <v>0</v>
      </c>
      <c r="AC22" s="16">
        <v>0</v>
      </c>
      <c r="AD22" s="145">
        <f>(Y22*$H$3+Z22*'Varmepumpeberegning VP1'!Z10+AA22*$H$5+AB22*$H$6+AC22*$H$7)*24</f>
        <v>28563.51386499279</v>
      </c>
      <c r="AF22" s="16">
        <f>Z22*'Varmepumpeberegning VP1'!Z10*24</f>
        <v>10796.662446548809</v>
      </c>
      <c r="AG22" s="20">
        <f>(Z22/'Varmepumpeberegning VP1'!W10)*24</f>
        <v>75.191914863846435</v>
      </c>
      <c r="AH22" s="17">
        <f t="shared" si="5"/>
        <v>53.426917267849994</v>
      </c>
      <c r="AI22" s="15">
        <f>'Varmepumpeberegning VP1'!X10-'Systemberegning VP1'!Z22</f>
        <v>0</v>
      </c>
    </row>
    <row r="23" spans="1:35" ht="23.25" x14ac:dyDescent="0.35">
      <c r="A23" s="402" t="s">
        <v>278</v>
      </c>
      <c r="B23" s="402"/>
      <c r="C23" s="402"/>
      <c r="D23" s="142"/>
      <c r="E23" s="58"/>
      <c r="J23" s="13"/>
      <c r="K23">
        <v>1</v>
      </c>
      <c r="L23">
        <v>8</v>
      </c>
      <c r="M23" s="310">
        <v>0.64518749999999991</v>
      </c>
      <c r="N23" s="15">
        <v>15.823820833333334</v>
      </c>
      <c r="P23" s="15">
        <f>MAX(0,MIN('Potentiel produktion'!C10*$D$3,N23))</f>
        <v>0</v>
      </c>
      <c r="Q23" s="15">
        <f t="shared" si="0"/>
        <v>15.823820833333334</v>
      </c>
      <c r="R23" s="15">
        <v>0</v>
      </c>
      <c r="S23" s="15">
        <v>0</v>
      </c>
      <c r="T23" s="160">
        <f t="shared" si="1"/>
        <v>42914.202100000002</v>
      </c>
      <c r="U23" s="15"/>
      <c r="V23" s="289">
        <f>'Varmepumpeberegning VP1'!W11</f>
        <v>2.6419229479701314</v>
      </c>
      <c r="W23" s="289">
        <f>'Varmepumpeberegning VP1'!X11</f>
        <v>8.3174449885213342</v>
      </c>
      <c r="X23" s="289">
        <f t="shared" si="2"/>
        <v>54.319702394001482</v>
      </c>
      <c r="Y23" s="15">
        <f>MAX(0,MIN('Potentiel produktion'!C10*$D$3,N23))</f>
        <v>0</v>
      </c>
      <c r="Z23" s="15">
        <f t="shared" si="4"/>
        <v>8.3174449885213342</v>
      </c>
      <c r="AA23" s="16">
        <f t="shared" si="3"/>
        <v>7.5063758448120002</v>
      </c>
      <c r="AB23" s="16">
        <v>0</v>
      </c>
      <c r="AC23" s="16">
        <v>0</v>
      </c>
      <c r="AD23" s="145">
        <f>(Y23*$H$3+Z23*'Varmepumpeberegning VP1'!Z11+AA23*$H$5+AB23*$H$6+AC23*$H$7)*24</f>
        <v>31200.518566049137</v>
      </c>
      <c r="AF23" s="16">
        <f>Z23*'Varmepumpeberegning VP1'!Z11*24</f>
        <v>10843.227274918991</v>
      </c>
      <c r="AG23" s="20">
        <f>(Z23/'Varmepumpeberegning VP1'!W11)*24</f>
        <v>75.558100541079384</v>
      </c>
      <c r="AH23" s="17">
        <f t="shared" si="5"/>
        <v>54.319702394001474</v>
      </c>
      <c r="AI23" s="15">
        <f>'Varmepumpeberegning VP1'!X11-'Systemberegning VP1'!Z23</f>
        <v>0</v>
      </c>
    </row>
    <row r="24" spans="1:35" x14ac:dyDescent="0.25">
      <c r="A24" t="s">
        <v>279</v>
      </c>
      <c r="B24" s="1">
        <f>Z4/(SUM('Varmepumpeberegning VP1'!X4:X368)*24)*8760</f>
        <v>4567.7553140042655</v>
      </c>
      <c r="C24" t="s">
        <v>215</v>
      </c>
      <c r="D24" s="27"/>
      <c r="E24" s="150"/>
      <c r="J24" s="13"/>
      <c r="K24">
        <v>1</v>
      </c>
      <c r="L24">
        <v>9</v>
      </c>
      <c r="M24" s="310">
        <v>0.62298750000000014</v>
      </c>
      <c r="N24" s="15">
        <v>17.606345833333332</v>
      </c>
      <c r="P24" s="15">
        <f>MAX(0,MIN('Potentiel produktion'!C11*$D$3,N24))</f>
        <v>0</v>
      </c>
      <c r="Q24" s="15">
        <f t="shared" si="0"/>
        <v>17.606345833333332</v>
      </c>
      <c r="R24" s="15">
        <v>0</v>
      </c>
      <c r="S24" s="15">
        <v>0</v>
      </c>
      <c r="T24" s="160">
        <f t="shared" si="1"/>
        <v>47748.409899999999</v>
      </c>
      <c r="U24" s="15"/>
      <c r="V24" s="289">
        <f>'Varmepumpeberegning VP1'!W12</f>
        <v>2.5060436087076292</v>
      </c>
      <c r="W24" s="289">
        <f>'Varmepumpeberegning VP1'!X12</f>
        <v>8.028731500601431</v>
      </c>
      <c r="X24" s="289">
        <f t="shared" si="2"/>
        <v>57.170372102086262</v>
      </c>
      <c r="Y24" s="15">
        <f>MAX(0,MIN('Potentiel produktion'!C11*$D$3,N24))</f>
        <v>0</v>
      </c>
      <c r="Z24" s="15">
        <f t="shared" si="4"/>
        <v>8.028731500601431</v>
      </c>
      <c r="AA24" s="16">
        <f t="shared" si="3"/>
        <v>9.5776143327319012</v>
      </c>
      <c r="AB24" s="16">
        <v>0</v>
      </c>
      <c r="AC24" s="16">
        <v>0</v>
      </c>
      <c r="AD24" s="145">
        <f>(Y24*$H$3+Z24*'Varmepumpeberegning VP1'!Z12+AA24*$H$5+AB24*$H$6+AC24*$H$7)*24</f>
        <v>36990.623687899919</v>
      </c>
      <c r="AF24" s="16">
        <f>Z24*'Varmepumpeberegning VP1'!Z12*24</f>
        <v>11016.133617531006</v>
      </c>
      <c r="AG24" s="20">
        <f>(Z24/'Varmepumpeberegning VP1'!W12)*24</f>
        <v>76.889945308575321</v>
      </c>
      <c r="AH24" s="17">
        <f t="shared" si="5"/>
        <v>57.170372102086269</v>
      </c>
      <c r="AI24" s="15">
        <f>'Varmepumpeberegning VP1'!X12-'Systemberegning VP1'!Z24</f>
        <v>0</v>
      </c>
    </row>
    <row r="25" spans="1:35" x14ac:dyDescent="0.25">
      <c r="A25" t="s">
        <v>280</v>
      </c>
      <c r="B25" s="1">
        <f>Z7/Z4</f>
        <v>47.64834456678615</v>
      </c>
      <c r="C25" t="s">
        <v>281</v>
      </c>
      <c r="J25" s="13"/>
      <c r="K25">
        <v>1</v>
      </c>
      <c r="L25">
        <v>10</v>
      </c>
      <c r="M25" s="310">
        <v>0.5818249999999997</v>
      </c>
      <c r="N25" s="15">
        <v>17.754300000000004</v>
      </c>
      <c r="P25" s="15">
        <f>MAX(0,MIN('Potentiel produktion'!C12*$D$3,N25))</f>
        <v>0</v>
      </c>
      <c r="Q25" s="15">
        <f t="shared" si="0"/>
        <v>17.754300000000004</v>
      </c>
      <c r="R25" s="15">
        <v>0</v>
      </c>
      <c r="S25" s="15">
        <v>0</v>
      </c>
      <c r="T25" s="160">
        <f t="shared" si="1"/>
        <v>48149.661600000014</v>
      </c>
      <c r="U25" s="15"/>
      <c r="V25" s="289">
        <f>'Varmepumpeberegning VP1'!W13</f>
        <v>2.5060436087076292</v>
      </c>
      <c r="W25" s="289">
        <f>'Varmepumpeberegning VP1'!X13</f>
        <v>8.028731500601431</v>
      </c>
      <c r="X25" s="289">
        <f t="shared" si="2"/>
        <v>57.170372102086262</v>
      </c>
      <c r="Y25" s="15">
        <f>MAX(0,MIN('Potentiel produktion'!C12*$D$3,N25))</f>
        <v>0</v>
      </c>
      <c r="Z25" s="15">
        <f t="shared" si="4"/>
        <v>8.028731500601431</v>
      </c>
      <c r="AA25" s="16">
        <f t="shared" si="3"/>
        <v>9.7255684993985732</v>
      </c>
      <c r="AB25" s="16">
        <v>0</v>
      </c>
      <c r="AC25" s="16">
        <v>0</v>
      </c>
      <c r="AD25" s="145">
        <f>(Y25*$H$3+Z25*'Varmepumpeberegning VP1'!Z13+AA25*$H$5+AB25*$H$6+AC25*$H$7)*24</f>
        <v>37391.875387899941</v>
      </c>
      <c r="AF25" s="16">
        <f>Z25*'Varmepumpeberegning VP1'!Z13*24</f>
        <v>11016.133617531006</v>
      </c>
      <c r="AG25" s="20">
        <f>(Z25/'Varmepumpeberegning VP1'!W13)*24</f>
        <v>76.889945308575321</v>
      </c>
      <c r="AH25" s="17">
        <f t="shared" si="5"/>
        <v>57.170372102086269</v>
      </c>
      <c r="AI25" s="15">
        <f>'Varmepumpeberegning VP1'!X13-'Systemberegning VP1'!Z25</f>
        <v>0</v>
      </c>
    </row>
    <row r="26" spans="1:35" x14ac:dyDescent="0.25">
      <c r="A26" t="s">
        <v>250</v>
      </c>
      <c r="B26" s="1">
        <f>SUM(AG16:AG380)</f>
        <v>14300.712235950608</v>
      </c>
      <c r="C26" t="s">
        <v>282</v>
      </c>
      <c r="J26" s="13"/>
      <c r="K26">
        <v>1</v>
      </c>
      <c r="L26">
        <v>11</v>
      </c>
      <c r="M26" s="310">
        <v>0.56722499999999976</v>
      </c>
      <c r="N26" s="15">
        <v>15.665295833333333</v>
      </c>
      <c r="P26" s="15">
        <f>MAX(0,MIN('Potentiel produktion'!C13*$D$3,N26))</f>
        <v>0</v>
      </c>
      <c r="Q26" s="15">
        <f t="shared" si="0"/>
        <v>15.665295833333333</v>
      </c>
      <c r="R26" s="15">
        <v>0</v>
      </c>
      <c r="S26" s="15">
        <v>0</v>
      </c>
      <c r="T26" s="160">
        <f t="shared" si="1"/>
        <v>42484.282300000006</v>
      </c>
      <c r="V26" s="289">
        <f>'Varmepumpeberegning VP1'!W14</f>
        <v>2.6419229479701314</v>
      </c>
      <c r="W26" s="289">
        <f>'Varmepumpeberegning VP1'!X14</f>
        <v>8.3174449885213342</v>
      </c>
      <c r="X26" s="289">
        <f t="shared" si="2"/>
        <v>54.319702394001482</v>
      </c>
      <c r="Y26" s="15">
        <f>MAX(0,MIN('Potentiel produktion'!C13*$D$3,N26))</f>
        <v>0</v>
      </c>
      <c r="Z26" s="15">
        <f t="shared" si="4"/>
        <v>8.3174449885213342</v>
      </c>
      <c r="AA26" s="16">
        <f t="shared" si="3"/>
        <v>7.3478508448119992</v>
      </c>
      <c r="AB26" s="16">
        <v>0</v>
      </c>
      <c r="AC26" s="16">
        <v>0</v>
      </c>
      <c r="AD26" s="145">
        <f>(Y26*$H$3+Z26*'Varmepumpeberegning VP1'!Z14+AA26*$H$5+AB26*$H$6+AC26*$H$7)*24</f>
        <v>30770.59876604913</v>
      </c>
      <c r="AF26" s="16">
        <f>Z26*'Varmepumpeberegning VP1'!Z14*24</f>
        <v>10843.227274918991</v>
      </c>
      <c r="AG26" s="20">
        <f>(Z26/'Varmepumpeberegning VP1'!W14)*24</f>
        <v>75.558100541079384</v>
      </c>
      <c r="AH26" s="17">
        <f t="shared" si="5"/>
        <v>54.319702394001474</v>
      </c>
      <c r="AI26" s="15">
        <f>'Varmepumpeberegning VP1'!X14-'Systemberegning VP1'!Z26</f>
        <v>0</v>
      </c>
    </row>
    <row r="27" spans="1:35" x14ac:dyDescent="0.25">
      <c r="A27" t="s">
        <v>283</v>
      </c>
      <c r="B27" s="36">
        <f>AD7/N4</f>
        <v>53.660252718968465</v>
      </c>
      <c r="C27" t="s">
        <v>281</v>
      </c>
      <c r="J27" s="13"/>
      <c r="K27">
        <v>1</v>
      </c>
      <c r="L27">
        <v>12</v>
      </c>
      <c r="M27" s="310">
        <v>0.60874999999999979</v>
      </c>
      <c r="N27" s="15">
        <v>12.047412500000002</v>
      </c>
      <c r="P27" s="15">
        <f>MAX(0,MIN('Potentiel produktion'!C14*$D$3,N27))</f>
        <v>0</v>
      </c>
      <c r="Q27" s="15">
        <f t="shared" si="0"/>
        <v>12.047412500000002</v>
      </c>
      <c r="R27" s="15">
        <v>0</v>
      </c>
      <c r="S27" s="15">
        <v>0</v>
      </c>
      <c r="T27" s="160">
        <f t="shared" si="1"/>
        <v>32672.582700000006</v>
      </c>
      <c r="V27" s="289">
        <f>'Varmepumpeberegning VP1'!W15</f>
        <v>2.8271800941026166</v>
      </c>
      <c r="W27" s="289">
        <f>'Varmepumpeberegning VP1'!X15</f>
        <v>8.7281360986779148</v>
      </c>
      <c r="X27" s="289">
        <f t="shared" si="2"/>
        <v>50.874588423736348</v>
      </c>
      <c r="Y27" s="15">
        <f>MAX(0,MIN('Potentiel produktion'!C14*$D$3,N27))</f>
        <v>0</v>
      </c>
      <c r="Z27" s="15">
        <f t="shared" si="4"/>
        <v>8.7281360986779148</v>
      </c>
      <c r="AA27" s="16">
        <f t="shared" si="3"/>
        <v>3.319276401322087</v>
      </c>
      <c r="AB27" s="16">
        <v>0</v>
      </c>
      <c r="AC27" s="16">
        <v>0</v>
      </c>
      <c r="AD27" s="145">
        <f>(Y27*$H$3+Z27*'Varmepumpeberegning VP1'!Z15+AA27*$H$5+AB27*$H$6+AC27*$H$7)*24</f>
        <v>19658.845561823771</v>
      </c>
      <c r="AF27" s="16">
        <f>Z27*'Varmepumpeberegning VP1'!Z15*24</f>
        <v>10656.967961438275</v>
      </c>
      <c r="AG27" s="20">
        <f>(Z27/'Varmepumpeberegning VP1'!W15)*24</f>
        <v>74.093357832147632</v>
      </c>
      <c r="AH27" s="17">
        <f t="shared" si="5"/>
        <v>50.874588423736348</v>
      </c>
      <c r="AI27" s="15">
        <f>'Varmepumpeberegning VP1'!X15-'Systemberegning VP1'!Z27</f>
        <v>0</v>
      </c>
    </row>
    <row r="28" spans="1:35" x14ac:dyDescent="0.25">
      <c r="J28" s="13"/>
      <c r="K28">
        <v>1</v>
      </c>
      <c r="L28">
        <v>13</v>
      </c>
      <c r="M28" s="310">
        <v>0.70835000000000026</v>
      </c>
      <c r="N28" s="15">
        <v>11.2195625</v>
      </c>
      <c r="P28" s="15">
        <f>MAX(0,MIN('Potentiel produktion'!C15*$D$3,N28))</f>
        <v>0</v>
      </c>
      <c r="Q28" s="15">
        <f t="shared" si="0"/>
        <v>11.2195625</v>
      </c>
      <c r="R28" s="15">
        <v>0</v>
      </c>
      <c r="S28" s="15">
        <v>0</v>
      </c>
      <c r="T28" s="160">
        <f t="shared" si="1"/>
        <v>30427.453500000003</v>
      </c>
      <c r="V28" s="289">
        <f>'Varmepumpeberegning VP1'!W16</f>
        <v>2.8746445419591673</v>
      </c>
      <c r="W28" s="289">
        <f>'Varmepumpeberegning VP1'!X16</f>
        <v>8.8308088762170591</v>
      </c>
      <c r="X28" s="289">
        <f t="shared" si="2"/>
        <v>50.063378875196641</v>
      </c>
      <c r="Y28" s="15">
        <f>MAX(0,MIN('Potentiel produktion'!C15*$D$3,N28))</f>
        <v>0</v>
      </c>
      <c r="Z28" s="15">
        <f t="shared" si="4"/>
        <v>8.8308088762170591</v>
      </c>
      <c r="AA28" s="16">
        <f t="shared" si="3"/>
        <v>2.3887536237829412</v>
      </c>
      <c r="AB28" s="16">
        <v>0</v>
      </c>
      <c r="AC28" s="16">
        <v>0</v>
      </c>
      <c r="AD28" s="145">
        <f>(Y28*$H$3+Z28*'Varmepumpeberegning VP1'!Z16+AA28*$H$5+AB28*$H$6+AC28*$H$7)*24</f>
        <v>17088.702960767434</v>
      </c>
      <c r="AF28" s="16">
        <f>Z28*'Varmepumpeberegning VP1'!Z16*24</f>
        <v>10610.403133068099</v>
      </c>
      <c r="AG28" s="20">
        <f>(Z28/'Varmepumpeberegning VP1'!W16)*24</f>
        <v>73.727172154914697</v>
      </c>
      <c r="AH28" s="17">
        <f t="shared" si="5"/>
        <v>50.063378875196641</v>
      </c>
      <c r="AI28" s="15">
        <f>'Varmepumpeberegning VP1'!X16-'Systemberegning VP1'!Z28</f>
        <v>0</v>
      </c>
    </row>
    <row r="29" spans="1:35" x14ac:dyDescent="0.25">
      <c r="G29" s="118"/>
      <c r="J29" s="13"/>
      <c r="K29">
        <v>1</v>
      </c>
      <c r="L29">
        <v>14</v>
      </c>
      <c r="M29" s="310">
        <v>0.71707500000000002</v>
      </c>
      <c r="N29" s="15">
        <v>11.631725000000001</v>
      </c>
      <c r="P29" s="15">
        <f>MAX(0,MIN('Potentiel produktion'!C16*$D$3,N29))</f>
        <v>0</v>
      </c>
      <c r="Q29" s="15">
        <f t="shared" si="0"/>
        <v>11.631725000000001</v>
      </c>
      <c r="R29" s="15">
        <v>0</v>
      </c>
      <c r="S29" s="15">
        <v>0</v>
      </c>
      <c r="T29" s="160">
        <f t="shared" si="1"/>
        <v>31545.2382</v>
      </c>
      <c r="V29" s="289">
        <f>'Varmepumpeberegning VP1'!W17</f>
        <v>2.8746445419591673</v>
      </c>
      <c r="W29" s="289">
        <f>'Varmepumpeberegning VP1'!X17</f>
        <v>8.8308088762170591</v>
      </c>
      <c r="X29" s="289">
        <f t="shared" si="2"/>
        <v>50.063378875196641</v>
      </c>
      <c r="Y29" s="15">
        <f>MAX(0,MIN('Potentiel produktion'!C16*$D$3,N29))</f>
        <v>0</v>
      </c>
      <c r="Z29" s="15">
        <f t="shared" si="4"/>
        <v>8.8308088762170591</v>
      </c>
      <c r="AA29" s="16">
        <f t="shared" si="3"/>
        <v>2.8009161237829421</v>
      </c>
      <c r="AB29" s="16">
        <v>0</v>
      </c>
      <c r="AC29" s="16">
        <v>0</v>
      </c>
      <c r="AD29" s="145">
        <f>(Y29*$H$3+Z29*'Varmepumpeberegning VP1'!Z17+AA29*$H$5+AB29*$H$6+AC29*$H$7)*24</f>
        <v>18206.487660767438</v>
      </c>
      <c r="AF29" s="16">
        <f>Z29*'Varmepumpeberegning VP1'!Z17*24</f>
        <v>10610.403133068099</v>
      </c>
      <c r="AG29" s="20">
        <f>(Z29/'Varmepumpeberegning VP1'!W17)*24</f>
        <v>73.727172154914697</v>
      </c>
      <c r="AH29" s="17">
        <f t="shared" si="5"/>
        <v>50.063378875196641</v>
      </c>
      <c r="AI29" s="15">
        <f>'Varmepumpeberegning VP1'!X17-'Systemberegning VP1'!Z29</f>
        <v>0</v>
      </c>
    </row>
    <row r="30" spans="1:35" x14ac:dyDescent="0.25">
      <c r="A30" s="28" t="s">
        <v>284</v>
      </c>
      <c r="B30" s="136">
        <f>'Driftsdata LUFT VP'!D16+B18-B19</f>
        <v>13279111.183646858</v>
      </c>
      <c r="C30" t="s">
        <v>201</v>
      </c>
      <c r="J30" s="13"/>
      <c r="K30">
        <v>1</v>
      </c>
      <c r="L30">
        <v>15</v>
      </c>
      <c r="M30" s="310">
        <v>0.72334999999999994</v>
      </c>
      <c r="N30" s="15">
        <v>12.7836625</v>
      </c>
      <c r="P30" s="15">
        <f>MAX(0,MIN('Potentiel produktion'!C17*$D$3,N30))</f>
        <v>0</v>
      </c>
      <c r="Q30" s="15">
        <f t="shared" si="0"/>
        <v>12.7836625</v>
      </c>
      <c r="R30" s="15">
        <v>0</v>
      </c>
      <c r="S30" s="15">
        <v>0</v>
      </c>
      <c r="T30" s="160">
        <f t="shared" si="1"/>
        <v>34669.292699999998</v>
      </c>
      <c r="V30" s="289">
        <f>'Varmepumpeberegning VP1'!W18</f>
        <v>2.7801824984496553</v>
      </c>
      <c r="W30" s="289">
        <f>'Varmepumpeberegning VP1'!X18</f>
        <v>8.6254633211387688</v>
      </c>
      <c r="X30" s="289">
        <f t="shared" si="2"/>
        <v>51.705110358037601</v>
      </c>
      <c r="Y30" s="15">
        <f>MAX(0,MIN('Potentiel produktion'!C17*$D$3,N30))</f>
        <v>0</v>
      </c>
      <c r="Z30" s="15">
        <f t="shared" si="4"/>
        <v>8.6254633211387688</v>
      </c>
      <c r="AA30" s="16">
        <f t="shared" si="3"/>
        <v>4.1581991788612314</v>
      </c>
      <c r="AB30" s="16">
        <v>0</v>
      </c>
      <c r="AC30" s="16">
        <v>0</v>
      </c>
      <c r="AD30" s="145">
        <f>(Y30*$H$3+Z30*'Varmepumpeberegning VP1'!Z18+AA30*$H$5+AB30*$H$6+AC30*$H$7)*24</f>
        <v>21980.568962880112</v>
      </c>
      <c r="AF30" s="16">
        <f>Z30*'Varmepumpeberegning VP1'!Z18*24</f>
        <v>10703.532789808454</v>
      </c>
      <c r="AG30" s="20">
        <f>(Z30/'Varmepumpeberegning VP1'!W18)*24</f>
        <v>74.459543509380566</v>
      </c>
      <c r="AH30" s="17">
        <f t="shared" si="5"/>
        <v>51.705110358037608</v>
      </c>
      <c r="AI30" s="15">
        <f>'Varmepumpeberegning VP1'!X18-'Systemberegning VP1'!Z30</f>
        <v>0</v>
      </c>
    </row>
    <row r="31" spans="1:35" x14ac:dyDescent="0.25">
      <c r="A31" s="53" t="s">
        <v>285</v>
      </c>
      <c r="B31" s="54">
        <f>PMT(B16,B15,-B30)</f>
        <v>1152959.7496394026</v>
      </c>
      <c r="C31" t="s">
        <v>201</v>
      </c>
      <c r="J31" s="13"/>
      <c r="K31">
        <v>1</v>
      </c>
      <c r="L31">
        <v>16</v>
      </c>
      <c r="M31" s="310">
        <v>0.63795000000000013</v>
      </c>
      <c r="N31" s="15">
        <v>13.886291666666665</v>
      </c>
      <c r="P31" s="15">
        <f>MAX(0,MIN('Potentiel produktion'!C18*$D$3,N31))</f>
        <v>0</v>
      </c>
      <c r="Q31" s="15">
        <f t="shared" si="0"/>
        <v>13.886291666666665</v>
      </c>
      <c r="R31" s="15">
        <v>0</v>
      </c>
      <c r="S31" s="15">
        <v>0</v>
      </c>
      <c r="T31" s="160">
        <f t="shared" si="1"/>
        <v>37659.622999999992</v>
      </c>
      <c r="V31" s="289">
        <f>'Varmepumpeberegning VP1'!W19</f>
        <v>2.7336449008903867</v>
      </c>
      <c r="W31" s="289">
        <f>'Varmepumpeberegning VP1'!X19</f>
        <v>8.5227905435996245</v>
      </c>
      <c r="X31" s="289">
        <f t="shared" si="2"/>
        <v>52.555642638331904</v>
      </c>
      <c r="Y31" s="15">
        <f>MAX(0,MIN('Potentiel produktion'!C18*$D$3,N31))</f>
        <v>0</v>
      </c>
      <c r="Z31" s="15">
        <f t="shared" si="4"/>
        <v>8.5227905435996245</v>
      </c>
      <c r="AA31" s="16">
        <f t="shared" si="3"/>
        <v>5.3635011230670404</v>
      </c>
      <c r="AB31" s="16">
        <v>0</v>
      </c>
      <c r="AC31" s="16">
        <v>0</v>
      </c>
      <c r="AD31" s="145">
        <f>(Y31*$H$3+Z31*'Varmepumpeberegning VP1'!Z19+AA31*$H$5+AB31*$H$6+AC31*$H$7)*24</f>
        <v>25295.912663936448</v>
      </c>
      <c r="AF31" s="16">
        <f>Z31*'Varmepumpeberegning VP1'!Z19*24</f>
        <v>10750.097618178632</v>
      </c>
      <c r="AG31" s="20">
        <f>(Z31/'Varmepumpeberegning VP1'!W19)*24</f>
        <v>74.825729186613501</v>
      </c>
      <c r="AH31" s="17">
        <f t="shared" si="5"/>
        <v>52.555642638331896</v>
      </c>
      <c r="AI31" s="15">
        <f>'Varmepumpeberegning VP1'!X19-'Systemberegning VP1'!Z31</f>
        <v>0</v>
      </c>
    </row>
    <row r="32" spans="1:35" x14ac:dyDescent="0.25">
      <c r="A32" s="53" t="s">
        <v>286</v>
      </c>
      <c r="B32" s="54">
        <f>T7</f>
        <v>5385163.4024068946</v>
      </c>
      <c r="C32" t="s">
        <v>287</v>
      </c>
      <c r="J32" s="13"/>
      <c r="K32">
        <v>1</v>
      </c>
      <c r="L32">
        <v>17</v>
      </c>
      <c r="M32" s="310">
        <v>0.66024999999999967</v>
      </c>
      <c r="N32" s="15">
        <v>15.175637500000008</v>
      </c>
      <c r="P32" s="15">
        <f>MAX(0,MIN('Potentiel produktion'!C19*$D$3,N32))</f>
        <v>0</v>
      </c>
      <c r="Q32" s="15">
        <f t="shared" si="0"/>
        <v>15.175637500000008</v>
      </c>
      <c r="R32" s="15">
        <v>0</v>
      </c>
      <c r="S32" s="15">
        <v>0</v>
      </c>
      <c r="T32" s="160">
        <f t="shared" si="1"/>
        <v>41156.328900000022</v>
      </c>
      <c r="V32" s="289">
        <f>'Varmepumpeberegning VP1'!W20</f>
        <v>2.6419229479701314</v>
      </c>
      <c r="W32" s="289">
        <f>'Varmepumpeberegning VP1'!X20</f>
        <v>8.3174449885213342</v>
      </c>
      <c r="X32" s="289">
        <f t="shared" si="2"/>
        <v>54.319702394001482</v>
      </c>
      <c r="Y32" s="15">
        <f>MAX(0,MIN('Potentiel produktion'!C19*$D$3,N32))</f>
        <v>0</v>
      </c>
      <c r="Z32" s="15">
        <f t="shared" si="4"/>
        <v>8.3174449885213342</v>
      </c>
      <c r="AA32" s="16">
        <f t="shared" si="3"/>
        <v>6.8581925114786735</v>
      </c>
      <c r="AB32" s="16">
        <v>0</v>
      </c>
      <c r="AC32" s="16">
        <v>0</v>
      </c>
      <c r="AD32" s="145">
        <f>(Y32*$H$3+Z32*'Varmepumpeberegning VP1'!Z20+AA32*$H$5+AB32*$H$6+AC32*$H$7)*24</f>
        <v>29442.64536604915</v>
      </c>
      <c r="AF32" s="16">
        <f>Z32*'Varmepumpeberegning VP1'!Z20*24</f>
        <v>10843.227274918991</v>
      </c>
      <c r="AG32" s="20">
        <f>(Z32/'Varmepumpeberegning VP1'!W20)*24</f>
        <v>75.558100541079384</v>
      </c>
      <c r="AH32" s="17">
        <f t="shared" si="5"/>
        <v>54.319702394001474</v>
      </c>
      <c r="AI32" s="15">
        <f>'Varmepumpeberegning VP1'!X20-'Systemberegning VP1'!Z32</f>
        <v>0</v>
      </c>
    </row>
    <row r="33" spans="1:35" x14ac:dyDescent="0.25">
      <c r="A33" s="55" t="s">
        <v>288</v>
      </c>
      <c r="B33" s="57">
        <f>AD7</f>
        <v>2557249.8150981776</v>
      </c>
      <c r="C33" t="s">
        <v>287</v>
      </c>
      <c r="J33" s="13"/>
      <c r="K33">
        <v>1</v>
      </c>
      <c r="L33">
        <v>18</v>
      </c>
      <c r="M33" s="310">
        <v>0.63778750000000028</v>
      </c>
      <c r="N33" s="15">
        <v>15.140395833333331</v>
      </c>
      <c r="P33" s="15">
        <f>MAX(0,MIN('Potentiel produktion'!C20*$D$3,N33))</f>
        <v>0</v>
      </c>
      <c r="Q33" s="15">
        <f t="shared" si="0"/>
        <v>15.140395833333331</v>
      </c>
      <c r="R33" s="15">
        <v>0</v>
      </c>
      <c r="S33" s="15">
        <v>0</v>
      </c>
      <c r="T33" s="160">
        <f t="shared" si="1"/>
        <v>41060.753499999992</v>
      </c>
      <c r="V33" s="289">
        <f>'Varmepumpeberegning VP1'!W21</f>
        <v>2.6419229479701314</v>
      </c>
      <c r="W33" s="289">
        <f>'Varmepumpeberegning VP1'!X21</f>
        <v>8.3174449885213342</v>
      </c>
      <c r="X33" s="289">
        <f t="shared" si="2"/>
        <v>54.319702394001482</v>
      </c>
      <c r="Y33" s="15">
        <f>MAX(0,MIN('Potentiel produktion'!C20*$D$3,N33))</f>
        <v>0</v>
      </c>
      <c r="Z33" s="15">
        <f t="shared" si="4"/>
        <v>8.3174449885213342</v>
      </c>
      <c r="AA33" s="16">
        <f t="shared" si="3"/>
        <v>6.8229508448119969</v>
      </c>
      <c r="AB33" s="16">
        <v>0</v>
      </c>
      <c r="AC33" s="16">
        <v>0</v>
      </c>
      <c r="AD33" s="145">
        <f>(Y33*$H$3+Z33*'Varmepumpeberegning VP1'!Z21+AA33*$H$5+AB33*$H$6+AC33*$H$7)*24</f>
        <v>29347.069966049123</v>
      </c>
      <c r="AF33" s="16">
        <f>Z33*'Varmepumpeberegning VP1'!Z21*24</f>
        <v>10843.227274918991</v>
      </c>
      <c r="AG33" s="20">
        <f>(Z33/'Varmepumpeberegning VP1'!W21)*24</f>
        <v>75.558100541079384</v>
      </c>
      <c r="AH33" s="17">
        <f t="shared" si="5"/>
        <v>54.319702394001474</v>
      </c>
      <c r="AI33" s="15">
        <f>'Varmepumpeberegning VP1'!X21-'Systemberegning VP1'!Z33</f>
        <v>0</v>
      </c>
    </row>
    <row r="34" spans="1:35" x14ac:dyDescent="0.25">
      <c r="A34" s="53" t="s">
        <v>289</v>
      </c>
      <c r="B34" s="54">
        <f>B32-B33</f>
        <v>2827913.587308717</v>
      </c>
      <c r="C34" t="s">
        <v>287</v>
      </c>
      <c r="D34" s="13" t="str">
        <f>IF(ROUND(B34,0)=ROUND(AG7,0),"OK","RET")</f>
        <v>OK</v>
      </c>
      <c r="J34" s="13"/>
      <c r="K34">
        <v>1</v>
      </c>
      <c r="L34">
        <v>19</v>
      </c>
      <c r="M34" s="310">
        <v>0.65449999999999986</v>
      </c>
      <c r="N34" s="15">
        <v>13.121854166666667</v>
      </c>
      <c r="P34" s="15">
        <f>MAX(0,MIN('Potentiel produktion'!C21*$D$3,N34))</f>
        <v>0</v>
      </c>
      <c r="Q34" s="15">
        <f t="shared" si="0"/>
        <v>13.121854166666667</v>
      </c>
      <c r="R34" s="15">
        <v>0</v>
      </c>
      <c r="S34" s="15">
        <v>0</v>
      </c>
      <c r="T34" s="160">
        <f t="shared" si="1"/>
        <v>35586.468500000003</v>
      </c>
      <c r="V34" s="289">
        <f>'Varmepumpeberegning VP1'!W22</f>
        <v>2.7801824984496553</v>
      </c>
      <c r="W34" s="289">
        <f>'Varmepumpeberegning VP1'!X22</f>
        <v>8.6254633211387688</v>
      </c>
      <c r="X34" s="289">
        <f t="shared" si="2"/>
        <v>51.705110358037601</v>
      </c>
      <c r="Y34" s="15">
        <f>MAX(0,MIN('Potentiel produktion'!C21*$D$3,N34))</f>
        <v>0</v>
      </c>
      <c r="Z34" s="15">
        <f t="shared" si="4"/>
        <v>8.6254633211387688</v>
      </c>
      <c r="AA34" s="16">
        <f t="shared" si="3"/>
        <v>4.4963908455278983</v>
      </c>
      <c r="AB34" s="16">
        <v>0</v>
      </c>
      <c r="AC34" s="16">
        <v>0</v>
      </c>
      <c r="AD34" s="145">
        <f>(Y34*$H$3+Z34*'Varmepumpeberegning VP1'!Z22+AA34*$H$5+AB34*$H$6+AC34*$H$7)*24</f>
        <v>22897.744762880113</v>
      </c>
      <c r="AF34" s="16">
        <f>Z34*'Varmepumpeberegning VP1'!Z22*24</f>
        <v>10703.532789808454</v>
      </c>
      <c r="AG34" s="20">
        <f>(Z34/'Varmepumpeberegning VP1'!W22)*24</f>
        <v>74.459543509380566</v>
      </c>
      <c r="AH34" s="17">
        <f t="shared" si="5"/>
        <v>51.705110358037608</v>
      </c>
      <c r="AI34" s="15">
        <f>'Varmepumpeberegning VP1'!X22-'Systemberegning VP1'!Z34</f>
        <v>0</v>
      </c>
    </row>
    <row r="35" spans="1:35" x14ac:dyDescent="0.25">
      <c r="A35" s="56" t="s">
        <v>290</v>
      </c>
      <c r="B35" s="100">
        <f>B30/B34</f>
        <v>4.6957273529296168</v>
      </c>
      <c r="C35" t="s">
        <v>269</v>
      </c>
      <c r="J35" s="13"/>
      <c r="K35">
        <v>1</v>
      </c>
      <c r="L35">
        <v>20</v>
      </c>
      <c r="M35" s="310">
        <v>0.68301250000000024</v>
      </c>
      <c r="N35" s="15">
        <v>13.470608333333333</v>
      </c>
      <c r="P35" s="15">
        <f>MAX(0,MIN('Potentiel produktion'!C22*$D$3,N35))</f>
        <v>0</v>
      </c>
      <c r="Q35" s="15">
        <f t="shared" si="0"/>
        <v>13.470608333333333</v>
      </c>
      <c r="R35" s="15">
        <v>0</v>
      </c>
      <c r="S35" s="15">
        <v>0</v>
      </c>
      <c r="T35" s="160">
        <f t="shared" si="1"/>
        <v>36532.289799999999</v>
      </c>
      <c r="V35" s="289">
        <f>'Varmepumpeberegning VP1'!W23</f>
        <v>2.7336449008903867</v>
      </c>
      <c r="W35" s="289">
        <f>'Varmepumpeberegning VP1'!X23</f>
        <v>8.5227905435996245</v>
      </c>
      <c r="X35" s="289">
        <f t="shared" si="2"/>
        <v>52.555642638331904</v>
      </c>
      <c r="Y35" s="15">
        <f>MAX(0,MIN('Potentiel produktion'!C22*$D$3,N35))</f>
        <v>0</v>
      </c>
      <c r="Z35" s="15">
        <f t="shared" si="4"/>
        <v>8.5227905435996245</v>
      </c>
      <c r="AA35" s="16">
        <f t="shared" si="3"/>
        <v>4.9478177897337083</v>
      </c>
      <c r="AB35" s="16">
        <v>0</v>
      </c>
      <c r="AC35" s="16">
        <v>0</v>
      </c>
      <c r="AD35" s="145">
        <f>(Y35*$H$3+Z35*'Varmepumpeberegning VP1'!Z23+AA35*$H$5+AB35*$H$6+AC35*$H$7)*24</f>
        <v>24168.57946393645</v>
      </c>
      <c r="AF35" s="16">
        <f>Z35*'Varmepumpeberegning VP1'!Z23*24</f>
        <v>10750.097618178632</v>
      </c>
      <c r="AG35" s="20">
        <f>(Z35/'Varmepumpeberegning VP1'!W23)*24</f>
        <v>74.825729186613501</v>
      </c>
      <c r="AH35" s="17">
        <f t="shared" si="5"/>
        <v>52.555642638331896</v>
      </c>
      <c r="AI35" s="15">
        <f>'Varmepumpeberegning VP1'!X23-'Systemberegning VP1'!Z35</f>
        <v>0</v>
      </c>
    </row>
    <row r="36" spans="1:35" x14ac:dyDescent="0.25">
      <c r="A36" s="56" t="s">
        <v>291</v>
      </c>
      <c r="B36" s="54">
        <f>B34-B31</f>
        <v>1674953.8376693144</v>
      </c>
      <c r="C36" t="s">
        <v>292</v>
      </c>
      <c r="J36" s="13"/>
      <c r="K36">
        <v>1</v>
      </c>
      <c r="L36">
        <v>21</v>
      </c>
      <c r="M36" s="310">
        <v>0.68450000000000022</v>
      </c>
      <c r="N36" s="15">
        <v>12.188320833333336</v>
      </c>
      <c r="P36" s="15">
        <f>MAX(0,MIN('Potentiel produktion'!C23*$D$3,N36))</f>
        <v>0</v>
      </c>
      <c r="Q36" s="15">
        <f t="shared" si="0"/>
        <v>12.188320833333336</v>
      </c>
      <c r="R36" s="15">
        <v>0</v>
      </c>
      <c r="S36" s="15">
        <v>0</v>
      </c>
      <c r="T36" s="160">
        <f t="shared" si="1"/>
        <v>33054.726100000007</v>
      </c>
      <c r="V36" s="289">
        <f>'Varmepumpeberegning VP1'!W24</f>
        <v>2.8271800941026166</v>
      </c>
      <c r="W36" s="289">
        <f>'Varmepumpeberegning VP1'!X24</f>
        <v>8.7281360986779148</v>
      </c>
      <c r="X36" s="289">
        <f t="shared" si="2"/>
        <v>50.874588423736348</v>
      </c>
      <c r="Y36" s="15">
        <f>MAX(0,MIN('Potentiel produktion'!C23*$D$3,N36))</f>
        <v>0</v>
      </c>
      <c r="Z36" s="15">
        <f t="shared" si="4"/>
        <v>8.7281360986779148</v>
      </c>
      <c r="AA36" s="16">
        <f t="shared" si="3"/>
        <v>3.4601847346554209</v>
      </c>
      <c r="AB36" s="16">
        <v>0</v>
      </c>
      <c r="AC36" s="16">
        <v>0</v>
      </c>
      <c r="AD36" s="145">
        <f>(Y36*$H$3+Z36*'Varmepumpeberegning VP1'!Z24+AA36*$H$5+AB36*$H$6+AC36*$H$7)*24</f>
        <v>20040.988961823776</v>
      </c>
      <c r="AF36" s="16">
        <f>Z36*'Varmepumpeberegning VP1'!Z24*24</f>
        <v>10656.967961438275</v>
      </c>
      <c r="AG36" s="20">
        <f>(Z36/'Varmepumpeberegning VP1'!W24)*24</f>
        <v>74.093357832147632</v>
      </c>
      <c r="AH36" s="17">
        <f t="shared" si="5"/>
        <v>50.874588423736348</v>
      </c>
      <c r="AI36" s="15">
        <f>'Varmepumpeberegning VP1'!X24-'Systemberegning VP1'!Z36</f>
        <v>0</v>
      </c>
    </row>
    <row r="37" spans="1:35" x14ac:dyDescent="0.25">
      <c r="A37" s="28" t="s">
        <v>293</v>
      </c>
      <c r="B37" s="151">
        <f>IRR(C41:C56)</f>
        <v>0.15841120913849793</v>
      </c>
      <c r="C37" t="s">
        <v>265</v>
      </c>
      <c r="J37" s="13"/>
      <c r="K37">
        <v>1</v>
      </c>
      <c r="L37">
        <v>22</v>
      </c>
      <c r="M37" s="310">
        <v>0.68218750000000028</v>
      </c>
      <c r="N37" s="15">
        <v>7.5911125000000004</v>
      </c>
      <c r="P37" s="15">
        <f>MAX(0,MIN('Potentiel produktion'!C24*$D$3,N37))</f>
        <v>0</v>
      </c>
      <c r="Q37" s="15">
        <f t="shared" si="0"/>
        <v>7.5911125000000004</v>
      </c>
      <c r="R37" s="15">
        <v>0</v>
      </c>
      <c r="S37" s="15">
        <v>0</v>
      </c>
      <c r="T37" s="160">
        <f t="shared" si="1"/>
        <v>20587.097099999999</v>
      </c>
      <c r="V37" s="289">
        <f>'Varmepumpeberegning VP1'!W25</f>
        <v>3.0328225996421248</v>
      </c>
      <c r="W37" s="289">
        <f>'Varmepumpeberegning VP1'!X25</f>
        <v>9.2017685704053669</v>
      </c>
      <c r="X37" s="289">
        <f t="shared" si="2"/>
        <v>47.54328147744701</v>
      </c>
      <c r="Y37" s="15">
        <f>MAX(0,MIN('Potentiel produktion'!C24*$D$3,N37))</f>
        <v>0</v>
      </c>
      <c r="Z37" s="15">
        <f t="shared" si="4"/>
        <v>7.5911125000000004</v>
      </c>
      <c r="AA37" s="16">
        <f t="shared" si="3"/>
        <v>0</v>
      </c>
      <c r="AB37" s="16">
        <v>0</v>
      </c>
      <c r="AC37" s="16">
        <v>0</v>
      </c>
      <c r="AD37" s="145">
        <f>(Y37*$H$3+Z37*'Varmepumpeberegning VP1'!Z25+AA37*$H$5+AB37*$H$6+AC37*$H$7)*24</f>
        <v>8661.7535595471945</v>
      </c>
      <c r="AF37" s="16">
        <f>Z37*'Varmepumpeberegning VP1'!Z25*24</f>
        <v>8661.7535595471945</v>
      </c>
      <c r="AG37" s="20">
        <f>(Z37/'Varmepumpeberegning VP1'!W25)*24</f>
        <v>60.071663941536897</v>
      </c>
      <c r="AH37" s="17">
        <f t="shared" si="5"/>
        <v>47.543281477447003</v>
      </c>
      <c r="AI37" s="15">
        <f>'Varmepumpeberegning VP1'!X25-'Systemberegning VP1'!Z37</f>
        <v>1.6106560704053665</v>
      </c>
    </row>
    <row r="38" spans="1:35" x14ac:dyDescent="0.25">
      <c r="A38" s="152" t="s">
        <v>214</v>
      </c>
      <c r="B38" s="153">
        <f>NPV(B16,B42:B56)+B41</f>
        <v>19291131.580996808</v>
      </c>
      <c r="C38" s="5" t="s">
        <v>201</v>
      </c>
      <c r="D38" s="13" t="str">
        <f>IF(ROUND(B38,0)=ROUND(C58,0),"OK","RET")</f>
        <v>OK</v>
      </c>
      <c r="E38" s="141"/>
      <c r="J38" s="13"/>
      <c r="K38">
        <v>1</v>
      </c>
      <c r="L38">
        <v>23</v>
      </c>
      <c r="M38" s="310">
        <v>0.70376249999999985</v>
      </c>
      <c r="N38" s="15">
        <v>8.4858833333333337</v>
      </c>
      <c r="P38" s="15">
        <f>MAX(0,MIN('Potentiel produktion'!C25*$D$3,N38))</f>
        <v>0</v>
      </c>
      <c r="Q38" s="15">
        <f t="shared" si="0"/>
        <v>8.4858833333333337</v>
      </c>
      <c r="R38" s="15">
        <v>0</v>
      </c>
      <c r="S38" s="15">
        <v>0</v>
      </c>
      <c r="T38" s="160">
        <f t="shared" si="1"/>
        <v>23013.7156</v>
      </c>
      <c r="V38" s="289">
        <f>'Varmepumpeberegning VP1'!W26</f>
        <v>2.9902597151633996</v>
      </c>
      <c r="W38" s="289">
        <f>'Varmepumpeberegning VP1'!X26</f>
        <v>9.0968473264176914</v>
      </c>
      <c r="X38" s="289">
        <f t="shared" si="2"/>
        <v>48.195176072664189</v>
      </c>
      <c r="Y38" s="15">
        <f>MAX(0,MIN('Potentiel produktion'!C25*$D$3,N38))</f>
        <v>0</v>
      </c>
      <c r="Z38" s="15">
        <f t="shared" si="4"/>
        <v>8.4858833333333337</v>
      </c>
      <c r="AA38" s="16">
        <f t="shared" si="3"/>
        <v>0</v>
      </c>
      <c r="AB38" s="16">
        <v>0</v>
      </c>
      <c r="AC38" s="16">
        <v>0</v>
      </c>
      <c r="AD38" s="145">
        <f>(Y38*$H$3+Z38*'Varmepumpeberegning VP1'!Z26+AA38*$H$5+AB38*$H$6+AC38*$H$7)*24</f>
        <v>9815.4873931700749</v>
      </c>
      <c r="AF38" s="16">
        <f>Z38*'Varmepumpeberegning VP1'!Z26*24</f>
        <v>9815.4873931700749</v>
      </c>
      <c r="AG38" s="20">
        <f>(Z38/'Varmepumpeberegning VP1'!W26)*24</f>
        <v>68.108197748592929</v>
      </c>
      <c r="AH38" s="17">
        <f t="shared" si="5"/>
        <v>48.195176072664175</v>
      </c>
      <c r="AI38" s="15">
        <f>'Varmepumpeberegning VP1'!X26-'Systemberegning VP1'!Z38</f>
        <v>0.61096399308435778</v>
      </c>
    </row>
    <row r="39" spans="1:35" x14ac:dyDescent="0.25">
      <c r="J39" s="13"/>
      <c r="K39">
        <v>1</v>
      </c>
      <c r="L39">
        <v>24</v>
      </c>
      <c r="M39" s="310">
        <v>0.70233749999999973</v>
      </c>
      <c r="N39" s="15">
        <v>6.6434625000000009</v>
      </c>
      <c r="P39" s="15">
        <f>MAX(0,MIN('Potentiel produktion'!C26*$D$3,N39))</f>
        <v>0</v>
      </c>
      <c r="Q39" s="15">
        <f t="shared" si="0"/>
        <v>6.6434625000000009</v>
      </c>
      <c r="R39" s="15">
        <v>0</v>
      </c>
      <c r="S39" s="15">
        <v>0</v>
      </c>
      <c r="T39" s="160">
        <f t="shared" si="1"/>
        <v>18017.070300000003</v>
      </c>
      <c r="V39" s="289">
        <f>'Varmepumpeberegning VP1'!W27</f>
        <v>3.0756133144315161</v>
      </c>
      <c r="W39" s="289">
        <f>'Varmepumpeberegning VP1'!X27</f>
        <v>9.3066898143930423</v>
      </c>
      <c r="X39" s="289">
        <f t="shared" si="2"/>
        <v>46.906085468567859</v>
      </c>
      <c r="Y39" s="15">
        <f>MAX(0,MIN('Potentiel produktion'!C26*$D$3,N39))</f>
        <v>0</v>
      </c>
      <c r="Z39" s="15">
        <f t="shared" si="4"/>
        <v>6.6434625000000009</v>
      </c>
      <c r="AA39" s="16">
        <f t="shared" si="3"/>
        <v>0</v>
      </c>
      <c r="AB39" s="16">
        <v>0</v>
      </c>
      <c r="AC39" s="16">
        <v>0</v>
      </c>
      <c r="AD39" s="145">
        <f>(Y39*$H$3+Z39*'Varmepumpeberegning VP1'!Z27+AA39*$H$5+AB39*$H$6+AC39*$H$7)*24</f>
        <v>7478.851675973413</v>
      </c>
      <c r="AF39" s="16">
        <f>Z39*'Varmepumpeberegning VP1'!Z27*24</f>
        <v>7478.851675973413</v>
      </c>
      <c r="AG39" s="20">
        <f>(Z39/'Varmepumpeberegning VP1'!W27)*24</f>
        <v>51.841074835986277</v>
      </c>
      <c r="AH39" s="17">
        <f t="shared" si="5"/>
        <v>46.906085468567859</v>
      </c>
      <c r="AI39" s="15">
        <f>'Varmepumpeberegning VP1'!X27-'Systemberegning VP1'!Z39</f>
        <v>2.6632273143930414</v>
      </c>
    </row>
    <row r="40" spans="1:35" x14ac:dyDescent="0.25">
      <c r="A40" s="52" t="s">
        <v>294</v>
      </c>
      <c r="B40" s="7"/>
      <c r="C40" s="7"/>
      <c r="J40" s="13"/>
      <c r="K40">
        <v>1</v>
      </c>
      <c r="L40">
        <v>25</v>
      </c>
      <c r="M40" s="310">
        <v>0.74713750000000012</v>
      </c>
      <c r="N40" s="15">
        <v>9.1481750000000002</v>
      </c>
      <c r="P40" s="15">
        <f>MAX(0,MIN('Potentiel produktion'!C27*$D$3,N40))</f>
        <v>0</v>
      </c>
      <c r="Q40" s="15">
        <f t="shared" si="0"/>
        <v>9.1481750000000002</v>
      </c>
      <c r="R40" s="15">
        <v>0</v>
      </c>
      <c r="S40" s="15">
        <v>0</v>
      </c>
      <c r="T40" s="160">
        <f t="shared" si="1"/>
        <v>24809.850599999998</v>
      </c>
      <c r="V40" s="289">
        <f>'Varmepumpeberegning VP1'!W28</f>
        <v>2.9514704207300451</v>
      </c>
      <c r="W40" s="289">
        <f>'Varmepumpeberegning VP1'!X28</f>
        <v>9.0081678430174801</v>
      </c>
      <c r="X40" s="289">
        <f t="shared" si="2"/>
        <v>48.805649522192738</v>
      </c>
      <c r="Y40" s="15">
        <f>MAX(0,MIN('Potentiel produktion'!C27*$D$3,N40))</f>
        <v>0</v>
      </c>
      <c r="Z40" s="15">
        <f t="shared" si="4"/>
        <v>9.0081678430174801</v>
      </c>
      <c r="AA40" s="16">
        <f t="shared" si="3"/>
        <v>0.14000715698252009</v>
      </c>
      <c r="AB40" s="16">
        <v>0</v>
      </c>
      <c r="AC40" s="16">
        <v>0</v>
      </c>
      <c r="AD40" s="145">
        <f>(Y40*$H$3+Z40*'Varmepumpeberegning VP1'!Z28+AA40*$H$5+AB40*$H$6+AC40*$H$7)*24</f>
        <v>10931.286991738149</v>
      </c>
      <c r="AF40" s="16">
        <f>Z40*'Varmepumpeberegning VP1'!Z28*24</f>
        <v>10551.587582001554</v>
      </c>
      <c r="AG40" s="20">
        <f>(Z40/'Varmepumpeberegning VP1'!W28)*24</f>
        <v>73.250277798462065</v>
      </c>
      <c r="AH40" s="17">
        <f t="shared" si="5"/>
        <v>48.805649522192738</v>
      </c>
      <c r="AI40" s="15">
        <f>'Varmepumpeberegning VP1'!X28-'Systemberegning VP1'!Z40</f>
        <v>0</v>
      </c>
    </row>
    <row r="41" spans="1:35" x14ac:dyDescent="0.25">
      <c r="A41" s="50">
        <v>0</v>
      </c>
      <c r="B41" s="6">
        <f>-B30</f>
        <v>-13279111.183646858</v>
      </c>
      <c r="C41" s="6">
        <f>B41</f>
        <v>-13279111.183646858</v>
      </c>
      <c r="D41" s="1"/>
      <c r="J41" s="13"/>
      <c r="K41">
        <v>1</v>
      </c>
      <c r="L41">
        <v>26</v>
      </c>
      <c r="M41" s="310">
        <v>0.76091249999999988</v>
      </c>
      <c r="N41" s="15">
        <v>7.9328041666666671</v>
      </c>
      <c r="P41" s="15">
        <f>MAX(0,MIN('Potentiel produktion'!C28*$D$3,N41))</f>
        <v>0</v>
      </c>
      <c r="Q41" s="15">
        <f t="shared" si="0"/>
        <v>7.9328041666666671</v>
      </c>
      <c r="R41" s="15">
        <v>0</v>
      </c>
      <c r="S41" s="15">
        <v>0</v>
      </c>
      <c r="T41" s="160">
        <f t="shared" si="1"/>
        <v>21513.764900000002</v>
      </c>
      <c r="V41" s="289">
        <f>'Varmepumpeberegning VP1'!W29</f>
        <v>3.0328225996421248</v>
      </c>
      <c r="W41" s="289">
        <f>'Varmepumpeberegning VP1'!X29</f>
        <v>9.2017685704053669</v>
      </c>
      <c r="X41" s="289">
        <f t="shared" si="2"/>
        <v>47.54328147744701</v>
      </c>
      <c r="Y41" s="15">
        <f>MAX(0,MIN('Potentiel produktion'!C28*$D$3,N41))</f>
        <v>0</v>
      </c>
      <c r="Z41" s="15">
        <f t="shared" si="4"/>
        <v>7.9328041666666671</v>
      </c>
      <c r="AA41" s="16">
        <f t="shared" si="3"/>
        <v>0</v>
      </c>
      <c r="AB41" s="16">
        <v>0</v>
      </c>
      <c r="AC41" s="16">
        <v>0</v>
      </c>
      <c r="AD41" s="145">
        <f>(Y41*$H$3+Z41*'Varmepumpeberegning VP1'!Z29+AA41*$H$5+AB41*$H$6+AC41*$H$7)*24</f>
        <v>9051.6369936311476</v>
      </c>
      <c r="AF41" s="16">
        <f>Z41*'Varmepumpeberegning VP1'!Z29*24</f>
        <v>9051.6369936311476</v>
      </c>
      <c r="AG41" s="20">
        <f>(Z41/'Varmepumpeberegning VP1'!W29)*24</f>
        <v>62.775613721180342</v>
      </c>
      <c r="AH41" s="17">
        <f t="shared" si="5"/>
        <v>47.54328147744701</v>
      </c>
      <c r="AI41" s="15">
        <f>'Varmepumpeberegning VP1'!X29-'Systemberegning VP1'!Z41</f>
        <v>1.2689644037386998</v>
      </c>
    </row>
    <row r="42" spans="1:35" x14ac:dyDescent="0.25">
      <c r="A42" s="51">
        <v>1</v>
      </c>
      <c r="B42" s="36">
        <f t="shared" ref="B42:B56" si="6">$B$34</f>
        <v>2827913.587308717</v>
      </c>
      <c r="C42" s="27">
        <f t="shared" ref="C42:C56" si="7">B42*(1+$B$16)^(-A42)</f>
        <v>2732283.6592354756</v>
      </c>
      <c r="D42" s="27"/>
      <c r="J42" s="13"/>
      <c r="K42">
        <v>1</v>
      </c>
      <c r="L42">
        <v>27</v>
      </c>
      <c r="M42" s="310">
        <v>0.80088749999999986</v>
      </c>
      <c r="N42" s="15">
        <v>10.715800000000002</v>
      </c>
      <c r="P42" s="15">
        <f>MAX(0,MIN('Potentiel produktion'!C29*$D$3,N42))</f>
        <v>0</v>
      </c>
      <c r="Q42" s="15">
        <f t="shared" si="0"/>
        <v>10.715800000000002</v>
      </c>
      <c r="R42" s="15">
        <v>0</v>
      </c>
      <c r="S42" s="15">
        <v>0</v>
      </c>
      <c r="T42" s="160">
        <f t="shared" si="1"/>
        <v>29061.249600000003</v>
      </c>
      <c r="V42" s="289">
        <f>'Varmepumpeberegning VP1'!W30</f>
        <v>2.9129328437623547</v>
      </c>
      <c r="W42" s="289">
        <f>'Varmepumpeberegning VP1'!X30</f>
        <v>8.9194883596172705</v>
      </c>
      <c r="X42" s="289">
        <f t="shared" si="2"/>
        <v>49.428261889997998</v>
      </c>
      <c r="Y42" s="15">
        <f>MAX(0,MIN('Potentiel produktion'!C29*$D$3,N42))</f>
        <v>0</v>
      </c>
      <c r="Z42" s="15">
        <f t="shared" si="4"/>
        <v>8.9194883596172705</v>
      </c>
      <c r="AA42" s="16">
        <f t="shared" si="3"/>
        <v>1.7963116403827311</v>
      </c>
      <c r="AB42" s="16">
        <v>0</v>
      </c>
      <c r="AC42" s="16">
        <v>0</v>
      </c>
      <c r="AD42" s="145">
        <f>(Y42*$H$3+Z42*'Varmepumpeberegning VP1'!Z30+AA42*$H$5+AB42*$H$6+AC42*$H$7)*24</f>
        <v>15452.592526252793</v>
      </c>
      <c r="AF42" s="16">
        <f>Z42*'Varmepumpeberegning VP1'!Z30*24</f>
        <v>10580.995357534826</v>
      </c>
      <c r="AG42" s="20">
        <f>(Z42/'Varmepumpeberegning VP1'!W30)*24</f>
        <v>73.488724976688388</v>
      </c>
      <c r="AH42" s="17">
        <f t="shared" si="5"/>
        <v>49.428261889997998</v>
      </c>
      <c r="AI42" s="15">
        <f>'Varmepumpeberegning VP1'!X30-'Systemberegning VP1'!Z42</f>
        <v>0</v>
      </c>
    </row>
    <row r="43" spans="1:35" x14ac:dyDescent="0.25">
      <c r="A43" s="51">
        <v>2</v>
      </c>
      <c r="B43" s="36">
        <f t="shared" si="6"/>
        <v>2827913.587308717</v>
      </c>
      <c r="C43" s="27">
        <f t="shared" si="7"/>
        <v>2639887.5934642279</v>
      </c>
      <c r="D43" s="27"/>
      <c r="J43" s="13"/>
      <c r="K43">
        <v>1</v>
      </c>
      <c r="L43">
        <v>28</v>
      </c>
      <c r="M43" s="310">
        <v>0.7895875</v>
      </c>
      <c r="N43" s="15">
        <v>11.131491666666671</v>
      </c>
      <c r="P43" s="15">
        <f>MAX(0,MIN('Potentiel produktion'!C30*$D$3,N43))</f>
        <v>0</v>
      </c>
      <c r="Q43" s="15">
        <f t="shared" si="0"/>
        <v>11.131491666666671</v>
      </c>
      <c r="R43" s="15">
        <v>0</v>
      </c>
      <c r="S43" s="15">
        <v>0</v>
      </c>
      <c r="T43" s="160">
        <f t="shared" si="1"/>
        <v>30188.605400000011</v>
      </c>
      <c r="V43" s="289">
        <f>'Varmepumpeberegning VP1'!W31</f>
        <v>2.8746445419591673</v>
      </c>
      <c r="W43" s="289">
        <f>'Varmepumpeberegning VP1'!X31</f>
        <v>8.8308088762170591</v>
      </c>
      <c r="X43" s="289">
        <f t="shared" si="2"/>
        <v>50.063378875196641</v>
      </c>
      <c r="Y43" s="15">
        <f>MAX(0,MIN('Potentiel produktion'!C30*$D$3,N43))</f>
        <v>0</v>
      </c>
      <c r="Z43" s="15">
        <f t="shared" si="4"/>
        <v>8.8308088762170591</v>
      </c>
      <c r="AA43" s="16">
        <f t="shared" si="3"/>
        <v>2.3006827904496117</v>
      </c>
      <c r="AB43" s="16">
        <v>0</v>
      </c>
      <c r="AC43" s="16">
        <v>0</v>
      </c>
      <c r="AD43" s="145">
        <f>(Y43*$H$3+Z43*'Varmepumpeberegning VP1'!Z31+AA43*$H$5+AB43*$H$6+AC43*$H$7)*24</f>
        <v>16849.854860767446</v>
      </c>
      <c r="AF43" s="16">
        <f>Z43*'Varmepumpeberegning VP1'!Z31*24</f>
        <v>10610.403133068099</v>
      </c>
      <c r="AG43" s="20">
        <f>(Z43/'Varmepumpeberegning VP1'!W31)*24</f>
        <v>73.727172154914697</v>
      </c>
      <c r="AH43" s="17">
        <f t="shared" si="5"/>
        <v>50.063378875196641</v>
      </c>
      <c r="AI43" s="15">
        <f>'Varmepumpeberegning VP1'!X31-'Systemberegning VP1'!Z43</f>
        <v>0</v>
      </c>
    </row>
    <row r="44" spans="1:35" x14ac:dyDescent="0.25">
      <c r="A44" s="51">
        <v>3</v>
      </c>
      <c r="B44" s="36">
        <f t="shared" si="6"/>
        <v>2827913.587308717</v>
      </c>
      <c r="C44" s="27">
        <f t="shared" si="7"/>
        <v>2550616.0323325875</v>
      </c>
      <c r="D44" s="27"/>
      <c r="J44" s="13"/>
      <c r="K44">
        <v>1</v>
      </c>
      <c r="L44">
        <v>29</v>
      </c>
      <c r="M44" s="310">
        <v>0.72741250000000035</v>
      </c>
      <c r="N44" s="15">
        <v>9.3841958333333313</v>
      </c>
      <c r="P44" s="15">
        <f>MAX(0,MIN('Potentiel produktion'!C31*$D$3,N44))</f>
        <v>0</v>
      </c>
      <c r="Q44" s="15">
        <f t="shared" si="0"/>
        <v>9.3841958333333313</v>
      </c>
      <c r="R44" s="15">
        <v>0</v>
      </c>
      <c r="S44" s="15">
        <v>0</v>
      </c>
      <c r="T44" s="160">
        <f t="shared" si="1"/>
        <v>25449.939099999996</v>
      </c>
      <c r="V44" s="289">
        <f>'Varmepumpeberegning VP1'!W32</f>
        <v>2.9514704207300451</v>
      </c>
      <c r="W44" s="289">
        <f>'Varmepumpeberegning VP1'!X32</f>
        <v>9.0081678430174801</v>
      </c>
      <c r="X44" s="289">
        <f t="shared" si="2"/>
        <v>48.805649522192738</v>
      </c>
      <c r="Y44" s="15">
        <f>MAX(0,MIN('Potentiel produktion'!C31*$D$3,N44))</f>
        <v>0</v>
      </c>
      <c r="Z44" s="15">
        <f t="shared" si="4"/>
        <v>9.0081678430174801</v>
      </c>
      <c r="AA44" s="16">
        <f t="shared" si="3"/>
        <v>0.37602799031585121</v>
      </c>
      <c r="AB44" s="16">
        <v>0</v>
      </c>
      <c r="AC44" s="16">
        <v>0</v>
      </c>
      <c r="AD44" s="145">
        <f>(Y44*$H$3+Z44*'Varmepumpeberegning VP1'!Z32+AA44*$H$5+AB44*$H$6+AC44*$H$7)*24</f>
        <v>11571.375491738141</v>
      </c>
      <c r="AF44" s="16">
        <f>Z44*'Varmepumpeberegning VP1'!Z32*24</f>
        <v>10551.587582001554</v>
      </c>
      <c r="AG44" s="20">
        <f>(Z44/'Varmepumpeberegning VP1'!W32)*24</f>
        <v>73.250277798462065</v>
      </c>
      <c r="AH44" s="17">
        <f t="shared" si="5"/>
        <v>48.805649522192738</v>
      </c>
      <c r="AI44" s="15">
        <f>'Varmepumpeberegning VP1'!X32-'Systemberegning VP1'!Z44</f>
        <v>0</v>
      </c>
    </row>
    <row r="45" spans="1:35" x14ac:dyDescent="0.25">
      <c r="A45" s="51">
        <v>4</v>
      </c>
      <c r="B45" s="36">
        <f t="shared" si="6"/>
        <v>2827913.587308717</v>
      </c>
      <c r="C45" s="27">
        <f t="shared" si="7"/>
        <v>2464363.3162633698</v>
      </c>
      <c r="D45" s="27"/>
      <c r="J45" s="13"/>
      <c r="K45">
        <v>1</v>
      </c>
      <c r="L45">
        <v>30</v>
      </c>
      <c r="M45" s="310">
        <v>0.77356249999999982</v>
      </c>
      <c r="N45" s="15">
        <v>8.4224666666666668</v>
      </c>
      <c r="P45" s="15">
        <f>MAX(0,MIN('Potentiel produktion'!C32*$D$3,N45))</f>
        <v>0</v>
      </c>
      <c r="Q45" s="15">
        <f t="shared" si="0"/>
        <v>8.4224666666666668</v>
      </c>
      <c r="R45" s="15">
        <v>0</v>
      </c>
      <c r="S45" s="15">
        <v>0</v>
      </c>
      <c r="T45" s="160">
        <f t="shared" si="1"/>
        <v>22841.729599999999</v>
      </c>
      <c r="V45" s="289">
        <f>'Varmepumpeberegning VP1'!W33</f>
        <v>2.9902597151633996</v>
      </c>
      <c r="W45" s="289">
        <f>'Varmepumpeberegning VP1'!X33</f>
        <v>9.0968473264176914</v>
      </c>
      <c r="X45" s="289">
        <f t="shared" si="2"/>
        <v>48.195176072664189</v>
      </c>
      <c r="Y45" s="15">
        <f>MAX(0,MIN('Potentiel produktion'!C32*$D$3,N45))</f>
        <v>0</v>
      </c>
      <c r="Z45" s="15">
        <f t="shared" si="4"/>
        <v>8.4224666666666668</v>
      </c>
      <c r="AA45" s="16">
        <f t="shared" si="3"/>
        <v>0</v>
      </c>
      <c r="AB45" s="16">
        <v>0</v>
      </c>
      <c r="AC45" s="16">
        <v>0</v>
      </c>
      <c r="AD45" s="145">
        <f>(Y45*$H$3+Z45*'Varmepumpeberegning VP1'!Z33+AA45*$H$5+AB45*$H$6+AC45*$H$7)*24</f>
        <v>9742.1343351874821</v>
      </c>
      <c r="AF45" s="16">
        <f>Z45*'Varmepumpeberegning VP1'!Z33*24</f>
        <v>9742.1343351874821</v>
      </c>
      <c r="AG45" s="20">
        <f>(Z45/'Varmepumpeberegning VP1'!W33)*24</f>
        <v>67.599211859413458</v>
      </c>
      <c r="AH45" s="17">
        <f t="shared" si="5"/>
        <v>48.195176072664196</v>
      </c>
      <c r="AI45" s="15">
        <f>'Varmepumpeberegning VP1'!X33-'Systemberegning VP1'!Z45</f>
        <v>0.67438065975102468</v>
      </c>
    </row>
    <row r="46" spans="1:35" x14ac:dyDescent="0.25">
      <c r="A46" s="51">
        <v>5</v>
      </c>
      <c r="B46" s="36">
        <f t="shared" si="6"/>
        <v>2827913.587308717</v>
      </c>
      <c r="C46" s="27">
        <f t="shared" si="7"/>
        <v>2381027.3587085702</v>
      </c>
      <c r="D46" s="27"/>
      <c r="J46" s="13"/>
      <c r="K46">
        <v>1</v>
      </c>
      <c r="L46">
        <v>31</v>
      </c>
      <c r="M46" s="310">
        <v>0.74673749999999994</v>
      </c>
      <c r="N46" s="15">
        <v>9.7540833333333357</v>
      </c>
      <c r="P46" s="15">
        <f>MAX(0,MIN('Potentiel produktion'!C33*$D$3,N46))</f>
        <v>0</v>
      </c>
      <c r="Q46" s="15">
        <f t="shared" si="0"/>
        <v>9.7540833333333357</v>
      </c>
      <c r="R46" s="15">
        <v>0</v>
      </c>
      <c r="S46" s="15">
        <v>0</v>
      </c>
      <c r="T46" s="160">
        <f t="shared" si="1"/>
        <v>26453.074000000008</v>
      </c>
      <c r="V46" s="289">
        <f>'Varmepumpeberegning VP1'!W34</f>
        <v>2.9514704207300451</v>
      </c>
      <c r="W46" s="289">
        <f>'Varmepumpeberegning VP1'!X34</f>
        <v>9.0081678430174801</v>
      </c>
      <c r="X46" s="289">
        <f t="shared" si="2"/>
        <v>48.805649522192738</v>
      </c>
      <c r="Y46" s="15">
        <f>MAX(0,MIN('Potentiel produktion'!C33*$D$3,N46))</f>
        <v>0</v>
      </c>
      <c r="Z46" s="15">
        <f t="shared" si="4"/>
        <v>9.0081678430174801</v>
      </c>
      <c r="AA46" s="16">
        <f t="shared" si="3"/>
        <v>0.74591549031585558</v>
      </c>
      <c r="AB46" s="16">
        <v>0</v>
      </c>
      <c r="AC46" s="16">
        <v>0</v>
      </c>
      <c r="AD46" s="145">
        <f>(Y46*$H$3+Z46*'Varmepumpeberegning VP1'!Z34+AA46*$H$5+AB46*$H$6+AC46*$H$7)*24</f>
        <v>12574.510391738153</v>
      </c>
      <c r="AF46" s="16">
        <f>Z46*'Varmepumpeberegning VP1'!Z34*24</f>
        <v>10551.587582001554</v>
      </c>
      <c r="AG46" s="20">
        <f>(Z46/'Varmepumpeberegning VP1'!W34)*24</f>
        <v>73.250277798462065</v>
      </c>
      <c r="AH46" s="17">
        <f t="shared" si="5"/>
        <v>48.805649522192738</v>
      </c>
      <c r="AI46" s="15">
        <f>'Varmepumpeberegning VP1'!X34-'Systemberegning VP1'!Z46</f>
        <v>0</v>
      </c>
    </row>
    <row r="47" spans="1:35" x14ac:dyDescent="0.25">
      <c r="A47" s="51">
        <v>6</v>
      </c>
      <c r="B47" s="36">
        <f t="shared" si="6"/>
        <v>2827913.587308717</v>
      </c>
      <c r="C47" s="27">
        <f t="shared" si="7"/>
        <v>2300509.5253222897</v>
      </c>
      <c r="D47" s="27"/>
      <c r="J47" s="13"/>
      <c r="K47">
        <v>2</v>
      </c>
      <c r="L47">
        <v>32</v>
      </c>
      <c r="M47" s="310">
        <v>0.70577499999999993</v>
      </c>
      <c r="N47" s="15">
        <v>9.5074916666666685</v>
      </c>
      <c r="P47" s="15">
        <f>MAX(0,MIN('Potentiel produktion'!C34*$D$3,N47))</f>
        <v>0</v>
      </c>
      <c r="Q47" s="15">
        <f t="shared" si="0"/>
        <v>9.5074916666666685</v>
      </c>
      <c r="R47" s="15">
        <v>0</v>
      </c>
      <c r="S47" s="15">
        <v>0</v>
      </c>
      <c r="T47" s="160">
        <f t="shared" si="1"/>
        <v>25784.317400000007</v>
      </c>
      <c r="V47" s="289">
        <f>'Varmepumpeberegning VP1'!W35</f>
        <v>2.9514704207300451</v>
      </c>
      <c r="W47" s="289">
        <f>'Varmepumpeberegning VP1'!X35</f>
        <v>9.0081678430174801</v>
      </c>
      <c r="X47" s="289">
        <f t="shared" si="2"/>
        <v>48.805649522192738</v>
      </c>
      <c r="Y47" s="15">
        <f>MAX(0,MIN('Potentiel produktion'!C34*$D$3,N47))</f>
        <v>0</v>
      </c>
      <c r="Z47" s="15">
        <f t="shared" si="4"/>
        <v>9.0081678430174801</v>
      </c>
      <c r="AA47" s="16">
        <f t="shared" si="3"/>
        <v>0.49932382364918837</v>
      </c>
      <c r="AB47" s="16">
        <v>0</v>
      </c>
      <c r="AC47" s="16">
        <v>0</v>
      </c>
      <c r="AD47" s="145">
        <f>(Y47*$H$3+Z47*'Varmepumpeberegning VP1'!Z35+AA47*$H$5+AB47*$H$6+AC47*$H$7)*24</f>
        <v>11905.753791738152</v>
      </c>
      <c r="AF47" s="16">
        <f>Z47*'Varmepumpeberegning VP1'!Z35*24</f>
        <v>10551.587582001554</v>
      </c>
      <c r="AG47" s="20">
        <f>(Z47/'Varmepumpeberegning VP1'!W35)*24</f>
        <v>73.250277798462065</v>
      </c>
      <c r="AH47" s="17">
        <f t="shared" si="5"/>
        <v>48.805649522192738</v>
      </c>
      <c r="AI47" s="15">
        <f>'Varmepumpeberegning VP1'!X35-'Systemberegning VP1'!Z47</f>
        <v>0</v>
      </c>
    </row>
    <row r="48" spans="1:35" x14ac:dyDescent="0.25">
      <c r="A48" s="51">
        <v>7</v>
      </c>
      <c r="B48" s="36">
        <f t="shared" si="6"/>
        <v>2827913.587308717</v>
      </c>
      <c r="C48" s="27">
        <f t="shared" si="7"/>
        <v>2222714.5172196035</v>
      </c>
      <c r="D48" s="27"/>
      <c r="J48" s="13"/>
      <c r="K48">
        <v>2</v>
      </c>
      <c r="L48">
        <v>33</v>
      </c>
      <c r="M48" s="310">
        <v>0.71641249999999979</v>
      </c>
      <c r="N48" s="15">
        <v>8.3344000000000005</v>
      </c>
      <c r="P48" s="15">
        <f>MAX(0,MIN('Potentiel produktion'!C35*$D$3,N48))</f>
        <v>0</v>
      </c>
      <c r="Q48" s="15">
        <f t="shared" si="0"/>
        <v>8.3344000000000005</v>
      </c>
      <c r="R48" s="15">
        <v>0</v>
      </c>
      <c r="S48" s="15">
        <v>0</v>
      </c>
      <c r="T48" s="160">
        <f t="shared" si="1"/>
        <v>22602.892800000001</v>
      </c>
      <c r="V48" s="289">
        <f>'Varmepumpeberegning VP1'!W36</f>
        <v>2.9902597151633996</v>
      </c>
      <c r="W48" s="289">
        <f>'Varmepumpeberegning VP1'!X36</f>
        <v>9.0968473264176914</v>
      </c>
      <c r="X48" s="289">
        <f t="shared" si="2"/>
        <v>48.195176072664189</v>
      </c>
      <c r="Y48" s="15">
        <f>MAX(0,MIN('Potentiel produktion'!C35*$D$3,N48))</f>
        <v>0</v>
      </c>
      <c r="Z48" s="15">
        <f t="shared" si="4"/>
        <v>8.3344000000000005</v>
      </c>
      <c r="AA48" s="16">
        <f t="shared" si="3"/>
        <v>0</v>
      </c>
      <c r="AB48" s="16">
        <v>0</v>
      </c>
      <c r="AC48" s="16">
        <v>0</v>
      </c>
      <c r="AD48" s="145">
        <f>(Y48*$H$3+Z48*'Varmepumpeberegning VP1'!Z36+AA48*$H$5+AB48*$H$6+AC48*$H$7)*24</f>
        <v>9640.2690110402982</v>
      </c>
      <c r="AF48" s="16">
        <f>Z48*'Varmepumpeberegning VP1'!Z36*24</f>
        <v>9640.2690110402982</v>
      </c>
      <c r="AG48" s="20">
        <f>(Z48/'Varmepumpeberegning VP1'!W36)*24</f>
        <v>66.892383623296681</v>
      </c>
      <c r="AH48" s="17">
        <f t="shared" si="5"/>
        <v>48.195176072664189</v>
      </c>
      <c r="AI48" s="15">
        <f>'Varmepumpeberegning VP1'!X36-'Systemberegning VP1'!Z48</f>
        <v>0.76244732641769097</v>
      </c>
    </row>
    <row r="49" spans="1:35" x14ac:dyDescent="0.25">
      <c r="A49" s="51">
        <v>8</v>
      </c>
      <c r="B49" s="36">
        <f t="shared" si="6"/>
        <v>2827913.587308717</v>
      </c>
      <c r="C49" s="27">
        <f t="shared" si="7"/>
        <v>2147550.2581831925</v>
      </c>
      <c r="D49" s="27"/>
      <c r="J49" s="13"/>
      <c r="K49">
        <v>2</v>
      </c>
      <c r="L49">
        <v>34</v>
      </c>
      <c r="M49" s="310">
        <v>0.74806249999999996</v>
      </c>
      <c r="N49" s="15">
        <v>6.9534791666666669</v>
      </c>
      <c r="P49" s="15">
        <f>MAX(0,MIN('Potentiel produktion'!C36*$D$3,N49))</f>
        <v>0</v>
      </c>
      <c r="Q49" s="15">
        <f t="shared" si="0"/>
        <v>6.9534791666666669</v>
      </c>
      <c r="R49" s="15">
        <v>0</v>
      </c>
      <c r="S49" s="15">
        <v>0</v>
      </c>
      <c r="T49" s="160">
        <f t="shared" si="1"/>
        <v>18857.835500000001</v>
      </c>
      <c r="V49" s="289">
        <f>'Varmepumpeberegning VP1'!W37</f>
        <v>3.0756133144315161</v>
      </c>
      <c r="W49" s="289">
        <f>'Varmepumpeberegning VP1'!X37</f>
        <v>9.3066898143930423</v>
      </c>
      <c r="X49" s="289">
        <f t="shared" si="2"/>
        <v>46.906085468567859</v>
      </c>
      <c r="Y49" s="15">
        <f>MAX(0,MIN('Potentiel produktion'!C36*$D$3,N49))</f>
        <v>0</v>
      </c>
      <c r="Z49" s="15">
        <f t="shared" si="4"/>
        <v>6.9534791666666669</v>
      </c>
      <c r="AA49" s="16">
        <f t="shared" si="3"/>
        <v>0</v>
      </c>
      <c r="AB49" s="16">
        <v>0</v>
      </c>
      <c r="AC49" s="16">
        <v>0</v>
      </c>
      <c r="AD49" s="145">
        <f>(Y49*$H$3+Z49*'Varmepumpeberegning VP1'!Z37+AA49*$H$5+AB49*$H$6+AC49*$H$7)*24</f>
        <v>7827.8517142937453</v>
      </c>
      <c r="AF49" s="16">
        <f>Z49*'Varmepumpeberegning VP1'!Z37*24</f>
        <v>7827.8517142937453</v>
      </c>
      <c r="AG49" s="20">
        <f>(Z49/'Varmepumpeberegning VP1'!W37)*24</f>
        <v>54.260234606523049</v>
      </c>
      <c r="AH49" s="17">
        <f t="shared" si="5"/>
        <v>46.906085468567859</v>
      </c>
      <c r="AI49" s="15">
        <f>'Varmepumpeberegning VP1'!X37-'Systemberegning VP1'!Z49</f>
        <v>2.3532106477263754</v>
      </c>
    </row>
    <row r="50" spans="1:35" x14ac:dyDescent="0.25">
      <c r="A50" s="51">
        <v>9</v>
      </c>
      <c r="B50" s="36">
        <f t="shared" si="6"/>
        <v>2827913.587308717</v>
      </c>
      <c r="C50" s="27">
        <f t="shared" si="7"/>
        <v>2074927.7856842442</v>
      </c>
      <c r="D50" s="27"/>
      <c r="J50" s="13"/>
      <c r="K50">
        <v>2</v>
      </c>
      <c r="L50">
        <v>35</v>
      </c>
      <c r="M50" s="310">
        <v>0.66266250000000004</v>
      </c>
      <c r="N50" s="15">
        <v>7.4079166666666678</v>
      </c>
      <c r="P50" s="15">
        <f>MAX(0,MIN('Potentiel produktion'!C37*$D$3,N50))</f>
        <v>0</v>
      </c>
      <c r="Q50" s="15">
        <f t="shared" si="0"/>
        <v>7.4079166666666678</v>
      </c>
      <c r="R50" s="15">
        <v>0</v>
      </c>
      <c r="S50" s="15">
        <v>0</v>
      </c>
      <c r="T50" s="160">
        <f t="shared" si="1"/>
        <v>20090.270000000004</v>
      </c>
      <c r="V50" s="289">
        <f>'Varmepumpeberegning VP1'!W38</f>
        <v>3.0756133144315161</v>
      </c>
      <c r="W50" s="289">
        <f>'Varmepumpeberegning VP1'!X38</f>
        <v>9.3066898143930423</v>
      </c>
      <c r="X50" s="289">
        <f t="shared" si="2"/>
        <v>46.906085468567859</v>
      </c>
      <c r="Y50" s="15">
        <f>MAX(0,MIN('Potentiel produktion'!C37*$D$3,N50))</f>
        <v>0</v>
      </c>
      <c r="Z50" s="15">
        <f t="shared" si="4"/>
        <v>7.4079166666666678</v>
      </c>
      <c r="AA50" s="16">
        <f t="shared" si="3"/>
        <v>0</v>
      </c>
      <c r="AB50" s="16">
        <v>0</v>
      </c>
      <c r="AC50" s="16">
        <v>0</v>
      </c>
      <c r="AD50" s="145">
        <f>(Y50*$H$3+Z50*'Varmepumpeberegning VP1'!Z38+AA50*$H$5+AB50*$H$6+AC50*$H$7)*24</f>
        <v>8339.4329354566817</v>
      </c>
      <c r="AF50" s="16">
        <f>Z50*'Varmepumpeberegning VP1'!Z38*24</f>
        <v>8339.4329354566817</v>
      </c>
      <c r="AG50" s="20">
        <f>(Z50/'Varmepumpeberegning VP1'!W38)*24</f>
        <v>57.806356594233307</v>
      </c>
      <c r="AH50" s="17">
        <f t="shared" si="5"/>
        <v>46.906085468567859</v>
      </c>
      <c r="AI50" s="15">
        <f>'Varmepumpeberegning VP1'!X38-'Systemberegning VP1'!Z50</f>
        <v>1.8987731477263745</v>
      </c>
    </row>
    <row r="51" spans="1:35" x14ac:dyDescent="0.25">
      <c r="A51" s="51">
        <v>10</v>
      </c>
      <c r="B51" s="36">
        <f t="shared" si="6"/>
        <v>2827913.587308717</v>
      </c>
      <c r="C51" s="27">
        <f t="shared" si="7"/>
        <v>2004761.1455886418</v>
      </c>
      <c r="D51" s="27"/>
      <c r="J51" s="13"/>
      <c r="K51">
        <v>2</v>
      </c>
      <c r="L51">
        <v>36</v>
      </c>
      <c r="M51" s="310">
        <v>0.66451250000000028</v>
      </c>
      <c r="N51" s="15">
        <v>6.9393916666666664</v>
      </c>
      <c r="P51" s="15">
        <f>MAX(0,MIN('Potentiel produktion'!C38*$D$3,N51))</f>
        <v>0</v>
      </c>
      <c r="Q51" s="15">
        <f t="shared" si="0"/>
        <v>6.9393916666666664</v>
      </c>
      <c r="R51" s="15">
        <v>0</v>
      </c>
      <c r="S51" s="15">
        <v>0</v>
      </c>
      <c r="T51" s="160">
        <f t="shared" si="1"/>
        <v>18819.6302</v>
      </c>
      <c r="V51" s="289">
        <f>'Varmepumpeberegning VP1'!W39</f>
        <v>3.0756133144315161</v>
      </c>
      <c r="W51" s="289">
        <f>'Varmepumpeberegning VP1'!X39</f>
        <v>9.3066898143930423</v>
      </c>
      <c r="X51" s="289">
        <f t="shared" si="2"/>
        <v>46.906085468567859</v>
      </c>
      <c r="Y51" s="15">
        <f>MAX(0,MIN('Potentiel produktion'!C38*$D$3,N51))</f>
        <v>0</v>
      </c>
      <c r="Z51" s="15">
        <f t="shared" si="4"/>
        <v>6.9393916666666664</v>
      </c>
      <c r="AA51" s="16">
        <f t="shared" si="3"/>
        <v>0</v>
      </c>
      <c r="AB51" s="16">
        <v>0</v>
      </c>
      <c r="AC51" s="16">
        <v>0</v>
      </c>
      <c r="AD51" s="145">
        <f>(Y51*$H$3+Z51*'Varmepumpeberegning VP1'!Z39+AA51*$H$5+AB51*$H$6+AC51*$H$7)*24</f>
        <v>7811.9927667968204</v>
      </c>
      <c r="AF51" s="16">
        <f>Z51*'Varmepumpeberegning VP1'!Z39*24</f>
        <v>7811.9927667968204</v>
      </c>
      <c r="AG51" s="20">
        <f>(Z51/'Varmepumpeberegning VP1'!W39)*24</f>
        <v>54.150305312611636</v>
      </c>
      <c r="AH51" s="17">
        <f t="shared" si="5"/>
        <v>46.906085468567852</v>
      </c>
      <c r="AI51" s="15">
        <f>'Varmepumpeberegning VP1'!X39-'Systemberegning VP1'!Z51</f>
        <v>2.3672981477263759</v>
      </c>
    </row>
    <row r="52" spans="1:35" x14ac:dyDescent="0.25">
      <c r="A52" s="51">
        <v>11</v>
      </c>
      <c r="B52" s="36">
        <f t="shared" si="6"/>
        <v>2827913.587308717</v>
      </c>
      <c r="C52" s="27">
        <f t="shared" si="7"/>
        <v>1936967.2904238086</v>
      </c>
      <c r="D52" s="27"/>
      <c r="J52" s="13"/>
      <c r="K52">
        <v>2</v>
      </c>
      <c r="L52">
        <v>37</v>
      </c>
      <c r="M52" s="310">
        <v>0.73008750000000022</v>
      </c>
      <c r="N52" s="15">
        <v>6.703358333333334</v>
      </c>
      <c r="P52" s="15">
        <f>MAX(0,MIN('Potentiel produktion'!C39*$D$3,N52))</f>
        <v>0</v>
      </c>
      <c r="Q52" s="15">
        <f t="shared" si="0"/>
        <v>6.703358333333334</v>
      </c>
      <c r="R52" s="15">
        <v>0</v>
      </c>
      <c r="S52" s="15">
        <v>0</v>
      </c>
      <c r="T52" s="160">
        <f t="shared" si="1"/>
        <v>18179.507799999999</v>
      </c>
      <c r="V52" s="289">
        <f>'Varmepumpeberegning VP1'!W40</f>
        <v>3.0756133144315161</v>
      </c>
      <c r="W52" s="289">
        <f>'Varmepumpeberegning VP1'!X40</f>
        <v>9.3066898143930423</v>
      </c>
      <c r="X52" s="289">
        <f t="shared" si="2"/>
        <v>46.906085468567859</v>
      </c>
      <c r="Y52" s="15">
        <f>MAX(0,MIN('Potentiel produktion'!C39*$D$3,N52))</f>
        <v>0</v>
      </c>
      <c r="Z52" s="15">
        <f t="shared" si="4"/>
        <v>6.703358333333334</v>
      </c>
      <c r="AA52" s="16">
        <f t="shared" si="3"/>
        <v>0</v>
      </c>
      <c r="AB52" s="16">
        <v>0</v>
      </c>
      <c r="AC52" s="16">
        <v>0</v>
      </c>
      <c r="AD52" s="145">
        <f>(Y52*$H$3+Z52*'Varmepumpeberegning VP1'!Z40+AA52*$H$5+AB52*$H$6+AC52*$H$7)*24</f>
        <v>7546.2791738344795</v>
      </c>
      <c r="AF52" s="16">
        <f>Z52*'Varmepumpeberegning VP1'!Z40*24</f>
        <v>7546.2791738344795</v>
      </c>
      <c r="AG52" s="20">
        <f>(Z52/'Varmepumpeberegning VP1'!W40)*24</f>
        <v>52.308461289691266</v>
      </c>
      <c r="AH52" s="17">
        <f t="shared" si="5"/>
        <v>46.906085468567859</v>
      </c>
      <c r="AI52" s="15">
        <f>'Varmepumpeberegning VP1'!X40-'Systemberegning VP1'!Z52</f>
        <v>2.6033314810597084</v>
      </c>
    </row>
    <row r="53" spans="1:35" x14ac:dyDescent="0.25">
      <c r="A53" s="51">
        <v>12</v>
      </c>
      <c r="B53" s="36">
        <f t="shared" si="6"/>
        <v>2827913.587308717</v>
      </c>
      <c r="C53" s="27">
        <f t="shared" si="7"/>
        <v>1871465.9810858055</v>
      </c>
      <c r="D53" s="27"/>
      <c r="J53" s="13"/>
      <c r="K53">
        <v>2</v>
      </c>
      <c r="L53">
        <v>38</v>
      </c>
      <c r="M53" s="310">
        <v>0.74416250000000028</v>
      </c>
      <c r="N53" s="15">
        <v>10.698179166666668</v>
      </c>
      <c r="P53" s="15">
        <f>MAX(0,MIN('Potentiel produktion'!C40*$D$3,N53))</f>
        <v>0</v>
      </c>
      <c r="Q53" s="15">
        <f t="shared" si="0"/>
        <v>10.698179166666668</v>
      </c>
      <c r="R53" s="15">
        <v>0</v>
      </c>
      <c r="S53" s="15">
        <v>0</v>
      </c>
      <c r="T53" s="160">
        <f t="shared" si="1"/>
        <v>29013.461900000002</v>
      </c>
      <c r="V53" s="289">
        <f>'Varmepumpeberegning VP1'!W41</f>
        <v>2.9129328437623547</v>
      </c>
      <c r="W53" s="289">
        <f>'Varmepumpeberegning VP1'!X41</f>
        <v>8.9194883596172705</v>
      </c>
      <c r="X53" s="289">
        <f t="shared" si="2"/>
        <v>49.428261889997998</v>
      </c>
      <c r="Y53" s="15">
        <f>MAX(0,MIN('Potentiel produktion'!C40*$D$3,N53))</f>
        <v>0</v>
      </c>
      <c r="Z53" s="15">
        <f t="shared" si="4"/>
        <v>8.9194883596172705</v>
      </c>
      <c r="AA53" s="16">
        <f t="shared" si="3"/>
        <v>1.7786908070493972</v>
      </c>
      <c r="AB53" s="16">
        <v>0</v>
      </c>
      <c r="AC53" s="16">
        <v>0</v>
      </c>
      <c r="AD53" s="145">
        <f>(Y53*$H$3+Z53*'Varmepumpeberegning VP1'!Z41+AA53*$H$5+AB53*$H$6+AC53*$H$7)*24</f>
        <v>15404.804826252792</v>
      </c>
      <c r="AF53" s="16">
        <f>Z53*'Varmepumpeberegning VP1'!Z41*24</f>
        <v>10580.995357534826</v>
      </c>
      <c r="AG53" s="20">
        <f>(Z53/'Varmepumpeberegning VP1'!W41)*24</f>
        <v>73.488724976688388</v>
      </c>
      <c r="AH53" s="17">
        <f t="shared" si="5"/>
        <v>49.428261889997998</v>
      </c>
      <c r="AI53" s="15">
        <f>'Varmepumpeberegning VP1'!X41-'Systemberegning VP1'!Z53</f>
        <v>0</v>
      </c>
    </row>
    <row r="54" spans="1:35" x14ac:dyDescent="0.25">
      <c r="A54" s="51">
        <v>13</v>
      </c>
      <c r="B54" s="36">
        <f t="shared" si="6"/>
        <v>2827913.587308717</v>
      </c>
      <c r="C54" s="27">
        <f t="shared" si="7"/>
        <v>1808179.6918703439</v>
      </c>
      <c r="D54" s="27"/>
      <c r="J54" s="13"/>
      <c r="K54">
        <v>2</v>
      </c>
      <c r="L54">
        <v>39</v>
      </c>
      <c r="M54" s="310">
        <v>0.71234999999999971</v>
      </c>
      <c r="N54" s="15">
        <v>13.146508333333337</v>
      </c>
      <c r="P54" s="15">
        <f>MAX(0,MIN('Potentiel produktion'!C41*$D$3,N54))</f>
        <v>0</v>
      </c>
      <c r="Q54" s="15">
        <f t="shared" si="0"/>
        <v>13.146508333333337</v>
      </c>
      <c r="R54" s="15">
        <v>0</v>
      </c>
      <c r="S54" s="15">
        <v>0</v>
      </c>
      <c r="T54" s="160">
        <f t="shared" si="1"/>
        <v>35653.330600000008</v>
      </c>
      <c r="V54" s="289">
        <f>'Varmepumpeberegning VP1'!W42</f>
        <v>2.7801824984496553</v>
      </c>
      <c r="W54" s="289">
        <f>'Varmepumpeberegning VP1'!X42</f>
        <v>8.6254633211387688</v>
      </c>
      <c r="X54" s="289">
        <f t="shared" si="2"/>
        <v>51.705110358037601</v>
      </c>
      <c r="Y54" s="15">
        <f>MAX(0,MIN('Potentiel produktion'!C41*$D$3,N54))</f>
        <v>0</v>
      </c>
      <c r="Z54" s="15">
        <f t="shared" si="4"/>
        <v>8.6254633211387688</v>
      </c>
      <c r="AA54" s="16">
        <f t="shared" si="3"/>
        <v>4.521045012194568</v>
      </c>
      <c r="AB54" s="16">
        <v>0</v>
      </c>
      <c r="AC54" s="16">
        <v>0</v>
      </c>
      <c r="AD54" s="145">
        <f>(Y54*$H$3+Z54*'Varmepumpeberegning VP1'!Z42+AA54*$H$5+AB54*$H$6+AC54*$H$7)*24</f>
        <v>22964.606862880122</v>
      </c>
      <c r="AF54" s="16">
        <f>Z54*'Varmepumpeberegning VP1'!Z42*24</f>
        <v>10703.532789808454</v>
      </c>
      <c r="AG54" s="20">
        <f>(Z54/'Varmepumpeberegning VP1'!W42)*24</f>
        <v>74.459543509380566</v>
      </c>
      <c r="AH54" s="17">
        <f t="shared" si="5"/>
        <v>51.705110358037608</v>
      </c>
      <c r="AI54" s="15">
        <f>'Varmepumpeberegning VP1'!X42-'Systemberegning VP1'!Z54</f>
        <v>0</v>
      </c>
    </row>
    <row r="55" spans="1:35" x14ac:dyDescent="0.25">
      <c r="A55" s="51">
        <v>14</v>
      </c>
      <c r="B55" s="36">
        <f t="shared" si="6"/>
        <v>2827913.587308717</v>
      </c>
      <c r="C55" s="273">
        <f t="shared" si="7"/>
        <v>1747033.5187153078</v>
      </c>
      <c r="D55" s="27"/>
      <c r="J55" s="13"/>
      <c r="K55">
        <v>2</v>
      </c>
      <c r="L55">
        <v>40</v>
      </c>
      <c r="M55" s="310">
        <v>0.77078749999999963</v>
      </c>
      <c r="N55" s="15">
        <v>8.5316749999999999</v>
      </c>
      <c r="P55" s="15">
        <f>MAX(0,MIN('Potentiel produktion'!C42*$D$3,N55))</f>
        <v>0</v>
      </c>
      <c r="Q55" s="15">
        <f t="shared" si="0"/>
        <v>8.5316749999999999</v>
      </c>
      <c r="R55" s="15">
        <v>0</v>
      </c>
      <c r="S55" s="15">
        <v>0</v>
      </c>
      <c r="T55" s="160">
        <f t="shared" si="1"/>
        <v>23137.902599999998</v>
      </c>
      <c r="V55" s="289">
        <f>'Varmepumpeberegning VP1'!W43</f>
        <v>2.9902597151633996</v>
      </c>
      <c r="W55" s="289">
        <f>'Varmepumpeberegning VP1'!X43</f>
        <v>9.0968473264176914</v>
      </c>
      <c r="X55" s="289">
        <f t="shared" si="2"/>
        <v>48.195176072664189</v>
      </c>
      <c r="Y55" s="15">
        <f>MAX(0,MIN('Potentiel produktion'!C42*$D$3,N55))</f>
        <v>0</v>
      </c>
      <c r="Z55" s="15">
        <f t="shared" si="4"/>
        <v>8.5316749999999999</v>
      </c>
      <c r="AA55" s="16">
        <f t="shared" si="3"/>
        <v>0</v>
      </c>
      <c r="AB55" s="16">
        <v>0</v>
      </c>
      <c r="AC55" s="16">
        <v>0</v>
      </c>
      <c r="AD55" s="145">
        <f>(Y55*$H$3+Z55*'Varmepumpeberegning VP1'!Z43+AA55*$H$5+AB55*$H$6+AC55*$H$7)*24</f>
        <v>9868.4538916739348</v>
      </c>
      <c r="AF55" s="16">
        <f>Z55*'Varmepumpeberegning VP1'!Z43*24</f>
        <v>9868.4538916739348</v>
      </c>
      <c r="AG55" s="20">
        <f>(Z55/'Varmepumpeberegning VP1'!W43)*24</f>
        <v>68.475724353197563</v>
      </c>
      <c r="AH55" s="17">
        <f t="shared" si="5"/>
        <v>48.195176072664196</v>
      </c>
      <c r="AI55" s="15">
        <f>'Varmepumpeberegning VP1'!X43-'Systemberegning VP1'!Z55</f>
        <v>0.56517232641769155</v>
      </c>
    </row>
    <row r="56" spans="1:35" x14ac:dyDescent="0.25">
      <c r="A56" s="307">
        <v>15</v>
      </c>
      <c r="B56" s="138">
        <f t="shared" si="6"/>
        <v>2827913.587308717</v>
      </c>
      <c r="C56" s="40">
        <f t="shared" si="7"/>
        <v>1687955.0905461914</v>
      </c>
      <c r="D56" s="27"/>
      <c r="J56" s="13"/>
      <c r="K56">
        <v>2</v>
      </c>
      <c r="L56">
        <v>41</v>
      </c>
      <c r="M56" s="310">
        <v>0.85850000000000015</v>
      </c>
      <c r="N56" s="15">
        <v>6.5976750000000015</v>
      </c>
      <c r="P56" s="15">
        <f>MAX(0,MIN('Potentiel produktion'!C43*$D$3,N56))</f>
        <v>0</v>
      </c>
      <c r="Q56" s="15">
        <f t="shared" si="0"/>
        <v>6.5976750000000015</v>
      </c>
      <c r="R56" s="15">
        <v>0</v>
      </c>
      <c r="S56" s="15">
        <v>0</v>
      </c>
      <c r="T56" s="160">
        <f t="shared" si="1"/>
        <v>17892.894600000003</v>
      </c>
      <c r="V56" s="289">
        <f>'Varmepumpeberegning VP1'!W44</f>
        <v>3.0756133144315161</v>
      </c>
      <c r="W56" s="289">
        <f>'Varmepumpeberegning VP1'!X44</f>
        <v>9.3066898143930423</v>
      </c>
      <c r="X56" s="289">
        <f t="shared" si="2"/>
        <v>46.906085468567859</v>
      </c>
      <c r="Y56" s="15">
        <f>MAX(0,MIN('Potentiel produktion'!C43*$D$3,N56))</f>
        <v>0</v>
      </c>
      <c r="Z56" s="15">
        <f t="shared" si="4"/>
        <v>6.5976750000000015</v>
      </c>
      <c r="AA56" s="16">
        <f t="shared" si="3"/>
        <v>0</v>
      </c>
      <c r="AB56" s="16">
        <v>0</v>
      </c>
      <c r="AC56" s="16">
        <v>0</v>
      </c>
      <c r="AD56" s="145">
        <f>(Y56*$H$3+Z56*'Varmepumpeberegning VP1'!Z44+AA56*$H$5+AB56*$H$6+AC56*$H$7)*24</f>
        <v>7427.3065786520056</v>
      </c>
      <c r="AF56" s="16">
        <f>Z56*'Varmepumpeberegning VP1'!Z44*24</f>
        <v>7427.3065786520056</v>
      </c>
      <c r="AG56" s="20">
        <f>(Z56/'Varmepumpeberegning VP1'!W44)*24</f>
        <v>51.483780245393994</v>
      </c>
      <c r="AH56" s="17">
        <f t="shared" si="5"/>
        <v>46.906085468567859</v>
      </c>
      <c r="AI56" s="15">
        <f>'Varmepumpeberegning VP1'!X44-'Systemberegning VP1'!Z56</f>
        <v>2.7090148143930408</v>
      </c>
    </row>
    <row r="57" spans="1:35" x14ac:dyDescent="0.25">
      <c r="C57" s="36">
        <f>SUM(C42:C56)</f>
        <v>32570242.764643658</v>
      </c>
      <c r="D57" s="36"/>
      <c r="J57" s="13"/>
      <c r="K57">
        <v>2</v>
      </c>
      <c r="L57">
        <v>42</v>
      </c>
      <c r="M57" s="310">
        <v>0.83517500000000011</v>
      </c>
      <c r="N57" s="15">
        <v>7.6298458333333334</v>
      </c>
      <c r="P57" s="15">
        <f>MAX(0,MIN('Potentiel produktion'!C44*$D$3,N57))</f>
        <v>0</v>
      </c>
      <c r="Q57" s="15">
        <f t="shared" si="0"/>
        <v>7.6298458333333334</v>
      </c>
      <c r="R57" s="15">
        <v>0</v>
      </c>
      <c r="S57" s="15">
        <v>0</v>
      </c>
      <c r="T57" s="160">
        <f t="shared" si="1"/>
        <v>20692.141899999999</v>
      </c>
      <c r="V57" s="289">
        <f>'Varmepumpeberegning VP1'!W45</f>
        <v>3.0328225996421248</v>
      </c>
      <c r="W57" s="289">
        <f>'Varmepumpeberegning VP1'!X45</f>
        <v>9.2017685704053669</v>
      </c>
      <c r="X57" s="289">
        <f t="shared" si="2"/>
        <v>47.54328147744701</v>
      </c>
      <c r="Y57" s="15">
        <f>MAX(0,MIN('Potentiel produktion'!C44*$D$3,N57))</f>
        <v>0</v>
      </c>
      <c r="Z57" s="15">
        <f t="shared" si="4"/>
        <v>7.6298458333333334</v>
      </c>
      <c r="AA57" s="16">
        <f t="shared" si="3"/>
        <v>0</v>
      </c>
      <c r="AB57" s="16">
        <v>0</v>
      </c>
      <c r="AC57" s="16">
        <v>0</v>
      </c>
      <c r="AD57" s="145">
        <f>(Y57*$H$3+Z57*'Varmepumpeberegning VP1'!Z45+AA57*$H$5+AB57*$H$6+AC57*$H$7)*24</f>
        <v>8705.9497940086312</v>
      </c>
      <c r="AF57" s="16">
        <f>Z57*'Varmepumpeberegning VP1'!Z45*24</f>
        <v>8705.9497940086312</v>
      </c>
      <c r="AG57" s="20">
        <f>(Z57/'Varmepumpeberegning VP1'!W45)*24</f>
        <v>60.378177088764723</v>
      </c>
      <c r="AH57" s="17">
        <f t="shared" si="5"/>
        <v>47.543281477447017</v>
      </c>
      <c r="AI57" s="15">
        <f>'Varmepumpeberegning VP1'!X45-'Systemberegning VP1'!Z57</f>
        <v>1.5719227370720334</v>
      </c>
    </row>
    <row r="58" spans="1:35" x14ac:dyDescent="0.25">
      <c r="C58" s="99">
        <f>C57+C41</f>
        <v>19291131.5809968</v>
      </c>
      <c r="J58" s="13"/>
      <c r="K58">
        <v>2</v>
      </c>
      <c r="L58">
        <v>43</v>
      </c>
      <c r="M58" s="310">
        <v>0.8204750000000004</v>
      </c>
      <c r="N58" s="15">
        <v>8.7641958333333339</v>
      </c>
      <c r="P58" s="15">
        <f>MAX(0,MIN('Potentiel produktion'!C45*$D$3,N58))</f>
        <v>0</v>
      </c>
      <c r="Q58" s="15">
        <f t="shared" si="0"/>
        <v>8.7641958333333339</v>
      </c>
      <c r="R58" s="15">
        <v>0</v>
      </c>
      <c r="S58" s="15">
        <v>0</v>
      </c>
      <c r="T58" s="160">
        <f t="shared" si="1"/>
        <v>23768.499100000001</v>
      </c>
      <c r="V58" s="289">
        <f>'Varmepumpeberegning VP1'!W46</f>
        <v>2.9902597151633996</v>
      </c>
      <c r="W58" s="289">
        <f>'Varmepumpeberegning VP1'!X46</f>
        <v>9.0968473264176914</v>
      </c>
      <c r="X58" s="289">
        <f t="shared" si="2"/>
        <v>48.195176072664189</v>
      </c>
      <c r="Y58" s="15">
        <f>MAX(0,MIN('Potentiel produktion'!C45*$D$3,N58))</f>
        <v>0</v>
      </c>
      <c r="Z58" s="15">
        <f t="shared" si="4"/>
        <v>8.7641958333333339</v>
      </c>
      <c r="AA58" s="16">
        <f t="shared" si="3"/>
        <v>0</v>
      </c>
      <c r="AB58" s="16">
        <v>0</v>
      </c>
      <c r="AC58" s="16">
        <v>0</v>
      </c>
      <c r="AD58" s="145">
        <f>(Y58*$H$3+Z58*'Varmepumpeberegning VP1'!Z46+AA58*$H$5+AB58*$H$6+AC58*$H$7)*24</f>
        <v>10137.407071747437</v>
      </c>
      <c r="AF58" s="16">
        <f>Z58*'Varmepumpeberegning VP1'!Z46*24</f>
        <v>10137.407071747437</v>
      </c>
      <c r="AG58" s="20">
        <f>(Z58/'Varmepumpeberegning VP1'!W46)*24</f>
        <v>70.34195021033689</v>
      </c>
      <c r="AH58" s="17">
        <f t="shared" si="5"/>
        <v>48.195176072664189</v>
      </c>
      <c r="AI58" s="15">
        <f>'Varmepumpeberegning VP1'!X46-'Systemberegning VP1'!Z58</f>
        <v>0.3326514930843576</v>
      </c>
    </row>
    <row r="59" spans="1:35" x14ac:dyDescent="0.25">
      <c r="A59" s="272"/>
      <c r="B59" s="36"/>
      <c r="C59" s="273"/>
      <c r="J59" s="13"/>
      <c r="K59">
        <v>2</v>
      </c>
      <c r="L59">
        <v>44</v>
      </c>
      <c r="M59" s="310">
        <v>0.73424999999999985</v>
      </c>
      <c r="N59" s="15">
        <v>8.9896458333333324</v>
      </c>
      <c r="P59" s="15">
        <f>MAX(0,MIN('Potentiel produktion'!C46*$D$3,N59))</f>
        <v>0</v>
      </c>
      <c r="Q59" s="15">
        <f t="shared" si="0"/>
        <v>8.9896458333333324</v>
      </c>
      <c r="R59" s="15">
        <v>0</v>
      </c>
      <c r="S59" s="15">
        <v>0</v>
      </c>
      <c r="T59" s="160">
        <f t="shared" si="1"/>
        <v>24379.919499999996</v>
      </c>
      <c r="V59" s="289">
        <f>'Varmepumpeberegning VP1'!W47</f>
        <v>2.9902597151633996</v>
      </c>
      <c r="W59" s="289">
        <f>'Varmepumpeberegning VP1'!X47</f>
        <v>9.0968473264176914</v>
      </c>
      <c r="X59" s="289">
        <f t="shared" si="2"/>
        <v>48.195176072664189</v>
      </c>
      <c r="Y59" s="15">
        <f>MAX(0,MIN('Potentiel produktion'!C46*$D$3,N59))</f>
        <v>0</v>
      </c>
      <c r="Z59" s="15">
        <f t="shared" si="4"/>
        <v>8.9896458333333324</v>
      </c>
      <c r="AA59" s="16">
        <f t="shared" si="3"/>
        <v>0</v>
      </c>
      <c r="AB59" s="16">
        <v>0</v>
      </c>
      <c r="AC59" s="16">
        <v>0</v>
      </c>
      <c r="AD59" s="145">
        <f>(Y59*$H$3+Z59*'Varmepumpeberegning VP1'!Z47+AA59*$H$5+AB59*$H$6+AC59*$H$7)*24</f>
        <v>10398.181530441407</v>
      </c>
      <c r="AF59" s="16">
        <f>Z59*'Varmepumpeberegning VP1'!Z47*24</f>
        <v>10398.181530441407</v>
      </c>
      <c r="AG59" s="20">
        <f>(Z59/'Varmepumpeberegning VP1'!W47)*24</f>
        <v>72.151425144090027</v>
      </c>
      <c r="AH59" s="17">
        <f t="shared" si="5"/>
        <v>48.195176072664189</v>
      </c>
      <c r="AI59" s="15">
        <f>'Varmepumpeberegning VP1'!X47-'Systemberegning VP1'!Z59</f>
        <v>0.107201493084359</v>
      </c>
    </row>
    <row r="60" spans="1:35" x14ac:dyDescent="0.25">
      <c r="A60" s="51"/>
      <c r="B60" s="36"/>
      <c r="C60" s="273"/>
      <c r="J60" s="13"/>
      <c r="K60">
        <v>2</v>
      </c>
      <c r="L60">
        <v>45</v>
      </c>
      <c r="M60" s="310">
        <v>0.72282499999999983</v>
      </c>
      <c r="N60" s="15">
        <v>6.4884750000000002</v>
      </c>
      <c r="P60" s="15">
        <f>MAX(0,MIN('Potentiel produktion'!C47*$D$3,N60))</f>
        <v>0</v>
      </c>
      <c r="Q60" s="15">
        <f t="shared" si="0"/>
        <v>6.4884750000000002</v>
      </c>
      <c r="R60" s="15">
        <v>0</v>
      </c>
      <c r="S60" s="15">
        <v>0</v>
      </c>
      <c r="T60" s="160">
        <f t="shared" si="1"/>
        <v>17596.744200000001</v>
      </c>
      <c r="V60" s="289">
        <f>'Varmepumpeberegning VP1'!W48</f>
        <v>3.1186336937333676</v>
      </c>
      <c r="W60" s="289">
        <f>'Varmepumpeberegning VP1'!X48</f>
        <v>9.4116110583807178</v>
      </c>
      <c r="X60" s="289">
        <f t="shared" si="2"/>
        <v>46.283096463675768</v>
      </c>
      <c r="Y60" s="15">
        <f>MAX(0,MIN('Potentiel produktion'!C47*$D$3,N60))</f>
        <v>0</v>
      </c>
      <c r="Z60" s="15">
        <f t="shared" si="4"/>
        <v>6.4884750000000002</v>
      </c>
      <c r="AA60" s="16">
        <f t="shared" si="3"/>
        <v>0</v>
      </c>
      <c r="AB60" s="16">
        <v>0</v>
      </c>
      <c r="AC60" s="16">
        <v>0</v>
      </c>
      <c r="AD60" s="145">
        <f>(Y60*$H$3+Z60*'Varmepumpeberegning VP1'!Z48+AA60*$H$5+AB60*$H$6+AC60*$H$7)*24</f>
        <v>7207.3611438515672</v>
      </c>
      <c r="AF60" s="16">
        <f>Z60*'Varmepumpeberegning VP1'!Z48*24</f>
        <v>7207.3611438515672</v>
      </c>
      <c r="AG60" s="20">
        <f>(Z60/'Varmepumpeberegning VP1'!W48)*24</f>
        <v>49.933212840261774</v>
      </c>
      <c r="AH60" s="17">
        <f t="shared" si="5"/>
        <v>46.283096463675768</v>
      </c>
      <c r="AI60" s="15">
        <f>'Varmepumpeberegning VP1'!X48-'Systemberegning VP1'!Z60</f>
        <v>2.9231360583807176</v>
      </c>
    </row>
    <row r="61" spans="1:35" x14ac:dyDescent="0.25">
      <c r="J61" s="13"/>
      <c r="K61">
        <v>2</v>
      </c>
      <c r="L61">
        <v>46</v>
      </c>
      <c r="M61" s="310">
        <v>0.80428749999999993</v>
      </c>
      <c r="N61" s="15">
        <v>4.7447041666666667</v>
      </c>
      <c r="P61" s="15">
        <f>MAX(0,MIN('Potentiel produktion'!C48*$D$3,N61))</f>
        <v>0</v>
      </c>
      <c r="Q61" s="15">
        <f t="shared" si="0"/>
        <v>4.7447041666666667</v>
      </c>
      <c r="R61" s="15">
        <v>0</v>
      </c>
      <c r="S61" s="15">
        <v>0</v>
      </c>
      <c r="T61" s="160">
        <f t="shared" si="1"/>
        <v>12867.637700000001</v>
      </c>
      <c r="V61" s="289">
        <f>'Varmepumpeberegning VP1'!W49</f>
        <v>3.2053708816573461</v>
      </c>
      <c r="W61" s="289">
        <f>'Varmepumpeberegning VP1'!X49</f>
        <v>9.6214535463560686</v>
      </c>
      <c r="X61" s="289">
        <f t="shared" si="2"/>
        <v>45.077880349837372</v>
      </c>
      <c r="Y61" s="15">
        <f>MAX(0,MIN('Potentiel produktion'!C48*$D$3,N61))</f>
        <v>0</v>
      </c>
      <c r="Z61" s="15">
        <f t="shared" si="4"/>
        <v>4.7447041666666667</v>
      </c>
      <c r="AA61" s="16">
        <f t="shared" si="3"/>
        <v>0</v>
      </c>
      <c r="AB61" s="16">
        <v>0</v>
      </c>
      <c r="AC61" s="16">
        <v>0</v>
      </c>
      <c r="AD61" s="145">
        <f>(Y61*$H$3+Z61*'Varmepumpeberegning VP1'!Z49+AA61*$H$5+AB61*$H$6+AC61*$H$7)*24</f>
        <v>5133.1489612889964</v>
      </c>
      <c r="AF61" s="16">
        <f>Z61*'Varmepumpeberegning VP1'!Z49*24</f>
        <v>5133.1489612889964</v>
      </c>
      <c r="AG61" s="20">
        <f>(Z61/'Varmepumpeberegning VP1'!W49)*24</f>
        <v>35.52565497229503</v>
      </c>
      <c r="AH61" s="17">
        <f t="shared" si="5"/>
        <v>45.077880349837379</v>
      </c>
      <c r="AI61" s="15">
        <f>'Varmepumpeberegning VP1'!X49-'Systemberegning VP1'!Z61</f>
        <v>4.8767493796894019</v>
      </c>
    </row>
    <row r="62" spans="1:35" x14ac:dyDescent="0.25">
      <c r="J62" s="13"/>
      <c r="K62">
        <v>2</v>
      </c>
      <c r="L62">
        <v>47</v>
      </c>
      <c r="M62" s="310">
        <v>0.76411250000000042</v>
      </c>
      <c r="N62" s="15">
        <v>6.0445999999999991</v>
      </c>
      <c r="P62" s="15">
        <f>MAX(0,MIN('Potentiel produktion'!C49*$D$3,N62))</f>
        <v>0</v>
      </c>
      <c r="Q62" s="15">
        <f t="shared" si="0"/>
        <v>6.0445999999999991</v>
      </c>
      <c r="R62" s="15">
        <v>0</v>
      </c>
      <c r="S62" s="15">
        <v>0</v>
      </c>
      <c r="T62" s="160">
        <f t="shared" si="1"/>
        <v>16392.955199999997</v>
      </c>
      <c r="V62" s="289">
        <f>'Varmepumpeberegning VP1'!W50</f>
        <v>3.1186336937333676</v>
      </c>
      <c r="W62" s="289">
        <f>'Varmepumpeberegning VP1'!X50</f>
        <v>9.4116110583807178</v>
      </c>
      <c r="X62" s="289">
        <f t="shared" si="2"/>
        <v>46.283096463675768</v>
      </c>
      <c r="Y62" s="15">
        <f>MAX(0,MIN('Potentiel produktion'!C49*$D$3,N62))</f>
        <v>0</v>
      </c>
      <c r="Z62" s="15">
        <f t="shared" si="4"/>
        <v>6.0445999999999991</v>
      </c>
      <c r="AA62" s="16">
        <f t="shared" si="3"/>
        <v>0</v>
      </c>
      <c r="AB62" s="16">
        <v>0</v>
      </c>
      <c r="AC62" s="16">
        <v>0</v>
      </c>
      <c r="AD62" s="145">
        <f>(Y62*$H$3+Z62*'Varmepumpeberegning VP1'!Z50+AA62*$H$5+AB62*$H$6+AC62*$H$7)*24</f>
        <v>6714.3073172240283</v>
      </c>
      <c r="AF62" s="16">
        <f>Z62*'Varmepumpeberegning VP1'!Z50*24</f>
        <v>6714.3073172240283</v>
      </c>
      <c r="AG62" s="20">
        <f>(Z62/'Varmepumpeberegning VP1'!W50)*24</f>
        <v>46.51729386862803</v>
      </c>
      <c r="AH62" s="17">
        <f t="shared" si="5"/>
        <v>46.283096463675768</v>
      </c>
      <c r="AI62" s="15">
        <f>'Varmepumpeberegning VP1'!X50-'Systemberegning VP1'!Z62</f>
        <v>3.3670110583807187</v>
      </c>
    </row>
    <row r="63" spans="1:35" x14ac:dyDescent="0.25">
      <c r="J63" s="13"/>
      <c r="K63">
        <v>2</v>
      </c>
      <c r="L63">
        <v>48</v>
      </c>
      <c r="M63" s="310">
        <v>0.6571125000000001</v>
      </c>
      <c r="N63" s="15">
        <v>7.3726833333333337</v>
      </c>
      <c r="P63" s="15">
        <f>MAX(0,MIN('Potentiel produktion'!C50*$D$3,N63))</f>
        <v>0</v>
      </c>
      <c r="Q63" s="15">
        <f t="shared" si="0"/>
        <v>7.3726833333333337</v>
      </c>
      <c r="R63" s="15">
        <v>0</v>
      </c>
      <c r="S63" s="15">
        <v>0</v>
      </c>
      <c r="T63" s="160">
        <f t="shared" si="1"/>
        <v>19994.717200000003</v>
      </c>
      <c r="V63" s="289">
        <f>'Varmepumpeberegning VP1'!W51</f>
        <v>3.0756133144315161</v>
      </c>
      <c r="W63" s="289">
        <f>'Varmepumpeberegning VP1'!X51</f>
        <v>9.3066898143930423</v>
      </c>
      <c r="X63" s="289">
        <f t="shared" si="2"/>
        <v>46.906085468567859</v>
      </c>
      <c r="Y63" s="15">
        <f>MAX(0,MIN('Potentiel produktion'!C50*$D$3,N63))</f>
        <v>0</v>
      </c>
      <c r="Z63" s="15">
        <f t="shared" si="4"/>
        <v>7.3726833333333337</v>
      </c>
      <c r="AA63" s="16">
        <f t="shared" si="3"/>
        <v>0</v>
      </c>
      <c r="AB63" s="16">
        <v>0</v>
      </c>
      <c r="AC63" s="16">
        <v>0</v>
      </c>
      <c r="AD63" s="145">
        <f>(Y63*$H$3+Z63*'Varmepumpeberegning VP1'!Z51+AA63*$H$5+AB63*$H$6+AC63*$H$7)*24</f>
        <v>8299.7691495844592</v>
      </c>
      <c r="AF63" s="16">
        <f>Z63*'Varmepumpeberegning VP1'!Z51*24</f>
        <v>8299.7691495844592</v>
      </c>
      <c r="AG63" s="20">
        <f>(Z63/'Varmepumpeberegning VP1'!W51)*24</f>
        <v>57.531419561013863</v>
      </c>
      <c r="AH63" s="17">
        <f t="shared" si="5"/>
        <v>46.906085468567859</v>
      </c>
      <c r="AI63" s="15">
        <f>'Varmepumpeberegning VP1'!X51-'Systemberegning VP1'!Z63</f>
        <v>1.9340064810597086</v>
      </c>
    </row>
    <row r="64" spans="1:35" x14ac:dyDescent="0.25">
      <c r="J64" s="13"/>
      <c r="K64">
        <v>2</v>
      </c>
      <c r="L64">
        <v>49</v>
      </c>
      <c r="M64" s="310">
        <v>0.75162499999999977</v>
      </c>
      <c r="N64" s="15">
        <v>6.9499541666666671</v>
      </c>
      <c r="P64" s="15">
        <f>MAX(0,MIN('Potentiel produktion'!C51*$D$3,N64))</f>
        <v>0</v>
      </c>
      <c r="Q64" s="15">
        <f t="shared" si="0"/>
        <v>6.9499541666666671</v>
      </c>
      <c r="R64" s="15">
        <v>0</v>
      </c>
      <c r="S64" s="15">
        <v>0</v>
      </c>
      <c r="T64" s="160">
        <f t="shared" si="1"/>
        <v>18848.275700000002</v>
      </c>
      <c r="V64" s="289">
        <f>'Varmepumpeberegning VP1'!W52</f>
        <v>3.0756133144315161</v>
      </c>
      <c r="W64" s="289">
        <f>'Varmepumpeberegning VP1'!X52</f>
        <v>9.3066898143930423</v>
      </c>
      <c r="X64" s="289">
        <f t="shared" si="2"/>
        <v>46.906085468567859</v>
      </c>
      <c r="Y64" s="15">
        <f>MAX(0,MIN('Potentiel produktion'!C51*$D$3,N64))</f>
        <v>0</v>
      </c>
      <c r="Z64" s="15">
        <f t="shared" si="4"/>
        <v>6.9499541666666671</v>
      </c>
      <c r="AA64" s="16">
        <f t="shared" si="3"/>
        <v>0</v>
      </c>
      <c r="AB64" s="16">
        <v>0</v>
      </c>
      <c r="AC64" s="16">
        <v>0</v>
      </c>
      <c r="AD64" s="145">
        <f>(Y64*$H$3+Z64*'Varmepumpeberegning VP1'!Z52+AA64*$H$5+AB64*$H$6+AC64*$H$7)*24</f>
        <v>7823.8834594631035</v>
      </c>
      <c r="AF64" s="16">
        <f>Z64*'Varmepumpeberegning VP1'!Z52*24</f>
        <v>7823.8834594631035</v>
      </c>
      <c r="AG64" s="20">
        <f>(Z64/'Varmepumpeberegning VP1'!W52)*24</f>
        <v>54.232727897665008</v>
      </c>
      <c r="AH64" s="17">
        <f t="shared" si="5"/>
        <v>46.906085468567852</v>
      </c>
      <c r="AI64" s="15">
        <f>'Varmepumpeberegning VP1'!X52-'Systemberegning VP1'!Z64</f>
        <v>2.3567356477263752</v>
      </c>
    </row>
    <row r="65" spans="10:35" x14ac:dyDescent="0.25">
      <c r="J65" s="13"/>
      <c r="K65">
        <v>2</v>
      </c>
      <c r="L65">
        <v>50</v>
      </c>
      <c r="M65" s="310">
        <v>0.72916249999999982</v>
      </c>
      <c r="N65" s="15">
        <v>7.6157541666666688</v>
      </c>
      <c r="P65" s="15">
        <f>MAX(0,MIN('Potentiel produktion'!C52*$D$3,N65))</f>
        <v>0</v>
      </c>
      <c r="Q65" s="15">
        <f t="shared" si="0"/>
        <v>7.6157541666666688</v>
      </c>
      <c r="R65" s="15">
        <v>0</v>
      </c>
      <c r="S65" s="15">
        <v>0</v>
      </c>
      <c r="T65" s="160">
        <f t="shared" si="1"/>
        <v>20653.925300000006</v>
      </c>
      <c r="V65" s="289">
        <f>'Varmepumpeberegning VP1'!W53</f>
        <v>3.0328225996421248</v>
      </c>
      <c r="W65" s="289">
        <f>'Varmepumpeberegning VP1'!X53</f>
        <v>9.2017685704053669</v>
      </c>
      <c r="X65" s="289">
        <f t="shared" si="2"/>
        <v>47.54328147744701</v>
      </c>
      <c r="Y65" s="15">
        <f>MAX(0,MIN('Potentiel produktion'!C52*$D$3,N65))</f>
        <v>0</v>
      </c>
      <c r="Z65" s="15">
        <f t="shared" si="4"/>
        <v>7.6157541666666688</v>
      </c>
      <c r="AA65" s="16">
        <f t="shared" si="3"/>
        <v>0</v>
      </c>
      <c r="AB65" s="16">
        <v>0</v>
      </c>
      <c r="AC65" s="16">
        <v>0</v>
      </c>
      <c r="AD65" s="145">
        <f>(Y65*$H$3+Z65*'Varmepumpeberegning VP1'!Z53+AA65*$H$5+AB65*$H$6+AC65*$H$7)*24</f>
        <v>8689.8706562129591</v>
      </c>
      <c r="AF65" s="16">
        <f>Z65*'Varmepumpeberegning VP1'!Z53*24</f>
        <v>8689.8706562129591</v>
      </c>
      <c r="AG65" s="20">
        <f>(Z65/'Varmepumpeberegning VP1'!W53)*24</f>
        <v>60.266663807361496</v>
      </c>
      <c r="AH65" s="17">
        <f t="shared" si="5"/>
        <v>47.54328147744701</v>
      </c>
      <c r="AI65" s="15">
        <f>'Varmepumpeberegning VP1'!X53-'Systemberegning VP1'!Z65</f>
        <v>1.5860144037386981</v>
      </c>
    </row>
    <row r="66" spans="10:35" x14ac:dyDescent="0.25">
      <c r="J66" s="13"/>
      <c r="K66">
        <v>2</v>
      </c>
      <c r="L66">
        <v>51</v>
      </c>
      <c r="M66" s="310">
        <v>0.55972500000000003</v>
      </c>
      <c r="N66" s="15">
        <v>8.003266666666665</v>
      </c>
      <c r="P66" s="15">
        <f>MAX(0,MIN('Potentiel produktion'!C53*$D$3,N66))</f>
        <v>0</v>
      </c>
      <c r="Q66" s="15">
        <f t="shared" si="0"/>
        <v>8.003266666666665</v>
      </c>
      <c r="R66" s="15">
        <v>0</v>
      </c>
      <c r="S66" s="15">
        <v>0</v>
      </c>
      <c r="T66" s="160">
        <f t="shared" si="1"/>
        <v>21704.859199999995</v>
      </c>
      <c r="V66" s="289">
        <f>'Varmepumpeberegning VP1'!W54</f>
        <v>3.0328225996421248</v>
      </c>
      <c r="W66" s="289">
        <f>'Varmepumpeberegning VP1'!X54</f>
        <v>9.2017685704053669</v>
      </c>
      <c r="X66" s="289">
        <f t="shared" si="2"/>
        <v>47.54328147744701</v>
      </c>
      <c r="Y66" s="15">
        <f>MAX(0,MIN('Potentiel produktion'!C53*$D$3,N66))</f>
        <v>0</v>
      </c>
      <c r="Z66" s="15">
        <f t="shared" si="4"/>
        <v>8.003266666666665</v>
      </c>
      <c r="AA66" s="16">
        <f t="shared" si="3"/>
        <v>0</v>
      </c>
      <c r="AB66" s="16">
        <v>0</v>
      </c>
      <c r="AC66" s="16">
        <v>0</v>
      </c>
      <c r="AD66" s="145">
        <f>(Y66*$H$3+Z66*'Varmepumpeberegning VP1'!Z54+AA66*$H$5+AB66*$H$6+AC66*$H$7)*24</f>
        <v>9132.037436937655</v>
      </c>
      <c r="AF66" s="16">
        <f>Z66*'Varmepumpeberegning VP1'!Z54*24</f>
        <v>9132.037436937655</v>
      </c>
      <c r="AG66" s="20">
        <f>(Z66/'Varmepumpeberegning VP1'!W54)*24</f>
        <v>63.333213100781215</v>
      </c>
      <c r="AH66" s="17">
        <f t="shared" si="5"/>
        <v>47.54328147744701</v>
      </c>
      <c r="AI66" s="15">
        <f>'Varmepumpeberegning VP1'!X54-'Systemberegning VP1'!Z66</f>
        <v>1.1985019037387019</v>
      </c>
    </row>
    <row r="67" spans="10:35" x14ac:dyDescent="0.25">
      <c r="J67" s="13"/>
      <c r="K67">
        <v>2</v>
      </c>
      <c r="L67">
        <v>52</v>
      </c>
      <c r="M67" s="310">
        <v>0.69447500000000006</v>
      </c>
      <c r="N67" s="15">
        <v>7.2000833333333345</v>
      </c>
      <c r="P67" s="15">
        <f>MAX(0,MIN('Potentiel produktion'!C54*$D$3,N67))</f>
        <v>0</v>
      </c>
      <c r="Q67" s="15">
        <f t="shared" si="0"/>
        <v>7.2000833333333345</v>
      </c>
      <c r="R67" s="15">
        <v>0</v>
      </c>
      <c r="S67" s="15">
        <v>0</v>
      </c>
      <c r="T67" s="160">
        <f t="shared" si="1"/>
        <v>19526.626000000004</v>
      </c>
      <c r="V67" s="289">
        <f>'Varmepumpeberegning VP1'!W55</f>
        <v>3.0756133144315161</v>
      </c>
      <c r="W67" s="289">
        <f>'Varmepumpeberegning VP1'!X55</f>
        <v>9.3066898143930423</v>
      </c>
      <c r="X67" s="289">
        <f t="shared" si="2"/>
        <v>46.906085468567859</v>
      </c>
      <c r="Y67" s="15">
        <f>MAX(0,MIN('Potentiel produktion'!C54*$D$3,N67))</f>
        <v>0</v>
      </c>
      <c r="Z67" s="15">
        <f t="shared" si="4"/>
        <v>7.2000833333333345</v>
      </c>
      <c r="AA67" s="16">
        <f t="shared" si="3"/>
        <v>0</v>
      </c>
      <c r="AB67" s="16">
        <v>0</v>
      </c>
      <c r="AC67" s="16">
        <v>0</v>
      </c>
      <c r="AD67" s="145">
        <f>(Y67*$H$3+Z67*'Varmepumpeberegning VP1'!Z55+AA67*$H$5+AB67*$H$6+AC67*$H$7)*24</f>
        <v>8105.4653811394646</v>
      </c>
      <c r="AF67" s="16">
        <f>Z67*'Varmepumpeberegning VP1'!Z55*24</f>
        <v>8105.4653811394646</v>
      </c>
      <c r="AG67" s="20">
        <f>(Z67/'Varmepumpeberegning VP1'!W55)*24</f>
        <v>56.184566242177311</v>
      </c>
      <c r="AH67" s="17">
        <f t="shared" si="5"/>
        <v>46.906085468567859</v>
      </c>
      <c r="AI67" s="15">
        <f>'Varmepumpeberegning VP1'!X55-'Systemberegning VP1'!Z67</f>
        <v>2.1066064810597078</v>
      </c>
    </row>
    <row r="68" spans="10:35" x14ac:dyDescent="0.25">
      <c r="J68" s="13"/>
      <c r="K68">
        <v>2</v>
      </c>
      <c r="L68">
        <v>53</v>
      </c>
      <c r="M68" s="310">
        <v>0.67802499999999999</v>
      </c>
      <c r="N68" s="15">
        <v>6.4180250000000001</v>
      </c>
      <c r="P68" s="15">
        <f>MAX(0,MIN('Potentiel produktion'!C55*$D$3,N68))</f>
        <v>0</v>
      </c>
      <c r="Q68" s="15">
        <f t="shared" si="0"/>
        <v>6.4180250000000001</v>
      </c>
      <c r="R68" s="15">
        <v>0</v>
      </c>
      <c r="S68" s="15">
        <v>0</v>
      </c>
      <c r="T68" s="160">
        <f t="shared" si="1"/>
        <v>17405.683799999999</v>
      </c>
      <c r="V68" s="289">
        <f>'Varmepumpeberegning VP1'!W56</f>
        <v>3.1186336937333676</v>
      </c>
      <c r="W68" s="289">
        <f>'Varmepumpeberegning VP1'!X56</f>
        <v>9.4116110583807178</v>
      </c>
      <c r="X68" s="289">
        <f t="shared" si="2"/>
        <v>46.283096463675768</v>
      </c>
      <c r="Y68" s="15">
        <f>MAX(0,MIN('Potentiel produktion'!C55*$D$3,N68))</f>
        <v>0</v>
      </c>
      <c r="Z68" s="15">
        <f t="shared" si="4"/>
        <v>6.4180250000000001</v>
      </c>
      <c r="AA68" s="16">
        <f t="shared" si="3"/>
        <v>0</v>
      </c>
      <c r="AB68" s="16">
        <v>0</v>
      </c>
      <c r="AC68" s="16">
        <v>0</v>
      </c>
      <c r="AD68" s="145">
        <f>(Y68*$H$3+Z68*'Varmepumpeberegning VP1'!Z56+AA68*$H$5+AB68*$H$6+AC68*$H$7)*24</f>
        <v>7129.1056843507849</v>
      </c>
      <c r="AF68" s="16">
        <f>Z68*'Varmepumpeberegning VP1'!Z56*24</f>
        <v>7129.1056843507849</v>
      </c>
      <c r="AG68" s="20">
        <f>(Z68/'Varmepumpeberegning VP1'!W56)*24</f>
        <v>49.391052341131171</v>
      </c>
      <c r="AH68" s="17">
        <f t="shared" si="5"/>
        <v>46.283096463675776</v>
      </c>
      <c r="AI68" s="15">
        <f>'Varmepumpeberegning VP1'!X56-'Systemberegning VP1'!Z68</f>
        <v>2.9935860583807177</v>
      </c>
    </row>
    <row r="69" spans="10:35" x14ac:dyDescent="0.25">
      <c r="J69" s="13"/>
      <c r="K69">
        <v>2</v>
      </c>
      <c r="L69">
        <v>54</v>
      </c>
      <c r="M69" s="310">
        <v>0.57026250000000012</v>
      </c>
      <c r="N69" s="15">
        <v>9.5779458333333327</v>
      </c>
      <c r="P69" s="15">
        <f>MAX(0,MIN('Potentiel produktion'!C56*$D$3,N69))</f>
        <v>0</v>
      </c>
      <c r="Q69" s="15">
        <f t="shared" si="0"/>
        <v>9.5779458333333327</v>
      </c>
      <c r="R69" s="15">
        <v>0</v>
      </c>
      <c r="S69" s="15">
        <v>0</v>
      </c>
      <c r="T69" s="160">
        <f t="shared" si="1"/>
        <v>25975.3891</v>
      </c>
      <c r="V69" s="289">
        <f>'Varmepumpeberegning VP1'!W57</f>
        <v>2.9514704207300451</v>
      </c>
      <c r="W69" s="289">
        <f>'Varmepumpeberegning VP1'!X57</f>
        <v>9.0081678430174801</v>
      </c>
      <c r="X69" s="289">
        <f t="shared" si="2"/>
        <v>48.805649522192738</v>
      </c>
      <c r="Y69" s="15">
        <f>MAX(0,MIN('Potentiel produktion'!C56*$D$3,N69))</f>
        <v>0</v>
      </c>
      <c r="Z69" s="15">
        <f t="shared" si="4"/>
        <v>9.0081678430174801</v>
      </c>
      <c r="AA69" s="16">
        <f t="shared" si="3"/>
        <v>0.56977799031585263</v>
      </c>
      <c r="AB69" s="16">
        <v>0</v>
      </c>
      <c r="AC69" s="16">
        <v>0</v>
      </c>
      <c r="AD69" s="145">
        <f>(Y69*$H$3+Z69*'Varmepumpeberegning VP1'!Z57+AA69*$H$5+AB69*$H$6+AC69*$H$7)*24</f>
        <v>12096.825491738146</v>
      </c>
      <c r="AF69" s="16">
        <f>Z69*'Varmepumpeberegning VP1'!Z57*24</f>
        <v>10551.587582001554</v>
      </c>
      <c r="AG69" s="20">
        <f>(Z69/'Varmepumpeberegning VP1'!W57)*24</f>
        <v>73.250277798462065</v>
      </c>
      <c r="AH69" s="17">
        <f t="shared" si="5"/>
        <v>48.805649522192738</v>
      </c>
      <c r="AI69" s="15">
        <f>'Varmepumpeberegning VP1'!X57-'Systemberegning VP1'!Z69</f>
        <v>0</v>
      </c>
    </row>
    <row r="70" spans="10:35" x14ac:dyDescent="0.25">
      <c r="J70" s="13"/>
      <c r="K70">
        <v>2</v>
      </c>
      <c r="L70">
        <v>55</v>
      </c>
      <c r="M70" s="310">
        <v>0.56917499999999976</v>
      </c>
      <c r="N70" s="15">
        <v>10.448066666666668</v>
      </c>
      <c r="P70" s="15">
        <f>MAX(0,MIN('Potentiel produktion'!C57*$D$3,N70))</f>
        <v>0</v>
      </c>
      <c r="Q70" s="15">
        <f t="shared" si="0"/>
        <v>10.448066666666668</v>
      </c>
      <c r="R70" s="15">
        <v>0</v>
      </c>
      <c r="S70" s="15">
        <v>0</v>
      </c>
      <c r="T70" s="160">
        <f t="shared" si="1"/>
        <v>28335.156800000004</v>
      </c>
      <c r="V70" s="289">
        <f>'Varmepumpeberegning VP1'!W58</f>
        <v>2.9129328437623547</v>
      </c>
      <c r="W70" s="289">
        <f>'Varmepumpeberegning VP1'!X58</f>
        <v>8.9194883596172705</v>
      </c>
      <c r="X70" s="289">
        <f t="shared" si="2"/>
        <v>49.428261889997998</v>
      </c>
      <c r="Y70" s="15">
        <f>MAX(0,MIN('Potentiel produktion'!C57*$D$3,N70))</f>
        <v>0</v>
      </c>
      <c r="Z70" s="15">
        <f t="shared" si="4"/>
        <v>8.9194883596172705</v>
      </c>
      <c r="AA70" s="16">
        <f t="shared" si="3"/>
        <v>1.528578307049397</v>
      </c>
      <c r="AB70" s="16">
        <v>0</v>
      </c>
      <c r="AC70" s="16">
        <v>0</v>
      </c>
      <c r="AD70" s="145">
        <f>(Y70*$H$3+Z70*'Varmepumpeberegning VP1'!Z58+AA70*$H$5+AB70*$H$6+AC70*$H$7)*24</f>
        <v>14726.49972625279</v>
      </c>
      <c r="AF70" s="16">
        <f>Z70*'Varmepumpeberegning VP1'!Z58*24</f>
        <v>10580.995357534826</v>
      </c>
      <c r="AG70" s="20">
        <f>(Z70/'Varmepumpeberegning VP1'!W58)*24</f>
        <v>73.488724976688388</v>
      </c>
      <c r="AH70" s="17">
        <f t="shared" si="5"/>
        <v>49.428261889997998</v>
      </c>
      <c r="AI70" s="15">
        <f>'Varmepumpeberegning VP1'!X58-'Systemberegning VP1'!Z70</f>
        <v>0</v>
      </c>
    </row>
    <row r="71" spans="10:35" x14ac:dyDescent="0.25">
      <c r="J71" s="13"/>
      <c r="K71">
        <v>2</v>
      </c>
      <c r="L71">
        <v>56</v>
      </c>
      <c r="M71" s="310">
        <v>0.60207500000000003</v>
      </c>
      <c r="N71" s="15">
        <v>10.0429625</v>
      </c>
      <c r="P71" s="15">
        <f>MAX(0,MIN('Potentiel produktion'!C58*$D$3,N71))</f>
        <v>0</v>
      </c>
      <c r="Q71" s="15">
        <f t="shared" si="0"/>
        <v>10.0429625</v>
      </c>
      <c r="R71" s="15">
        <v>0</v>
      </c>
      <c r="S71" s="15">
        <v>0</v>
      </c>
      <c r="T71" s="160">
        <f t="shared" si="1"/>
        <v>27236.514299999995</v>
      </c>
      <c r="V71" s="289">
        <f>'Varmepumpeberegning VP1'!W59</f>
        <v>2.9129328437623547</v>
      </c>
      <c r="W71" s="289">
        <f>'Varmepumpeberegning VP1'!X59</f>
        <v>8.9194883596172705</v>
      </c>
      <c r="X71" s="289">
        <f t="shared" si="2"/>
        <v>49.428261889997998</v>
      </c>
      <c r="Y71" s="15">
        <f>MAX(0,MIN('Potentiel produktion'!C58*$D$3,N71))</f>
        <v>0</v>
      </c>
      <c r="Z71" s="15">
        <f t="shared" si="4"/>
        <v>8.9194883596172705</v>
      </c>
      <c r="AA71" s="16">
        <f t="shared" si="3"/>
        <v>1.1234741403827293</v>
      </c>
      <c r="AB71" s="16">
        <v>0</v>
      </c>
      <c r="AC71" s="16">
        <v>0</v>
      </c>
      <c r="AD71" s="145">
        <f>(Y71*$H$3+Z71*'Varmepumpeberegning VP1'!Z59+AA71*$H$5+AB71*$H$6+AC71*$H$7)*24</f>
        <v>13627.857226252789</v>
      </c>
      <c r="AF71" s="16">
        <f>Z71*'Varmepumpeberegning VP1'!Z59*24</f>
        <v>10580.995357534826</v>
      </c>
      <c r="AG71" s="20">
        <f>(Z71/'Varmepumpeberegning VP1'!W59)*24</f>
        <v>73.488724976688388</v>
      </c>
      <c r="AH71" s="17">
        <f t="shared" si="5"/>
        <v>49.428261889997998</v>
      </c>
      <c r="AI71" s="15">
        <f>'Varmepumpeberegning VP1'!X59-'Systemberegning VP1'!Z71</f>
        <v>0</v>
      </c>
    </row>
    <row r="72" spans="10:35" x14ac:dyDescent="0.25">
      <c r="J72" s="13"/>
      <c r="K72">
        <v>2</v>
      </c>
      <c r="L72">
        <v>57</v>
      </c>
      <c r="M72" s="310">
        <v>0.66266250000000004</v>
      </c>
      <c r="N72" s="15">
        <v>10.906029166666668</v>
      </c>
      <c r="P72" s="15">
        <f>MAX(0,MIN('Potentiel produktion'!C59*$D$3,N72))</f>
        <v>0</v>
      </c>
      <c r="Q72" s="15">
        <f t="shared" si="0"/>
        <v>10.906029166666668</v>
      </c>
      <c r="R72" s="15">
        <v>0</v>
      </c>
      <c r="S72" s="15">
        <v>0</v>
      </c>
      <c r="T72" s="160">
        <f t="shared" si="1"/>
        <v>29577.151100000003</v>
      </c>
      <c r="V72" s="289">
        <f>'Varmepumpeberegning VP1'!W60</f>
        <v>2.8746445419591673</v>
      </c>
      <c r="W72" s="289">
        <f>'Varmepumpeberegning VP1'!X60</f>
        <v>8.8308088762170591</v>
      </c>
      <c r="X72" s="289">
        <f t="shared" si="2"/>
        <v>50.063378875196641</v>
      </c>
      <c r="Y72" s="15">
        <f>MAX(0,MIN('Potentiel produktion'!C59*$D$3,N72))</f>
        <v>0</v>
      </c>
      <c r="Z72" s="15">
        <f t="shared" si="4"/>
        <v>8.8308088762170591</v>
      </c>
      <c r="AA72" s="16">
        <f t="shared" si="3"/>
        <v>2.0752202904496091</v>
      </c>
      <c r="AB72" s="16">
        <v>0</v>
      </c>
      <c r="AC72" s="16">
        <v>0</v>
      </c>
      <c r="AD72" s="145">
        <f>(Y72*$H$3+Z72*'Varmepumpeberegning VP1'!Z60+AA72*$H$5+AB72*$H$6+AC72*$H$7)*24</f>
        <v>16238.400560767437</v>
      </c>
      <c r="AF72" s="16">
        <f>Z72*'Varmepumpeberegning VP1'!Z60*24</f>
        <v>10610.403133068099</v>
      </c>
      <c r="AG72" s="20">
        <f>(Z72/'Varmepumpeberegning VP1'!W60)*24</f>
        <v>73.727172154914697</v>
      </c>
      <c r="AH72" s="17">
        <f t="shared" si="5"/>
        <v>50.063378875196641</v>
      </c>
      <c r="AI72" s="15">
        <f>'Varmepumpeberegning VP1'!X60-'Systemberegning VP1'!Z72</f>
        <v>0</v>
      </c>
    </row>
    <row r="73" spans="10:35" x14ac:dyDescent="0.25">
      <c r="J73" s="13"/>
      <c r="K73">
        <v>2</v>
      </c>
      <c r="L73">
        <v>58</v>
      </c>
      <c r="M73" s="310">
        <v>0.7902499999999999</v>
      </c>
      <c r="N73" s="15">
        <v>11.437966666666668</v>
      </c>
      <c r="P73" s="15">
        <f>MAX(0,MIN('Potentiel produktion'!C60*$D$3,N73))</f>
        <v>0</v>
      </c>
      <c r="Q73" s="15">
        <f t="shared" si="0"/>
        <v>11.437966666666668</v>
      </c>
      <c r="R73" s="15">
        <v>0</v>
      </c>
      <c r="S73" s="15">
        <v>0</v>
      </c>
      <c r="T73" s="160">
        <f t="shared" si="1"/>
        <v>31019.765600000002</v>
      </c>
      <c r="V73" s="289">
        <f>'Varmepumpeberegning VP1'!W61</f>
        <v>2.8746445419591673</v>
      </c>
      <c r="W73" s="289">
        <f>'Varmepumpeberegning VP1'!X61</f>
        <v>8.8308088762170591</v>
      </c>
      <c r="X73" s="289">
        <f t="shared" si="2"/>
        <v>50.063378875196641</v>
      </c>
      <c r="Y73" s="15">
        <f>MAX(0,MIN('Potentiel produktion'!C60*$D$3,N73))</f>
        <v>0</v>
      </c>
      <c r="Z73" s="15">
        <f t="shared" si="4"/>
        <v>8.8308088762170591</v>
      </c>
      <c r="AA73" s="16">
        <f t="shared" si="3"/>
        <v>2.6071577904496088</v>
      </c>
      <c r="AB73" s="16">
        <v>0</v>
      </c>
      <c r="AC73" s="16">
        <v>0</v>
      </c>
      <c r="AD73" s="145">
        <f>(Y73*$H$3+Z73*'Varmepumpeberegning VP1'!Z61+AA73*$H$5+AB73*$H$6+AC73*$H$7)*24</f>
        <v>17681.015060767437</v>
      </c>
      <c r="AF73" s="16">
        <f>Z73*'Varmepumpeberegning VP1'!Z61*24</f>
        <v>10610.403133068099</v>
      </c>
      <c r="AG73" s="20">
        <f>(Z73/'Varmepumpeberegning VP1'!W61)*24</f>
        <v>73.727172154914697</v>
      </c>
      <c r="AH73" s="17">
        <f t="shared" si="5"/>
        <v>50.063378875196641</v>
      </c>
      <c r="AI73" s="15">
        <f>'Varmepumpeberegning VP1'!X61-'Systemberegning VP1'!Z73</f>
        <v>0</v>
      </c>
    </row>
    <row r="74" spans="10:35" x14ac:dyDescent="0.25">
      <c r="J74" s="13"/>
      <c r="K74">
        <v>2</v>
      </c>
      <c r="L74">
        <v>59</v>
      </c>
      <c r="M74" s="310">
        <v>0.79658750000000011</v>
      </c>
      <c r="N74" s="15">
        <v>9.768183333333333</v>
      </c>
      <c r="P74" s="15">
        <f>MAX(0,MIN('Potentiel produktion'!C61*$D$3,N74))</f>
        <v>0</v>
      </c>
      <c r="Q74" s="15">
        <f t="shared" si="0"/>
        <v>9.768183333333333</v>
      </c>
      <c r="R74" s="15">
        <v>0</v>
      </c>
      <c r="S74" s="15">
        <v>0</v>
      </c>
      <c r="T74" s="160">
        <f t="shared" si="1"/>
        <v>26491.313199999997</v>
      </c>
      <c r="V74" s="289">
        <f>'Varmepumpeberegning VP1'!W62</f>
        <v>2.9514704207300451</v>
      </c>
      <c r="W74" s="289">
        <f>'Varmepumpeberegning VP1'!X62</f>
        <v>9.0081678430174801</v>
      </c>
      <c r="X74" s="289">
        <f t="shared" si="2"/>
        <v>48.805649522192738</v>
      </c>
      <c r="Y74" s="15">
        <f>MAX(0,MIN('Potentiel produktion'!C61*$D$3,N74))</f>
        <v>0</v>
      </c>
      <c r="Z74" s="15">
        <f t="shared" si="4"/>
        <v>9.0081678430174801</v>
      </c>
      <c r="AA74" s="16">
        <f t="shared" si="3"/>
        <v>0.76001549031585292</v>
      </c>
      <c r="AB74" s="16">
        <v>0</v>
      </c>
      <c r="AC74" s="16">
        <v>0</v>
      </c>
      <c r="AD74" s="145">
        <f>(Y74*$H$3+Z74*'Varmepumpeberegning VP1'!Z62+AA74*$H$5+AB74*$H$6+AC74*$H$7)*24</f>
        <v>12612.749591738146</v>
      </c>
      <c r="AF74" s="16">
        <f>Z74*'Varmepumpeberegning VP1'!Z62*24</f>
        <v>10551.587582001554</v>
      </c>
      <c r="AG74" s="20">
        <f>(Z74/'Varmepumpeberegning VP1'!W62)*24</f>
        <v>73.250277798462065</v>
      </c>
      <c r="AH74" s="17">
        <f t="shared" si="5"/>
        <v>48.805649522192738</v>
      </c>
      <c r="AI74" s="15">
        <f>'Varmepumpeberegning VP1'!X62-'Systemberegning VP1'!Z74</f>
        <v>0</v>
      </c>
    </row>
    <row r="75" spans="10:35" x14ac:dyDescent="0.25">
      <c r="J75" s="13"/>
      <c r="K75">
        <v>3</v>
      </c>
      <c r="L75">
        <v>60</v>
      </c>
      <c r="M75" s="310">
        <v>0.86107500000000015</v>
      </c>
      <c r="N75" s="15">
        <v>7.5100791666666673</v>
      </c>
      <c r="P75" s="15">
        <f>MAX(0,MIN('Potentiel produktion'!C62*$D$3,N75))</f>
        <v>0</v>
      </c>
      <c r="Q75" s="15">
        <f t="shared" si="0"/>
        <v>7.5100791666666673</v>
      </c>
      <c r="R75" s="15">
        <v>0</v>
      </c>
      <c r="S75" s="15">
        <v>0</v>
      </c>
      <c r="T75" s="160">
        <f t="shared" si="1"/>
        <v>20367.334700000003</v>
      </c>
      <c r="V75" s="289">
        <f>'Varmepumpeberegning VP1'!W63</f>
        <v>3.0328225996421248</v>
      </c>
      <c r="W75" s="289">
        <f>'Varmepumpeberegning VP1'!X63</f>
        <v>9.2017685704053669</v>
      </c>
      <c r="X75" s="289">
        <f t="shared" si="2"/>
        <v>47.54328147744701</v>
      </c>
      <c r="Y75" s="15">
        <f>MAX(0,MIN('Potentiel produktion'!C62*$D$3,N75))</f>
        <v>0</v>
      </c>
      <c r="Z75" s="15">
        <f t="shared" si="4"/>
        <v>7.5100791666666673</v>
      </c>
      <c r="AA75" s="16">
        <f t="shared" si="3"/>
        <v>0</v>
      </c>
      <c r="AB75" s="16">
        <v>0</v>
      </c>
      <c r="AC75" s="16">
        <v>0</v>
      </c>
      <c r="AD75" s="145">
        <f>(Y75*$H$3+Z75*'Varmepumpeberegning VP1'!Z63+AA75*$H$5+AB75*$H$6+AC75*$H$7)*24</f>
        <v>8569.2913857298572</v>
      </c>
      <c r="AF75" s="16">
        <f>Z75*'Varmepumpeberegning VP1'!Z63*24</f>
        <v>8569.2913857298572</v>
      </c>
      <c r="AG75" s="20">
        <f>(Z75/'Varmepumpeberegning VP1'!W63)*24</f>
        <v>59.430413114591232</v>
      </c>
      <c r="AH75" s="17">
        <f t="shared" si="5"/>
        <v>47.54328147744701</v>
      </c>
      <c r="AI75" s="15">
        <f>'Varmepumpeberegning VP1'!X63-'Systemberegning VP1'!Z75</f>
        <v>1.6916894037386996</v>
      </c>
    </row>
    <row r="76" spans="10:35" x14ac:dyDescent="0.25">
      <c r="J76" s="13"/>
      <c r="K76">
        <v>3</v>
      </c>
      <c r="L76">
        <v>61</v>
      </c>
      <c r="M76" s="310">
        <v>0.91297499999999976</v>
      </c>
      <c r="N76" s="15">
        <v>6.5201708333333324</v>
      </c>
      <c r="P76" s="15">
        <f>MAX(0,MIN('Potentiel produktion'!C63*$D$3,N76))</f>
        <v>0</v>
      </c>
      <c r="Q76" s="15">
        <f t="shared" si="0"/>
        <v>6.5201708333333324</v>
      </c>
      <c r="R76" s="15">
        <v>0</v>
      </c>
      <c r="S76" s="15">
        <v>0</v>
      </c>
      <c r="T76" s="160">
        <f t="shared" si="1"/>
        <v>17682.703299999997</v>
      </c>
      <c r="V76" s="289">
        <f>'Varmepumpeberegning VP1'!W64</f>
        <v>3.0328225996421248</v>
      </c>
      <c r="W76" s="289">
        <f>'Varmepumpeberegning VP1'!X64</f>
        <v>9.2017685704053669</v>
      </c>
      <c r="X76" s="289">
        <f t="shared" si="2"/>
        <v>47.54328147744701</v>
      </c>
      <c r="Y76" s="15">
        <f>MAX(0,MIN('Potentiel produktion'!C63*$D$3,N76))</f>
        <v>0</v>
      </c>
      <c r="Z76" s="15">
        <f t="shared" si="4"/>
        <v>6.5201708333333324</v>
      </c>
      <c r="AA76" s="16">
        <f t="shared" si="3"/>
        <v>0</v>
      </c>
      <c r="AB76" s="16">
        <v>0</v>
      </c>
      <c r="AC76" s="16">
        <v>0</v>
      </c>
      <c r="AD76" s="145">
        <f>(Y76*$H$3+Z76*'Varmepumpeberegning VP1'!Z64+AA76*$H$5+AB76*$H$6+AC76*$H$7)*24</f>
        <v>7439.7676130449645</v>
      </c>
      <c r="AF76" s="16">
        <f>Z76*'Varmepumpeberegning VP1'!Z64*24</f>
        <v>7439.7676130449645</v>
      </c>
      <c r="AG76" s="20">
        <f>(Z76/'Varmepumpeberegning VP1'!W64)*24</f>
        <v>51.596852390398709</v>
      </c>
      <c r="AH76" s="17">
        <f t="shared" si="5"/>
        <v>47.54328147744701</v>
      </c>
      <c r="AI76" s="15">
        <f>'Varmepumpeberegning VP1'!X64-'Systemberegning VP1'!Z76</f>
        <v>2.6815977370720345</v>
      </c>
    </row>
    <row r="77" spans="10:35" x14ac:dyDescent="0.25">
      <c r="J77" s="13"/>
      <c r="K77">
        <v>3</v>
      </c>
      <c r="L77">
        <v>62</v>
      </c>
      <c r="M77" s="310">
        <v>0.98584999999999967</v>
      </c>
      <c r="N77" s="15">
        <v>6.2453958333333324</v>
      </c>
      <c r="P77" s="15">
        <f>MAX(0,MIN('Potentiel produktion'!C64*$D$3,N77))</f>
        <v>0</v>
      </c>
      <c r="Q77" s="15">
        <f t="shared" si="0"/>
        <v>6.2453958333333324</v>
      </c>
      <c r="R77" s="15">
        <v>0</v>
      </c>
      <c r="S77" s="15">
        <v>0</v>
      </c>
      <c r="T77" s="160">
        <f t="shared" si="1"/>
        <v>16937.513499999997</v>
      </c>
      <c r="V77" s="289">
        <f>'Varmepumpeberegning VP1'!W65</f>
        <v>3.1186336937333676</v>
      </c>
      <c r="W77" s="289">
        <f>'Varmepumpeberegning VP1'!X65</f>
        <v>9.4116110583807178</v>
      </c>
      <c r="X77" s="289">
        <f t="shared" si="2"/>
        <v>46.283096463675768</v>
      </c>
      <c r="Y77" s="15">
        <f>MAX(0,MIN('Potentiel produktion'!C64*$D$3,N77))</f>
        <v>0</v>
      </c>
      <c r="Z77" s="15">
        <f t="shared" si="4"/>
        <v>6.2453958333333324</v>
      </c>
      <c r="AA77" s="16">
        <f t="shared" si="3"/>
        <v>0</v>
      </c>
      <c r="AB77" s="16">
        <v>0</v>
      </c>
      <c r="AC77" s="16">
        <v>0</v>
      </c>
      <c r="AD77" s="145">
        <f>(Y77*$H$3+Z77*'Varmepumpeberegning VP1'!Z65+AA77*$H$5+AB77*$H$6+AC77*$H$7)*24</f>
        <v>6937.3501873921286</v>
      </c>
      <c r="AF77" s="16">
        <f>Z77*'Varmepumpeberegning VP1'!Z65*24</f>
        <v>6937.3501873921286</v>
      </c>
      <c r="AG77" s="20">
        <f>(Z77/'Varmepumpeberegning VP1'!W65)*24</f>
        <v>48.062553900187233</v>
      </c>
      <c r="AH77" s="17">
        <f t="shared" si="5"/>
        <v>46.283096463675776</v>
      </c>
      <c r="AI77" s="15">
        <f>'Varmepumpeberegning VP1'!X65-'Systemberegning VP1'!Z77</f>
        <v>3.1662152250473854</v>
      </c>
    </row>
    <row r="78" spans="10:35" x14ac:dyDescent="0.25">
      <c r="J78" s="13"/>
      <c r="K78">
        <v>3</v>
      </c>
      <c r="L78">
        <v>63</v>
      </c>
      <c r="M78" s="310">
        <v>0.79837499999999972</v>
      </c>
      <c r="N78" s="15">
        <v>9.1023791666666689</v>
      </c>
      <c r="P78" s="15">
        <f>MAX(0,MIN('Potentiel produktion'!C65*$D$3,N78))</f>
        <v>0</v>
      </c>
      <c r="Q78" s="15">
        <f t="shared" si="0"/>
        <v>9.1023791666666689</v>
      </c>
      <c r="R78" s="15">
        <v>0</v>
      </c>
      <c r="S78" s="15">
        <v>0</v>
      </c>
      <c r="T78" s="160">
        <f t="shared" si="1"/>
        <v>24685.652300000009</v>
      </c>
      <c r="V78" s="289">
        <f>'Varmepumpeberegning VP1'!W66</f>
        <v>3.1186336937333676</v>
      </c>
      <c r="W78" s="289">
        <f>'Varmepumpeberegning VP1'!X66</f>
        <v>9.4116110583807178</v>
      </c>
      <c r="X78" s="289">
        <f t="shared" si="2"/>
        <v>46.283096463675768</v>
      </c>
      <c r="Y78" s="15">
        <f>MAX(0,MIN('Potentiel produktion'!C65*$D$3,N78))</f>
        <v>0</v>
      </c>
      <c r="Z78" s="15">
        <f t="shared" si="4"/>
        <v>9.1023791666666689</v>
      </c>
      <c r="AA78" s="16">
        <f t="shared" si="3"/>
        <v>0</v>
      </c>
      <c r="AB78" s="16">
        <v>0</v>
      </c>
      <c r="AC78" s="16">
        <v>0</v>
      </c>
      <c r="AD78" s="145">
        <f>(Y78*$H$3+Z78*'Varmepumpeberegning VP1'!Z66+AA78*$H$5+AB78*$H$6+AC78*$H$7)*24</f>
        <v>10110.871032474866</v>
      </c>
      <c r="AF78" s="16">
        <f>Z78*'Varmepumpeberegning VP1'!Z66*24</f>
        <v>10110.871032474866</v>
      </c>
      <c r="AG78" s="20">
        <f>(Z78/'Varmepumpeberegning VP1'!W66)*24</f>
        <v>70.048977037274767</v>
      </c>
      <c r="AH78" s="17">
        <f t="shared" si="5"/>
        <v>46.283096463675768</v>
      </c>
      <c r="AI78" s="15">
        <f>'Varmepumpeberegning VP1'!X66-'Systemberegning VP1'!Z78</f>
        <v>0.30923189171404886</v>
      </c>
    </row>
    <row r="79" spans="10:35" x14ac:dyDescent="0.25">
      <c r="J79" s="13"/>
      <c r="K79">
        <v>3</v>
      </c>
      <c r="L79">
        <v>64</v>
      </c>
      <c r="M79" s="310">
        <v>0.8925249999999999</v>
      </c>
      <c r="N79" s="15">
        <v>8.7571374999999989</v>
      </c>
      <c r="P79" s="15">
        <f>MAX(0,MIN('Potentiel produktion'!C66*$D$3,N79))</f>
        <v>0</v>
      </c>
      <c r="Q79" s="15">
        <f t="shared" si="0"/>
        <v>8.7571374999999989</v>
      </c>
      <c r="R79" s="15">
        <v>0</v>
      </c>
      <c r="S79" s="15">
        <v>0</v>
      </c>
      <c r="T79" s="160">
        <f t="shared" si="1"/>
        <v>23749.356899999999</v>
      </c>
      <c r="V79" s="289">
        <f>'Varmepumpeberegning VP1'!W67</f>
        <v>2.9902597151633996</v>
      </c>
      <c r="W79" s="289">
        <f>'Varmepumpeberegning VP1'!X67</f>
        <v>9.0968473264176914</v>
      </c>
      <c r="X79" s="289">
        <f t="shared" si="2"/>
        <v>48.195176072664189</v>
      </c>
      <c r="Y79" s="15">
        <f>MAX(0,MIN('Potentiel produktion'!C66*$D$3,N79))</f>
        <v>0</v>
      </c>
      <c r="Z79" s="15">
        <f t="shared" si="4"/>
        <v>8.7571374999999989</v>
      </c>
      <c r="AA79" s="16">
        <f t="shared" si="3"/>
        <v>0</v>
      </c>
      <c r="AB79" s="16">
        <v>0</v>
      </c>
      <c r="AC79" s="16">
        <v>0</v>
      </c>
      <c r="AD79" s="145">
        <f>(Y79*$H$3+Z79*'Varmepumpeberegning VP1'!Z67+AA79*$H$5+AB79*$H$6+AC79*$H$7)*24</f>
        <v>10129.242808920726</v>
      </c>
      <c r="AF79" s="16">
        <f>Z79*'Varmepumpeberegning VP1'!Z67*24</f>
        <v>10129.242808920726</v>
      </c>
      <c r="AG79" s="20">
        <f>(Z79/'Varmepumpeberegning VP1'!W67)*24</f>
        <v>70.28529961268444</v>
      </c>
      <c r="AH79" s="17">
        <f t="shared" si="5"/>
        <v>48.195176072664189</v>
      </c>
      <c r="AI79" s="15">
        <f>'Varmepumpeberegning VP1'!X67-'Systemberegning VP1'!Z79</f>
        <v>0.33970982641769254</v>
      </c>
    </row>
    <row r="80" spans="10:35" x14ac:dyDescent="0.25">
      <c r="J80" s="13"/>
      <c r="K80">
        <v>3</v>
      </c>
      <c r="L80">
        <v>65</v>
      </c>
      <c r="M80" s="310">
        <v>0.7977125000000006</v>
      </c>
      <c r="N80" s="15">
        <v>9.2327208333333317</v>
      </c>
      <c r="P80" s="15">
        <f>MAX(0,MIN('Potentiel produktion'!C67*$D$3,N80))</f>
        <v>0</v>
      </c>
      <c r="Q80" s="15">
        <f t="shared" si="0"/>
        <v>9.2327208333333317</v>
      </c>
      <c r="R80" s="15">
        <v>0</v>
      </c>
      <c r="S80" s="15">
        <v>0</v>
      </c>
      <c r="T80" s="160">
        <f t="shared" si="1"/>
        <v>25039.138899999998</v>
      </c>
      <c r="V80" s="289">
        <f>'Varmepumpeberegning VP1'!W68</f>
        <v>2.9902597151633996</v>
      </c>
      <c r="W80" s="289">
        <f>'Varmepumpeberegning VP1'!X68</f>
        <v>9.0968473264176914</v>
      </c>
      <c r="X80" s="289">
        <f t="shared" si="2"/>
        <v>48.195176072664189</v>
      </c>
      <c r="Y80" s="15">
        <f>MAX(0,MIN('Potentiel produktion'!C67*$D$3,N80))</f>
        <v>0</v>
      </c>
      <c r="Z80" s="15">
        <f t="shared" si="4"/>
        <v>9.0968473264176914</v>
      </c>
      <c r="AA80" s="16">
        <f t="shared" si="3"/>
        <v>0.13587350691564026</v>
      </c>
      <c r="AB80" s="16">
        <v>0</v>
      </c>
      <c r="AC80" s="16">
        <v>0</v>
      </c>
      <c r="AD80" s="145">
        <f>(Y80*$H$3+Z80*'Varmepumpeberegning VP1'!Z68+AA80*$H$5+AB80*$H$6+AC80*$H$7)*24</f>
        <v>10890.668757223499</v>
      </c>
      <c r="AF80" s="16">
        <f>Z80*'Varmepumpeberegning VP1'!Z68*24</f>
        <v>10522.179806468283</v>
      </c>
      <c r="AG80" s="20">
        <f>(Z80/'Varmepumpeberegning VP1'!W68)*24</f>
        <v>73.01183062023577</v>
      </c>
      <c r="AH80" s="17">
        <f t="shared" si="5"/>
        <v>48.195176072664189</v>
      </c>
      <c r="AI80" s="15">
        <f>'Varmepumpeberegning VP1'!X68-'Systemberegning VP1'!Z80</f>
        <v>0</v>
      </c>
    </row>
    <row r="81" spans="10:35" x14ac:dyDescent="0.25">
      <c r="J81" s="13"/>
      <c r="K81">
        <v>3</v>
      </c>
      <c r="L81">
        <v>66</v>
      </c>
      <c r="M81" s="310">
        <v>0.76411250000000042</v>
      </c>
      <c r="N81" s="15">
        <v>11.152625</v>
      </c>
      <c r="P81" s="15">
        <f>MAX(0,MIN('Potentiel produktion'!C68*$D$3,N81))</f>
        <v>0</v>
      </c>
      <c r="Q81" s="15">
        <f t="shared" ref="Q81:Q144" si="8">MAX(0,MIN($C$5*$D$5,N81-SUM(P81)))</f>
        <v>11.152625</v>
      </c>
      <c r="R81" s="15">
        <v>0</v>
      </c>
      <c r="S81" s="15">
        <v>0</v>
      </c>
      <c r="T81" s="160">
        <f t="shared" ref="T81:T144" si="9">(P81*$H$3+Q81*$H$5+R81*$H$6+S81*$H$7)*24</f>
        <v>30245.919000000002</v>
      </c>
      <c r="V81" s="289">
        <f>'Varmepumpeberegning VP1'!W69</f>
        <v>2.9514704207300451</v>
      </c>
      <c r="W81" s="289">
        <f>'Varmepumpeberegning VP1'!X69</f>
        <v>9.0081678430174801</v>
      </c>
      <c r="X81" s="289">
        <f t="shared" ref="X81:X144" si="10">($G$4+$F$4)/V81+$E$4</f>
        <v>48.805649522192738</v>
      </c>
      <c r="Y81" s="15">
        <f>MAX(0,MIN('Potentiel produktion'!C68*$D$3,N81))</f>
        <v>0</v>
      </c>
      <c r="Z81" s="15">
        <f t="shared" ref="Z81:Z144" si="11">IF(X81&lt;=$H$5,MAX(0,MIN(W81,N81-SUM(Y81))),MAX(0,MIN(W81,N81-Y81-30)))</f>
        <v>9.0081678430174801</v>
      </c>
      <c r="AA81" s="16">
        <f t="shared" ref="AA81:AA144" si="12">MAX(0,MIN($C$5*$D$5,N81-SUM(Y81:Z81)))</f>
        <v>2.1444571569825204</v>
      </c>
      <c r="AB81" s="16">
        <v>0</v>
      </c>
      <c r="AC81" s="16">
        <v>0</v>
      </c>
      <c r="AD81" s="145">
        <f>(Y81*$H$3+Z81*'Varmepumpeberegning VP1'!Z69+AA81*$H$5+AB81*$H$6+AC81*$H$7)*24</f>
        <v>16367.355391738149</v>
      </c>
      <c r="AF81" s="16">
        <f>Z81*'Varmepumpeberegning VP1'!Z69*24</f>
        <v>10551.587582001554</v>
      </c>
      <c r="AG81" s="20">
        <f>(Z81/'Varmepumpeberegning VP1'!W69)*24</f>
        <v>73.250277798462065</v>
      </c>
      <c r="AH81" s="17">
        <f t="shared" si="5"/>
        <v>48.805649522192738</v>
      </c>
      <c r="AI81" s="15">
        <f>'Varmepumpeberegning VP1'!X69-'Systemberegning VP1'!Z81</f>
        <v>0</v>
      </c>
    </row>
    <row r="82" spans="10:35" x14ac:dyDescent="0.25">
      <c r="J82" s="13"/>
      <c r="K82">
        <v>3</v>
      </c>
      <c r="L82">
        <v>67</v>
      </c>
      <c r="M82" s="310">
        <v>0.84898750000000012</v>
      </c>
      <c r="N82" s="15">
        <v>11.043416666666667</v>
      </c>
      <c r="P82" s="15">
        <f>MAX(0,MIN('Potentiel produktion'!C69*$D$3,N82))</f>
        <v>0</v>
      </c>
      <c r="Q82" s="15">
        <f t="shared" si="8"/>
        <v>11.043416666666667</v>
      </c>
      <c r="R82" s="15">
        <v>0</v>
      </c>
      <c r="S82" s="15">
        <v>0</v>
      </c>
      <c r="T82" s="160">
        <f t="shared" si="9"/>
        <v>29949.745999999999</v>
      </c>
      <c r="V82" s="289">
        <f>'Varmepumpeberegning VP1'!W70</f>
        <v>2.8746445419591673</v>
      </c>
      <c r="W82" s="289">
        <f>'Varmepumpeberegning VP1'!X70</f>
        <v>8.8308088762170591</v>
      </c>
      <c r="X82" s="289">
        <f t="shared" si="10"/>
        <v>50.063378875196641</v>
      </c>
      <c r="Y82" s="15">
        <f>MAX(0,MIN('Potentiel produktion'!C69*$D$3,N82))</f>
        <v>0</v>
      </c>
      <c r="Z82" s="15">
        <f t="shared" si="11"/>
        <v>8.8308088762170591</v>
      </c>
      <c r="AA82" s="16">
        <f t="shared" si="12"/>
        <v>2.2126077904496082</v>
      </c>
      <c r="AB82" s="16">
        <v>0</v>
      </c>
      <c r="AC82" s="16">
        <v>0</v>
      </c>
      <c r="AD82" s="145">
        <f>(Y82*$H$3+Z82*'Varmepumpeberegning VP1'!Z70+AA82*$H$5+AB82*$H$6+AC82*$H$7)*24</f>
        <v>16610.995460767437</v>
      </c>
      <c r="AF82" s="16">
        <f>Z82*'Varmepumpeberegning VP1'!Z70*24</f>
        <v>10610.403133068099</v>
      </c>
      <c r="AG82" s="20">
        <f>(Z82/'Varmepumpeberegning VP1'!W70)*24</f>
        <v>73.727172154914697</v>
      </c>
      <c r="AH82" s="17">
        <f t="shared" si="5"/>
        <v>50.063378875196641</v>
      </c>
      <c r="AI82" s="15">
        <f>'Varmepumpeberegning VP1'!X70-'Systemberegning VP1'!Z82</f>
        <v>0</v>
      </c>
    </row>
    <row r="83" spans="10:35" x14ac:dyDescent="0.25">
      <c r="J83" s="13"/>
      <c r="K83">
        <v>3</v>
      </c>
      <c r="L83">
        <v>68</v>
      </c>
      <c r="M83" s="310">
        <v>0.93639999999999979</v>
      </c>
      <c r="N83" s="15">
        <v>9.6519208333333335</v>
      </c>
      <c r="P83" s="15">
        <f>MAX(0,MIN('Potentiel produktion'!C70*$D$3,N83))</f>
        <v>0</v>
      </c>
      <c r="Q83" s="15">
        <f t="shared" si="8"/>
        <v>9.6519208333333335</v>
      </c>
      <c r="R83" s="15">
        <v>0</v>
      </c>
      <c r="S83" s="15">
        <v>0</v>
      </c>
      <c r="T83" s="160">
        <f t="shared" si="9"/>
        <v>26176.009300000002</v>
      </c>
      <c r="V83" s="289">
        <f>'Varmepumpeberegning VP1'!W71</f>
        <v>2.8746445419591673</v>
      </c>
      <c r="W83" s="289">
        <f>'Varmepumpeberegning VP1'!X71</f>
        <v>8.8308088762170591</v>
      </c>
      <c r="X83" s="289">
        <f t="shared" si="10"/>
        <v>50.063378875196641</v>
      </c>
      <c r="Y83" s="15">
        <f>MAX(0,MIN('Potentiel produktion'!C70*$D$3,N83))</f>
        <v>0</v>
      </c>
      <c r="Z83" s="15">
        <f t="shared" si="11"/>
        <v>8.8308088762170591</v>
      </c>
      <c r="AA83" s="16">
        <f t="shared" si="12"/>
        <v>0.82111195711627438</v>
      </c>
      <c r="AB83" s="16">
        <v>0</v>
      </c>
      <c r="AC83" s="16">
        <v>0</v>
      </c>
      <c r="AD83" s="145">
        <f>(Y83*$H$3+Z83*'Varmepumpeberegning VP1'!Z71+AA83*$H$5+AB83*$H$6+AC83*$H$7)*24</f>
        <v>12837.258760767434</v>
      </c>
      <c r="AF83" s="16">
        <f>Z83*'Varmepumpeberegning VP1'!Z71*24</f>
        <v>10610.403133068099</v>
      </c>
      <c r="AG83" s="20">
        <f>(Z83/'Varmepumpeberegning VP1'!W71)*24</f>
        <v>73.727172154914697</v>
      </c>
      <c r="AH83" s="17">
        <f t="shared" si="5"/>
        <v>50.063378875196641</v>
      </c>
      <c r="AI83" s="15">
        <f>'Varmepumpeberegning VP1'!X71-'Systemberegning VP1'!Z83</f>
        <v>0</v>
      </c>
    </row>
    <row r="84" spans="10:35" x14ac:dyDescent="0.25">
      <c r="J84" s="13"/>
      <c r="K84">
        <v>3</v>
      </c>
      <c r="L84">
        <v>69</v>
      </c>
      <c r="M84" s="310">
        <v>0.85942499999999999</v>
      </c>
      <c r="N84" s="15">
        <v>8.5422541666666678</v>
      </c>
      <c r="P84" s="15">
        <f>MAX(0,MIN('Potentiel produktion'!C71*$D$3,N84))</f>
        <v>0</v>
      </c>
      <c r="Q84" s="15">
        <f t="shared" si="8"/>
        <v>8.5422541666666678</v>
      </c>
      <c r="R84" s="15">
        <v>0</v>
      </c>
      <c r="S84" s="15">
        <v>0</v>
      </c>
      <c r="T84" s="160">
        <f t="shared" si="9"/>
        <v>23166.593300000004</v>
      </c>
      <c r="V84" s="289">
        <f>'Varmepumpeberegning VP1'!W72</f>
        <v>2.9514704207300451</v>
      </c>
      <c r="W84" s="289">
        <f>'Varmepumpeberegning VP1'!X72</f>
        <v>9.0081678430174801</v>
      </c>
      <c r="X84" s="289">
        <f t="shared" si="10"/>
        <v>48.805649522192738</v>
      </c>
      <c r="Y84" s="15">
        <f>MAX(0,MIN('Potentiel produktion'!C71*$D$3,N84))</f>
        <v>0</v>
      </c>
      <c r="Z84" s="15">
        <f t="shared" si="11"/>
        <v>8.5422541666666678</v>
      </c>
      <c r="AA84" s="16">
        <f t="shared" si="12"/>
        <v>0</v>
      </c>
      <c r="AB84" s="16">
        <v>0</v>
      </c>
      <c r="AC84" s="16">
        <v>0</v>
      </c>
      <c r="AD84" s="145">
        <f>(Y84*$H$3+Z84*'Varmepumpeberegning VP1'!Z72+AA84*$H$5+AB84*$H$6+AC84*$H$7)*24</f>
        <v>10005.846311707775</v>
      </c>
      <c r="AF84" s="16">
        <f>Z84*'Varmepumpeberegning VP1'!Z72*24</f>
        <v>10005.846311707775</v>
      </c>
      <c r="AG84" s="20">
        <f>(Z84/'Varmepumpeberegning VP1'!W72)*24</f>
        <v>69.461682068726233</v>
      </c>
      <c r="AH84" s="17">
        <f t="shared" si="5"/>
        <v>48.805649522192738</v>
      </c>
      <c r="AI84" s="15">
        <f>'Varmepumpeberegning VP1'!X72-'Systemberegning VP1'!Z84</f>
        <v>0.46591367635081227</v>
      </c>
    </row>
    <row r="85" spans="10:35" x14ac:dyDescent="0.25">
      <c r="J85" s="13"/>
      <c r="K85">
        <v>3</v>
      </c>
      <c r="L85">
        <v>70</v>
      </c>
      <c r="M85" s="310">
        <v>0.79457500000000014</v>
      </c>
      <c r="N85" s="15">
        <v>8.566912499999999</v>
      </c>
      <c r="P85" s="15">
        <f>MAX(0,MIN('Potentiel produktion'!C72*$D$3,N85))</f>
        <v>0</v>
      </c>
      <c r="Q85" s="15">
        <f t="shared" si="8"/>
        <v>8.566912499999999</v>
      </c>
      <c r="R85" s="15">
        <v>0</v>
      </c>
      <c r="S85" s="15">
        <v>0</v>
      </c>
      <c r="T85" s="160">
        <f t="shared" si="9"/>
        <v>23233.466699999997</v>
      </c>
      <c r="V85" s="289">
        <f>'Varmepumpeberegning VP1'!W73</f>
        <v>2.9902597151633996</v>
      </c>
      <c r="W85" s="289">
        <f>'Varmepumpeberegning VP1'!X73</f>
        <v>9.0968473264176914</v>
      </c>
      <c r="X85" s="289">
        <f t="shared" si="10"/>
        <v>48.195176072664189</v>
      </c>
      <c r="Y85" s="15">
        <f>MAX(0,MIN('Potentiel produktion'!C72*$D$3,N85))</f>
        <v>0</v>
      </c>
      <c r="Z85" s="15">
        <f t="shared" si="11"/>
        <v>8.566912499999999</v>
      </c>
      <c r="AA85" s="16">
        <f t="shared" si="12"/>
        <v>0</v>
      </c>
      <c r="AB85" s="16">
        <v>0</v>
      </c>
      <c r="AC85" s="16">
        <v>0</v>
      </c>
      <c r="AD85" s="145">
        <f>(Y85*$H$3+Z85*'Varmepumpeberegning VP1'!Z73+AA85*$H$5+AB85*$H$6+AC85*$H$7)*24</f>
        <v>9909.2125520785848</v>
      </c>
      <c r="AF85" s="16">
        <f>Z85*'Varmepumpeberegning VP1'!Z73*24</f>
        <v>9909.2125520785848</v>
      </c>
      <c r="AG85" s="20">
        <f>(Z85/'Varmepumpeberegning VP1'!W73)*24</f>
        <v>68.758542596613509</v>
      </c>
      <c r="AH85" s="17">
        <f t="shared" ref="AH85:AH148" si="13">AF85/Z85/24</f>
        <v>48.195176072664189</v>
      </c>
      <c r="AI85" s="15">
        <f>'Varmepumpeberegning VP1'!X73-'Systemberegning VP1'!Z85</f>
        <v>0.52993482641769241</v>
      </c>
    </row>
    <row r="86" spans="10:35" x14ac:dyDescent="0.25">
      <c r="J86" s="13"/>
      <c r="K86">
        <v>3</v>
      </c>
      <c r="L86">
        <v>71</v>
      </c>
      <c r="M86" s="310">
        <v>0.84098749999999989</v>
      </c>
      <c r="N86" s="15">
        <v>8.8628208333333323</v>
      </c>
      <c r="P86" s="15">
        <f>MAX(0,MIN('Potentiel produktion'!C73*$D$3,N86))</f>
        <v>0</v>
      </c>
      <c r="Q86" s="15">
        <f t="shared" si="8"/>
        <v>8.8628208333333323</v>
      </c>
      <c r="R86" s="15">
        <v>0</v>
      </c>
      <c r="S86" s="15">
        <v>0</v>
      </c>
      <c r="T86" s="160">
        <f t="shared" si="9"/>
        <v>24035.970099999999</v>
      </c>
      <c r="V86" s="289">
        <f>'Varmepumpeberegning VP1'!W74</f>
        <v>2.9902597151633996</v>
      </c>
      <c r="W86" s="289">
        <f>'Varmepumpeberegning VP1'!X74</f>
        <v>9.0968473264176914</v>
      </c>
      <c r="X86" s="289">
        <f t="shared" si="10"/>
        <v>48.195176072664189</v>
      </c>
      <c r="Y86" s="15">
        <f>MAX(0,MIN('Potentiel produktion'!C73*$D$3,N86))</f>
        <v>0</v>
      </c>
      <c r="Z86" s="15">
        <f t="shared" si="11"/>
        <v>8.8628208333333323</v>
      </c>
      <c r="AA86" s="16">
        <f t="shared" si="12"/>
        <v>0</v>
      </c>
      <c r="AB86" s="16">
        <v>0</v>
      </c>
      <c r="AC86" s="16">
        <v>0</v>
      </c>
      <c r="AD86" s="145">
        <f>(Y86*$H$3+Z86*'Varmepumpeberegning VP1'!Z74+AA86*$H$5+AB86*$H$6+AC86*$H$7)*24</f>
        <v>10251.485053511431</v>
      </c>
      <c r="AF86" s="16">
        <f>Z86*'Varmepumpeberegning VP1'!Z74*24</f>
        <v>10251.485053511431</v>
      </c>
      <c r="AG86" s="20">
        <f>(Z86/'Varmepumpeberegning VP1'!W74)*24</f>
        <v>71.13352024955357</v>
      </c>
      <c r="AH86" s="17">
        <f t="shared" si="13"/>
        <v>48.195176072664189</v>
      </c>
      <c r="AI86" s="15">
        <f>'Varmepumpeberegning VP1'!X74-'Systemberegning VP1'!Z86</f>
        <v>0.23402649308435919</v>
      </c>
    </row>
    <row r="87" spans="10:35" x14ac:dyDescent="0.25">
      <c r="J87" s="13"/>
      <c r="K87">
        <v>3</v>
      </c>
      <c r="L87">
        <v>72</v>
      </c>
      <c r="M87" s="310">
        <v>0.79678749999999987</v>
      </c>
      <c r="N87" s="15">
        <v>6.7068833333333329</v>
      </c>
      <c r="P87" s="15">
        <f>MAX(0,MIN('Potentiel produktion'!C74*$D$3,N87))</f>
        <v>0</v>
      </c>
      <c r="Q87" s="15">
        <f t="shared" si="8"/>
        <v>6.7068833333333329</v>
      </c>
      <c r="R87" s="15">
        <v>0</v>
      </c>
      <c r="S87" s="15">
        <v>0</v>
      </c>
      <c r="T87" s="160">
        <f t="shared" si="9"/>
        <v>18189.067599999998</v>
      </c>
      <c r="V87" s="289">
        <f>'Varmepumpeberegning VP1'!W75</f>
        <v>2.9902597151633996</v>
      </c>
      <c r="W87" s="289">
        <f>'Varmepumpeberegning VP1'!X75</f>
        <v>9.0968473264176914</v>
      </c>
      <c r="X87" s="289">
        <f t="shared" si="10"/>
        <v>48.195176072664189</v>
      </c>
      <c r="Y87" s="15">
        <f>MAX(0,MIN('Potentiel produktion'!C74*$D$3,N87))</f>
        <v>0</v>
      </c>
      <c r="Z87" s="15">
        <f t="shared" si="11"/>
        <v>6.7068833333333329</v>
      </c>
      <c r="AA87" s="16">
        <f t="shared" si="12"/>
        <v>0</v>
      </c>
      <c r="AB87" s="16">
        <v>0</v>
      </c>
      <c r="AC87" s="16">
        <v>0</v>
      </c>
      <c r="AD87" s="145">
        <f>(Y87*$H$3+Z87*'Varmepumpeberegning VP1'!Z75+AA87*$H$5+AB87*$H$6+AC87*$H$7)*24</f>
        <v>7757.7461555716054</v>
      </c>
      <c r="AF87" s="16">
        <f>Z87*'Varmepumpeberegning VP1'!Z75*24</f>
        <v>7757.7461555716054</v>
      </c>
      <c r="AG87" s="20">
        <f>(Z87/'Varmepumpeberegning VP1'!W75)*24</f>
        <v>53.829839322570081</v>
      </c>
      <c r="AH87" s="17">
        <f t="shared" si="13"/>
        <v>48.195176072664189</v>
      </c>
      <c r="AI87" s="15">
        <f>'Varmepumpeberegning VP1'!X75-'Systemberegning VP1'!Z87</f>
        <v>2.3899639930843586</v>
      </c>
    </row>
    <row r="88" spans="10:35" x14ac:dyDescent="0.25">
      <c r="J88" s="13"/>
      <c r="K88">
        <v>3</v>
      </c>
      <c r="L88">
        <v>73</v>
      </c>
      <c r="M88" s="310">
        <v>0.77320000000000022</v>
      </c>
      <c r="N88" s="15">
        <v>4.5932208333333335</v>
      </c>
      <c r="P88" s="15">
        <f>MAX(0,MIN('Potentiel produktion'!C75*$D$3,N88))</f>
        <v>0</v>
      </c>
      <c r="Q88" s="15">
        <f t="shared" si="8"/>
        <v>4.5932208333333335</v>
      </c>
      <c r="R88" s="15">
        <v>0</v>
      </c>
      <c r="S88" s="15">
        <v>0</v>
      </c>
      <c r="T88" s="160">
        <f t="shared" si="9"/>
        <v>12456.814900000001</v>
      </c>
      <c r="V88" s="289">
        <f>'Varmepumpeberegning VP1'!W76</f>
        <v>3.0756133144315161</v>
      </c>
      <c r="W88" s="289">
        <f>'Varmepumpeberegning VP1'!X76</f>
        <v>9.3066898143930423</v>
      </c>
      <c r="X88" s="289">
        <f t="shared" si="10"/>
        <v>46.906085468567859</v>
      </c>
      <c r="Y88" s="15">
        <f>MAX(0,MIN('Potentiel produktion'!C75*$D$3,N88))</f>
        <v>0</v>
      </c>
      <c r="Z88" s="15">
        <f t="shared" si="11"/>
        <v>4.5932208333333335</v>
      </c>
      <c r="AA88" s="16">
        <f t="shared" si="12"/>
        <v>0</v>
      </c>
      <c r="AB88" s="16">
        <v>0</v>
      </c>
      <c r="AC88" s="16">
        <v>0</v>
      </c>
      <c r="AD88" s="145">
        <f>(Y88*$H$3+Z88*'Varmepumpeberegning VP1'!Z76+AA88*$H$5+AB88*$H$6+AC88*$H$7)*24</f>
        <v>5170.8002156241564</v>
      </c>
      <c r="AF88" s="16">
        <f>Z88*'Varmepumpeberegning VP1'!Z76*24</f>
        <v>5170.8002156241564</v>
      </c>
      <c r="AG88" s="20">
        <f>(Z88/'Varmepumpeberegning VP1'!W76)*24</f>
        <v>35.842379626443972</v>
      </c>
      <c r="AH88" s="17">
        <f t="shared" si="13"/>
        <v>46.906085468567859</v>
      </c>
      <c r="AI88" s="15">
        <f>'Varmepumpeberegning VP1'!X76-'Systemberegning VP1'!Z88</f>
        <v>4.7134689810597088</v>
      </c>
    </row>
    <row r="89" spans="10:35" x14ac:dyDescent="0.25">
      <c r="J89" s="13"/>
      <c r="K89">
        <v>3</v>
      </c>
      <c r="L89">
        <v>74</v>
      </c>
      <c r="M89" s="310">
        <v>0.83471250000000019</v>
      </c>
      <c r="N89" s="15">
        <v>4.3712708333333339</v>
      </c>
      <c r="P89" s="15">
        <f>MAX(0,MIN('Potentiel produktion'!C76*$D$3,N89))</f>
        <v>0</v>
      </c>
      <c r="Q89" s="15">
        <f t="shared" si="8"/>
        <v>4.3712708333333339</v>
      </c>
      <c r="R89" s="15">
        <v>0</v>
      </c>
      <c r="S89" s="15">
        <v>0</v>
      </c>
      <c r="T89" s="160">
        <f t="shared" si="9"/>
        <v>11854.886500000001</v>
      </c>
      <c r="V89" s="289">
        <f>'Varmepumpeberegning VP1'!W77</f>
        <v>3.2053708816573461</v>
      </c>
      <c r="W89" s="289">
        <f>'Varmepumpeberegning VP1'!X77</f>
        <v>9.6214535463560686</v>
      </c>
      <c r="X89" s="289">
        <f t="shared" si="10"/>
        <v>45.077880349837372</v>
      </c>
      <c r="Y89" s="15">
        <f>MAX(0,MIN('Potentiel produktion'!C76*$D$3,N89))</f>
        <v>0</v>
      </c>
      <c r="Z89" s="15">
        <f t="shared" si="11"/>
        <v>4.3712708333333339</v>
      </c>
      <c r="AA89" s="16">
        <f t="shared" si="12"/>
        <v>0</v>
      </c>
      <c r="AB89" s="16">
        <v>0</v>
      </c>
      <c r="AC89" s="16">
        <v>0</v>
      </c>
      <c r="AD89" s="145">
        <f>(Y89*$H$3+Z89*'Varmepumpeberegning VP1'!Z77+AA89*$H$5+AB89*$H$6+AC89*$H$7)*24</f>
        <v>4729.1429664416146</v>
      </c>
      <c r="AF89" s="16">
        <f>Z89*'Varmepumpeberegning VP1'!Z77*24</f>
        <v>4729.1429664416146</v>
      </c>
      <c r="AG89" s="20">
        <f>(Z89/'Varmepumpeberegning VP1'!W77)*24</f>
        <v>32.729597875973639</v>
      </c>
      <c r="AH89" s="17">
        <f t="shared" si="13"/>
        <v>45.077880349837379</v>
      </c>
      <c r="AI89" s="15">
        <f>'Varmepumpeberegning VP1'!X77-'Systemberegning VP1'!Z89</f>
        <v>5.2501827130227348</v>
      </c>
    </row>
    <row r="90" spans="10:35" x14ac:dyDescent="0.25">
      <c r="J90" s="13"/>
      <c r="K90">
        <v>3</v>
      </c>
      <c r="L90">
        <v>75</v>
      </c>
      <c r="M90" s="310">
        <v>0.75449999999999984</v>
      </c>
      <c r="N90" s="15">
        <v>8.0842833333333335</v>
      </c>
      <c r="P90" s="15">
        <f>MAX(0,MIN('Potentiel produktion'!C77*$D$3,N90))</f>
        <v>0</v>
      </c>
      <c r="Q90" s="15">
        <f t="shared" si="8"/>
        <v>8.0842833333333335</v>
      </c>
      <c r="R90" s="15">
        <v>0</v>
      </c>
      <c r="S90" s="15">
        <v>0</v>
      </c>
      <c r="T90" s="160">
        <f t="shared" si="9"/>
        <v>21924.576400000002</v>
      </c>
      <c r="V90" s="289">
        <f>'Varmepumpeberegning VP1'!W78</f>
        <v>3.2053708816573461</v>
      </c>
      <c r="W90" s="289">
        <f>'Varmepumpeberegning VP1'!X78</f>
        <v>9.6214535463560686</v>
      </c>
      <c r="X90" s="289">
        <f t="shared" si="10"/>
        <v>45.077880349837372</v>
      </c>
      <c r="Y90" s="15">
        <f>MAX(0,MIN('Potentiel produktion'!C77*$D$3,N90))</f>
        <v>0</v>
      </c>
      <c r="Z90" s="15">
        <f t="shared" si="11"/>
        <v>8.0842833333333335</v>
      </c>
      <c r="AA90" s="16">
        <f t="shared" si="12"/>
        <v>0</v>
      </c>
      <c r="AB90" s="16">
        <v>0</v>
      </c>
      <c r="AC90" s="16">
        <v>0</v>
      </c>
      <c r="AD90" s="145">
        <f>(Y90*$H$3+Z90*'Varmepumpeberegning VP1'!Z78+AA90*$H$5+AB90*$H$6+AC90*$H$7)*24</f>
        <v>8746.1365635404272</v>
      </c>
      <c r="AF90" s="16">
        <f>Z90*'Varmepumpeberegning VP1'!Z78*24</f>
        <v>8746.1365635404272</v>
      </c>
      <c r="AG90" s="20">
        <f>(Z90/'Varmepumpeberegning VP1'!W78)*24</f>
        <v>60.53053052621479</v>
      </c>
      <c r="AH90" s="17">
        <f t="shared" si="13"/>
        <v>45.077880349837379</v>
      </c>
      <c r="AI90" s="15">
        <f>'Varmepumpeberegning VP1'!X78-'Systemberegning VP1'!Z90</f>
        <v>1.5371702130227352</v>
      </c>
    </row>
    <row r="91" spans="10:35" x14ac:dyDescent="0.25">
      <c r="J91" s="13"/>
      <c r="K91">
        <v>3</v>
      </c>
      <c r="L91">
        <v>76</v>
      </c>
      <c r="M91" s="310">
        <v>0.64518749999999991</v>
      </c>
      <c r="N91" s="15">
        <v>7.9504166666666665</v>
      </c>
      <c r="P91" s="15">
        <f>MAX(0,MIN('Potentiel produktion'!C78*$D$3,N91))</f>
        <v>0</v>
      </c>
      <c r="Q91" s="15">
        <f t="shared" si="8"/>
        <v>7.9504166666666665</v>
      </c>
      <c r="R91" s="15">
        <v>0</v>
      </c>
      <c r="S91" s="15">
        <v>0</v>
      </c>
      <c r="T91" s="160">
        <f t="shared" si="9"/>
        <v>21561.53</v>
      </c>
      <c r="V91" s="289">
        <f>'Varmepumpeberegning VP1'!W79</f>
        <v>3.0328225996421248</v>
      </c>
      <c r="W91" s="289">
        <f>'Varmepumpeberegning VP1'!X79</f>
        <v>9.2017685704053669</v>
      </c>
      <c r="X91" s="289">
        <f t="shared" si="10"/>
        <v>47.54328147744701</v>
      </c>
      <c r="Y91" s="15">
        <f>MAX(0,MIN('Potentiel produktion'!C78*$D$3,N91))</f>
        <v>0</v>
      </c>
      <c r="Z91" s="15">
        <f t="shared" si="11"/>
        <v>7.9504166666666665</v>
      </c>
      <c r="AA91" s="16">
        <f t="shared" si="12"/>
        <v>0</v>
      </c>
      <c r="AB91" s="16">
        <v>0</v>
      </c>
      <c r="AC91" s="16">
        <v>0</v>
      </c>
      <c r="AD91" s="145">
        <f>(Y91*$H$3+Z91*'Varmepumpeberegning VP1'!Z79+AA91*$H$5+AB91*$H$6+AC91*$H$7)*24</f>
        <v>9071.7335387116636</v>
      </c>
      <c r="AF91" s="16">
        <f>Z91*'Varmepumpeberegning VP1'!Z79*24</f>
        <v>9071.7335387116636</v>
      </c>
      <c r="AG91" s="20">
        <f>(Z91/'Varmepumpeberegning VP1'!W79)*24</f>
        <v>62.914988836642053</v>
      </c>
      <c r="AH91" s="17">
        <f t="shared" si="13"/>
        <v>47.54328147744701</v>
      </c>
      <c r="AI91" s="15">
        <f>'Varmepumpeberegning VP1'!X79-'Systemberegning VP1'!Z91</f>
        <v>1.2513519037387004</v>
      </c>
    </row>
    <row r="92" spans="10:35" x14ac:dyDescent="0.25">
      <c r="J92" s="13"/>
      <c r="K92">
        <v>3</v>
      </c>
      <c r="L92">
        <v>77</v>
      </c>
      <c r="M92" s="310">
        <v>0.7133750000000002</v>
      </c>
      <c r="N92" s="15">
        <v>6.3933583333333344</v>
      </c>
      <c r="P92" s="15">
        <f>MAX(0,MIN('Potentiel produktion'!C79*$D$3,N92))</f>
        <v>0</v>
      </c>
      <c r="Q92" s="15">
        <f t="shared" si="8"/>
        <v>6.3933583333333344</v>
      </c>
      <c r="R92" s="15">
        <v>0</v>
      </c>
      <c r="S92" s="15">
        <v>0</v>
      </c>
      <c r="T92" s="160">
        <f t="shared" si="9"/>
        <v>17338.787800000002</v>
      </c>
      <c r="V92" s="289">
        <f>'Varmepumpeberegning VP1'!W80</f>
        <v>3.0328225996421248</v>
      </c>
      <c r="W92" s="289">
        <f>'Varmepumpeberegning VP1'!X80</f>
        <v>9.2017685704053669</v>
      </c>
      <c r="X92" s="289">
        <f t="shared" si="10"/>
        <v>47.54328147744701</v>
      </c>
      <c r="Y92" s="15">
        <f>MAX(0,MIN('Potentiel produktion'!C79*$D$3,N92))</f>
        <v>0</v>
      </c>
      <c r="Z92" s="15">
        <f t="shared" si="11"/>
        <v>6.3933583333333344</v>
      </c>
      <c r="AA92" s="16">
        <f t="shared" si="12"/>
        <v>0</v>
      </c>
      <c r="AB92" s="16">
        <v>0</v>
      </c>
      <c r="AC92" s="16">
        <v>0</v>
      </c>
      <c r="AD92" s="145">
        <f>(Y92*$H$3+Z92*'Varmepumpeberegning VP1'!Z80+AA92*$H$5+AB92*$H$6+AC92*$H$7)*24</f>
        <v>7295.0696358683572</v>
      </c>
      <c r="AF92" s="16">
        <f>Z92*'Varmepumpeberegning VP1'!Z80*24</f>
        <v>7295.0696358683572</v>
      </c>
      <c r="AG92" s="20">
        <f>(Z92/'Varmepumpeberegning VP1'!W80)*24</f>
        <v>50.593331775523609</v>
      </c>
      <c r="AH92" s="17">
        <f t="shared" si="13"/>
        <v>47.54328147744701</v>
      </c>
      <c r="AI92" s="15">
        <f>'Varmepumpeberegning VP1'!X80-'Systemberegning VP1'!Z92</f>
        <v>2.8084102370720325</v>
      </c>
    </row>
    <row r="93" spans="10:35" x14ac:dyDescent="0.25">
      <c r="J93" s="13"/>
      <c r="K93">
        <v>3</v>
      </c>
      <c r="L93">
        <v>78</v>
      </c>
      <c r="M93" s="310">
        <v>0.7517625</v>
      </c>
      <c r="N93" s="15">
        <v>5.4633458333333325</v>
      </c>
      <c r="P93" s="15">
        <f>MAX(0,MIN('Potentiel produktion'!C80*$D$3,N93))</f>
        <v>0</v>
      </c>
      <c r="Q93" s="15">
        <f t="shared" si="8"/>
        <v>5.4633458333333325</v>
      </c>
      <c r="R93" s="15">
        <v>0</v>
      </c>
      <c r="S93" s="15">
        <v>0</v>
      </c>
      <c r="T93" s="160">
        <f t="shared" si="9"/>
        <v>14816.593899999998</v>
      </c>
      <c r="V93" s="289">
        <f>'Varmepumpeberegning VP1'!W81</f>
        <v>3.1186336937333676</v>
      </c>
      <c r="W93" s="289">
        <f>'Varmepumpeberegning VP1'!X81</f>
        <v>9.4116110583807178</v>
      </c>
      <c r="X93" s="289">
        <f t="shared" si="10"/>
        <v>46.283096463675768</v>
      </c>
      <c r="Y93" s="15">
        <f>MAX(0,MIN('Potentiel produktion'!C80*$D$3,N93))</f>
        <v>0</v>
      </c>
      <c r="Z93" s="15">
        <f t="shared" si="11"/>
        <v>5.4633458333333325</v>
      </c>
      <c r="AA93" s="16">
        <f t="shared" si="12"/>
        <v>0</v>
      </c>
      <c r="AB93" s="16">
        <v>0</v>
      </c>
      <c r="AC93" s="16">
        <v>0</v>
      </c>
      <c r="AD93" s="145">
        <f>(Y93*$H$3+Z93*'Varmepumpeberegning VP1'!Z81+AA93*$H$5+AB93*$H$6+AC93*$H$7)*24</f>
        <v>6068.6534932461054</v>
      </c>
      <c r="AF93" s="16">
        <f>Z93*'Varmepumpeberegning VP1'!Z81*24</f>
        <v>6068.6534932461054</v>
      </c>
      <c r="AG93" s="20">
        <f>(Z93/'Varmepumpeberegning VP1'!W81)*24</f>
        <v>42.044149097560002</v>
      </c>
      <c r="AH93" s="17">
        <f t="shared" si="13"/>
        <v>46.283096463675776</v>
      </c>
      <c r="AI93" s="15">
        <f>'Varmepumpeberegning VP1'!X81-'Systemberegning VP1'!Z93</f>
        <v>3.9482652250473853</v>
      </c>
    </row>
    <row r="94" spans="10:35" x14ac:dyDescent="0.25">
      <c r="J94" s="13"/>
      <c r="K94">
        <v>3</v>
      </c>
      <c r="L94">
        <v>79</v>
      </c>
      <c r="M94" s="310">
        <v>0.76897500000000008</v>
      </c>
      <c r="N94" s="15">
        <v>5.1920874999999995</v>
      </c>
      <c r="P94" s="15">
        <f>MAX(0,MIN('Potentiel produktion'!C81*$D$3,N94))</f>
        <v>0</v>
      </c>
      <c r="Q94" s="15">
        <f t="shared" si="8"/>
        <v>5.1920874999999995</v>
      </c>
      <c r="R94" s="15">
        <v>0</v>
      </c>
      <c r="S94" s="15">
        <v>0</v>
      </c>
      <c r="T94" s="160">
        <f t="shared" si="9"/>
        <v>14080.941299999999</v>
      </c>
      <c r="V94" s="289">
        <f>'Varmepumpeberegning VP1'!W82</f>
        <v>3.1618855914913517</v>
      </c>
      <c r="W94" s="289">
        <f>'Varmepumpeberegning VP1'!X82</f>
        <v>9.5165323023683932</v>
      </c>
      <c r="X94" s="289">
        <f t="shared" si="10"/>
        <v>45.673844559506328</v>
      </c>
      <c r="Y94" s="15">
        <f>MAX(0,MIN('Potentiel produktion'!C81*$D$3,N94))</f>
        <v>0</v>
      </c>
      <c r="Z94" s="15">
        <f t="shared" si="11"/>
        <v>5.1920874999999995</v>
      </c>
      <c r="AA94" s="16">
        <f t="shared" si="12"/>
        <v>0</v>
      </c>
      <c r="AB94" s="16">
        <v>0</v>
      </c>
      <c r="AC94" s="16">
        <v>0</v>
      </c>
      <c r="AD94" s="145">
        <f>(Y94*$H$3+Z94*'Varmepumpeberegning VP1'!Z82+AA94*$H$5+AB94*$H$6+AC94*$H$7)*24</f>
        <v>5691.4223379445393</v>
      </c>
      <c r="AF94" s="16">
        <f>Z94*'Varmepumpeberegning VP1'!Z82*24</f>
        <v>5691.4223379445393</v>
      </c>
      <c r="AG94" s="20">
        <f>(Z94/'Varmepumpeberegning VP1'!W82)*24</f>
        <v>39.41005972364286</v>
      </c>
      <c r="AH94" s="17">
        <f t="shared" si="13"/>
        <v>45.673844559506335</v>
      </c>
      <c r="AI94" s="15">
        <f>'Varmepumpeberegning VP1'!X82-'Systemberegning VP1'!Z94</f>
        <v>4.3244448023683937</v>
      </c>
    </row>
    <row r="95" spans="10:35" x14ac:dyDescent="0.25">
      <c r="J95" s="13"/>
      <c r="K95">
        <v>3</v>
      </c>
      <c r="L95">
        <v>80</v>
      </c>
      <c r="M95" s="310">
        <v>0.73008750000000022</v>
      </c>
      <c r="N95" s="15">
        <v>7.3057708333333338</v>
      </c>
      <c r="P95" s="15">
        <f>MAX(0,MIN('Potentiel produktion'!C82*$D$3,N95))</f>
        <v>0</v>
      </c>
      <c r="Q95" s="15">
        <f t="shared" si="8"/>
        <v>7.3057708333333338</v>
      </c>
      <c r="R95" s="15">
        <v>0</v>
      </c>
      <c r="S95" s="15">
        <v>0</v>
      </c>
      <c r="T95" s="160">
        <f t="shared" si="9"/>
        <v>19813.250500000002</v>
      </c>
      <c r="V95" s="289">
        <f>'Varmepumpeberegning VP1'!W83</f>
        <v>3.1618855914913517</v>
      </c>
      <c r="W95" s="289">
        <f>'Varmepumpeberegning VP1'!X83</f>
        <v>9.5165323023683932</v>
      </c>
      <c r="X95" s="289">
        <f t="shared" si="10"/>
        <v>45.673844559506328</v>
      </c>
      <c r="Y95" s="15">
        <f>MAX(0,MIN('Potentiel produktion'!C82*$D$3,N95))</f>
        <v>0</v>
      </c>
      <c r="Z95" s="15">
        <f t="shared" si="11"/>
        <v>7.3057708333333338</v>
      </c>
      <c r="AA95" s="16">
        <f t="shared" si="12"/>
        <v>0</v>
      </c>
      <c r="AB95" s="16">
        <v>0</v>
      </c>
      <c r="AC95" s="16">
        <v>0</v>
      </c>
      <c r="AD95" s="145">
        <f>(Y95*$H$3+Z95*'Varmepumpeberegning VP1'!Z83+AA95*$H$5+AB95*$H$6+AC95*$H$7)*24</f>
        <v>8008.3833942970014</v>
      </c>
      <c r="AF95" s="16">
        <f>Z95*'Varmepumpeberegning VP1'!Z83*24</f>
        <v>8008.3833942970014</v>
      </c>
      <c r="AG95" s="20">
        <f>(Z95/'Varmepumpeberegning VP1'!W83)*24</f>
        <v>55.453777477539575</v>
      </c>
      <c r="AH95" s="17">
        <f t="shared" si="13"/>
        <v>45.673844559506335</v>
      </c>
      <c r="AI95" s="15">
        <f>'Varmepumpeberegning VP1'!X83-'Systemberegning VP1'!Z95</f>
        <v>2.2107614690350594</v>
      </c>
    </row>
    <row r="96" spans="10:35" x14ac:dyDescent="0.25">
      <c r="J96" s="13"/>
      <c r="K96">
        <v>3</v>
      </c>
      <c r="L96">
        <v>81</v>
      </c>
      <c r="M96" s="310">
        <v>0.71625000000000005</v>
      </c>
      <c r="N96" s="15">
        <v>6.6399499999999998</v>
      </c>
      <c r="P96" s="15">
        <f>MAX(0,MIN('Potentiel produktion'!C83*$D$3,N96))</f>
        <v>0</v>
      </c>
      <c r="Q96" s="15">
        <f t="shared" si="8"/>
        <v>6.6399499999999998</v>
      </c>
      <c r="R96" s="15">
        <v>0</v>
      </c>
      <c r="S96" s="15">
        <v>0</v>
      </c>
      <c r="T96" s="160">
        <f t="shared" si="9"/>
        <v>18007.544399999999</v>
      </c>
      <c r="V96" s="289">
        <f>'Varmepumpeberegning VP1'!W84</f>
        <v>3.0756133144315161</v>
      </c>
      <c r="W96" s="289">
        <f>'Varmepumpeberegning VP1'!X84</f>
        <v>9.3066898143930423</v>
      </c>
      <c r="X96" s="289">
        <f t="shared" si="10"/>
        <v>46.906085468567859</v>
      </c>
      <c r="Y96" s="15">
        <f>MAX(0,MIN('Potentiel produktion'!C83*$D$3,N96))</f>
        <v>0</v>
      </c>
      <c r="Z96" s="15">
        <f t="shared" si="11"/>
        <v>6.6399499999999998</v>
      </c>
      <c r="AA96" s="16">
        <f t="shared" si="12"/>
        <v>0</v>
      </c>
      <c r="AB96" s="16">
        <v>0</v>
      </c>
      <c r="AC96" s="16">
        <v>0</v>
      </c>
      <c r="AD96" s="145">
        <f>(Y96*$H$3+Z96*'Varmepumpeberegning VP1'!Z84+AA96*$H$5+AB96*$H$6+AC96*$H$7)*24</f>
        <v>7474.8974929684118</v>
      </c>
      <c r="AF96" s="16">
        <f>Z96*'Varmepumpeberegning VP1'!Z84*24</f>
        <v>7474.8974929684118</v>
      </c>
      <c r="AG96" s="20">
        <f>(Z96/'Varmepumpeberegning VP1'!W84)*24</f>
        <v>51.813665668648994</v>
      </c>
      <c r="AH96" s="17">
        <f t="shared" si="13"/>
        <v>46.906085468567859</v>
      </c>
      <c r="AI96" s="15">
        <f>'Varmepumpeberegning VP1'!X84-'Systemberegning VP1'!Z96</f>
        <v>2.6667398143930425</v>
      </c>
    </row>
    <row r="97" spans="10:35" x14ac:dyDescent="0.25">
      <c r="J97" s="13"/>
      <c r="K97">
        <v>3</v>
      </c>
      <c r="L97">
        <v>82</v>
      </c>
      <c r="M97" s="310">
        <v>0.69652499999999995</v>
      </c>
      <c r="N97" s="15">
        <v>9.1974874999999994</v>
      </c>
      <c r="P97" s="15">
        <f>MAX(0,MIN('Potentiel produktion'!C84*$D$3,N97))</f>
        <v>0</v>
      </c>
      <c r="Q97" s="15">
        <f t="shared" si="8"/>
        <v>9.1974874999999994</v>
      </c>
      <c r="R97" s="15">
        <v>0</v>
      </c>
      <c r="S97" s="15">
        <v>0</v>
      </c>
      <c r="T97" s="160">
        <f t="shared" si="9"/>
        <v>24943.586099999997</v>
      </c>
      <c r="V97" s="289">
        <f>'Varmepumpeberegning VP1'!W85</f>
        <v>3.0756133144315161</v>
      </c>
      <c r="W97" s="289">
        <f>'Varmepumpeberegning VP1'!X85</f>
        <v>9.3066898143930423</v>
      </c>
      <c r="X97" s="289">
        <f t="shared" si="10"/>
        <v>46.906085468567859</v>
      </c>
      <c r="Y97" s="15">
        <f>MAX(0,MIN('Potentiel produktion'!C84*$D$3,N97))</f>
        <v>0</v>
      </c>
      <c r="Z97" s="15">
        <f t="shared" si="11"/>
        <v>9.1974874999999994</v>
      </c>
      <c r="AA97" s="16">
        <f t="shared" si="12"/>
        <v>0</v>
      </c>
      <c r="AB97" s="16">
        <v>0</v>
      </c>
      <c r="AC97" s="16">
        <v>0</v>
      </c>
      <c r="AD97" s="145">
        <f>(Y97*$H$3+Z97*'Varmepumpeberegning VP1'!Z85+AA97*$H$5+AB97*$H$6+AC97*$H$7)*24</f>
        <v>10354.035234506027</v>
      </c>
      <c r="AF97" s="16">
        <f>Z97*'Varmepumpeberegning VP1'!Z85*24</f>
        <v>10354.035234506027</v>
      </c>
      <c r="AG97" s="20">
        <f>(Z97/'Varmepumpeberegning VP1'!W85)*24</f>
        <v>71.770953443411202</v>
      </c>
      <c r="AH97" s="17">
        <f t="shared" si="13"/>
        <v>46.906085468567852</v>
      </c>
      <c r="AI97" s="15">
        <f>'Varmepumpeberegning VP1'!X85-'Systemberegning VP1'!Z97</f>
        <v>0.10920231439304295</v>
      </c>
    </row>
    <row r="98" spans="10:35" x14ac:dyDescent="0.25">
      <c r="J98" s="13"/>
      <c r="K98">
        <v>3</v>
      </c>
      <c r="L98">
        <v>83</v>
      </c>
      <c r="M98" s="310">
        <v>0.63517500000000016</v>
      </c>
      <c r="N98" s="15">
        <v>9.0143000000000004</v>
      </c>
      <c r="P98" s="15">
        <f>MAX(0,MIN('Potentiel produktion'!C85*$D$3,N98))</f>
        <v>0</v>
      </c>
      <c r="Q98" s="15">
        <f t="shared" si="8"/>
        <v>9.0143000000000004</v>
      </c>
      <c r="R98" s="15">
        <v>0</v>
      </c>
      <c r="S98" s="15">
        <v>0</v>
      </c>
      <c r="T98" s="160">
        <f t="shared" si="9"/>
        <v>24446.781600000002</v>
      </c>
      <c r="V98" s="289">
        <f>'Varmepumpeberegning VP1'!W86</f>
        <v>2.9514704207300451</v>
      </c>
      <c r="W98" s="289">
        <f>'Varmepumpeberegning VP1'!X86</f>
        <v>9.0081678430174801</v>
      </c>
      <c r="X98" s="289">
        <f t="shared" si="10"/>
        <v>48.805649522192738</v>
      </c>
      <c r="Y98" s="15">
        <f>MAX(0,MIN('Potentiel produktion'!C85*$D$3,N98))</f>
        <v>0</v>
      </c>
      <c r="Z98" s="15">
        <f t="shared" si="11"/>
        <v>9.0081678430174801</v>
      </c>
      <c r="AA98" s="16">
        <f t="shared" si="12"/>
        <v>6.1321569825203426E-3</v>
      </c>
      <c r="AB98" s="16">
        <v>0</v>
      </c>
      <c r="AC98" s="16">
        <v>0</v>
      </c>
      <c r="AD98" s="145">
        <f>(Y98*$H$3+Z98*'Varmepumpeberegning VP1'!Z86+AA98*$H$5+AB98*$H$6+AC98*$H$7)*24</f>
        <v>10568.217991738149</v>
      </c>
      <c r="AF98" s="16">
        <f>Z98*'Varmepumpeberegning VP1'!Z86*24</f>
        <v>10551.587582001554</v>
      </c>
      <c r="AG98" s="20">
        <f>(Z98/'Varmepumpeberegning VP1'!W86)*24</f>
        <v>73.250277798462065</v>
      </c>
      <c r="AH98" s="17">
        <f t="shared" si="13"/>
        <v>48.805649522192738</v>
      </c>
      <c r="AI98" s="15">
        <f>'Varmepumpeberegning VP1'!X86-'Systemberegning VP1'!Z98</f>
        <v>0</v>
      </c>
    </row>
    <row r="99" spans="10:35" x14ac:dyDescent="0.25">
      <c r="J99" s="13"/>
      <c r="K99">
        <v>3</v>
      </c>
      <c r="L99">
        <v>84</v>
      </c>
      <c r="M99" s="310">
        <v>0.47482499999999989</v>
      </c>
      <c r="N99" s="15">
        <v>8.7923708333333348</v>
      </c>
      <c r="P99" s="15">
        <f>MAX(0,MIN('Potentiel produktion'!C86*$D$3,N99))</f>
        <v>0</v>
      </c>
      <c r="Q99" s="15">
        <f t="shared" si="8"/>
        <v>8.7923708333333348</v>
      </c>
      <c r="R99" s="15">
        <v>0</v>
      </c>
      <c r="S99" s="15">
        <v>0</v>
      </c>
      <c r="T99" s="160">
        <f t="shared" si="9"/>
        <v>23844.909700000004</v>
      </c>
      <c r="V99" s="289">
        <f>'Varmepumpeberegning VP1'!W87</f>
        <v>2.9902597151633996</v>
      </c>
      <c r="W99" s="289">
        <f>'Varmepumpeberegning VP1'!X87</f>
        <v>9.0968473264176914</v>
      </c>
      <c r="X99" s="289">
        <f t="shared" si="10"/>
        <v>48.195176072664189</v>
      </c>
      <c r="Y99" s="15">
        <f>MAX(0,MIN('Potentiel produktion'!C86*$D$3,N99))</f>
        <v>0</v>
      </c>
      <c r="Z99" s="15">
        <f t="shared" si="11"/>
        <v>8.7923708333333348</v>
      </c>
      <c r="AA99" s="16">
        <f t="shared" si="12"/>
        <v>0</v>
      </c>
      <c r="AB99" s="16">
        <v>0</v>
      </c>
      <c r="AC99" s="16">
        <v>0</v>
      </c>
      <c r="AD99" s="145">
        <f>(Y99*$H$3+Z99*'Varmepumpeberegning VP1'!Z87+AA99*$H$5+AB99*$H$6+AC99*$H$7)*24</f>
        <v>10169.996649807774</v>
      </c>
      <c r="AF99" s="16">
        <f>Z99*'Varmepumpeberegning VP1'!Z87*24</f>
        <v>10169.996649807774</v>
      </c>
      <c r="AG99" s="20">
        <f>(Z99/'Varmepumpeberegning VP1'!W87)*24</f>
        <v>70.568084414189158</v>
      </c>
      <c r="AH99" s="17">
        <f t="shared" si="13"/>
        <v>48.195176072664189</v>
      </c>
      <c r="AI99" s="15">
        <f>'Varmepumpeberegning VP1'!X87-'Systemberegning VP1'!Z99</f>
        <v>0.30447649308435665</v>
      </c>
    </row>
    <row r="100" spans="10:35" x14ac:dyDescent="0.25">
      <c r="J100" s="13"/>
      <c r="K100">
        <v>3</v>
      </c>
      <c r="L100">
        <v>85</v>
      </c>
      <c r="M100" s="310">
        <v>0.52843750000000023</v>
      </c>
      <c r="N100" s="15">
        <v>8.2569125000000003</v>
      </c>
      <c r="P100" s="15">
        <f>MAX(0,MIN('Potentiel produktion'!C87*$D$3,N100))</f>
        <v>0</v>
      </c>
      <c r="Q100" s="15">
        <f t="shared" si="8"/>
        <v>8.2569125000000003</v>
      </c>
      <c r="R100" s="15">
        <v>0</v>
      </c>
      <c r="S100" s="15">
        <v>0</v>
      </c>
      <c r="T100" s="160">
        <f t="shared" si="9"/>
        <v>22392.746700000003</v>
      </c>
      <c r="V100" s="289">
        <f>'Varmepumpeberegning VP1'!W88</f>
        <v>2.9902597151633996</v>
      </c>
      <c r="W100" s="289">
        <f>'Varmepumpeberegning VP1'!X88</f>
        <v>9.0968473264176914</v>
      </c>
      <c r="X100" s="289">
        <f t="shared" si="10"/>
        <v>48.195176072664189</v>
      </c>
      <c r="Y100" s="15">
        <f>MAX(0,MIN('Potentiel produktion'!C87*$D$3,N100))</f>
        <v>0</v>
      </c>
      <c r="Z100" s="15">
        <f t="shared" si="11"/>
        <v>8.2569125000000003</v>
      </c>
      <c r="AA100" s="16">
        <f t="shared" si="12"/>
        <v>0</v>
      </c>
      <c r="AB100" s="16">
        <v>0</v>
      </c>
      <c r="AC100" s="16">
        <v>0</v>
      </c>
      <c r="AD100" s="145">
        <f>(Y100*$H$3+Z100*'Varmepumpeberegning VP1'!Z88+AA100*$H$5+AB100*$H$6+AC100*$H$7)*24</f>
        <v>9550.6404420979634</v>
      </c>
      <c r="AF100" s="16">
        <f>Z100*'Varmepumpeberegning VP1'!Z88*24</f>
        <v>9550.6404420979634</v>
      </c>
      <c r="AG100" s="20">
        <f>(Z100/'Varmepumpeberegning VP1'!W88)*24</f>
        <v>66.270464399836072</v>
      </c>
      <c r="AH100" s="17">
        <f t="shared" si="13"/>
        <v>48.195176072664175</v>
      </c>
      <c r="AI100" s="15">
        <f>'Varmepumpeberegning VP1'!X88-'Systemberegning VP1'!Z100</f>
        <v>0.83993482641769113</v>
      </c>
    </row>
    <row r="101" spans="10:35" x14ac:dyDescent="0.25">
      <c r="J101" s="13"/>
      <c r="K101">
        <v>3</v>
      </c>
      <c r="L101">
        <v>86</v>
      </c>
      <c r="M101" s="310">
        <v>0.57366250000000008</v>
      </c>
      <c r="N101" s="15">
        <v>6.8125624999999985</v>
      </c>
      <c r="P101" s="15">
        <f>MAX(0,MIN('Potentiel produktion'!C88*$D$3,N101))</f>
        <v>0</v>
      </c>
      <c r="Q101" s="15">
        <f t="shared" si="8"/>
        <v>6.8125624999999985</v>
      </c>
      <c r="R101" s="15">
        <v>0</v>
      </c>
      <c r="S101" s="15">
        <v>0</v>
      </c>
      <c r="T101" s="160">
        <f t="shared" si="9"/>
        <v>18475.669499999996</v>
      </c>
      <c r="V101" s="289">
        <f>'Varmepumpeberegning VP1'!W89</f>
        <v>3.0328225996421248</v>
      </c>
      <c r="W101" s="289">
        <f>'Varmepumpeberegning VP1'!X89</f>
        <v>9.2017685704053669</v>
      </c>
      <c r="X101" s="289">
        <f t="shared" si="10"/>
        <v>47.54328147744701</v>
      </c>
      <c r="Y101" s="15">
        <f>MAX(0,MIN('Potentiel produktion'!C88*$D$3,N101))</f>
        <v>0</v>
      </c>
      <c r="Z101" s="15">
        <f t="shared" si="11"/>
        <v>6.8125624999999985</v>
      </c>
      <c r="AA101" s="16">
        <f t="shared" si="12"/>
        <v>0</v>
      </c>
      <c r="AB101" s="16">
        <v>0</v>
      </c>
      <c r="AC101" s="16">
        <v>0</v>
      </c>
      <c r="AD101" s="145">
        <f>(Y101*$H$3+Z101*'Varmepumpeberegning VP1'!Z89+AA101*$H$5+AB101*$H$6+AC101*$H$7)*24</f>
        <v>7773.3978364848008</v>
      </c>
      <c r="AF101" s="16">
        <f>Z101*'Varmepumpeberegning VP1'!Z89*24</f>
        <v>7773.3978364848008</v>
      </c>
      <c r="AG101" s="20">
        <f>(Z101/'Varmepumpeberegning VP1'!W89)*24</f>
        <v>53.910670548054227</v>
      </c>
      <c r="AH101" s="17">
        <f t="shared" si="13"/>
        <v>47.54328147744701</v>
      </c>
      <c r="AI101" s="15">
        <f>'Varmepumpeberegning VP1'!X89-'Systemberegning VP1'!Z101</f>
        <v>2.3892060704053684</v>
      </c>
    </row>
    <row r="102" spans="10:35" x14ac:dyDescent="0.25">
      <c r="J102" s="13"/>
      <c r="K102">
        <v>3</v>
      </c>
      <c r="L102">
        <v>87</v>
      </c>
      <c r="M102" s="310">
        <v>0.60848749999999985</v>
      </c>
      <c r="N102" s="15">
        <v>7.8553041666666674</v>
      </c>
      <c r="P102" s="15">
        <f>MAX(0,MIN('Potentiel produktion'!C89*$D$3,N102))</f>
        <v>0</v>
      </c>
      <c r="Q102" s="15">
        <f t="shared" si="8"/>
        <v>7.8553041666666674</v>
      </c>
      <c r="R102" s="15">
        <v>0</v>
      </c>
      <c r="S102" s="15">
        <v>0</v>
      </c>
      <c r="T102" s="160">
        <f t="shared" si="9"/>
        <v>21303.584900000002</v>
      </c>
      <c r="V102" s="289">
        <f>'Varmepumpeberegning VP1'!W90</f>
        <v>3.0756133144315161</v>
      </c>
      <c r="W102" s="289">
        <f>'Varmepumpeberegning VP1'!X90</f>
        <v>9.3066898143930423</v>
      </c>
      <c r="X102" s="289">
        <f t="shared" si="10"/>
        <v>46.906085468567859</v>
      </c>
      <c r="Y102" s="15">
        <f>MAX(0,MIN('Potentiel produktion'!C89*$D$3,N102))</f>
        <v>0</v>
      </c>
      <c r="Z102" s="15">
        <f t="shared" si="11"/>
        <v>7.8553041666666674</v>
      </c>
      <c r="AA102" s="16">
        <f t="shared" si="12"/>
        <v>0</v>
      </c>
      <c r="AB102" s="16">
        <v>0</v>
      </c>
      <c r="AC102" s="16">
        <v>0</v>
      </c>
      <c r="AD102" s="145">
        <f>(Y102*$H$3+Z102*'Varmepumpeberegning VP1'!Z90+AA102*$H$5+AB102*$H$6+AC102*$H$7)*24</f>
        <v>8843.0776469583343</v>
      </c>
      <c r="AF102" s="16">
        <f>Z102*'Varmepumpeberegning VP1'!Z90*24</f>
        <v>8843.0776469583343</v>
      </c>
      <c r="AG102" s="20">
        <f>(Z102/'Varmepumpeberegning VP1'!W90)*24</f>
        <v>61.297465164227461</v>
      </c>
      <c r="AH102" s="17">
        <f t="shared" si="13"/>
        <v>46.906085468567859</v>
      </c>
      <c r="AI102" s="15">
        <f>'Varmepumpeberegning VP1'!X90-'Systemberegning VP1'!Z102</f>
        <v>1.4513856477263749</v>
      </c>
    </row>
    <row r="103" spans="10:35" x14ac:dyDescent="0.25">
      <c r="J103" s="13"/>
      <c r="K103">
        <v>3</v>
      </c>
      <c r="L103">
        <v>88</v>
      </c>
      <c r="M103" s="310">
        <v>0.57165000000000021</v>
      </c>
      <c r="N103" s="15">
        <v>5.8896083333333316</v>
      </c>
      <c r="P103" s="15">
        <f>MAX(0,MIN('Potentiel produktion'!C90*$D$3,N103))</f>
        <v>0</v>
      </c>
      <c r="Q103" s="15">
        <f t="shared" si="8"/>
        <v>5.8896083333333316</v>
      </c>
      <c r="R103" s="15">
        <v>0</v>
      </c>
      <c r="S103" s="15">
        <v>0</v>
      </c>
      <c r="T103" s="160">
        <f t="shared" si="9"/>
        <v>15972.617799999996</v>
      </c>
      <c r="V103" s="289">
        <f>'Varmepumpeberegning VP1'!W91</f>
        <v>3.0328225996421248</v>
      </c>
      <c r="W103" s="289">
        <f>'Varmepumpeberegning VP1'!X91</f>
        <v>9.2017685704053669</v>
      </c>
      <c r="X103" s="289">
        <f t="shared" si="10"/>
        <v>47.54328147744701</v>
      </c>
      <c r="Y103" s="15">
        <f>MAX(0,MIN('Potentiel produktion'!C90*$D$3,N103))</f>
        <v>0</v>
      </c>
      <c r="Z103" s="15">
        <f t="shared" si="11"/>
        <v>5.8896083333333316</v>
      </c>
      <c r="AA103" s="16">
        <f t="shared" si="12"/>
        <v>0</v>
      </c>
      <c r="AB103" s="16">
        <v>0</v>
      </c>
      <c r="AC103" s="16">
        <v>0</v>
      </c>
      <c r="AD103" s="145">
        <f>(Y103*$H$3+Z103*'Varmepumpeberegning VP1'!Z91+AA103*$H$5+AB103*$H$6+AC103*$H$7)*24</f>
        <v>6720.2713628060192</v>
      </c>
      <c r="AF103" s="16">
        <f>Z103*'Varmepumpeberegning VP1'!Z91*24</f>
        <v>6720.2713628060192</v>
      </c>
      <c r="AG103" s="20">
        <f>(Z103/'Varmepumpeberegning VP1'!W91)*24</f>
        <v>46.606946287158188</v>
      </c>
      <c r="AH103" s="17">
        <f t="shared" si="13"/>
        <v>47.54328147744701</v>
      </c>
      <c r="AI103" s="15">
        <f>'Varmepumpeberegning VP1'!X91-'Systemberegning VP1'!Z103</f>
        <v>3.3121602370720353</v>
      </c>
    </row>
    <row r="104" spans="10:35" x14ac:dyDescent="0.25">
      <c r="J104" s="13"/>
      <c r="K104">
        <v>3</v>
      </c>
      <c r="L104">
        <v>89</v>
      </c>
      <c r="M104" s="310">
        <v>0.59847500000000009</v>
      </c>
      <c r="N104" s="15">
        <v>6.5835791666666674</v>
      </c>
      <c r="P104" s="15">
        <f>MAX(0,MIN('Potentiel produktion'!C91*$D$3,N104))</f>
        <v>0</v>
      </c>
      <c r="Q104" s="15">
        <f t="shared" si="8"/>
        <v>6.5835791666666674</v>
      </c>
      <c r="R104" s="15">
        <v>0</v>
      </c>
      <c r="S104" s="15">
        <v>0</v>
      </c>
      <c r="T104" s="160">
        <f t="shared" si="9"/>
        <v>17854.666700000002</v>
      </c>
      <c r="V104" s="289">
        <f>'Varmepumpeberegning VP1'!W92</f>
        <v>3.1186336937333676</v>
      </c>
      <c r="W104" s="289">
        <f>'Varmepumpeberegning VP1'!X92</f>
        <v>9.4116110583807178</v>
      </c>
      <c r="X104" s="289">
        <f t="shared" si="10"/>
        <v>46.283096463675768</v>
      </c>
      <c r="Y104" s="15">
        <f>MAX(0,MIN('Potentiel produktion'!C91*$D$3,N104))</f>
        <v>0</v>
      </c>
      <c r="Z104" s="15">
        <f t="shared" si="11"/>
        <v>6.5835791666666674</v>
      </c>
      <c r="AA104" s="16">
        <f t="shared" si="12"/>
        <v>0</v>
      </c>
      <c r="AB104" s="16">
        <v>0</v>
      </c>
      <c r="AC104" s="16">
        <v>0</v>
      </c>
      <c r="AD104" s="145">
        <f>(Y104*$H$3+Z104*'Varmepumpeberegning VP1'!Z92+AA104*$H$5+AB104*$H$6+AC104*$H$7)*24</f>
        <v>7313.0023115299073</v>
      </c>
      <c r="AF104" s="16">
        <f>Z104*'Varmepumpeberegning VP1'!Z92*24</f>
        <v>7313.0023115299073</v>
      </c>
      <c r="AG104" s="20">
        <f>(Z104/'Varmepumpeberegning VP1'!W92)*24</f>
        <v>50.665103861828854</v>
      </c>
      <c r="AH104" s="17">
        <f t="shared" si="13"/>
        <v>46.283096463675768</v>
      </c>
      <c r="AI104" s="15">
        <f>'Varmepumpeberegning VP1'!X92-'Systemberegning VP1'!Z104</f>
        <v>2.8280318917140503</v>
      </c>
    </row>
    <row r="105" spans="10:35" x14ac:dyDescent="0.25">
      <c r="J105" s="13"/>
      <c r="K105">
        <v>3</v>
      </c>
      <c r="L105">
        <v>90</v>
      </c>
      <c r="M105" s="310">
        <v>0.59127500000000011</v>
      </c>
      <c r="N105" s="15">
        <v>6.7738208333333327</v>
      </c>
      <c r="P105" s="15">
        <f>MAX(0,MIN('Potentiel produktion'!C92*$D$3,N105))</f>
        <v>0</v>
      </c>
      <c r="Q105" s="15">
        <f t="shared" si="8"/>
        <v>6.7738208333333327</v>
      </c>
      <c r="R105" s="15">
        <v>0</v>
      </c>
      <c r="S105" s="15">
        <v>0</v>
      </c>
      <c r="T105" s="160">
        <f t="shared" si="9"/>
        <v>18370.602099999996</v>
      </c>
      <c r="V105" s="289">
        <f>'Varmepumpeberegning VP1'!W93</f>
        <v>3.0756133144315161</v>
      </c>
      <c r="W105" s="289">
        <f>'Varmepumpeberegning VP1'!X93</f>
        <v>9.3066898143930423</v>
      </c>
      <c r="X105" s="289">
        <f t="shared" si="10"/>
        <v>46.906085468567859</v>
      </c>
      <c r="Y105" s="15">
        <f>MAX(0,MIN('Potentiel produktion'!C92*$D$3,N105))</f>
        <v>0</v>
      </c>
      <c r="Z105" s="15">
        <f t="shared" si="11"/>
        <v>6.7738208333333327</v>
      </c>
      <c r="AA105" s="16">
        <f t="shared" si="12"/>
        <v>0</v>
      </c>
      <c r="AB105" s="16">
        <v>0</v>
      </c>
      <c r="AC105" s="16">
        <v>0</v>
      </c>
      <c r="AD105" s="145">
        <f>(Y105*$H$3+Z105*'Varmepumpeberegning VP1'!Z93+AA105*$H$5+AB105*$H$6+AC105*$H$7)*24</f>
        <v>7625.6020549703735</v>
      </c>
      <c r="AF105" s="16">
        <f>Z105*'Varmepumpeberegning VP1'!Z93*24</f>
        <v>7625.6020549703735</v>
      </c>
      <c r="AG105" s="20">
        <f>(Z105/'Varmepumpeberegning VP1'!W93)*24</f>
        <v>52.858302842289874</v>
      </c>
      <c r="AH105" s="17">
        <f t="shared" si="13"/>
        <v>46.906085468567859</v>
      </c>
      <c r="AI105" s="15">
        <f>'Varmepumpeberegning VP1'!X93-'Systemberegning VP1'!Z105</f>
        <v>2.5328689810597096</v>
      </c>
    </row>
    <row r="106" spans="10:35" x14ac:dyDescent="0.25">
      <c r="J106" s="13"/>
      <c r="K106">
        <v>4</v>
      </c>
      <c r="L106">
        <v>91</v>
      </c>
      <c r="M106" s="310">
        <v>0.5193875</v>
      </c>
      <c r="N106" s="15">
        <v>6.2136958333333334</v>
      </c>
      <c r="P106" s="15">
        <f>MAX(0,MIN('Potentiel produktion'!C93*$D$3,N106))</f>
        <v>0</v>
      </c>
      <c r="Q106" s="15">
        <f t="shared" si="8"/>
        <v>6.2136958333333334</v>
      </c>
      <c r="R106" s="15">
        <v>0</v>
      </c>
      <c r="S106" s="15">
        <v>0</v>
      </c>
      <c r="T106" s="160">
        <f t="shared" si="9"/>
        <v>16851.543099999999</v>
      </c>
      <c r="V106" s="289">
        <f>'Varmepumpeberegning VP1'!W94</f>
        <v>3.0756133144315161</v>
      </c>
      <c r="W106" s="289">
        <f>'Varmepumpeberegning VP1'!X94</f>
        <v>9.3066898143930423</v>
      </c>
      <c r="X106" s="289">
        <f t="shared" si="10"/>
        <v>46.906085468567859</v>
      </c>
      <c r="Y106" s="15">
        <f>MAX(0,MIN('Potentiel produktion'!C93*$D$3,N106))</f>
        <v>0</v>
      </c>
      <c r="Z106" s="15">
        <f t="shared" si="11"/>
        <v>6.2136958333333334</v>
      </c>
      <c r="AA106" s="16">
        <f t="shared" si="12"/>
        <v>0</v>
      </c>
      <c r="AB106" s="16">
        <v>0</v>
      </c>
      <c r="AC106" s="16">
        <v>0</v>
      </c>
      <c r="AD106" s="145">
        <f>(Y106*$H$3+Z106*'Varmepumpeberegning VP1'!Z94+AA106*$H$5+AB106*$H$6+AC106*$H$7)*24</f>
        <v>6995.043548016416</v>
      </c>
      <c r="AF106" s="16">
        <f>Z106*'Varmepumpeberegning VP1'!Z94*24</f>
        <v>6995.043548016416</v>
      </c>
      <c r="AG106" s="20">
        <f>(Z106/'Varmepumpeberegning VP1'!W94)*24</f>
        <v>48.487467296442091</v>
      </c>
      <c r="AH106" s="17">
        <f t="shared" si="13"/>
        <v>46.906085468567859</v>
      </c>
      <c r="AI106" s="15">
        <f>'Varmepumpeberegning VP1'!X94-'Systemberegning VP1'!Z106</f>
        <v>3.0929939810597089</v>
      </c>
    </row>
    <row r="107" spans="10:35" x14ac:dyDescent="0.25">
      <c r="J107" s="13"/>
      <c r="K107">
        <v>4</v>
      </c>
      <c r="L107">
        <v>92</v>
      </c>
      <c r="M107" s="310">
        <v>0.57458750000000003</v>
      </c>
      <c r="N107" s="15">
        <v>6.6293749999999996</v>
      </c>
      <c r="P107" s="15">
        <f>MAX(0,MIN('Potentiel produktion'!C94*$D$3,N107))</f>
        <v>0</v>
      </c>
      <c r="Q107" s="15">
        <f t="shared" si="8"/>
        <v>6.6293749999999996</v>
      </c>
      <c r="R107" s="15">
        <v>0</v>
      </c>
      <c r="S107" s="15">
        <v>0</v>
      </c>
      <c r="T107" s="160">
        <f t="shared" si="9"/>
        <v>17978.864999999998</v>
      </c>
      <c r="V107" s="289">
        <f>'Varmepumpeberegning VP1'!W95</f>
        <v>3.1186336937333676</v>
      </c>
      <c r="W107" s="289">
        <f>'Varmepumpeberegning VP1'!X95</f>
        <v>9.4116110583807178</v>
      </c>
      <c r="X107" s="289">
        <f t="shared" si="10"/>
        <v>46.283096463675768</v>
      </c>
      <c r="Y107" s="15">
        <f>MAX(0,MIN('Potentiel produktion'!C94*$D$3,N107))</f>
        <v>0</v>
      </c>
      <c r="Z107" s="15">
        <f t="shared" si="11"/>
        <v>6.6293749999999996</v>
      </c>
      <c r="AA107" s="16">
        <f t="shared" si="12"/>
        <v>0</v>
      </c>
      <c r="AB107" s="16">
        <v>0</v>
      </c>
      <c r="AC107" s="16">
        <v>0</v>
      </c>
      <c r="AD107" s="145">
        <f>(Y107*$H$3+Z107*'Varmepumpeberegning VP1'!Z95+AA107*$H$5+AB107*$H$6+AC107*$H$7)*24</f>
        <v>7363.8720628531328</v>
      </c>
      <c r="AF107" s="16">
        <f>Z107*'Varmepumpeberegning VP1'!Z95*24</f>
        <v>7363.8720628531328</v>
      </c>
      <c r="AG107" s="20">
        <f>(Z107/'Varmepumpeberegning VP1'!W95)*24</f>
        <v>51.017533838522979</v>
      </c>
      <c r="AH107" s="17">
        <f t="shared" si="13"/>
        <v>46.283096463675768</v>
      </c>
      <c r="AI107" s="15">
        <f>'Varmepumpeberegning VP1'!X95-'Systemberegning VP1'!Z107</f>
        <v>2.7822360583807182</v>
      </c>
    </row>
    <row r="108" spans="10:35" x14ac:dyDescent="0.25">
      <c r="J108" s="13"/>
      <c r="K108">
        <v>4</v>
      </c>
      <c r="L108">
        <v>93</v>
      </c>
      <c r="M108" s="310">
        <v>0.56074999999999986</v>
      </c>
      <c r="N108" s="15">
        <v>5.8719833333333327</v>
      </c>
      <c r="P108" s="15">
        <f>MAX(0,MIN('Potentiel produktion'!C95*$D$3,N108))</f>
        <v>0</v>
      </c>
      <c r="Q108" s="15">
        <f t="shared" si="8"/>
        <v>5.8719833333333327</v>
      </c>
      <c r="R108" s="15">
        <v>0</v>
      </c>
      <c r="S108" s="15">
        <v>0</v>
      </c>
      <c r="T108" s="160">
        <f t="shared" si="9"/>
        <v>15924.818799999997</v>
      </c>
      <c r="V108" s="289">
        <f>'Varmepumpeberegning VP1'!W96</f>
        <v>3.0756133144315161</v>
      </c>
      <c r="W108" s="289">
        <f>'Varmepumpeberegning VP1'!X96</f>
        <v>9.3066898143930423</v>
      </c>
      <c r="X108" s="289">
        <f t="shared" si="10"/>
        <v>46.906085468567859</v>
      </c>
      <c r="Y108" s="15">
        <f>MAX(0,MIN('Potentiel produktion'!C95*$D$3,N108))</f>
        <v>0</v>
      </c>
      <c r="Z108" s="15">
        <f t="shared" si="11"/>
        <v>5.8719833333333327</v>
      </c>
      <c r="AA108" s="16">
        <f t="shared" si="12"/>
        <v>0</v>
      </c>
      <c r="AB108" s="16">
        <v>0</v>
      </c>
      <c r="AC108" s="16">
        <v>0</v>
      </c>
      <c r="AD108" s="145">
        <f>(Y108*$H$3+Z108*'Varmepumpeberegning VP1'!Z96+AA108*$H$5+AB108*$H$6+AC108*$H$7)*24</f>
        <v>6610.3620504801438</v>
      </c>
      <c r="AF108" s="16">
        <f>Z108*'Varmepumpeberegning VP1'!Z96*24</f>
        <v>6610.3620504801438</v>
      </c>
      <c r="AG108" s="20">
        <f>(Z108/'Varmepumpeberegning VP1'!W96)*24</f>
        <v>45.820974743064689</v>
      </c>
      <c r="AH108" s="17">
        <f t="shared" si="13"/>
        <v>46.906085468567859</v>
      </c>
      <c r="AI108" s="15">
        <f>'Varmepumpeberegning VP1'!X96-'Systemberegning VP1'!Z108</f>
        <v>3.4347064810597097</v>
      </c>
    </row>
    <row r="109" spans="10:35" x14ac:dyDescent="0.25">
      <c r="J109" s="13"/>
      <c r="K109">
        <v>4</v>
      </c>
      <c r="L109">
        <v>94</v>
      </c>
      <c r="M109" s="310">
        <v>0.47997500000000026</v>
      </c>
      <c r="N109" s="15">
        <v>5.5478916666666649</v>
      </c>
      <c r="P109" s="15">
        <f>MAX(0,MIN('Potentiel produktion'!C96*$D$3,N109))</f>
        <v>0</v>
      </c>
      <c r="Q109" s="15">
        <f t="shared" si="8"/>
        <v>5.5478916666666649</v>
      </c>
      <c r="R109" s="15">
        <v>0</v>
      </c>
      <c r="S109" s="15">
        <v>0</v>
      </c>
      <c r="T109" s="160">
        <f t="shared" si="9"/>
        <v>15045.882199999996</v>
      </c>
      <c r="V109" s="289">
        <f>'Varmepumpeberegning VP1'!W97</f>
        <v>3.1186336937333676</v>
      </c>
      <c r="W109" s="289">
        <f>'Varmepumpeberegning VP1'!X97</f>
        <v>9.4116110583807178</v>
      </c>
      <c r="X109" s="289">
        <f t="shared" si="10"/>
        <v>46.283096463675768</v>
      </c>
      <c r="Y109" s="15">
        <f>MAX(0,MIN('Potentiel produktion'!C96*$D$3,N109))</f>
        <v>0</v>
      </c>
      <c r="Z109" s="15">
        <f t="shared" si="11"/>
        <v>5.5478916666666649</v>
      </c>
      <c r="AA109" s="16">
        <f t="shared" si="12"/>
        <v>0</v>
      </c>
      <c r="AB109" s="16">
        <v>0</v>
      </c>
      <c r="AC109" s="16">
        <v>0</v>
      </c>
      <c r="AD109" s="145">
        <f>(Y109*$H$3+Z109*'Varmepumpeberegning VP1'!Z97+AA109*$H$5+AB109*$H$6+AC109*$H$7)*24</f>
        <v>6162.5665242805489</v>
      </c>
      <c r="AF109" s="16">
        <f>Z109*'Varmepumpeberegning VP1'!Z97*24</f>
        <v>6162.5665242805489</v>
      </c>
      <c r="AG109" s="20">
        <f>(Z109/'Varmepumpeberegning VP1'!W97)*24</f>
        <v>42.694786587970398</v>
      </c>
      <c r="AH109" s="17">
        <f t="shared" si="13"/>
        <v>46.283096463675776</v>
      </c>
      <c r="AI109" s="15">
        <f>'Varmepumpeberegning VP1'!X97-'Systemberegning VP1'!Z109</f>
        <v>3.8637193917140529</v>
      </c>
    </row>
    <row r="110" spans="10:35" x14ac:dyDescent="0.25">
      <c r="J110" s="13"/>
      <c r="K110">
        <v>4</v>
      </c>
      <c r="L110">
        <v>95</v>
      </c>
      <c r="M110" s="310">
        <v>0.41763750000000011</v>
      </c>
      <c r="N110" s="15">
        <v>4.0859333333333323</v>
      </c>
      <c r="P110" s="15">
        <f>MAX(0,MIN('Potentiel produktion'!C97*$D$3,N110))</f>
        <v>0</v>
      </c>
      <c r="Q110" s="15">
        <f t="shared" si="8"/>
        <v>4.0859333333333323</v>
      </c>
      <c r="R110" s="15">
        <v>0</v>
      </c>
      <c r="S110" s="15">
        <v>0</v>
      </c>
      <c r="T110" s="160">
        <f t="shared" si="9"/>
        <v>11081.051199999998</v>
      </c>
      <c r="V110" s="289">
        <f>'Varmepumpeberegning VP1'!W98</f>
        <v>3.1618855914913517</v>
      </c>
      <c r="W110" s="289">
        <f>'Varmepumpeberegning VP1'!X98</f>
        <v>9.5165323023683932</v>
      </c>
      <c r="X110" s="289">
        <f t="shared" si="10"/>
        <v>45.673844559506328</v>
      </c>
      <c r="Y110" s="15">
        <f>MAX(0,MIN('Potentiel produktion'!C97*$D$3,N110))</f>
        <v>0</v>
      </c>
      <c r="Z110" s="15">
        <f t="shared" si="11"/>
        <v>4.0859333333333323</v>
      </c>
      <c r="AA110" s="16">
        <f t="shared" si="12"/>
        <v>0</v>
      </c>
      <c r="AB110" s="16">
        <v>0</v>
      </c>
      <c r="AC110" s="16">
        <v>0</v>
      </c>
      <c r="AD110" s="145">
        <f>(Y110*$H$3+Z110*'Varmepumpeberegning VP1'!Z98+AA110*$H$5+AB110*$H$6+AC110*$H$7)*24</f>
        <v>4478.8868147321318</v>
      </c>
      <c r="AF110" s="16">
        <f>Z110*'Varmepumpeberegning VP1'!Z98*24</f>
        <v>4478.8868147321318</v>
      </c>
      <c r="AG110" s="20">
        <f>(Z110/'Varmepumpeberegning VP1'!W98)*24</f>
        <v>31.013898878531954</v>
      </c>
      <c r="AH110" s="17">
        <f t="shared" si="13"/>
        <v>45.673844559506328</v>
      </c>
      <c r="AI110" s="15">
        <f>'Varmepumpeberegning VP1'!X98-'Systemberegning VP1'!Z110</f>
        <v>5.4305989690350609</v>
      </c>
    </row>
    <row r="111" spans="10:35" x14ac:dyDescent="0.25">
      <c r="J111" s="13"/>
      <c r="K111">
        <v>4</v>
      </c>
      <c r="L111">
        <v>96</v>
      </c>
      <c r="M111" s="310">
        <v>0.48942499999999978</v>
      </c>
      <c r="N111" s="15">
        <v>2.6874124999999984</v>
      </c>
      <c r="P111" s="15">
        <f>MAX(0,MIN('Potentiel produktion'!C98*$D$3,N111))</f>
        <v>0</v>
      </c>
      <c r="Q111" s="15">
        <f t="shared" si="8"/>
        <v>2.6874124999999984</v>
      </c>
      <c r="R111" s="15">
        <v>0</v>
      </c>
      <c r="S111" s="15">
        <v>0</v>
      </c>
      <c r="T111" s="160">
        <f t="shared" si="9"/>
        <v>7288.2626999999957</v>
      </c>
      <c r="V111" s="289">
        <f>'Varmepumpeberegning VP1'!W99</f>
        <v>3.2053708816573461</v>
      </c>
      <c r="W111" s="289">
        <f>'Varmepumpeberegning VP1'!X99</f>
        <v>9.6214535463560686</v>
      </c>
      <c r="X111" s="289">
        <f t="shared" si="10"/>
        <v>45.077880349837372</v>
      </c>
      <c r="Y111" s="15">
        <f>MAX(0,MIN('Potentiel produktion'!C98*$D$3,N111))</f>
        <v>0</v>
      </c>
      <c r="Z111" s="15">
        <f t="shared" si="11"/>
        <v>2.6874124999999984</v>
      </c>
      <c r="AA111" s="16">
        <f t="shared" si="12"/>
        <v>0</v>
      </c>
      <c r="AB111" s="16">
        <v>0</v>
      </c>
      <c r="AC111" s="16">
        <v>0</v>
      </c>
      <c r="AD111" s="145">
        <f>(Y111*$H$3+Z111*'Varmepumpeberegning VP1'!Z99+AA111*$H$5+AB111*$H$6+AC111*$H$7)*24</f>
        <v>2907.4286190157741</v>
      </c>
      <c r="AF111" s="16">
        <f>Z111*'Varmepumpeberegning VP1'!Z99*24</f>
        <v>2907.4286190157741</v>
      </c>
      <c r="AG111" s="20">
        <f>(Z111/'Varmepumpeberegning VP1'!W99)*24</f>
        <v>20.121821274750939</v>
      </c>
      <c r="AH111" s="17">
        <f t="shared" si="13"/>
        <v>45.077880349837365</v>
      </c>
      <c r="AI111" s="15">
        <f>'Varmepumpeberegning VP1'!X99-'Systemberegning VP1'!Z111</f>
        <v>6.9340410463560698</v>
      </c>
    </row>
    <row r="112" spans="10:35" x14ac:dyDescent="0.25">
      <c r="J112" s="13"/>
      <c r="K112">
        <v>4</v>
      </c>
      <c r="L112">
        <v>97</v>
      </c>
      <c r="M112" s="310">
        <v>0.50911249999999997</v>
      </c>
      <c r="N112" s="15">
        <v>1.8806958333333335</v>
      </c>
      <c r="P112" s="15">
        <f>MAX(0,MIN('Potentiel produktion'!C99*$D$3,N112))</f>
        <v>0</v>
      </c>
      <c r="Q112" s="15">
        <f t="shared" si="8"/>
        <v>1.8806958333333335</v>
      </c>
      <c r="R112" s="15">
        <v>0</v>
      </c>
      <c r="S112" s="15">
        <v>0</v>
      </c>
      <c r="T112" s="160">
        <f t="shared" si="9"/>
        <v>5100.4471000000003</v>
      </c>
      <c r="V112" s="289">
        <f>'Varmepumpeberegning VP1'!W100</f>
        <v>3.3372461519597025</v>
      </c>
      <c r="W112" s="289">
        <f>'Varmepumpeberegning VP1'!X100</f>
        <v>9.936217278319095</v>
      </c>
      <c r="X112" s="289">
        <f t="shared" si="10"/>
        <v>43.365504555254446</v>
      </c>
      <c r="Y112" s="15">
        <f>MAX(0,MIN('Potentiel produktion'!C99*$D$3,N112))</f>
        <v>0</v>
      </c>
      <c r="Z112" s="15">
        <f t="shared" si="11"/>
        <v>1.8806958333333335</v>
      </c>
      <c r="AA112" s="16">
        <f t="shared" si="12"/>
        <v>0</v>
      </c>
      <c r="AB112" s="16">
        <v>0</v>
      </c>
      <c r="AC112" s="16">
        <v>0</v>
      </c>
      <c r="AD112" s="145">
        <f>(Y112*$H$3+Z112*'Varmepumpeberegning VP1'!Z100+AA112*$H$5+AB112*$H$6+AC112*$H$7)*24</f>
        <v>1957.3757694591536</v>
      </c>
      <c r="AF112" s="16">
        <f>Z112*'Varmepumpeberegning VP1'!Z100*24</f>
        <v>1957.3757694591536</v>
      </c>
      <c r="AG112" s="20">
        <f>(Z112/'Varmepumpeberegning VP1'!W100)*24</f>
        <v>13.525133581619315</v>
      </c>
      <c r="AH112" s="17">
        <f t="shared" si="13"/>
        <v>43.365504555254454</v>
      </c>
      <c r="AI112" s="15">
        <f>'Varmepumpeberegning VP1'!X100-'Systemberegning VP1'!Z112</f>
        <v>8.0555214449857608</v>
      </c>
    </row>
    <row r="113" spans="10:35" x14ac:dyDescent="0.25">
      <c r="J113" s="13"/>
      <c r="K113">
        <v>4</v>
      </c>
      <c r="L113">
        <v>98</v>
      </c>
      <c r="M113" s="310">
        <v>0.54446249999999974</v>
      </c>
      <c r="N113" s="15">
        <v>3.0079833333333323</v>
      </c>
      <c r="P113" s="15">
        <f>MAX(0,MIN('Potentiel produktion'!C100*$D$3,N113))</f>
        <v>0</v>
      </c>
      <c r="Q113" s="15">
        <f t="shared" si="8"/>
        <v>3.0079833333333323</v>
      </c>
      <c r="R113" s="15">
        <v>0</v>
      </c>
      <c r="S113" s="15">
        <v>0</v>
      </c>
      <c r="T113" s="160">
        <f t="shared" si="9"/>
        <v>8157.6507999999967</v>
      </c>
      <c r="V113" s="289">
        <f>'Varmepumpeberegning VP1'!W101</f>
        <v>3.3372461519597025</v>
      </c>
      <c r="W113" s="289">
        <f>'Varmepumpeberegning VP1'!X101</f>
        <v>9.936217278319095</v>
      </c>
      <c r="X113" s="289">
        <f t="shared" si="10"/>
        <v>43.365504555254446</v>
      </c>
      <c r="Y113" s="15">
        <f>MAX(0,MIN('Potentiel produktion'!C100*$D$3,N113))</f>
        <v>0</v>
      </c>
      <c r="Z113" s="15">
        <f t="shared" si="11"/>
        <v>3.0079833333333323</v>
      </c>
      <c r="AA113" s="16">
        <f t="shared" si="12"/>
        <v>0</v>
      </c>
      <c r="AB113" s="16">
        <v>0</v>
      </c>
      <c r="AC113" s="16">
        <v>0</v>
      </c>
      <c r="AD113" s="145">
        <f>(Y113*$H$3+Z113*'Varmepumpeberegning VP1'!Z101+AA113*$H$5+AB113*$H$6+AC113*$H$7)*24</f>
        <v>3130.6251586511062</v>
      </c>
      <c r="AF113" s="16">
        <f>Z113*'Varmepumpeberegning VP1'!Z101*24</f>
        <v>3130.6251586511062</v>
      </c>
      <c r="AG113" s="20">
        <f>(Z113/'Varmepumpeberegning VP1'!W101)*24</f>
        <v>21.632087269801037</v>
      </c>
      <c r="AH113" s="17">
        <f t="shared" si="13"/>
        <v>43.365504555254454</v>
      </c>
      <c r="AI113" s="15">
        <f>'Varmepumpeberegning VP1'!X101-'Systemberegning VP1'!Z113</f>
        <v>6.9282339449857631</v>
      </c>
    </row>
    <row r="114" spans="10:35" x14ac:dyDescent="0.25">
      <c r="J114" s="13"/>
      <c r="K114">
        <v>4</v>
      </c>
      <c r="L114">
        <v>99</v>
      </c>
      <c r="M114" s="310">
        <v>0.50808749999999991</v>
      </c>
      <c r="N114" s="15">
        <v>4.5121916666666664</v>
      </c>
      <c r="P114" s="15">
        <f>MAX(0,MIN('Potentiel produktion'!C101*$D$3,N114))</f>
        <v>0</v>
      </c>
      <c r="Q114" s="15">
        <f t="shared" si="8"/>
        <v>4.5121916666666664</v>
      </c>
      <c r="R114" s="15">
        <v>0</v>
      </c>
      <c r="S114" s="15">
        <v>0</v>
      </c>
      <c r="T114" s="160">
        <f t="shared" si="9"/>
        <v>12237.0638</v>
      </c>
      <c r="V114" s="289">
        <f>'Varmepumpeberegning VP1'!W102</f>
        <v>3.2930492366901718</v>
      </c>
      <c r="W114" s="289">
        <f>'Varmepumpeberegning VP1'!X102</f>
        <v>9.8312960343314195</v>
      </c>
      <c r="X114" s="289">
        <f t="shared" si="10"/>
        <v>43.924113311887368</v>
      </c>
      <c r="Y114" s="15">
        <f>MAX(0,MIN('Potentiel produktion'!C101*$D$3,N114))</f>
        <v>0</v>
      </c>
      <c r="Z114" s="15">
        <f t="shared" si="11"/>
        <v>4.5121916666666664</v>
      </c>
      <c r="AA114" s="16">
        <f t="shared" si="12"/>
        <v>0</v>
      </c>
      <c r="AB114" s="16">
        <v>0</v>
      </c>
      <c r="AC114" s="16">
        <v>0</v>
      </c>
      <c r="AD114" s="145">
        <f>(Y114*$H$3+Z114*'Varmepumpeberegning VP1'!Z102+AA114*$H$5+AB114*$H$6+AC114*$H$7)*24</f>
        <v>4756.6564332388934</v>
      </c>
      <c r="AF114" s="16">
        <f>Z114*'Varmepumpeberegning VP1'!Z102*24</f>
        <v>4756.6564332388934</v>
      </c>
      <c r="AG114" s="20">
        <f>(Z114/'Varmepumpeberegning VP1'!W102)*24</f>
        <v>32.885205235754199</v>
      </c>
      <c r="AH114" s="17">
        <f t="shared" si="13"/>
        <v>43.924113311887368</v>
      </c>
      <c r="AI114" s="15">
        <f>'Varmepumpeberegning VP1'!X102-'Systemberegning VP1'!Z114</f>
        <v>5.3191043676647531</v>
      </c>
    </row>
    <row r="115" spans="10:35" x14ac:dyDescent="0.25">
      <c r="J115" s="13"/>
      <c r="K115">
        <v>4</v>
      </c>
      <c r="L115">
        <v>100</v>
      </c>
      <c r="M115" s="310">
        <v>0.51013750000000013</v>
      </c>
      <c r="N115" s="15">
        <v>5.6465208333333328</v>
      </c>
      <c r="P115" s="15">
        <f>MAX(0,MIN('Potentiel produktion'!C102*$D$3,N115))</f>
        <v>0</v>
      </c>
      <c r="Q115" s="15">
        <f t="shared" si="8"/>
        <v>5.6465208333333328</v>
      </c>
      <c r="R115" s="15">
        <v>0</v>
      </c>
      <c r="S115" s="15">
        <v>0</v>
      </c>
      <c r="T115" s="160">
        <f t="shared" si="9"/>
        <v>15313.3645</v>
      </c>
      <c r="V115" s="289">
        <f>'Varmepumpeberegning VP1'!W103</f>
        <v>3.2053708816573461</v>
      </c>
      <c r="W115" s="289">
        <f>'Varmepumpeberegning VP1'!X103</f>
        <v>9.6214535463560686</v>
      </c>
      <c r="X115" s="289">
        <f t="shared" si="10"/>
        <v>45.077880349837372</v>
      </c>
      <c r="Y115" s="15">
        <f>MAX(0,MIN('Potentiel produktion'!C102*$D$3,N115))</f>
        <v>0</v>
      </c>
      <c r="Z115" s="15">
        <f t="shared" si="11"/>
        <v>5.6465208333333328</v>
      </c>
      <c r="AA115" s="16">
        <f t="shared" si="12"/>
        <v>0</v>
      </c>
      <c r="AB115" s="16">
        <v>0</v>
      </c>
      <c r="AC115" s="16">
        <v>0</v>
      </c>
      <c r="AD115" s="145">
        <f>(Y115*$H$3+Z115*'Varmepumpeberegning VP1'!Z103+AA115*$H$5+AB115*$H$6+AC115*$H$7)*24</f>
        <v>6108.7965724287351</v>
      </c>
      <c r="AF115" s="16">
        <f>Z115*'Varmepumpeberegning VP1'!Z103*24</f>
        <v>6108.7965724287351</v>
      </c>
      <c r="AG115" s="20">
        <f>(Z115/'Varmepumpeberegning VP1'!W103)*24</f>
        <v>42.277946921989503</v>
      </c>
      <c r="AH115" s="17">
        <f t="shared" si="13"/>
        <v>45.077880349837365</v>
      </c>
      <c r="AI115" s="15">
        <f>'Varmepumpeberegning VP1'!X103-'Systemberegning VP1'!Z115</f>
        <v>3.9749327130227359</v>
      </c>
    </row>
    <row r="116" spans="10:35" x14ac:dyDescent="0.25">
      <c r="J116" s="13"/>
      <c r="K116">
        <v>4</v>
      </c>
      <c r="L116">
        <v>101</v>
      </c>
      <c r="M116" s="310">
        <v>0.52097500000000008</v>
      </c>
      <c r="N116" s="15">
        <v>4.1211708333333332</v>
      </c>
      <c r="P116" s="15">
        <f>MAX(0,MIN('Potentiel produktion'!C103*$D$3,N116))</f>
        <v>0</v>
      </c>
      <c r="Q116" s="15">
        <f t="shared" si="8"/>
        <v>4.1211708333333332</v>
      </c>
      <c r="R116" s="15">
        <v>0</v>
      </c>
      <c r="S116" s="15">
        <v>0</v>
      </c>
      <c r="T116" s="160">
        <f t="shared" si="9"/>
        <v>11176.615299999999</v>
      </c>
      <c r="V116" s="289">
        <f>'Varmepumpeberegning VP1'!W104</f>
        <v>3.1618855914913517</v>
      </c>
      <c r="W116" s="289">
        <f>'Varmepumpeberegning VP1'!X104</f>
        <v>9.5165323023683932</v>
      </c>
      <c r="X116" s="289">
        <f t="shared" si="10"/>
        <v>45.673844559506328</v>
      </c>
      <c r="Y116" s="15">
        <f>MAX(0,MIN('Potentiel produktion'!C103*$D$3,N116))</f>
        <v>0</v>
      </c>
      <c r="Z116" s="15">
        <f t="shared" si="11"/>
        <v>4.1211708333333332</v>
      </c>
      <c r="AA116" s="16">
        <f t="shared" si="12"/>
        <v>0</v>
      </c>
      <c r="AB116" s="16">
        <v>0</v>
      </c>
      <c r="AC116" s="16">
        <v>0</v>
      </c>
      <c r="AD116" s="145">
        <f>(Y116*$H$3+Z116*'Varmepumpeberegning VP1'!Z104+AA116*$H$5+AB116*$H$6+AC116*$H$7)*24</f>
        <v>4517.5131850761081</v>
      </c>
      <c r="AF116" s="16">
        <f>Z116*'Varmepumpeberegning VP1'!Z104*24</f>
        <v>4517.5131850761081</v>
      </c>
      <c r="AG116" s="20">
        <f>(Z116/'Varmepumpeberegning VP1'!W104)*24</f>
        <v>31.281365861611864</v>
      </c>
      <c r="AH116" s="17">
        <f t="shared" si="13"/>
        <v>45.673844559506335</v>
      </c>
      <c r="AI116" s="15">
        <f>'Varmepumpeberegning VP1'!X104-'Systemberegning VP1'!Z116</f>
        <v>5.39536146903506</v>
      </c>
    </row>
    <row r="117" spans="10:35" x14ac:dyDescent="0.25">
      <c r="J117" s="13"/>
      <c r="K117">
        <v>4</v>
      </c>
      <c r="L117">
        <v>102</v>
      </c>
      <c r="M117" s="310">
        <v>0.48321249999999988</v>
      </c>
      <c r="N117" s="15">
        <v>3.0925125000000002</v>
      </c>
      <c r="P117" s="15">
        <f>MAX(0,MIN('Potentiel produktion'!C104*$D$3,N117))</f>
        <v>0</v>
      </c>
      <c r="Q117" s="15">
        <f t="shared" si="8"/>
        <v>3.0925125000000002</v>
      </c>
      <c r="R117" s="15">
        <v>0</v>
      </c>
      <c r="S117" s="15">
        <v>0</v>
      </c>
      <c r="T117" s="160">
        <f t="shared" si="9"/>
        <v>8386.8938999999991</v>
      </c>
      <c r="V117" s="289">
        <f>'Varmepumpeberegning VP1'!W105</f>
        <v>3.2053708816573461</v>
      </c>
      <c r="W117" s="289">
        <f>'Varmepumpeberegning VP1'!X105</f>
        <v>9.6214535463560686</v>
      </c>
      <c r="X117" s="289">
        <f t="shared" si="10"/>
        <v>45.077880349837372</v>
      </c>
      <c r="Y117" s="15">
        <f>MAX(0,MIN('Potentiel produktion'!C104*$D$3,N117))</f>
        <v>0</v>
      </c>
      <c r="Z117" s="15">
        <f t="shared" si="11"/>
        <v>3.0925125000000002</v>
      </c>
      <c r="AA117" s="16">
        <f t="shared" si="12"/>
        <v>0</v>
      </c>
      <c r="AB117" s="16">
        <v>0</v>
      </c>
      <c r="AC117" s="16">
        <v>0</v>
      </c>
      <c r="AD117" s="145">
        <f>(Y117*$H$3+Z117*'Varmepumpeberegning VP1'!Z105+AA117*$H$5+AB117*$H$6+AC117*$H$7)*24</f>
        <v>3345.693802929035</v>
      </c>
      <c r="AF117" s="16">
        <f>Z117*'Varmepumpeberegning VP1'!Z105*24</f>
        <v>3345.693802929035</v>
      </c>
      <c r="AG117" s="20">
        <f>(Z117/'Varmepumpeberegning VP1'!W105)*24</f>
        <v>23.154980418872526</v>
      </c>
      <c r="AH117" s="17">
        <f t="shared" si="13"/>
        <v>45.077880349837379</v>
      </c>
      <c r="AI117" s="15">
        <f>'Varmepumpeberegning VP1'!X105-'Systemberegning VP1'!Z117</f>
        <v>6.5289410463560689</v>
      </c>
    </row>
    <row r="118" spans="10:35" x14ac:dyDescent="0.25">
      <c r="J118" s="13"/>
      <c r="K118">
        <v>4</v>
      </c>
      <c r="L118">
        <v>103</v>
      </c>
      <c r="M118" s="310">
        <v>0.55803750000000008</v>
      </c>
      <c r="N118" s="15">
        <v>2.6592291666666661</v>
      </c>
      <c r="P118" s="15">
        <f>MAX(0,MIN('Potentiel produktion'!C105*$D$3,N118))</f>
        <v>0</v>
      </c>
      <c r="Q118" s="15">
        <f t="shared" si="8"/>
        <v>2.6592291666666661</v>
      </c>
      <c r="R118" s="15">
        <v>0</v>
      </c>
      <c r="S118" s="15">
        <v>0</v>
      </c>
      <c r="T118" s="160">
        <f t="shared" si="9"/>
        <v>7211.829499999998</v>
      </c>
      <c r="V118" s="289">
        <f>'Varmepumpeberegning VP1'!W106</f>
        <v>3.2930492366901718</v>
      </c>
      <c r="W118" s="289">
        <f>'Varmepumpeberegning VP1'!X106</f>
        <v>9.8312960343314195</v>
      </c>
      <c r="X118" s="289">
        <f t="shared" si="10"/>
        <v>43.924113311887368</v>
      </c>
      <c r="Y118" s="15">
        <f>MAX(0,MIN('Potentiel produktion'!C105*$D$3,N118))</f>
        <v>0</v>
      </c>
      <c r="Z118" s="15">
        <f t="shared" si="11"/>
        <v>2.6592291666666661</v>
      </c>
      <c r="AA118" s="16">
        <f t="shared" si="12"/>
        <v>0</v>
      </c>
      <c r="AB118" s="16">
        <v>0</v>
      </c>
      <c r="AC118" s="16">
        <v>0</v>
      </c>
      <c r="AD118" s="145">
        <f>(Y118*$H$3+Z118*'Varmepumpeberegning VP1'!Z106+AA118*$H$5+AB118*$H$6+AC118*$H$7)*24</f>
        <v>2803.3027977346192</v>
      </c>
      <c r="AF118" s="16">
        <f>Z118*'Varmepumpeberegning VP1'!Z106*24</f>
        <v>2803.3027977346192</v>
      </c>
      <c r="AG118" s="20">
        <f>(Z118/'Varmepumpeberegning VP1'!W106)*24</f>
        <v>19.380669832968145</v>
      </c>
      <c r="AH118" s="17">
        <f t="shared" si="13"/>
        <v>43.924113311887368</v>
      </c>
      <c r="AI118" s="15">
        <f>'Varmepumpeberegning VP1'!X106-'Systemberegning VP1'!Z118</f>
        <v>7.1720668676647534</v>
      </c>
    </row>
    <row r="119" spans="10:35" x14ac:dyDescent="0.25">
      <c r="J119" s="13"/>
      <c r="K119">
        <v>4</v>
      </c>
      <c r="L119">
        <v>104</v>
      </c>
      <c r="M119" s="310">
        <v>0.52262499999999978</v>
      </c>
      <c r="N119" s="15">
        <v>5.5478833333333339</v>
      </c>
      <c r="P119" s="15">
        <f>MAX(0,MIN('Potentiel produktion'!C106*$D$3,N119))</f>
        <v>0</v>
      </c>
      <c r="Q119" s="15">
        <f t="shared" si="8"/>
        <v>5.5478833333333339</v>
      </c>
      <c r="R119" s="15">
        <v>0</v>
      </c>
      <c r="S119" s="15">
        <v>0</v>
      </c>
      <c r="T119" s="160">
        <f t="shared" si="9"/>
        <v>15045.859600000002</v>
      </c>
      <c r="V119" s="289">
        <f>'Varmepumpeberegning VP1'!W107</f>
        <v>3.3372461519597025</v>
      </c>
      <c r="W119" s="289">
        <f>'Varmepumpeberegning VP1'!X107</f>
        <v>9.936217278319095</v>
      </c>
      <c r="X119" s="289">
        <f t="shared" si="10"/>
        <v>43.365504555254446</v>
      </c>
      <c r="Y119" s="15">
        <f>MAX(0,MIN('Potentiel produktion'!C106*$D$3,N119))</f>
        <v>0</v>
      </c>
      <c r="Z119" s="15">
        <f t="shared" si="11"/>
        <v>5.5478833333333339</v>
      </c>
      <c r="AA119" s="16">
        <f t="shared" si="12"/>
        <v>0</v>
      </c>
      <c r="AB119" s="16">
        <v>0</v>
      </c>
      <c r="AC119" s="16">
        <v>0</v>
      </c>
      <c r="AD119" s="145">
        <f>(Y119*$H$3+Z119*'Varmepumpeberegning VP1'!Z107+AA119*$H$5+AB119*$H$6+AC119*$H$7)*24</f>
        <v>5774.0822391284855</v>
      </c>
      <c r="AF119" s="16">
        <f>Z119*'Varmepumpeberegning VP1'!Z107*24</f>
        <v>5774.0822391284855</v>
      </c>
      <c r="AG119" s="20">
        <f>(Z119/'Varmepumpeberegning VP1'!W107)*24</f>
        <v>39.897925995603273</v>
      </c>
      <c r="AH119" s="17">
        <f t="shared" si="13"/>
        <v>43.365504555254439</v>
      </c>
      <c r="AI119" s="15">
        <f>'Varmepumpeberegning VP1'!X107-'Systemberegning VP1'!Z119</f>
        <v>4.388333944985761</v>
      </c>
    </row>
    <row r="120" spans="10:35" x14ac:dyDescent="0.25">
      <c r="J120" s="13"/>
      <c r="K120">
        <v>4</v>
      </c>
      <c r="L120">
        <v>105</v>
      </c>
      <c r="M120" s="310">
        <v>0.50848749999999987</v>
      </c>
      <c r="N120" s="15">
        <v>8.1371291666666661</v>
      </c>
      <c r="P120" s="15">
        <f>MAX(0,MIN('Potentiel produktion'!C107*$D$3,N120))</f>
        <v>0</v>
      </c>
      <c r="Q120" s="15">
        <f t="shared" si="8"/>
        <v>8.1371291666666661</v>
      </c>
      <c r="R120" s="15">
        <v>0</v>
      </c>
      <c r="S120" s="15">
        <v>0</v>
      </c>
      <c r="T120" s="160">
        <f t="shared" si="9"/>
        <v>22067.8943</v>
      </c>
      <c r="V120" s="289">
        <f>'Varmepumpeberegning VP1'!W108</f>
        <v>3.1618855914913517</v>
      </c>
      <c r="W120" s="289">
        <f>'Varmepumpeberegning VP1'!X108</f>
        <v>9.5165323023683932</v>
      </c>
      <c r="X120" s="289">
        <f t="shared" si="10"/>
        <v>45.673844559506328</v>
      </c>
      <c r="Y120" s="15">
        <f>MAX(0,MIN('Potentiel produktion'!C107*$D$3,N120))</f>
        <v>0</v>
      </c>
      <c r="Z120" s="15">
        <f t="shared" si="11"/>
        <v>8.1371291666666661</v>
      </c>
      <c r="AA120" s="16">
        <f t="shared" si="12"/>
        <v>0</v>
      </c>
      <c r="AB120" s="16">
        <v>0</v>
      </c>
      <c r="AC120" s="16">
        <v>0</v>
      </c>
      <c r="AD120" s="145">
        <f>(Y120*$H$3+Z120*'Varmepumpeberegning VP1'!Z108+AA120*$H$5+AB120*$H$6+AC120*$H$7)*24</f>
        <v>8919.695345255006</v>
      </c>
      <c r="AF120" s="16">
        <f>Z120*'Varmepumpeberegning VP1'!Z108*24</f>
        <v>8919.695345255006</v>
      </c>
      <c r="AG120" s="20">
        <f>(Z120/'Varmepumpeberegning VP1'!W108)*24</f>
        <v>61.764125977716965</v>
      </c>
      <c r="AH120" s="17">
        <f t="shared" si="13"/>
        <v>45.673844559506328</v>
      </c>
      <c r="AI120" s="15">
        <f>'Varmepumpeberegning VP1'!X108-'Systemberegning VP1'!Z120</f>
        <v>1.3794031357017271</v>
      </c>
    </row>
    <row r="121" spans="10:35" x14ac:dyDescent="0.25">
      <c r="J121" s="13"/>
      <c r="K121">
        <v>4</v>
      </c>
      <c r="L121">
        <v>106</v>
      </c>
      <c r="M121" s="310">
        <v>0.54277500000000012</v>
      </c>
      <c r="N121" s="15">
        <v>8.2111083333333337</v>
      </c>
      <c r="P121" s="15">
        <f>MAX(0,MIN('Potentiel produktion'!C108*$D$3,N121))</f>
        <v>0</v>
      </c>
      <c r="Q121" s="15">
        <f t="shared" si="8"/>
        <v>8.2111083333333337</v>
      </c>
      <c r="R121" s="15">
        <v>0</v>
      </c>
      <c r="S121" s="15">
        <v>0</v>
      </c>
      <c r="T121" s="160">
        <f t="shared" si="9"/>
        <v>22268.525800000003</v>
      </c>
      <c r="V121" s="289">
        <f>'Varmepumpeberegning VP1'!W109</f>
        <v>3.0328225996421248</v>
      </c>
      <c r="W121" s="289">
        <f>'Varmepumpeberegning VP1'!X109</f>
        <v>9.2017685704053669</v>
      </c>
      <c r="X121" s="289">
        <f t="shared" si="10"/>
        <v>47.54328147744701</v>
      </c>
      <c r="Y121" s="15">
        <f>MAX(0,MIN('Potentiel produktion'!C108*$D$3,N121))</f>
        <v>0</v>
      </c>
      <c r="Z121" s="15">
        <f t="shared" si="11"/>
        <v>8.2111083333333337</v>
      </c>
      <c r="AA121" s="16">
        <f t="shared" si="12"/>
        <v>0</v>
      </c>
      <c r="AB121" s="16">
        <v>0</v>
      </c>
      <c r="AC121" s="16">
        <v>0</v>
      </c>
      <c r="AD121" s="145">
        <f>(Y121*$H$3+Z121*'Varmepumpeberegning VP1'!Z109+AA121*$H$5+AB121*$H$6+AC121*$H$7)*24</f>
        <v>9369.1928336034598</v>
      </c>
      <c r="AF121" s="16">
        <f>Z121*'Varmepumpeberegning VP1'!Z109*24</f>
        <v>9369.1928336034598</v>
      </c>
      <c r="AG121" s="20">
        <f>(Z121/'Varmepumpeberegning VP1'!W109)*24</f>
        <v>64.977951570017325</v>
      </c>
      <c r="AH121" s="17">
        <f t="shared" si="13"/>
        <v>47.54328147744701</v>
      </c>
      <c r="AI121" s="15">
        <f>'Varmepumpeberegning VP1'!X109-'Systemberegning VP1'!Z121</f>
        <v>0.99066023707203321</v>
      </c>
    </row>
    <row r="122" spans="10:35" x14ac:dyDescent="0.25">
      <c r="J122" s="13"/>
      <c r="K122">
        <v>4</v>
      </c>
      <c r="L122">
        <v>107</v>
      </c>
      <c r="M122" s="310">
        <v>0.6340874999999998</v>
      </c>
      <c r="N122" s="15">
        <v>9.4898791666666664</v>
      </c>
      <c r="P122" s="15">
        <f>MAX(0,MIN('Potentiel produktion'!C109*$D$3,N122))</f>
        <v>0</v>
      </c>
      <c r="Q122" s="15">
        <f t="shared" si="8"/>
        <v>9.4898791666666664</v>
      </c>
      <c r="R122" s="15">
        <v>0</v>
      </c>
      <c r="S122" s="15">
        <v>0</v>
      </c>
      <c r="T122" s="160">
        <f t="shared" si="9"/>
        <v>25736.552299999999</v>
      </c>
      <c r="V122" s="289">
        <f>'Varmepumpeberegning VP1'!W110</f>
        <v>3.0328225996421248</v>
      </c>
      <c r="W122" s="289">
        <f>'Varmepumpeberegning VP1'!X110</f>
        <v>9.2017685704053669</v>
      </c>
      <c r="X122" s="289">
        <f t="shared" si="10"/>
        <v>47.54328147744701</v>
      </c>
      <c r="Y122" s="15">
        <f>MAX(0,MIN('Potentiel produktion'!C109*$D$3,N122))</f>
        <v>0</v>
      </c>
      <c r="Z122" s="15">
        <f t="shared" si="11"/>
        <v>9.2017685704053669</v>
      </c>
      <c r="AA122" s="16">
        <f t="shared" si="12"/>
        <v>0.28811059626129953</v>
      </c>
      <c r="AB122" s="16">
        <v>0</v>
      </c>
      <c r="AC122" s="16">
        <v>0</v>
      </c>
      <c r="AD122" s="145">
        <f>(Y122*$H$3+Z122*'Varmepumpeberegning VP1'!Z110+AA122*$H$5+AB122*$H$6+AC122*$H$7)*24</f>
        <v>11280.930494655226</v>
      </c>
      <c r="AF122" s="16">
        <f>Z122*'Varmepumpeberegning VP1'!Z110*24</f>
        <v>10499.57455759458</v>
      </c>
      <c r="AG122" s="20">
        <f>(Z122/'Varmepumpeberegning VP1'!W110)*24</f>
        <v>72.817462424537581</v>
      </c>
      <c r="AH122" s="17">
        <f t="shared" si="13"/>
        <v>47.54328147744701</v>
      </c>
      <c r="AI122" s="15">
        <f>'Varmepumpeberegning VP1'!X110-'Systemberegning VP1'!Z122</f>
        <v>0</v>
      </c>
    </row>
    <row r="123" spans="10:35" x14ac:dyDescent="0.25">
      <c r="J123" s="13"/>
      <c r="K123">
        <v>4</v>
      </c>
      <c r="L123">
        <v>108</v>
      </c>
      <c r="M123" s="310">
        <v>0.68235000000000012</v>
      </c>
      <c r="N123" s="15">
        <v>8.9790624999999995</v>
      </c>
      <c r="P123" s="15">
        <f>MAX(0,MIN('Potentiel produktion'!C110*$D$3,N123))</f>
        <v>0</v>
      </c>
      <c r="Q123" s="15">
        <f t="shared" si="8"/>
        <v>8.9790624999999995</v>
      </c>
      <c r="R123" s="15">
        <v>0</v>
      </c>
      <c r="S123" s="15">
        <v>0</v>
      </c>
      <c r="T123" s="160">
        <f t="shared" si="9"/>
        <v>24351.217499999999</v>
      </c>
      <c r="V123" s="289">
        <f>'Varmepumpeberegning VP1'!W111</f>
        <v>2.9514704207300451</v>
      </c>
      <c r="W123" s="289">
        <f>'Varmepumpeberegning VP1'!X111</f>
        <v>9.0081678430174801</v>
      </c>
      <c r="X123" s="289">
        <f t="shared" si="10"/>
        <v>48.805649522192738</v>
      </c>
      <c r="Y123" s="15">
        <f>MAX(0,MIN('Potentiel produktion'!C110*$D$3,N123))</f>
        <v>0</v>
      </c>
      <c r="Z123" s="15">
        <f t="shared" si="11"/>
        <v>8.9790624999999995</v>
      </c>
      <c r="AA123" s="16">
        <f t="shared" si="12"/>
        <v>0</v>
      </c>
      <c r="AB123" s="16">
        <v>0</v>
      </c>
      <c r="AC123" s="16">
        <v>0</v>
      </c>
      <c r="AD123" s="145">
        <f>(Y123*$H$3+Z123*'Varmepumpeberegning VP1'!Z111+AA123*$H$5+AB123*$H$6+AC123*$H$7)*24</f>
        <v>10517.495457908728</v>
      </c>
      <c r="AF123" s="16">
        <f>Z123*'Varmepumpeberegning VP1'!Z111*24</f>
        <v>10517.495457908728</v>
      </c>
      <c r="AG123" s="20">
        <f>(Z123/'Varmepumpeberegning VP1'!W111)*24</f>
        <v>73.013606535381356</v>
      </c>
      <c r="AH123" s="17">
        <f t="shared" si="13"/>
        <v>48.805649522192738</v>
      </c>
      <c r="AI123" s="15">
        <f>'Varmepumpeberegning VP1'!X111-'Systemberegning VP1'!Z123</f>
        <v>2.9105343017480578E-2</v>
      </c>
    </row>
    <row r="124" spans="10:35" x14ac:dyDescent="0.25">
      <c r="J124" s="13"/>
      <c r="K124">
        <v>4</v>
      </c>
      <c r="L124">
        <v>109</v>
      </c>
      <c r="M124" s="310">
        <v>0.66266250000000004</v>
      </c>
      <c r="N124" s="15">
        <v>7.7707708333333336</v>
      </c>
      <c r="P124" s="15">
        <f>MAX(0,MIN('Potentiel produktion'!C111*$D$3,N124))</f>
        <v>0</v>
      </c>
      <c r="Q124" s="15">
        <f t="shared" si="8"/>
        <v>7.7707708333333336</v>
      </c>
      <c r="R124" s="15">
        <v>0</v>
      </c>
      <c r="S124" s="15">
        <v>0</v>
      </c>
      <c r="T124" s="160">
        <f t="shared" si="9"/>
        <v>21074.3305</v>
      </c>
      <c r="V124" s="289">
        <f>'Varmepumpeberegning VP1'!W112</f>
        <v>2.9902597151633996</v>
      </c>
      <c r="W124" s="289">
        <f>'Varmepumpeberegning VP1'!X112</f>
        <v>9.0968473264176914</v>
      </c>
      <c r="X124" s="289">
        <f t="shared" si="10"/>
        <v>48.195176072664189</v>
      </c>
      <c r="Y124" s="15">
        <f>MAX(0,MIN('Potentiel produktion'!C111*$D$3,N124))</f>
        <v>0</v>
      </c>
      <c r="Z124" s="15">
        <f t="shared" si="11"/>
        <v>7.7707708333333336</v>
      </c>
      <c r="AA124" s="16">
        <f t="shared" si="12"/>
        <v>0</v>
      </c>
      <c r="AB124" s="16">
        <v>0</v>
      </c>
      <c r="AC124" s="16">
        <v>0</v>
      </c>
      <c r="AD124" s="145">
        <f>(Y124*$H$3+Z124*'Varmepumpeberegning VP1'!Z112+AA124*$H$5+AB124*$H$6+AC124*$H$7)*24</f>
        <v>8988.3280447877623</v>
      </c>
      <c r="AF124" s="16">
        <f>Z124*'Varmepumpeberegning VP1'!Z112*24</f>
        <v>8988.3280447877623</v>
      </c>
      <c r="AG124" s="20">
        <f>(Z124/'Varmepumpeberegning VP1'!W112)*24</f>
        <v>62.368662847002568</v>
      </c>
      <c r="AH124" s="17">
        <f t="shared" si="13"/>
        <v>48.195176072664189</v>
      </c>
      <c r="AI124" s="15">
        <f>'Varmepumpeberegning VP1'!X112-'Systemberegning VP1'!Z124</f>
        <v>1.3260764930843578</v>
      </c>
    </row>
    <row r="125" spans="10:35" x14ac:dyDescent="0.25">
      <c r="J125" s="13"/>
      <c r="K125">
        <v>4</v>
      </c>
      <c r="L125">
        <v>110</v>
      </c>
      <c r="M125" s="310">
        <v>0.59570000000000001</v>
      </c>
      <c r="N125" s="15">
        <v>8.8346333333333309</v>
      </c>
      <c r="P125" s="15">
        <f>MAX(0,MIN('Potentiel produktion'!C112*$D$3,N125))</f>
        <v>0</v>
      </c>
      <c r="Q125" s="15">
        <f t="shared" si="8"/>
        <v>8.8346333333333309</v>
      </c>
      <c r="R125" s="15">
        <v>0</v>
      </c>
      <c r="S125" s="15">
        <v>0</v>
      </c>
      <c r="T125" s="160">
        <f t="shared" si="9"/>
        <v>23959.525599999994</v>
      </c>
      <c r="V125" s="289">
        <f>'Varmepumpeberegning VP1'!W113</f>
        <v>3.0328225996421248</v>
      </c>
      <c r="W125" s="289">
        <f>'Varmepumpeberegning VP1'!X113</f>
        <v>9.2017685704053669</v>
      </c>
      <c r="X125" s="289">
        <f t="shared" si="10"/>
        <v>47.54328147744701</v>
      </c>
      <c r="Y125" s="15">
        <f>MAX(0,MIN('Potentiel produktion'!C112*$D$3,N125))</f>
        <v>0</v>
      </c>
      <c r="Z125" s="15">
        <f t="shared" si="11"/>
        <v>8.8346333333333309</v>
      </c>
      <c r="AA125" s="16">
        <f t="shared" si="12"/>
        <v>0</v>
      </c>
      <c r="AB125" s="16">
        <v>0</v>
      </c>
      <c r="AC125" s="16">
        <v>0</v>
      </c>
      <c r="AD125" s="145">
        <f>(Y125*$H$3+Z125*'Varmepumpeberegning VP1'!Z113+AA125*$H$5+AB125*$H$6+AC125*$H$7)*24</f>
        <v>10080.65902360086</v>
      </c>
      <c r="AF125" s="16">
        <f>Z125*'Varmepumpeberegning VP1'!Z113*24</f>
        <v>10080.65902360086</v>
      </c>
      <c r="AG125" s="20">
        <f>(Z125/'Varmepumpeberegning VP1'!W113)*24</f>
        <v>69.912166977725562</v>
      </c>
      <c r="AH125" s="17">
        <f t="shared" si="13"/>
        <v>47.54328147744701</v>
      </c>
      <c r="AI125" s="15">
        <f>'Varmepumpeberegning VP1'!X113-'Systemberegning VP1'!Z125</f>
        <v>0.36713523707203599</v>
      </c>
    </row>
    <row r="126" spans="10:35" x14ac:dyDescent="0.25">
      <c r="J126" s="13"/>
      <c r="K126">
        <v>4</v>
      </c>
      <c r="L126">
        <v>111</v>
      </c>
      <c r="M126" s="310">
        <v>0.58823750000000008</v>
      </c>
      <c r="N126" s="15">
        <v>9.4053291666666681</v>
      </c>
      <c r="P126" s="15">
        <f>MAX(0,MIN('Potentiel produktion'!C113*$D$3,N126))</f>
        <v>0</v>
      </c>
      <c r="Q126" s="15">
        <f t="shared" si="8"/>
        <v>9.4053291666666681</v>
      </c>
      <c r="R126" s="15">
        <v>0</v>
      </c>
      <c r="S126" s="15">
        <v>0</v>
      </c>
      <c r="T126" s="160">
        <f t="shared" si="9"/>
        <v>25507.252700000005</v>
      </c>
      <c r="V126" s="289">
        <f>'Varmepumpeberegning VP1'!W114</f>
        <v>2.9902597151633996</v>
      </c>
      <c r="W126" s="289">
        <f>'Varmepumpeberegning VP1'!X114</f>
        <v>9.0968473264176914</v>
      </c>
      <c r="X126" s="289">
        <f t="shared" si="10"/>
        <v>48.195176072664189</v>
      </c>
      <c r="Y126" s="15">
        <f>MAX(0,MIN('Potentiel produktion'!C113*$D$3,N126))</f>
        <v>0</v>
      </c>
      <c r="Z126" s="15">
        <f t="shared" si="11"/>
        <v>9.0968473264176914</v>
      </c>
      <c r="AA126" s="16">
        <f t="shared" si="12"/>
        <v>0.30848184024897662</v>
      </c>
      <c r="AB126" s="16">
        <v>0</v>
      </c>
      <c r="AC126" s="16">
        <v>0</v>
      </c>
      <c r="AD126" s="145">
        <f>(Y126*$H$3+Z126*'Varmepumpeberegning VP1'!Z114+AA126*$H$5+AB126*$H$6+AC126*$H$7)*24</f>
        <v>11358.782557223509</v>
      </c>
      <c r="AF126" s="16">
        <f>Z126*'Varmepumpeberegning VP1'!Z114*24</f>
        <v>10522.179806468283</v>
      </c>
      <c r="AG126" s="20">
        <f>(Z126/'Varmepumpeberegning VP1'!W114)*24</f>
        <v>73.01183062023577</v>
      </c>
      <c r="AH126" s="17">
        <f t="shared" si="13"/>
        <v>48.195176072664189</v>
      </c>
      <c r="AI126" s="15">
        <f>'Varmepumpeberegning VP1'!X114-'Systemberegning VP1'!Z126</f>
        <v>0</v>
      </c>
    </row>
    <row r="127" spans="10:35" x14ac:dyDescent="0.25">
      <c r="J127" s="13"/>
      <c r="K127">
        <v>4</v>
      </c>
      <c r="L127">
        <v>112</v>
      </c>
      <c r="M127" s="310">
        <v>0.56646250000000031</v>
      </c>
      <c r="N127" s="15">
        <v>9.9372583333333324</v>
      </c>
      <c r="P127" s="15">
        <f>MAX(0,MIN('Potentiel produktion'!C114*$D$3,N127))</f>
        <v>0</v>
      </c>
      <c r="Q127" s="15">
        <f t="shared" si="8"/>
        <v>9.9372583333333324</v>
      </c>
      <c r="R127" s="15">
        <v>0</v>
      </c>
      <c r="S127" s="15">
        <v>0</v>
      </c>
      <c r="T127" s="160">
        <f t="shared" si="9"/>
        <v>26949.844599999997</v>
      </c>
      <c r="V127" s="289">
        <f>'Varmepumpeberegning VP1'!W115</f>
        <v>2.9514704207300451</v>
      </c>
      <c r="W127" s="289">
        <f>'Varmepumpeberegning VP1'!X115</f>
        <v>9.0081678430174801</v>
      </c>
      <c r="X127" s="289">
        <f t="shared" si="10"/>
        <v>48.805649522192738</v>
      </c>
      <c r="Y127" s="15">
        <f>MAX(0,MIN('Potentiel produktion'!C114*$D$3,N127))</f>
        <v>0</v>
      </c>
      <c r="Z127" s="15">
        <f t="shared" si="11"/>
        <v>9.0081678430174801</v>
      </c>
      <c r="AA127" s="16">
        <f t="shared" si="12"/>
        <v>0.92909049031585234</v>
      </c>
      <c r="AB127" s="16">
        <v>0</v>
      </c>
      <c r="AC127" s="16">
        <v>0</v>
      </c>
      <c r="AD127" s="145">
        <f>(Y127*$H$3+Z127*'Varmepumpeberegning VP1'!Z115+AA127*$H$5+AB127*$H$6+AC127*$H$7)*24</f>
        <v>13071.280991738146</v>
      </c>
      <c r="AF127" s="16">
        <f>Z127*'Varmepumpeberegning VP1'!Z115*24</f>
        <v>10551.587582001554</v>
      </c>
      <c r="AG127" s="20">
        <f>(Z127/'Varmepumpeberegning VP1'!W115)*24</f>
        <v>73.250277798462065</v>
      </c>
      <c r="AH127" s="17">
        <f t="shared" si="13"/>
        <v>48.805649522192738</v>
      </c>
      <c r="AI127" s="15">
        <f>'Varmepumpeberegning VP1'!X115-'Systemberegning VP1'!Z127</f>
        <v>0</v>
      </c>
    </row>
    <row r="128" spans="10:35" x14ac:dyDescent="0.25">
      <c r="J128" s="13"/>
      <c r="K128">
        <v>4</v>
      </c>
      <c r="L128">
        <v>113</v>
      </c>
      <c r="M128" s="310">
        <v>0.42751249999999996</v>
      </c>
      <c r="N128" s="15">
        <v>10.529095833333335</v>
      </c>
      <c r="P128" s="15">
        <f>MAX(0,MIN('Potentiel produktion'!C115*$D$3,N128))</f>
        <v>0</v>
      </c>
      <c r="Q128" s="15">
        <f t="shared" si="8"/>
        <v>10.529095833333335</v>
      </c>
      <c r="R128" s="15">
        <v>0</v>
      </c>
      <c r="S128" s="15">
        <v>0</v>
      </c>
      <c r="T128" s="160">
        <f t="shared" si="9"/>
        <v>28554.907900000006</v>
      </c>
      <c r="V128" s="289">
        <f>'Varmepumpeberegning VP1'!W116</f>
        <v>2.9514704207300451</v>
      </c>
      <c r="W128" s="289">
        <f>'Varmepumpeberegning VP1'!X116</f>
        <v>9.0081678430174801</v>
      </c>
      <c r="X128" s="289">
        <f t="shared" si="10"/>
        <v>48.805649522192738</v>
      </c>
      <c r="Y128" s="15">
        <f>MAX(0,MIN('Potentiel produktion'!C115*$D$3,N128))</f>
        <v>0</v>
      </c>
      <c r="Z128" s="15">
        <f t="shared" si="11"/>
        <v>9.0081678430174801</v>
      </c>
      <c r="AA128" s="16">
        <f t="shared" si="12"/>
        <v>1.5209279903158546</v>
      </c>
      <c r="AB128" s="16">
        <v>0</v>
      </c>
      <c r="AC128" s="16">
        <v>0</v>
      </c>
      <c r="AD128" s="145">
        <f>(Y128*$H$3+Z128*'Varmepumpeberegning VP1'!Z116+AA128*$H$5+AB128*$H$6+AC128*$H$7)*24</f>
        <v>14676.344291738153</v>
      </c>
      <c r="AF128" s="16">
        <f>Z128*'Varmepumpeberegning VP1'!Z116*24</f>
        <v>10551.587582001554</v>
      </c>
      <c r="AG128" s="20">
        <f>(Z128/'Varmepumpeberegning VP1'!W116)*24</f>
        <v>73.250277798462065</v>
      </c>
      <c r="AH128" s="17">
        <f t="shared" si="13"/>
        <v>48.805649522192738</v>
      </c>
      <c r="AI128" s="15">
        <f>'Varmepumpeberegning VP1'!X116-'Systemberegning VP1'!Z128</f>
        <v>0</v>
      </c>
    </row>
    <row r="129" spans="10:35" x14ac:dyDescent="0.25">
      <c r="J129" s="13"/>
      <c r="K129">
        <v>4</v>
      </c>
      <c r="L129">
        <v>114</v>
      </c>
      <c r="M129" s="310">
        <v>0.43551249999999991</v>
      </c>
      <c r="N129" s="15">
        <v>9.3877166666666678</v>
      </c>
      <c r="P129" s="15">
        <f>MAX(0,MIN('Potentiel produktion'!C116*$D$3,N129))</f>
        <v>0</v>
      </c>
      <c r="Q129" s="15">
        <f t="shared" si="8"/>
        <v>9.3877166666666678</v>
      </c>
      <c r="R129" s="15">
        <v>0</v>
      </c>
      <c r="S129" s="15">
        <v>0</v>
      </c>
      <c r="T129" s="160">
        <f t="shared" si="9"/>
        <v>25459.487600000004</v>
      </c>
      <c r="V129" s="289">
        <f>'Varmepumpeberegning VP1'!W117</f>
        <v>2.9129328437623547</v>
      </c>
      <c r="W129" s="289">
        <f>'Varmepumpeberegning VP1'!X117</f>
        <v>8.9194883596172705</v>
      </c>
      <c r="X129" s="289">
        <f t="shared" si="10"/>
        <v>49.428261889997998</v>
      </c>
      <c r="Y129" s="15">
        <f>MAX(0,MIN('Potentiel produktion'!C116*$D$3,N129))</f>
        <v>0</v>
      </c>
      <c r="Z129" s="15">
        <f t="shared" si="11"/>
        <v>8.9194883596172705</v>
      </c>
      <c r="AA129" s="16">
        <f t="shared" si="12"/>
        <v>0.46822830704939733</v>
      </c>
      <c r="AB129" s="16">
        <v>0</v>
      </c>
      <c r="AC129" s="16">
        <v>0</v>
      </c>
      <c r="AD129" s="145">
        <f>(Y129*$H$3+Z129*'Varmepumpeberegning VP1'!Z117+AA129*$H$5+AB129*$H$6+AC129*$H$7)*24</f>
        <v>11850.830526252792</v>
      </c>
      <c r="AF129" s="16">
        <f>Z129*'Varmepumpeberegning VP1'!Z117*24</f>
        <v>10580.995357534826</v>
      </c>
      <c r="AG129" s="20">
        <f>(Z129/'Varmepumpeberegning VP1'!W117)*24</f>
        <v>73.488724976688388</v>
      </c>
      <c r="AH129" s="17">
        <f t="shared" si="13"/>
        <v>49.428261889997998</v>
      </c>
      <c r="AI129" s="15">
        <f>'Varmepumpeberegning VP1'!X117-'Systemberegning VP1'!Z129</f>
        <v>0</v>
      </c>
    </row>
    <row r="130" spans="10:35" x14ac:dyDescent="0.25">
      <c r="J130" s="13"/>
      <c r="K130">
        <v>4</v>
      </c>
      <c r="L130">
        <v>115</v>
      </c>
      <c r="M130" s="310">
        <v>0.46312499999999995</v>
      </c>
      <c r="N130" s="15">
        <v>9.546241666666667</v>
      </c>
      <c r="P130" s="15">
        <f>MAX(0,MIN('Potentiel produktion'!C117*$D$3,N130))</f>
        <v>0</v>
      </c>
      <c r="Q130" s="15">
        <f t="shared" si="8"/>
        <v>9.546241666666667</v>
      </c>
      <c r="R130" s="15">
        <v>0</v>
      </c>
      <c r="S130" s="15">
        <v>0</v>
      </c>
      <c r="T130" s="160">
        <f t="shared" si="9"/>
        <v>25889.407399999996</v>
      </c>
      <c r="V130" s="289">
        <f>'Varmepumpeberegning VP1'!W118</f>
        <v>2.9514704207300451</v>
      </c>
      <c r="W130" s="289">
        <f>'Varmepumpeberegning VP1'!X118</f>
        <v>9.0081678430174801</v>
      </c>
      <c r="X130" s="289">
        <f t="shared" si="10"/>
        <v>48.805649522192738</v>
      </c>
      <c r="Y130" s="15">
        <f>MAX(0,MIN('Potentiel produktion'!C117*$D$3,N130))</f>
        <v>0</v>
      </c>
      <c r="Z130" s="15">
        <f t="shared" si="11"/>
        <v>9.0081678430174801</v>
      </c>
      <c r="AA130" s="16">
        <f t="shared" si="12"/>
        <v>0.53807382364918688</v>
      </c>
      <c r="AB130" s="16">
        <v>0</v>
      </c>
      <c r="AC130" s="16">
        <v>0</v>
      </c>
      <c r="AD130" s="145">
        <f>(Y130*$H$3+Z130*'Varmepumpeberegning VP1'!Z118+AA130*$H$5+AB130*$H$6+AC130*$H$7)*24</f>
        <v>12010.843791738149</v>
      </c>
      <c r="AF130" s="16">
        <f>Z130*'Varmepumpeberegning VP1'!Z118*24</f>
        <v>10551.587582001554</v>
      </c>
      <c r="AG130" s="20">
        <f>(Z130/'Varmepumpeberegning VP1'!W118)*24</f>
        <v>73.250277798462065</v>
      </c>
      <c r="AH130" s="17">
        <f t="shared" si="13"/>
        <v>48.805649522192738</v>
      </c>
      <c r="AI130" s="15">
        <f>'Varmepumpeberegning VP1'!X118-'Systemberegning VP1'!Z130</f>
        <v>0</v>
      </c>
    </row>
    <row r="131" spans="10:35" x14ac:dyDescent="0.25">
      <c r="J131" s="13"/>
      <c r="K131">
        <v>4</v>
      </c>
      <c r="L131">
        <v>116</v>
      </c>
      <c r="M131" s="310">
        <v>0.40320000000000017</v>
      </c>
      <c r="N131" s="15">
        <v>8.5316916666666671</v>
      </c>
      <c r="P131" s="15">
        <f>MAX(0,MIN('Potentiel produktion'!C118*$D$3,N131))</f>
        <v>0</v>
      </c>
      <c r="Q131" s="15">
        <f t="shared" si="8"/>
        <v>8.5316916666666671</v>
      </c>
      <c r="R131" s="15">
        <v>0</v>
      </c>
      <c r="S131" s="15">
        <v>0</v>
      </c>
      <c r="T131" s="160">
        <f t="shared" si="9"/>
        <v>23137.947800000002</v>
      </c>
      <c r="V131" s="289">
        <f>'Varmepumpeberegning VP1'!W119</f>
        <v>2.9514704207300451</v>
      </c>
      <c r="W131" s="289">
        <f>'Varmepumpeberegning VP1'!X119</f>
        <v>9.0081678430174801</v>
      </c>
      <c r="X131" s="289">
        <f t="shared" si="10"/>
        <v>48.805649522192738</v>
      </c>
      <c r="Y131" s="15">
        <f>MAX(0,MIN('Potentiel produktion'!C118*$D$3,N131))</f>
        <v>0</v>
      </c>
      <c r="Z131" s="15">
        <f t="shared" si="11"/>
        <v>8.5316916666666671</v>
      </c>
      <c r="AA131" s="16">
        <f t="shared" si="12"/>
        <v>0</v>
      </c>
      <c r="AB131" s="16">
        <v>0</v>
      </c>
      <c r="AC131" s="16">
        <v>0</v>
      </c>
      <c r="AD131" s="145">
        <f>(Y131*$H$3+Z131*'Varmepumpeberegning VP1'!Z119+AA131*$H$5+AB131*$H$6+AC131*$H$7)*24</f>
        <v>9993.4740795539001</v>
      </c>
      <c r="AF131" s="16">
        <f>Z131*'Varmepumpeberegning VP1'!Z119*24</f>
        <v>9993.4740795539001</v>
      </c>
      <c r="AG131" s="20">
        <f>(Z131/'Varmepumpeberegning VP1'!W119)*24</f>
        <v>69.375792676706737</v>
      </c>
      <c r="AH131" s="17">
        <f t="shared" si="13"/>
        <v>48.805649522192745</v>
      </c>
      <c r="AI131" s="15">
        <f>'Varmepumpeberegning VP1'!X119-'Systemberegning VP1'!Z131</f>
        <v>0.47647617635081296</v>
      </c>
    </row>
    <row r="132" spans="10:35" x14ac:dyDescent="0.25">
      <c r="J132" s="13"/>
      <c r="K132">
        <v>4</v>
      </c>
      <c r="L132">
        <v>117</v>
      </c>
      <c r="M132" s="310">
        <v>0.30633749999999998</v>
      </c>
      <c r="N132" s="15">
        <v>6.1080041666666665</v>
      </c>
      <c r="P132" s="15">
        <f>MAX(0,MIN('Potentiel produktion'!C119*$D$3,N132))</f>
        <v>0</v>
      </c>
      <c r="Q132" s="15">
        <f t="shared" si="8"/>
        <v>6.1080041666666665</v>
      </c>
      <c r="R132" s="15">
        <v>0</v>
      </c>
      <c r="S132" s="15">
        <v>0</v>
      </c>
      <c r="T132" s="160">
        <f t="shared" si="9"/>
        <v>16564.907299999999</v>
      </c>
      <c r="V132" s="289">
        <f>'Varmepumpeberegning VP1'!W120</f>
        <v>2.9902597151633996</v>
      </c>
      <c r="W132" s="289">
        <f>'Varmepumpeberegning VP1'!X120</f>
        <v>9.0968473264176914</v>
      </c>
      <c r="X132" s="289">
        <f t="shared" si="10"/>
        <v>48.195176072664189</v>
      </c>
      <c r="Y132" s="15">
        <f>MAX(0,MIN('Potentiel produktion'!C119*$D$3,N132))</f>
        <v>0</v>
      </c>
      <c r="Z132" s="15">
        <f t="shared" si="11"/>
        <v>6.1080041666666665</v>
      </c>
      <c r="AA132" s="16">
        <f t="shared" si="12"/>
        <v>0</v>
      </c>
      <c r="AB132" s="16">
        <v>0</v>
      </c>
      <c r="AC132" s="16">
        <v>0</v>
      </c>
      <c r="AD132" s="145">
        <f>(Y132*$H$3+Z132*'Varmepumpeberegning VP1'!Z120+AA132*$H$5+AB132*$H$6+AC132*$H$7)*24</f>
        <v>7065.0320703615953</v>
      </c>
      <c r="AF132" s="16">
        <f>Z132*'Varmepumpeberegning VP1'!Z120*24</f>
        <v>7065.0320703615953</v>
      </c>
      <c r="AG132" s="20">
        <f>(Z132/'Varmepumpeberegning VP1'!W120)*24</f>
        <v>49.023199977126275</v>
      </c>
      <c r="AH132" s="17">
        <f t="shared" si="13"/>
        <v>48.195176072664189</v>
      </c>
      <c r="AI132" s="15">
        <f>'Varmepumpeberegning VP1'!X120-'Systemberegning VP1'!Z132</f>
        <v>2.988843159751025</v>
      </c>
    </row>
    <row r="133" spans="10:35" x14ac:dyDescent="0.25">
      <c r="J133" s="13"/>
      <c r="K133">
        <v>4</v>
      </c>
      <c r="L133">
        <v>118</v>
      </c>
      <c r="M133" s="310">
        <v>0.42765000000000003</v>
      </c>
      <c r="N133" s="15">
        <v>3.3567416666666658</v>
      </c>
      <c r="P133" s="15">
        <f>MAX(0,MIN('Potentiel produktion'!C120*$D$3,N133))</f>
        <v>0</v>
      </c>
      <c r="Q133" s="15">
        <f t="shared" si="8"/>
        <v>3.3567416666666658</v>
      </c>
      <c r="R133" s="15">
        <v>0</v>
      </c>
      <c r="S133" s="15">
        <v>0</v>
      </c>
      <c r="T133" s="160">
        <f t="shared" si="9"/>
        <v>9103.4833999999973</v>
      </c>
      <c r="V133" s="289">
        <f>'Varmepumpeberegning VP1'!W121</f>
        <v>3.1186336937333676</v>
      </c>
      <c r="W133" s="289">
        <f>'Varmepumpeberegning VP1'!X121</f>
        <v>9.4116110583807178</v>
      </c>
      <c r="X133" s="289">
        <f t="shared" si="10"/>
        <v>46.283096463675768</v>
      </c>
      <c r="Y133" s="15">
        <f>MAX(0,MIN('Potentiel produktion'!C120*$D$3,N133))</f>
        <v>0</v>
      </c>
      <c r="Z133" s="15">
        <f t="shared" si="11"/>
        <v>3.3567416666666658</v>
      </c>
      <c r="AA133" s="16">
        <f t="shared" si="12"/>
        <v>0</v>
      </c>
      <c r="AB133" s="16">
        <v>0</v>
      </c>
      <c r="AC133" s="16">
        <v>0</v>
      </c>
      <c r="AD133" s="145">
        <f>(Y133*$H$3+Z133*'Varmepumpeberegning VP1'!Z121+AA133*$H$5+AB133*$H$6+AC133*$H$7)*24</f>
        <v>3728.6495606873536</v>
      </c>
      <c r="AF133" s="16">
        <f>Z133*'Varmepumpeberegning VP1'!Z121*24</f>
        <v>3728.6495606873536</v>
      </c>
      <c r="AG133" s="20">
        <f>(Z133/'Varmepumpeberegning VP1'!W121)*24</f>
        <v>25.832402234953772</v>
      </c>
      <c r="AH133" s="17">
        <f t="shared" si="13"/>
        <v>46.283096463675768</v>
      </c>
      <c r="AI133" s="15">
        <f>'Varmepumpeberegning VP1'!X121-'Systemberegning VP1'!Z133</f>
        <v>6.0548693917140515</v>
      </c>
    </row>
    <row r="134" spans="10:35" x14ac:dyDescent="0.25">
      <c r="J134" s="13"/>
      <c r="K134">
        <v>4</v>
      </c>
      <c r="L134">
        <v>119</v>
      </c>
      <c r="M134" s="310">
        <v>0.45324999999999999</v>
      </c>
      <c r="N134" s="15">
        <v>4.4875499999999979</v>
      </c>
      <c r="P134" s="15">
        <f>MAX(0,MIN('Potentiel produktion'!C121*$D$3,N134))</f>
        <v>0</v>
      </c>
      <c r="Q134" s="15">
        <f t="shared" si="8"/>
        <v>4.4875499999999979</v>
      </c>
      <c r="R134" s="15">
        <v>0</v>
      </c>
      <c r="S134" s="15">
        <v>0</v>
      </c>
      <c r="T134" s="160">
        <f t="shared" si="9"/>
        <v>12170.235599999995</v>
      </c>
      <c r="V134" s="289">
        <f>'Varmepumpeberegning VP1'!W122</f>
        <v>3.2490914584620767</v>
      </c>
      <c r="W134" s="289">
        <f>'Varmepumpeberegning VP1'!X122</f>
        <v>9.7263747903437441</v>
      </c>
      <c r="X134" s="289">
        <f t="shared" si="10"/>
        <v>44.494773819951156</v>
      </c>
      <c r="Y134" s="15">
        <f>MAX(0,MIN('Potentiel produktion'!C121*$D$3,N134))</f>
        <v>0</v>
      </c>
      <c r="Z134" s="15">
        <f t="shared" si="11"/>
        <v>4.4875499999999979</v>
      </c>
      <c r="AA134" s="16">
        <f t="shared" si="12"/>
        <v>0</v>
      </c>
      <c r="AB134" s="16">
        <v>0</v>
      </c>
      <c r="AC134" s="16">
        <v>0</v>
      </c>
      <c r="AD134" s="145">
        <f>(Y134*$H$3+Z134*'Varmepumpeberegning VP1'!Z122+AA134*$H$5+AB134*$H$6+AC134*$H$7)*24</f>
        <v>4792.1405341373211</v>
      </c>
      <c r="AF134" s="16">
        <f>Z134*'Varmepumpeberegning VP1'!Z122*24</f>
        <v>4792.1405341373211</v>
      </c>
      <c r="AG134" s="20">
        <f>(Z134/'Varmepumpeberegning VP1'!W122)*24</f>
        <v>33.148097361032484</v>
      </c>
      <c r="AH134" s="17">
        <f t="shared" si="13"/>
        <v>44.494773819951156</v>
      </c>
      <c r="AI134" s="15">
        <f>'Varmepumpeberegning VP1'!X122-'Systemberegning VP1'!Z134</f>
        <v>5.2388247903437462</v>
      </c>
    </row>
    <row r="135" spans="10:35" x14ac:dyDescent="0.25">
      <c r="J135" s="13"/>
      <c r="K135">
        <v>4</v>
      </c>
      <c r="L135">
        <v>120</v>
      </c>
      <c r="M135" s="310">
        <v>0.41938750000000019</v>
      </c>
      <c r="N135" s="15">
        <v>2.3175249999999989</v>
      </c>
      <c r="P135" s="15">
        <f>MAX(0,MIN('Potentiel produktion'!C122*$D$3,N135))</f>
        <v>0</v>
      </c>
      <c r="Q135" s="15">
        <f t="shared" si="8"/>
        <v>2.3175249999999989</v>
      </c>
      <c r="R135" s="15">
        <v>0</v>
      </c>
      <c r="S135" s="15">
        <v>0</v>
      </c>
      <c r="T135" s="160">
        <f t="shared" si="9"/>
        <v>6285.1277999999966</v>
      </c>
      <c r="V135" s="289">
        <f>'Varmepumpeberegning VP1'!W123</f>
        <v>3.2053708816573461</v>
      </c>
      <c r="W135" s="289">
        <f>'Varmepumpeberegning VP1'!X123</f>
        <v>9.6214535463560686</v>
      </c>
      <c r="X135" s="289">
        <f t="shared" si="10"/>
        <v>45.077880349837372</v>
      </c>
      <c r="Y135" s="15">
        <f>MAX(0,MIN('Potentiel produktion'!C122*$D$3,N135))</f>
        <v>0</v>
      </c>
      <c r="Z135" s="15">
        <f t="shared" si="11"/>
        <v>2.3175249999999989</v>
      </c>
      <c r="AA135" s="16">
        <f t="shared" si="12"/>
        <v>0</v>
      </c>
      <c r="AB135" s="16">
        <v>0</v>
      </c>
      <c r="AC135" s="16">
        <v>0</v>
      </c>
      <c r="AD135" s="145">
        <f>(Y135*$H$3+Z135*'Varmepumpeberegning VP1'!Z123+AA135*$H$5+AB135*$H$6+AC135*$H$7)*24</f>
        <v>2507.2587517861634</v>
      </c>
      <c r="AF135" s="16">
        <f>Z135*'Varmepumpeberegning VP1'!Z123*24</f>
        <v>2507.2587517861634</v>
      </c>
      <c r="AG135" s="20">
        <f>(Z135/'Varmepumpeberegning VP1'!W123)*24</f>
        <v>17.35231336825559</v>
      </c>
      <c r="AH135" s="17">
        <f t="shared" si="13"/>
        <v>45.077880349837379</v>
      </c>
      <c r="AI135" s="15">
        <f>'Varmepumpeberegning VP1'!X123-'Systemberegning VP1'!Z135</f>
        <v>7.3039285463560697</v>
      </c>
    </row>
    <row r="136" spans="10:35" x14ac:dyDescent="0.25">
      <c r="J136" s="253"/>
      <c r="K136">
        <v>5</v>
      </c>
      <c r="L136">
        <v>121</v>
      </c>
      <c r="M136" s="310">
        <v>0.29619999999999985</v>
      </c>
      <c r="N136" s="15">
        <v>1.7045666666666657</v>
      </c>
      <c r="P136" s="15">
        <f>MAX(0,MIN('Potentiel produktion'!C123*$D$3,N136))</f>
        <v>0</v>
      </c>
      <c r="Q136" s="15">
        <f t="shared" si="8"/>
        <v>1.7045666666666657</v>
      </c>
      <c r="R136" s="15">
        <v>0</v>
      </c>
      <c r="S136" s="15">
        <v>0</v>
      </c>
      <c r="T136" s="160">
        <f t="shared" si="9"/>
        <v>4622.7847999999976</v>
      </c>
      <c r="V136" s="289">
        <f>'Varmepumpeberegning VP1'!W124</f>
        <v>3.3372461519597025</v>
      </c>
      <c r="W136" s="289">
        <f>'Varmepumpeberegning VP1'!X124</f>
        <v>9.936217278319095</v>
      </c>
      <c r="X136" s="289">
        <f t="shared" si="10"/>
        <v>43.365504555254446</v>
      </c>
      <c r="Y136" s="15">
        <f>MAX(0,MIN('Potentiel produktion'!C123*$D$3,N136))</f>
        <v>0</v>
      </c>
      <c r="Z136" s="15">
        <f t="shared" si="11"/>
        <v>1.7045666666666657</v>
      </c>
      <c r="AA136" s="16">
        <f t="shared" si="12"/>
        <v>0</v>
      </c>
      <c r="AB136" s="16">
        <v>0</v>
      </c>
      <c r="AC136" s="16">
        <v>0</v>
      </c>
      <c r="AD136" s="145">
        <f>(Y136*$H$3+Z136*'Varmepumpeberegning VP1'!Z124+AA136*$H$5+AB136*$H$6+AC136*$H$7)*24</f>
        <v>1774.0654451536361</v>
      </c>
      <c r="AF136" s="16">
        <f>Z136*'Varmepumpeberegning VP1'!Z124*24</f>
        <v>1774.0654451536361</v>
      </c>
      <c r="AG136" s="20">
        <f>(Z136/'Varmepumpeberegning VP1'!W124)*24</f>
        <v>12.258490425100042</v>
      </c>
      <c r="AH136" s="17">
        <f t="shared" si="13"/>
        <v>43.365504555254439</v>
      </c>
      <c r="AI136" s="15">
        <f>'Varmepumpeberegning VP1'!X124-'Systemberegning VP1'!Z136</f>
        <v>8.2316506116524302</v>
      </c>
    </row>
    <row r="137" spans="10:35" x14ac:dyDescent="0.25">
      <c r="J137" s="253"/>
      <c r="K137">
        <v>5</v>
      </c>
      <c r="L137">
        <v>122</v>
      </c>
      <c r="M137" s="310">
        <v>0.28228750000000014</v>
      </c>
      <c r="N137" s="15">
        <v>1.243095833333334</v>
      </c>
      <c r="P137" s="15">
        <f>MAX(0,MIN('Potentiel produktion'!C124*$D$3,N137))</f>
        <v>0</v>
      </c>
      <c r="Q137" s="15">
        <f t="shared" si="8"/>
        <v>1.243095833333334</v>
      </c>
      <c r="R137" s="15">
        <v>0</v>
      </c>
      <c r="S137" s="15">
        <v>0</v>
      </c>
      <c r="T137" s="160">
        <f t="shared" si="9"/>
        <v>3371.2759000000015</v>
      </c>
      <c r="V137" s="289">
        <f>'Varmepumpeberegning VP1'!W125</f>
        <v>3.3372461519597025</v>
      </c>
      <c r="W137" s="289">
        <f>'Varmepumpeberegning VP1'!X125</f>
        <v>9.936217278319095</v>
      </c>
      <c r="X137" s="289">
        <f t="shared" si="10"/>
        <v>43.365504555254446</v>
      </c>
      <c r="Y137" s="15">
        <f>MAX(0,MIN('Potentiel produktion'!C124*$D$3,N137))</f>
        <v>0</v>
      </c>
      <c r="Z137" s="15">
        <f t="shared" si="11"/>
        <v>1.243095833333334</v>
      </c>
      <c r="AA137" s="16">
        <f t="shared" si="12"/>
        <v>0</v>
      </c>
      <c r="AB137" s="16">
        <v>0</v>
      </c>
      <c r="AC137" s="16">
        <v>0</v>
      </c>
      <c r="AD137" s="145">
        <f>(Y137*$H$3+Z137*'Varmepumpeberegning VP1'!Z125+AA137*$H$5+AB137*$H$6+AC137*$H$7)*24</f>
        <v>1293.7794725528283</v>
      </c>
      <c r="AF137" s="16">
        <f>Z137*'Varmepumpeberegning VP1'!Z125*24</f>
        <v>1293.7794725528283</v>
      </c>
      <c r="AG137" s="20">
        <f>(Z137/'Varmepumpeberegning VP1'!W125)*24</f>
        <v>8.9397960598383417</v>
      </c>
      <c r="AH137" s="17">
        <f t="shared" si="13"/>
        <v>43.365504555254439</v>
      </c>
      <c r="AI137" s="15">
        <f>'Varmepumpeberegning VP1'!X125-'Systemberegning VP1'!Z137</f>
        <v>8.6931214449857617</v>
      </c>
    </row>
    <row r="138" spans="10:35" x14ac:dyDescent="0.25">
      <c r="J138" s="253"/>
      <c r="K138">
        <v>5</v>
      </c>
      <c r="L138">
        <v>123</v>
      </c>
      <c r="M138" s="310">
        <v>0.27924999999999994</v>
      </c>
      <c r="N138" s="15">
        <v>3.754795833333334</v>
      </c>
      <c r="P138" s="15">
        <f>MAX(0,MIN('Potentiel produktion'!C125*$D$3,N138))</f>
        <v>0</v>
      </c>
      <c r="Q138" s="15">
        <f t="shared" si="8"/>
        <v>3.754795833333334</v>
      </c>
      <c r="R138" s="15">
        <v>0</v>
      </c>
      <c r="S138" s="15">
        <v>0</v>
      </c>
      <c r="T138" s="160">
        <f t="shared" si="9"/>
        <v>10183.006300000003</v>
      </c>
      <c r="V138" s="289">
        <f>'Varmepumpeberegning VP1'!W126</f>
        <v>3.3372461519597025</v>
      </c>
      <c r="W138" s="289">
        <f>'Varmepumpeberegning VP1'!X126</f>
        <v>9.936217278319095</v>
      </c>
      <c r="X138" s="289">
        <f t="shared" si="10"/>
        <v>43.365504555254446</v>
      </c>
      <c r="Y138" s="15">
        <f>MAX(0,MIN('Potentiel produktion'!C125*$D$3,N138))</f>
        <v>0</v>
      </c>
      <c r="Z138" s="15">
        <f t="shared" si="11"/>
        <v>3.754795833333334</v>
      </c>
      <c r="AA138" s="16">
        <f t="shared" si="12"/>
        <v>0</v>
      </c>
      <c r="AB138" s="16">
        <v>0</v>
      </c>
      <c r="AC138" s="16">
        <v>0</v>
      </c>
      <c r="AD138" s="145">
        <f>(Y138*$H$3+Z138*'Varmepumpeberegning VP1'!Z126+AA138*$H$5+AB138*$H$6+AC138*$H$7)*24</f>
        <v>3907.8867795472106</v>
      </c>
      <c r="AF138" s="16">
        <f>Z138*'Varmepumpeberegning VP1'!Z126*24</f>
        <v>3907.8867795472106</v>
      </c>
      <c r="AG138" s="20">
        <f>(Z138/'Varmepumpeberegning VP1'!W126)*24</f>
        <v>27.002832843805216</v>
      </c>
      <c r="AH138" s="17">
        <f t="shared" si="13"/>
        <v>43.365504555254439</v>
      </c>
      <c r="AI138" s="15">
        <f>'Varmepumpeberegning VP1'!X126-'Systemberegning VP1'!Z138</f>
        <v>6.1814214449857605</v>
      </c>
    </row>
    <row r="139" spans="10:35" x14ac:dyDescent="0.25">
      <c r="J139" s="253"/>
      <c r="K139">
        <v>5</v>
      </c>
      <c r="L139">
        <v>124</v>
      </c>
      <c r="M139" s="310">
        <v>0.28371250000000009</v>
      </c>
      <c r="N139" s="15">
        <v>4.5333374999999991</v>
      </c>
      <c r="P139" s="15">
        <f>MAX(0,MIN('Potentiel produktion'!C126*$D$3,N139))</f>
        <v>0</v>
      </c>
      <c r="Q139" s="15">
        <f t="shared" si="8"/>
        <v>4.5333374999999991</v>
      </c>
      <c r="R139" s="15">
        <v>0</v>
      </c>
      <c r="S139" s="15">
        <v>0</v>
      </c>
      <c r="T139" s="160">
        <f t="shared" si="9"/>
        <v>12294.411299999996</v>
      </c>
      <c r="V139" s="289">
        <f>'Varmepumpeberegning VP1'!W127</f>
        <v>3.2490914584620767</v>
      </c>
      <c r="W139" s="289">
        <f>'Varmepumpeberegning VP1'!X127</f>
        <v>9.7263747903437441</v>
      </c>
      <c r="X139" s="289">
        <f t="shared" si="10"/>
        <v>44.494773819951156</v>
      </c>
      <c r="Y139" s="15">
        <f>MAX(0,MIN('Potentiel produktion'!C126*$D$3,N139))</f>
        <v>0</v>
      </c>
      <c r="Z139" s="15">
        <f t="shared" si="11"/>
        <v>4.5333374999999991</v>
      </c>
      <c r="AA139" s="16">
        <f t="shared" si="12"/>
        <v>0</v>
      </c>
      <c r="AB139" s="16">
        <v>0</v>
      </c>
      <c r="AC139" s="16">
        <v>0</v>
      </c>
      <c r="AD139" s="145">
        <f>(Y139*$H$3+Z139*'Varmepumpeberegning VP1'!Z127+AA139*$H$5+AB139*$H$6+AC139*$H$7)*24</f>
        <v>4841.0358410880672</v>
      </c>
      <c r="AF139" s="16">
        <f>Z139*'Varmepumpeberegning VP1'!Z127*24</f>
        <v>4841.0358410880672</v>
      </c>
      <c r="AG139" s="20">
        <f>(Z139/'Varmepumpeberegning VP1'!W127)*24</f>
        <v>33.486314987113161</v>
      </c>
      <c r="AH139" s="17">
        <f t="shared" si="13"/>
        <v>44.494773819951156</v>
      </c>
      <c r="AI139" s="15">
        <f>'Varmepumpeberegning VP1'!X127-'Systemberegning VP1'!Z139</f>
        <v>5.1930372903437449</v>
      </c>
    </row>
    <row r="140" spans="10:35" x14ac:dyDescent="0.25">
      <c r="J140" s="253"/>
      <c r="K140">
        <v>5</v>
      </c>
      <c r="L140">
        <v>125</v>
      </c>
      <c r="M140" s="310">
        <v>0.27687499999999993</v>
      </c>
      <c r="N140" s="15">
        <v>4.6002666666666654</v>
      </c>
      <c r="P140" s="15">
        <f>MAX(0,MIN('Potentiel produktion'!C127*$D$3,N140))</f>
        <v>0</v>
      </c>
      <c r="Q140" s="15">
        <f t="shared" si="8"/>
        <v>4.6002666666666654</v>
      </c>
      <c r="R140" s="15">
        <v>0</v>
      </c>
      <c r="S140" s="15">
        <v>0</v>
      </c>
      <c r="T140" s="160">
        <f t="shared" si="9"/>
        <v>12475.923199999996</v>
      </c>
      <c r="V140" s="289">
        <f>'Varmepumpeberegning VP1'!W128</f>
        <v>3.2053708816573461</v>
      </c>
      <c r="W140" s="289">
        <f>'Varmepumpeberegning VP1'!X128</f>
        <v>9.6214535463560686</v>
      </c>
      <c r="X140" s="289">
        <f t="shared" si="10"/>
        <v>45.077880349837372</v>
      </c>
      <c r="Y140" s="15">
        <f>MAX(0,MIN('Potentiel produktion'!C127*$D$3,N140))</f>
        <v>0</v>
      </c>
      <c r="Z140" s="15">
        <f t="shared" si="11"/>
        <v>4.6002666666666654</v>
      </c>
      <c r="AA140" s="16">
        <f t="shared" si="12"/>
        <v>0</v>
      </c>
      <c r="AB140" s="16">
        <v>0</v>
      </c>
      <c r="AC140" s="16">
        <v>0</v>
      </c>
      <c r="AD140" s="145">
        <f>(Y140*$H$3+Z140*'Varmepumpeberegning VP1'!Z128+AA140*$H$5+AB140*$H$6+AC140*$H$7)*24</f>
        <v>4976.8864890562836</v>
      </c>
      <c r="AF140" s="16">
        <f>Z140*'Varmepumpeberegning VP1'!Z128*24</f>
        <v>4976.8864890562836</v>
      </c>
      <c r="AG140" s="20">
        <f>(Z140/'Varmepumpeberegning VP1'!W128)*24</f>
        <v>34.444188855585423</v>
      </c>
      <c r="AH140" s="17">
        <f t="shared" si="13"/>
        <v>45.077880349837379</v>
      </c>
      <c r="AI140" s="15">
        <f>'Varmepumpeberegning VP1'!X128-'Systemberegning VP1'!Z140</f>
        <v>5.0211868796894032</v>
      </c>
    </row>
    <row r="141" spans="10:35" x14ac:dyDescent="0.25">
      <c r="J141" s="253"/>
      <c r="K141">
        <v>5</v>
      </c>
      <c r="L141">
        <v>126</v>
      </c>
      <c r="M141" s="310">
        <v>0.26979999999999987</v>
      </c>
      <c r="N141" s="15">
        <v>4.579137499999999</v>
      </c>
      <c r="P141" s="15">
        <f>MAX(0,MIN('Potentiel produktion'!C128*$D$3,N141))</f>
        <v>0</v>
      </c>
      <c r="Q141" s="15">
        <f t="shared" si="8"/>
        <v>4.579137499999999</v>
      </c>
      <c r="R141" s="15">
        <v>0</v>
      </c>
      <c r="S141" s="15">
        <v>0</v>
      </c>
      <c r="T141" s="160">
        <f t="shared" si="9"/>
        <v>12418.620899999996</v>
      </c>
      <c r="V141" s="289">
        <f>'Varmepumpeberegning VP1'!W129</f>
        <v>3.2053708816573461</v>
      </c>
      <c r="W141" s="289">
        <f>'Varmepumpeberegning VP1'!X129</f>
        <v>9.6214535463560686</v>
      </c>
      <c r="X141" s="289">
        <f t="shared" si="10"/>
        <v>45.077880349837372</v>
      </c>
      <c r="Y141" s="15">
        <f>MAX(0,MIN('Potentiel produktion'!C128*$D$3,N141))</f>
        <v>0</v>
      </c>
      <c r="Z141" s="15">
        <f t="shared" si="11"/>
        <v>4.579137499999999</v>
      </c>
      <c r="AA141" s="16">
        <f t="shared" si="12"/>
        <v>0</v>
      </c>
      <c r="AB141" s="16">
        <v>0</v>
      </c>
      <c r="AC141" s="16">
        <v>0</v>
      </c>
      <c r="AD141" s="145">
        <f>(Y141*$H$3+Z141*'Varmepumpeberegning VP1'!Z129+AA141*$H$5+AB141*$H$6+AC141*$H$7)*24</f>
        <v>4954.0274959308808</v>
      </c>
      <c r="AF141" s="16">
        <f>Z141*'Varmepumpeberegning VP1'!Z129*24</f>
        <v>4954.0274959308808</v>
      </c>
      <c r="AG141" s="20">
        <f>(Z141/'Varmepumpeberegning VP1'!W129)*24</f>
        <v>34.285985633954539</v>
      </c>
      <c r="AH141" s="17">
        <f t="shared" si="13"/>
        <v>45.077880349837365</v>
      </c>
      <c r="AI141" s="15">
        <f>'Varmepumpeberegning VP1'!X129-'Systemberegning VP1'!Z141</f>
        <v>5.0423160463560697</v>
      </c>
    </row>
    <row r="142" spans="10:35" x14ac:dyDescent="0.25">
      <c r="J142" s="253"/>
      <c r="K142">
        <v>5</v>
      </c>
      <c r="L142">
        <v>127</v>
      </c>
      <c r="M142" s="310">
        <v>0.28556249999999994</v>
      </c>
      <c r="N142" s="15">
        <v>3.9203791666666654</v>
      </c>
      <c r="P142" s="15">
        <f>MAX(0,MIN('Potentiel produktion'!C129*$D$3,N142))</f>
        <v>0</v>
      </c>
      <c r="Q142" s="15">
        <f t="shared" si="8"/>
        <v>3.9203791666666654</v>
      </c>
      <c r="R142" s="15">
        <v>0</v>
      </c>
      <c r="S142" s="15">
        <v>0</v>
      </c>
      <c r="T142" s="160">
        <f t="shared" si="9"/>
        <v>10632.068299999997</v>
      </c>
      <c r="V142" s="289">
        <f>'Varmepumpeberegning VP1'!W130</f>
        <v>3.2053708816573461</v>
      </c>
      <c r="W142" s="289">
        <f>'Varmepumpeberegning VP1'!X130</f>
        <v>9.6214535463560686</v>
      </c>
      <c r="X142" s="289">
        <f t="shared" si="10"/>
        <v>45.077880349837372</v>
      </c>
      <c r="Y142" s="15">
        <f>MAX(0,MIN('Potentiel produktion'!C129*$D$3,N142))</f>
        <v>0</v>
      </c>
      <c r="Z142" s="15">
        <f t="shared" si="11"/>
        <v>3.9203791666666654</v>
      </c>
      <c r="AA142" s="16">
        <f t="shared" si="12"/>
        <v>0</v>
      </c>
      <c r="AB142" s="16">
        <v>0</v>
      </c>
      <c r="AC142" s="16">
        <v>0</v>
      </c>
      <c r="AD142" s="145">
        <f>(Y142*$H$3+Z142*'Varmepumpeberegning VP1'!Z130+AA142*$H$5+AB142*$H$6+AC142*$H$7)*24</f>
        <v>4241.3371920238824</v>
      </c>
      <c r="AF142" s="16">
        <f>Z142*'Varmepumpeberegning VP1'!Z130*24</f>
        <v>4241.3371920238824</v>
      </c>
      <c r="AG142" s="20">
        <f>(Z142/'Varmepumpeberegning VP1'!W130)*24</f>
        <v>29.353576691677855</v>
      </c>
      <c r="AH142" s="17">
        <f t="shared" si="13"/>
        <v>45.077880349837379</v>
      </c>
      <c r="AI142" s="15">
        <f>'Varmepumpeberegning VP1'!X130-'Systemberegning VP1'!Z142</f>
        <v>5.7010743796894037</v>
      </c>
    </row>
    <row r="143" spans="10:35" x14ac:dyDescent="0.25">
      <c r="J143" s="253"/>
      <c r="K143">
        <v>5</v>
      </c>
      <c r="L143">
        <v>128</v>
      </c>
      <c r="M143" s="310">
        <v>0.31645000000000006</v>
      </c>
      <c r="N143" s="15">
        <v>4.3149208333333329</v>
      </c>
      <c r="P143" s="15">
        <f>MAX(0,MIN('Potentiel produktion'!C130*$D$3,N143))</f>
        <v>0</v>
      </c>
      <c r="Q143" s="15">
        <f t="shared" si="8"/>
        <v>4.3149208333333329</v>
      </c>
      <c r="R143" s="15">
        <v>0</v>
      </c>
      <c r="S143" s="15">
        <v>0</v>
      </c>
      <c r="T143" s="160">
        <f t="shared" si="9"/>
        <v>11702.065299999998</v>
      </c>
      <c r="V143" s="289">
        <f>'Varmepumpeberegning VP1'!W131</f>
        <v>3.2490914584620767</v>
      </c>
      <c r="W143" s="289">
        <f>'Varmepumpeberegning VP1'!X131</f>
        <v>9.7263747903437441</v>
      </c>
      <c r="X143" s="289">
        <f t="shared" si="10"/>
        <v>44.494773819951156</v>
      </c>
      <c r="Y143" s="15">
        <f>MAX(0,MIN('Potentiel produktion'!C130*$D$3,N143))</f>
        <v>0</v>
      </c>
      <c r="Z143" s="15">
        <f t="shared" si="11"/>
        <v>4.3149208333333329</v>
      </c>
      <c r="AA143" s="16">
        <f t="shared" si="12"/>
        <v>0</v>
      </c>
      <c r="AB143" s="16">
        <v>0</v>
      </c>
      <c r="AC143" s="16">
        <v>0</v>
      </c>
      <c r="AD143" s="145">
        <f>(Y143*$H$3+Z143*'Varmepumpeberegning VP1'!Z131+AA143*$H$5+AB143*$H$6+AC143*$H$7)*24</f>
        <v>4607.7942367238838</v>
      </c>
      <c r="AF143" s="16">
        <f>Z143*'Varmepumpeberegning VP1'!Z131*24</f>
        <v>4607.7942367238838</v>
      </c>
      <c r="AG143" s="20">
        <f>(Z143/'Varmepumpeberegning VP1'!W131)*24</f>
        <v>31.872940889456565</v>
      </c>
      <c r="AH143" s="17">
        <f t="shared" si="13"/>
        <v>44.494773819951156</v>
      </c>
      <c r="AI143" s="15">
        <f>'Varmepumpeberegning VP1'!X131-'Systemberegning VP1'!Z143</f>
        <v>5.4114539570104112</v>
      </c>
    </row>
    <row r="144" spans="10:35" x14ac:dyDescent="0.25">
      <c r="J144" s="253"/>
      <c r="K144">
        <v>5</v>
      </c>
      <c r="L144">
        <v>129</v>
      </c>
      <c r="M144" s="310">
        <v>0.3296</v>
      </c>
      <c r="N144" s="15">
        <v>4.6671999999999993</v>
      </c>
      <c r="P144" s="15">
        <f>MAX(0,MIN('Potentiel produktion'!C131*$D$3,N144))</f>
        <v>0</v>
      </c>
      <c r="Q144" s="15">
        <f t="shared" si="8"/>
        <v>4.6671999999999993</v>
      </c>
      <c r="R144" s="15">
        <v>0</v>
      </c>
      <c r="S144" s="15">
        <v>0</v>
      </c>
      <c r="T144" s="160">
        <f t="shared" si="9"/>
        <v>12657.446399999997</v>
      </c>
      <c r="V144" s="289">
        <f>'Varmepumpeberegning VP1'!W132</f>
        <v>3.2053708816573461</v>
      </c>
      <c r="W144" s="289">
        <f>'Varmepumpeberegning VP1'!X132</f>
        <v>9.6214535463560686</v>
      </c>
      <c r="X144" s="289">
        <f t="shared" si="10"/>
        <v>45.077880349837372</v>
      </c>
      <c r="Y144" s="15">
        <f>MAX(0,MIN('Potentiel produktion'!C131*$D$3,N144))</f>
        <v>0</v>
      </c>
      <c r="Z144" s="15">
        <f t="shared" si="11"/>
        <v>4.6671999999999993</v>
      </c>
      <c r="AA144" s="16">
        <f t="shared" si="12"/>
        <v>0</v>
      </c>
      <c r="AB144" s="16">
        <v>0</v>
      </c>
      <c r="AC144" s="16">
        <v>0</v>
      </c>
      <c r="AD144" s="145">
        <f>(Y144*$H$3+Z144*'Varmepumpeberegning VP1'!Z132+AA144*$H$5+AB144*$H$6+AC144*$H$7)*24</f>
        <v>5049.2995960502631</v>
      </c>
      <c r="AF144" s="16">
        <f>Z144*'Varmepumpeberegning VP1'!Z132*24</f>
        <v>5049.2995960502631</v>
      </c>
      <c r="AG144" s="20">
        <f>(Z144/'Varmepumpeberegning VP1'!W132)*24</f>
        <v>34.945347710304105</v>
      </c>
      <c r="AH144" s="17">
        <f t="shared" si="13"/>
        <v>45.077880349837379</v>
      </c>
      <c r="AI144" s="15">
        <f>'Varmepumpeberegning VP1'!X132-'Systemberegning VP1'!Z144</f>
        <v>4.9542535463560693</v>
      </c>
    </row>
    <row r="145" spans="10:35" x14ac:dyDescent="0.25">
      <c r="J145" s="253"/>
      <c r="K145">
        <v>5</v>
      </c>
      <c r="L145">
        <v>130</v>
      </c>
      <c r="M145" s="310">
        <v>0.35926249999999998</v>
      </c>
      <c r="N145" s="15">
        <v>3.5540166666666653</v>
      </c>
      <c r="P145" s="15">
        <f>MAX(0,MIN('Potentiel produktion'!C132*$D$3,N145))</f>
        <v>0</v>
      </c>
      <c r="Q145" s="15">
        <f t="shared" ref="Q145:Q208" si="14">MAX(0,MIN($C$5*$D$5,N145-SUM(P145)))</f>
        <v>3.5540166666666653</v>
      </c>
      <c r="R145" s="15">
        <v>0</v>
      </c>
      <c r="S145" s="15">
        <v>0</v>
      </c>
      <c r="T145" s="160">
        <f t="shared" ref="T145:T208" si="15">(P145*$H$3+Q145*$H$5+R145*$H$6+S145*$H$7)*24</f>
        <v>9638.4931999999953</v>
      </c>
      <c r="V145" s="289">
        <f>'Varmepumpeberegning VP1'!W133</f>
        <v>3.2053708816573461</v>
      </c>
      <c r="W145" s="289">
        <f>'Varmepumpeberegning VP1'!X133</f>
        <v>9.6214535463560686</v>
      </c>
      <c r="X145" s="289">
        <f t="shared" ref="X145:X208" si="16">($G$4+$F$4)/V145+$E$4</f>
        <v>45.077880349837372</v>
      </c>
      <c r="Y145" s="15">
        <f>MAX(0,MIN('Potentiel produktion'!C132*$D$3,N145))</f>
        <v>0</v>
      </c>
      <c r="Z145" s="15">
        <f t="shared" ref="Z145:Z208" si="17">IF(X145&lt;=$H$5,MAX(0,MIN(W145,N145-SUM(Y145))),MAX(0,MIN(W145,N145-Y145-30)))</f>
        <v>3.5540166666666653</v>
      </c>
      <c r="AA145" s="16">
        <f t="shared" ref="AA145:AA208" si="18">MAX(0,MIN($C$5*$D$5,N145-SUM(Y145:Z145)))</f>
        <v>0</v>
      </c>
      <c r="AB145" s="16">
        <v>0</v>
      </c>
      <c r="AC145" s="16">
        <v>0</v>
      </c>
      <c r="AD145" s="145">
        <f>(Y145*$H$3+Z145*'Varmepumpeberegning VP1'!Z133+AA145*$H$5+AB145*$H$6+AC145*$H$7)*24</f>
        <v>3844.9809134718671</v>
      </c>
      <c r="AF145" s="16">
        <f>Z145*'Varmepumpeberegning VP1'!Z133*24</f>
        <v>3844.9809134718671</v>
      </c>
      <c r="AG145" s="20">
        <f>(Z145/'Varmepumpeberegning VP1'!W133)*24</f>
        <v>26.610461986819203</v>
      </c>
      <c r="AH145" s="17">
        <f t="shared" si="13"/>
        <v>45.077880349837379</v>
      </c>
      <c r="AI145" s="15">
        <f>'Varmepumpeberegning VP1'!X133-'Systemberegning VP1'!Z145</f>
        <v>6.0674368796894029</v>
      </c>
    </row>
    <row r="146" spans="10:35" x14ac:dyDescent="0.25">
      <c r="J146" s="253"/>
      <c r="K146">
        <v>5</v>
      </c>
      <c r="L146">
        <v>131</v>
      </c>
      <c r="M146" s="310">
        <v>0.43382499999999996</v>
      </c>
      <c r="N146" s="15">
        <v>3.0044583333333321</v>
      </c>
      <c r="P146" s="15">
        <f>MAX(0,MIN('Potentiel produktion'!C133*$D$3,N146))</f>
        <v>0</v>
      </c>
      <c r="Q146" s="15">
        <f t="shared" si="14"/>
        <v>3.0044583333333321</v>
      </c>
      <c r="R146" s="15">
        <v>0</v>
      </c>
      <c r="S146" s="15">
        <v>0</v>
      </c>
      <c r="T146" s="160">
        <f t="shared" si="15"/>
        <v>8148.0909999999967</v>
      </c>
      <c r="V146" s="289">
        <f>'Varmepumpeberegning VP1'!W134</f>
        <v>3.2930492366901718</v>
      </c>
      <c r="W146" s="289">
        <f>'Varmepumpeberegning VP1'!X134</f>
        <v>9.8312960343314195</v>
      </c>
      <c r="X146" s="289">
        <f t="shared" si="16"/>
        <v>43.924113311887368</v>
      </c>
      <c r="Y146" s="15">
        <f>MAX(0,MIN('Potentiel produktion'!C133*$D$3,N146))</f>
        <v>0</v>
      </c>
      <c r="Z146" s="15">
        <f t="shared" si="17"/>
        <v>3.0044583333333321</v>
      </c>
      <c r="AA146" s="16">
        <f t="shared" si="18"/>
        <v>0</v>
      </c>
      <c r="AB146" s="16">
        <v>0</v>
      </c>
      <c r="AC146" s="16">
        <v>0</v>
      </c>
      <c r="AD146" s="145">
        <f>(Y146*$H$3+Z146*'Varmepumpeberegning VP1'!Z134+AA146*$H$5+AB146*$H$6+AC146*$H$7)*24</f>
        <v>3167.2360385802613</v>
      </c>
      <c r="AF146" s="16">
        <f>Z146*'Varmepumpeberegning VP1'!Z134*24</f>
        <v>3167.2360385802613</v>
      </c>
      <c r="AG146" s="20">
        <f>(Z146/'Varmepumpeberegning VP1'!W134)*24</f>
        <v>21.896726959501635</v>
      </c>
      <c r="AH146" s="17">
        <f t="shared" si="13"/>
        <v>43.924113311887368</v>
      </c>
      <c r="AI146" s="15">
        <f>'Varmepumpeberegning VP1'!X134-'Systemberegning VP1'!Z146</f>
        <v>6.8268377009980874</v>
      </c>
    </row>
    <row r="147" spans="10:35" x14ac:dyDescent="0.25">
      <c r="J147" s="253"/>
      <c r="K147">
        <v>5</v>
      </c>
      <c r="L147">
        <v>132</v>
      </c>
      <c r="M147" s="310">
        <v>0.48536249999999997</v>
      </c>
      <c r="N147" s="15">
        <v>2.1378666666666652</v>
      </c>
      <c r="P147" s="15">
        <f>MAX(0,MIN('Potentiel produktion'!C134*$D$3,N147))</f>
        <v>0</v>
      </c>
      <c r="Q147" s="15">
        <f t="shared" si="14"/>
        <v>2.1378666666666652</v>
      </c>
      <c r="R147" s="15">
        <v>0</v>
      </c>
      <c r="S147" s="15">
        <v>0</v>
      </c>
      <c r="T147" s="160">
        <f t="shared" si="15"/>
        <v>5797.8943999999956</v>
      </c>
      <c r="V147" s="289">
        <f>'Varmepumpeberegning VP1'!W135</f>
        <v>3.3372461519597025</v>
      </c>
      <c r="W147" s="289">
        <f>'Varmepumpeberegning VP1'!X135</f>
        <v>9.936217278319095</v>
      </c>
      <c r="X147" s="289">
        <f t="shared" si="16"/>
        <v>43.365504555254446</v>
      </c>
      <c r="Y147" s="15">
        <f>MAX(0,MIN('Potentiel produktion'!C134*$D$3,N147))</f>
        <v>0</v>
      </c>
      <c r="Z147" s="15">
        <f t="shared" si="17"/>
        <v>2.1378666666666652</v>
      </c>
      <c r="AA147" s="16">
        <f t="shared" si="18"/>
        <v>0</v>
      </c>
      <c r="AB147" s="16">
        <v>0</v>
      </c>
      <c r="AC147" s="16">
        <v>0</v>
      </c>
      <c r="AD147" s="145">
        <f>(Y147*$H$3+Z147*'Varmepumpeberegning VP1'!Z135+AA147*$H$5+AB147*$H$6+AC147*$H$7)*24</f>
        <v>2225.0320001246378</v>
      </c>
      <c r="AF147" s="16">
        <f>Z147*'Varmepumpeberegning VP1'!Z135*24</f>
        <v>2225.0320001246378</v>
      </c>
      <c r="AG147" s="20">
        <f>(Z147/'Varmepumpeberegning VP1'!W135)*24</f>
        <v>15.374592602307846</v>
      </c>
      <c r="AH147" s="17">
        <f t="shared" si="13"/>
        <v>43.365504555254439</v>
      </c>
      <c r="AI147" s="15">
        <f>'Varmepumpeberegning VP1'!X135-'Systemberegning VP1'!Z147</f>
        <v>7.7983506116524293</v>
      </c>
    </row>
    <row r="148" spans="10:35" x14ac:dyDescent="0.25">
      <c r="J148" s="253"/>
      <c r="K148">
        <v>5</v>
      </c>
      <c r="L148">
        <v>133</v>
      </c>
      <c r="M148" s="310">
        <v>0.52946250000000006</v>
      </c>
      <c r="N148" s="15">
        <v>1.2888875000000006</v>
      </c>
      <c r="P148" s="15">
        <f>MAX(0,MIN('Potentiel produktion'!C135*$D$3,N148))</f>
        <v>0</v>
      </c>
      <c r="Q148" s="15">
        <f t="shared" si="14"/>
        <v>1.2888875000000006</v>
      </c>
      <c r="R148" s="15">
        <v>0</v>
      </c>
      <c r="S148" s="15">
        <v>0</v>
      </c>
      <c r="T148" s="160">
        <f t="shared" si="15"/>
        <v>3495.4629000000018</v>
      </c>
      <c r="V148" s="289">
        <f>'Varmepumpeberegning VP1'!W136</f>
        <v>3.3372461519597025</v>
      </c>
      <c r="W148" s="289">
        <f>'Varmepumpeberegning VP1'!X136</f>
        <v>9.936217278319095</v>
      </c>
      <c r="X148" s="289">
        <f t="shared" si="16"/>
        <v>43.365504555254446</v>
      </c>
      <c r="Y148" s="15">
        <f>MAX(0,MIN('Potentiel produktion'!C135*$D$3,N148))</f>
        <v>0</v>
      </c>
      <c r="Z148" s="15">
        <f t="shared" si="17"/>
        <v>1.2888875000000006</v>
      </c>
      <c r="AA148" s="16">
        <f t="shared" si="18"/>
        <v>0</v>
      </c>
      <c r="AB148" s="16">
        <v>0</v>
      </c>
      <c r="AC148" s="16">
        <v>0</v>
      </c>
      <c r="AD148" s="145">
        <f>(Y148*$H$3+Z148*'Varmepumpeberegning VP1'!Z136+AA148*$H$5+AB148*$H$6+AC148*$H$7)*24</f>
        <v>1341.438162059053</v>
      </c>
      <c r="AF148" s="16">
        <f>Z148*'Varmepumpeberegning VP1'!Z136*24</f>
        <v>1341.438162059053</v>
      </c>
      <c r="AG148" s="20">
        <f>(Z148/'Varmepumpeberegning VP1'!W136)*24</f>
        <v>9.2691094967134262</v>
      </c>
      <c r="AH148" s="17">
        <f t="shared" si="13"/>
        <v>43.365504555254439</v>
      </c>
      <c r="AI148" s="15">
        <f>'Varmepumpeberegning VP1'!X136-'Systemberegning VP1'!Z148</f>
        <v>8.6473297783190937</v>
      </c>
    </row>
    <row r="149" spans="10:35" x14ac:dyDescent="0.25">
      <c r="J149" s="253"/>
      <c r="K149">
        <v>5</v>
      </c>
      <c r="L149">
        <v>134</v>
      </c>
      <c r="M149" s="310">
        <v>0.4740625</v>
      </c>
      <c r="N149" s="15">
        <v>1.1233208333333338</v>
      </c>
      <c r="P149" s="15">
        <f>MAX(0,MIN('Potentiel produktion'!C136*$D$3,N149))</f>
        <v>0</v>
      </c>
      <c r="Q149" s="15">
        <f t="shared" si="14"/>
        <v>1.1233208333333338</v>
      </c>
      <c r="R149" s="15">
        <v>0</v>
      </c>
      <c r="S149" s="15">
        <v>0</v>
      </c>
      <c r="T149" s="160">
        <f t="shared" si="15"/>
        <v>3046.446100000001</v>
      </c>
      <c r="V149" s="289">
        <f>'Varmepumpeberegning VP1'!W137</f>
        <v>3.3372461519597025</v>
      </c>
      <c r="W149" s="289">
        <f>'Varmepumpeberegning VP1'!X137</f>
        <v>9.936217278319095</v>
      </c>
      <c r="X149" s="289">
        <f t="shared" si="16"/>
        <v>43.365504555254446</v>
      </c>
      <c r="Y149" s="15">
        <f>MAX(0,MIN('Potentiel produktion'!C136*$D$3,N149))</f>
        <v>0</v>
      </c>
      <c r="Z149" s="15">
        <f t="shared" si="17"/>
        <v>1.1233208333333338</v>
      </c>
      <c r="AA149" s="16">
        <f t="shared" si="18"/>
        <v>0</v>
      </c>
      <c r="AB149" s="16">
        <v>0</v>
      </c>
      <c r="AC149" s="16">
        <v>0</v>
      </c>
      <c r="AD149" s="145">
        <f>(Y149*$H$3+Z149*'Varmepumpeberegning VP1'!Z137+AA149*$H$5+AB149*$H$6+AC149*$H$7)*24</f>
        <v>1169.1209931582937</v>
      </c>
      <c r="AF149" s="16">
        <f>Z149*'Varmepumpeberegning VP1'!Z137*24</f>
        <v>1169.1209931582937</v>
      </c>
      <c r="AG149" s="20">
        <f>(Z149/'Varmepumpeberegning VP1'!W137)*24</f>
        <v>8.0784271739046574</v>
      </c>
      <c r="AH149" s="17">
        <f t="shared" ref="AH149:AH212" si="19">AF149/Z149/24</f>
        <v>43.365504555254439</v>
      </c>
      <c r="AI149" s="15">
        <f>'Varmepumpeberegning VP1'!X137-'Systemberegning VP1'!Z149</f>
        <v>8.8128964449857605</v>
      </c>
    </row>
    <row r="150" spans="10:35" x14ac:dyDescent="0.25">
      <c r="J150" s="253"/>
      <c r="K150">
        <v>5</v>
      </c>
      <c r="L150">
        <v>135</v>
      </c>
      <c r="M150" s="310">
        <v>0.38331249999999994</v>
      </c>
      <c r="N150" s="15">
        <v>1.1338916666666672</v>
      </c>
      <c r="P150" s="15">
        <f>MAX(0,MIN('Potentiel produktion'!C137*$D$3,N150))</f>
        <v>0</v>
      </c>
      <c r="Q150" s="15">
        <f t="shared" si="14"/>
        <v>1.1338916666666672</v>
      </c>
      <c r="R150" s="15">
        <v>0</v>
      </c>
      <c r="S150" s="15">
        <v>0</v>
      </c>
      <c r="T150" s="160">
        <f t="shared" si="15"/>
        <v>3075.1142000000018</v>
      </c>
      <c r="V150" s="289">
        <f>'Varmepumpeberegning VP1'!W138</f>
        <v>3.3372461519597025</v>
      </c>
      <c r="W150" s="289">
        <f>'Varmepumpeberegning VP1'!X138</f>
        <v>9.936217278319095</v>
      </c>
      <c r="X150" s="289">
        <f t="shared" si="16"/>
        <v>43.365504555254446</v>
      </c>
      <c r="Y150" s="15">
        <f>MAX(0,MIN('Potentiel produktion'!C137*$D$3,N150))</f>
        <v>0</v>
      </c>
      <c r="Z150" s="15">
        <f t="shared" si="17"/>
        <v>1.1338916666666672</v>
      </c>
      <c r="AA150" s="16">
        <f t="shared" si="18"/>
        <v>0</v>
      </c>
      <c r="AB150" s="16">
        <v>0</v>
      </c>
      <c r="AC150" s="16">
        <v>0</v>
      </c>
      <c r="AD150" s="145">
        <f>(Y150*$H$3+Z150*'Varmepumpeberegning VP1'!Z138+AA150*$H$5+AB150*$H$6+AC150*$H$7)*24</f>
        <v>1180.1228216639618</v>
      </c>
      <c r="AF150" s="16">
        <f>Z150*'Varmepumpeberegning VP1'!Z138*24</f>
        <v>1180.1228216639618</v>
      </c>
      <c r="AG150" s="20">
        <f>(Z150/'Varmepumpeberegning VP1'!W138)*24</f>
        <v>8.154447937266994</v>
      </c>
      <c r="AH150" s="17">
        <f t="shared" si="19"/>
        <v>43.365504555254439</v>
      </c>
      <c r="AI150" s="15">
        <f>'Varmepumpeberegning VP1'!X138-'Systemberegning VP1'!Z150</f>
        <v>8.802325611652428</v>
      </c>
    </row>
    <row r="151" spans="10:35" x14ac:dyDescent="0.25">
      <c r="J151" s="253"/>
      <c r="K151">
        <v>5</v>
      </c>
      <c r="L151">
        <v>136</v>
      </c>
      <c r="M151" s="310">
        <v>0.36851249999999985</v>
      </c>
      <c r="N151" s="15">
        <v>1.6552499999999997</v>
      </c>
      <c r="P151" s="15">
        <f>MAX(0,MIN('Potentiel produktion'!C138*$D$3,N151))</f>
        <v>0</v>
      </c>
      <c r="Q151" s="15">
        <f t="shared" si="14"/>
        <v>1.6552499999999997</v>
      </c>
      <c r="R151" s="15">
        <v>0</v>
      </c>
      <c r="S151" s="15">
        <v>0</v>
      </c>
      <c r="T151" s="160">
        <f t="shared" si="15"/>
        <v>4489.0379999999996</v>
      </c>
      <c r="V151" s="289">
        <f>'Varmepumpeberegning VP1'!W139</f>
        <v>3.3372461519597025</v>
      </c>
      <c r="W151" s="289">
        <f>'Varmepumpeberegning VP1'!X139</f>
        <v>9.936217278319095</v>
      </c>
      <c r="X151" s="289">
        <f t="shared" si="16"/>
        <v>43.365504555254446</v>
      </c>
      <c r="Y151" s="15">
        <f>MAX(0,MIN('Potentiel produktion'!C138*$D$3,N151))</f>
        <v>0</v>
      </c>
      <c r="Z151" s="15">
        <f t="shared" si="17"/>
        <v>1.6552499999999997</v>
      </c>
      <c r="AA151" s="16">
        <f t="shared" si="18"/>
        <v>0</v>
      </c>
      <c r="AB151" s="16">
        <v>0</v>
      </c>
      <c r="AC151" s="16">
        <v>0</v>
      </c>
      <c r="AD151" s="145">
        <f>(Y151*$H$3+Z151*'Varmepumpeberegning VP1'!Z139+AA151*$H$5+AB151*$H$6+AC151*$H$7)*24</f>
        <v>1722.7380339620377</v>
      </c>
      <c r="AF151" s="16">
        <f>Z151*'Varmepumpeberegning VP1'!Z139*24</f>
        <v>1722.7380339620377</v>
      </c>
      <c r="AG151" s="20">
        <f>(Z151/'Varmepumpeberegning VP1'!W139)*24</f>
        <v>11.903826745495543</v>
      </c>
      <c r="AH151" s="17">
        <f t="shared" si="19"/>
        <v>43.365504555254439</v>
      </c>
      <c r="AI151" s="15">
        <f>'Varmepumpeberegning VP1'!X139-'Systemberegning VP1'!Z151</f>
        <v>8.2809672783190962</v>
      </c>
    </row>
    <row r="152" spans="10:35" x14ac:dyDescent="0.25">
      <c r="J152" s="253"/>
      <c r="K152">
        <v>5</v>
      </c>
      <c r="L152">
        <v>137</v>
      </c>
      <c r="M152" s="310">
        <v>0.36732500000000007</v>
      </c>
      <c r="N152" s="15">
        <v>1.5213875000000001</v>
      </c>
      <c r="P152" s="15">
        <f>MAX(0,MIN('Potentiel produktion'!C139*$D$3,N152))</f>
        <v>0</v>
      </c>
      <c r="Q152" s="15">
        <f t="shared" si="14"/>
        <v>1.5213875000000001</v>
      </c>
      <c r="R152" s="15">
        <v>0</v>
      </c>
      <c r="S152" s="15">
        <v>0</v>
      </c>
      <c r="T152" s="160">
        <f t="shared" si="15"/>
        <v>4126.0029000000004</v>
      </c>
      <c r="V152" s="289">
        <f>'Varmepumpeberegning VP1'!W140</f>
        <v>3.3372461519597025</v>
      </c>
      <c r="W152" s="289">
        <f>'Varmepumpeberegning VP1'!X140</f>
        <v>9.936217278319095</v>
      </c>
      <c r="X152" s="289">
        <f t="shared" si="16"/>
        <v>43.365504555254446</v>
      </c>
      <c r="Y152" s="15">
        <f>MAX(0,MIN('Potentiel produktion'!C139*$D$3,N152))</f>
        <v>0</v>
      </c>
      <c r="Z152" s="15">
        <f t="shared" si="17"/>
        <v>1.5213875000000001</v>
      </c>
      <c r="AA152" s="16">
        <f t="shared" si="18"/>
        <v>0</v>
      </c>
      <c r="AB152" s="16">
        <v>0</v>
      </c>
      <c r="AC152" s="16">
        <v>0</v>
      </c>
      <c r="AD152" s="145">
        <f>(Y152*$H$3+Z152*'Varmepumpeberegning VP1'!Z140+AA152*$H$5+AB152*$H$6+AC152*$H$7)*24</f>
        <v>1583.4176774773723</v>
      </c>
      <c r="AF152" s="16">
        <f>Z152*'Varmepumpeberegning VP1'!Z140*24</f>
        <v>1583.4176774773723</v>
      </c>
      <c r="AG152" s="20">
        <f>(Z152/'Varmepumpeberegning VP1'!W140)*24</f>
        <v>10.941146783121949</v>
      </c>
      <c r="AH152" s="17">
        <f t="shared" si="19"/>
        <v>43.365504555254454</v>
      </c>
      <c r="AI152" s="15">
        <f>'Varmepumpeberegning VP1'!X140-'Systemberegning VP1'!Z152</f>
        <v>8.4148297783190955</v>
      </c>
    </row>
    <row r="153" spans="10:35" x14ac:dyDescent="0.25">
      <c r="J153" s="253"/>
      <c r="K153">
        <v>5</v>
      </c>
      <c r="L153">
        <v>138</v>
      </c>
      <c r="M153" s="310">
        <v>0.37862500000000004</v>
      </c>
      <c r="N153" s="15">
        <v>1.5566083333333334</v>
      </c>
      <c r="P153" s="15">
        <f>MAX(0,MIN('Potentiel produktion'!C140*$D$3,N153))</f>
        <v>0</v>
      </c>
      <c r="Q153" s="15">
        <f t="shared" si="14"/>
        <v>1.5566083333333334</v>
      </c>
      <c r="R153" s="15">
        <v>0</v>
      </c>
      <c r="S153" s="15">
        <v>0</v>
      </c>
      <c r="T153" s="160">
        <f t="shared" si="15"/>
        <v>4221.5218000000004</v>
      </c>
      <c r="V153" s="289">
        <f>'Varmepumpeberegning VP1'!W141</f>
        <v>3.3372461519597025</v>
      </c>
      <c r="W153" s="289">
        <f>'Varmepumpeberegning VP1'!X141</f>
        <v>9.936217278319095</v>
      </c>
      <c r="X153" s="289">
        <f t="shared" si="16"/>
        <v>43.365504555254446</v>
      </c>
      <c r="Y153" s="15">
        <f>MAX(0,MIN('Potentiel produktion'!C140*$D$3,N153))</f>
        <v>0</v>
      </c>
      <c r="Z153" s="15">
        <f t="shared" si="17"/>
        <v>1.5566083333333334</v>
      </c>
      <c r="AA153" s="16">
        <f t="shared" si="18"/>
        <v>0</v>
      </c>
      <c r="AB153" s="16">
        <v>0</v>
      </c>
      <c r="AC153" s="16">
        <v>0</v>
      </c>
      <c r="AD153" s="145">
        <f>(Y153*$H$3+Z153*'Varmepumpeberegning VP1'!Z141+AA153*$H$5+AB153*$H$6+AC153*$H$7)*24</f>
        <v>1620.0745384779289</v>
      </c>
      <c r="AF153" s="16">
        <f>Z153*'Varmepumpeberegning VP1'!Z141*24</f>
        <v>1620.0745384779289</v>
      </c>
      <c r="AG153" s="20">
        <f>(Z153/'Varmepumpeberegning VP1'!W141)*24</f>
        <v>11.194439456634695</v>
      </c>
      <c r="AH153" s="17">
        <f t="shared" si="19"/>
        <v>43.365504555254454</v>
      </c>
      <c r="AI153" s="15">
        <f>'Varmepumpeberegning VP1'!X141-'Systemberegning VP1'!Z153</f>
        <v>8.3796089449857618</v>
      </c>
    </row>
    <row r="154" spans="10:35" x14ac:dyDescent="0.25">
      <c r="J154" s="253"/>
      <c r="K154">
        <v>5</v>
      </c>
      <c r="L154">
        <v>139</v>
      </c>
      <c r="M154" s="310">
        <v>0.39755000000000007</v>
      </c>
      <c r="N154" s="15">
        <v>1.9476416666666656</v>
      </c>
      <c r="P154" s="15">
        <f>MAX(0,MIN('Potentiel produktion'!C141*$D$3,N154))</f>
        <v>0</v>
      </c>
      <c r="Q154" s="15">
        <f t="shared" si="14"/>
        <v>1.9476416666666656</v>
      </c>
      <c r="R154" s="15">
        <v>0</v>
      </c>
      <c r="S154" s="15">
        <v>0</v>
      </c>
      <c r="T154" s="160">
        <f t="shared" si="15"/>
        <v>5282.0041999999976</v>
      </c>
      <c r="V154" s="289">
        <f>'Varmepumpeberegning VP1'!W142</f>
        <v>3.3372461519597025</v>
      </c>
      <c r="W154" s="289">
        <f>'Varmepumpeberegning VP1'!X142</f>
        <v>9.936217278319095</v>
      </c>
      <c r="X154" s="289">
        <f t="shared" si="16"/>
        <v>43.365504555254446</v>
      </c>
      <c r="Y154" s="15">
        <f>MAX(0,MIN('Potentiel produktion'!C141*$D$3,N154))</f>
        <v>0</v>
      </c>
      <c r="Z154" s="15">
        <f t="shared" si="17"/>
        <v>1.9476416666666656</v>
      </c>
      <c r="AA154" s="16">
        <f t="shared" si="18"/>
        <v>0</v>
      </c>
      <c r="AB154" s="16">
        <v>0</v>
      </c>
      <c r="AC154" s="16">
        <v>0</v>
      </c>
      <c r="AD154" s="145">
        <f>(Y154*$H$3+Z154*'Varmepumpeberegning VP1'!Z142+AA154*$H$5+AB154*$H$6+AC154*$H$7)*24</f>
        <v>2027.0511256280797</v>
      </c>
      <c r="AF154" s="16">
        <f>Z154*'Varmepumpeberegning VP1'!Z142*24</f>
        <v>2027.0511256280797</v>
      </c>
      <c r="AG154" s="20">
        <f>(Z154/'Varmepumpeberegning VP1'!W142)*24</f>
        <v>14.006578439696829</v>
      </c>
      <c r="AH154" s="17">
        <f t="shared" si="19"/>
        <v>43.365504555254454</v>
      </c>
      <c r="AI154" s="15">
        <f>'Varmepumpeberegning VP1'!X142-'Systemberegning VP1'!Z154</f>
        <v>7.9885756116524291</v>
      </c>
    </row>
    <row r="155" spans="10:35" x14ac:dyDescent="0.25">
      <c r="J155" s="253"/>
      <c r="K155">
        <v>5</v>
      </c>
      <c r="L155">
        <v>140</v>
      </c>
      <c r="M155" s="310">
        <v>0.30997499999999995</v>
      </c>
      <c r="N155" s="15">
        <v>2.0075291666666657</v>
      </c>
      <c r="P155" s="15">
        <f>MAX(0,MIN('Potentiel produktion'!C142*$D$3,N155))</f>
        <v>0</v>
      </c>
      <c r="Q155" s="15">
        <f t="shared" si="14"/>
        <v>2.0075291666666657</v>
      </c>
      <c r="R155" s="15">
        <v>0</v>
      </c>
      <c r="S155" s="15">
        <v>0</v>
      </c>
      <c r="T155" s="160">
        <f t="shared" si="15"/>
        <v>5444.4190999999973</v>
      </c>
      <c r="V155" s="289">
        <f>'Varmepumpeberegning VP1'!W143</f>
        <v>3.3372461519597025</v>
      </c>
      <c r="W155" s="289">
        <f>'Varmepumpeberegning VP1'!X143</f>
        <v>9.936217278319095</v>
      </c>
      <c r="X155" s="289">
        <f t="shared" si="16"/>
        <v>43.365504555254446</v>
      </c>
      <c r="Y155" s="15">
        <f>MAX(0,MIN('Potentiel produktion'!C142*$D$3,N155))</f>
        <v>0</v>
      </c>
      <c r="Z155" s="15">
        <f t="shared" si="17"/>
        <v>2.0075291666666657</v>
      </c>
      <c r="AA155" s="16">
        <f t="shared" si="18"/>
        <v>0</v>
      </c>
      <c r="AB155" s="16">
        <v>0</v>
      </c>
      <c r="AC155" s="16">
        <v>0</v>
      </c>
      <c r="AD155" s="145">
        <f>(Y155*$H$3+Z155*'Varmepumpeberegning VP1'!Z143+AA155*$H$5+AB155*$H$6+AC155*$H$7)*24</f>
        <v>2089.3803653253472</v>
      </c>
      <c r="AF155" s="16">
        <f>Z155*'Varmepumpeberegning VP1'!Z143*24</f>
        <v>2089.3803653253472</v>
      </c>
      <c r="AG155" s="20">
        <f>(Z155/'Varmepumpeberegning VP1'!W143)*24</f>
        <v>14.437262882663671</v>
      </c>
      <c r="AH155" s="17">
        <f t="shared" si="19"/>
        <v>43.365504555254454</v>
      </c>
      <c r="AI155" s="15">
        <f>'Varmepumpeberegning VP1'!X143-'Systemberegning VP1'!Z155</f>
        <v>7.9286881116524288</v>
      </c>
    </row>
    <row r="156" spans="10:35" x14ac:dyDescent="0.25">
      <c r="J156" s="253"/>
      <c r="K156">
        <v>5</v>
      </c>
      <c r="L156">
        <v>141</v>
      </c>
      <c r="M156" s="310">
        <v>0.4157875000000002</v>
      </c>
      <c r="N156" s="15">
        <v>1.9511583333333318</v>
      </c>
      <c r="P156" s="15">
        <f>MAX(0,MIN('Potentiel produktion'!C143*$D$3,N156))</f>
        <v>0</v>
      </c>
      <c r="Q156" s="15">
        <f t="shared" si="14"/>
        <v>1.9511583333333318</v>
      </c>
      <c r="R156" s="15">
        <v>0</v>
      </c>
      <c r="S156" s="15">
        <v>0</v>
      </c>
      <c r="T156" s="160">
        <f t="shared" si="15"/>
        <v>5291.5413999999955</v>
      </c>
      <c r="V156" s="289">
        <f>'Varmepumpeberegning VP1'!W144</f>
        <v>3.3372461519597025</v>
      </c>
      <c r="W156" s="289">
        <f>'Varmepumpeberegning VP1'!X144</f>
        <v>9.936217278319095</v>
      </c>
      <c r="X156" s="289">
        <f t="shared" si="16"/>
        <v>43.365504555254446</v>
      </c>
      <c r="Y156" s="15">
        <f>MAX(0,MIN('Potentiel produktion'!C143*$D$3,N156))</f>
        <v>0</v>
      </c>
      <c r="Z156" s="15">
        <f t="shared" si="17"/>
        <v>1.9511583333333318</v>
      </c>
      <c r="AA156" s="16">
        <f t="shared" si="18"/>
        <v>0</v>
      </c>
      <c r="AB156" s="16">
        <v>0</v>
      </c>
      <c r="AC156" s="16">
        <v>0</v>
      </c>
      <c r="AD156" s="145">
        <f>(Y156*$H$3+Z156*'Varmepumpeberegning VP1'!Z144+AA156*$H$5+AB156*$H$6+AC156*$H$7)*24</f>
        <v>2030.7111742125426</v>
      </c>
      <c r="AF156" s="16">
        <f>Z156*'Varmepumpeberegning VP1'!Z144*24</f>
        <v>2030.7111742125426</v>
      </c>
      <c r="AG156" s="20">
        <f>(Z156/'Varmepumpeberegning VP1'!W144)*24</f>
        <v>14.0318687527744</v>
      </c>
      <c r="AH156" s="17">
        <f t="shared" si="19"/>
        <v>43.365504555254454</v>
      </c>
      <c r="AI156" s="15">
        <f>'Varmepumpeberegning VP1'!X144-'Systemberegning VP1'!Z156</f>
        <v>7.985058944985763</v>
      </c>
    </row>
    <row r="157" spans="10:35" x14ac:dyDescent="0.25">
      <c r="J157" s="253"/>
      <c r="K157">
        <v>5</v>
      </c>
      <c r="L157">
        <v>142</v>
      </c>
      <c r="M157" s="310">
        <v>0.47360000000000008</v>
      </c>
      <c r="N157" s="15">
        <v>1.1937750000000003</v>
      </c>
      <c r="P157" s="15">
        <f>MAX(0,MIN('Potentiel produktion'!C144*$D$3,N157))</f>
        <v>0</v>
      </c>
      <c r="Q157" s="15">
        <f t="shared" si="14"/>
        <v>1.1937750000000003</v>
      </c>
      <c r="R157" s="15">
        <v>0</v>
      </c>
      <c r="S157" s="15">
        <v>0</v>
      </c>
      <c r="T157" s="160">
        <f t="shared" si="15"/>
        <v>3237.517800000001</v>
      </c>
      <c r="V157" s="289">
        <f>'Varmepumpeberegning VP1'!W145</f>
        <v>3.3372461519597025</v>
      </c>
      <c r="W157" s="289">
        <f>'Varmepumpeberegning VP1'!X145</f>
        <v>9.936217278319095</v>
      </c>
      <c r="X157" s="289">
        <f t="shared" si="16"/>
        <v>43.365504555254446</v>
      </c>
      <c r="Y157" s="15">
        <f>MAX(0,MIN('Potentiel produktion'!C144*$D$3,N157))</f>
        <v>0</v>
      </c>
      <c r="Z157" s="15">
        <f t="shared" si="17"/>
        <v>1.1937750000000003</v>
      </c>
      <c r="AA157" s="16">
        <f t="shared" si="18"/>
        <v>0</v>
      </c>
      <c r="AB157" s="16">
        <v>0</v>
      </c>
      <c r="AC157" s="16">
        <v>0</v>
      </c>
      <c r="AD157" s="145">
        <f>(Y157*$H$3+Z157*'Varmepumpeberegning VP1'!Z145+AA157*$H$5+AB157*$H$6+AC157*$H$7)*24</f>
        <v>1242.4477248107733</v>
      </c>
      <c r="AF157" s="16">
        <f>Z157*'Varmepumpeberegning VP1'!Z145*24</f>
        <v>1242.4477248107733</v>
      </c>
      <c r="AG157" s="20">
        <f>(Z157/'Varmepumpeberegning VP1'!W145)*24</f>
        <v>8.5851024154079134</v>
      </c>
      <c r="AH157" s="17">
        <f t="shared" si="19"/>
        <v>43.365504555254439</v>
      </c>
      <c r="AI157" s="15">
        <f>'Varmepumpeberegning VP1'!X145-'Systemberegning VP1'!Z157</f>
        <v>8.7424422783190945</v>
      </c>
    </row>
    <row r="158" spans="10:35" x14ac:dyDescent="0.25">
      <c r="J158" s="253"/>
      <c r="K158">
        <v>5</v>
      </c>
      <c r="L158">
        <v>143</v>
      </c>
      <c r="M158" s="310">
        <v>0.46157500000000007</v>
      </c>
      <c r="N158" s="15">
        <v>2.0075166666666657</v>
      </c>
      <c r="P158" s="15">
        <f>MAX(0,MIN('Potentiel produktion'!C145*$D$3,N158))</f>
        <v>0</v>
      </c>
      <c r="Q158" s="15">
        <f t="shared" si="14"/>
        <v>2.0075166666666657</v>
      </c>
      <c r="R158" s="15">
        <v>0</v>
      </c>
      <c r="S158" s="15">
        <v>0</v>
      </c>
      <c r="T158" s="160">
        <f t="shared" si="15"/>
        <v>5444.3851999999979</v>
      </c>
      <c r="V158" s="289">
        <f>'Varmepumpeberegning VP1'!W146</f>
        <v>3.3372461519597025</v>
      </c>
      <c r="W158" s="289">
        <f>'Varmepumpeberegning VP1'!X146</f>
        <v>9.936217278319095</v>
      </c>
      <c r="X158" s="289">
        <f t="shared" si="16"/>
        <v>43.365504555254446</v>
      </c>
      <c r="Y158" s="15">
        <f>MAX(0,MIN('Potentiel produktion'!C145*$D$3,N158))</f>
        <v>0</v>
      </c>
      <c r="Z158" s="15">
        <f t="shared" si="17"/>
        <v>2.0075166666666657</v>
      </c>
      <c r="AA158" s="16">
        <f t="shared" si="18"/>
        <v>0</v>
      </c>
      <c r="AB158" s="16">
        <v>0</v>
      </c>
      <c r="AC158" s="16">
        <v>0</v>
      </c>
      <c r="AD158" s="145">
        <f>(Y158*$H$3+Z158*'Varmepumpeberegning VP1'!Z146+AA158*$H$5+AB158*$H$6+AC158*$H$7)*24</f>
        <v>2089.3673556739805</v>
      </c>
      <c r="AF158" s="16">
        <f>Z158*'Varmepumpeberegning VP1'!Z146*24</f>
        <v>2089.3673556739805</v>
      </c>
      <c r="AG158" s="20">
        <f>(Z158/'Varmepumpeberegning VP1'!W146)*24</f>
        <v>14.437172988185907</v>
      </c>
      <c r="AH158" s="17">
        <f t="shared" si="19"/>
        <v>43.365504555254454</v>
      </c>
      <c r="AI158" s="15">
        <f>'Varmepumpeberegning VP1'!X146-'Systemberegning VP1'!Z158</f>
        <v>7.9287006116524292</v>
      </c>
    </row>
    <row r="159" spans="10:35" x14ac:dyDescent="0.25">
      <c r="J159" s="253"/>
      <c r="K159">
        <v>5</v>
      </c>
      <c r="L159">
        <v>144</v>
      </c>
      <c r="M159" s="310">
        <v>0.45001250000000015</v>
      </c>
      <c r="N159" s="15">
        <v>2.620487499999999</v>
      </c>
      <c r="P159" s="15">
        <f>MAX(0,MIN('Potentiel produktion'!C146*$D$3,N159))</f>
        <v>0</v>
      </c>
      <c r="Q159" s="15">
        <f t="shared" si="14"/>
        <v>2.620487499999999</v>
      </c>
      <c r="R159" s="15">
        <v>0</v>
      </c>
      <c r="S159" s="15">
        <v>0</v>
      </c>
      <c r="T159" s="160">
        <f t="shared" si="15"/>
        <v>7106.7620999999981</v>
      </c>
      <c r="V159" s="289">
        <f>'Varmepumpeberegning VP1'!W147</f>
        <v>3.3372461519597025</v>
      </c>
      <c r="W159" s="289">
        <f>'Varmepumpeberegning VP1'!X147</f>
        <v>9.936217278319095</v>
      </c>
      <c r="X159" s="289">
        <f t="shared" si="16"/>
        <v>43.365504555254446</v>
      </c>
      <c r="Y159" s="15">
        <f>MAX(0,MIN('Potentiel produktion'!C146*$D$3,N159))</f>
        <v>0</v>
      </c>
      <c r="Z159" s="15">
        <f t="shared" si="17"/>
        <v>2.620487499999999</v>
      </c>
      <c r="AA159" s="16">
        <f t="shared" si="18"/>
        <v>0</v>
      </c>
      <c r="AB159" s="16">
        <v>0</v>
      </c>
      <c r="AC159" s="16">
        <v>0</v>
      </c>
      <c r="AD159" s="145">
        <f>(Y159*$H$3+Z159*'Varmepumpeberegning VP1'!Z147+AA159*$H$5+AB159*$H$6+AC159*$H$7)*24</f>
        <v>2727.3303028376949</v>
      </c>
      <c r="AF159" s="16">
        <f>Z159*'Varmepumpeberegning VP1'!Z147*24</f>
        <v>2727.3303028376949</v>
      </c>
      <c r="AG159" s="20">
        <f>(Z159/'Varmepumpeberegning VP1'!W147)*24</f>
        <v>18.845388423946076</v>
      </c>
      <c r="AH159" s="17">
        <f t="shared" si="19"/>
        <v>43.365504555254439</v>
      </c>
      <c r="AI159" s="15">
        <f>'Varmepumpeberegning VP1'!X147-'Systemberegning VP1'!Z159</f>
        <v>7.3157297783190955</v>
      </c>
    </row>
    <row r="160" spans="10:35" x14ac:dyDescent="0.25">
      <c r="J160" s="253"/>
      <c r="K160">
        <v>5</v>
      </c>
      <c r="L160">
        <v>145</v>
      </c>
      <c r="M160" s="310">
        <v>0.45288749999999994</v>
      </c>
      <c r="N160" s="15">
        <v>1.6587708333333333</v>
      </c>
      <c r="P160" s="15">
        <f>MAX(0,MIN('Potentiel produktion'!C147*$D$3,N160))</f>
        <v>0</v>
      </c>
      <c r="Q160" s="15">
        <f t="shared" si="14"/>
        <v>1.6587708333333333</v>
      </c>
      <c r="R160" s="15">
        <v>0</v>
      </c>
      <c r="S160" s="15">
        <v>0</v>
      </c>
      <c r="T160" s="160">
        <f t="shared" si="15"/>
        <v>4498.5864999999994</v>
      </c>
      <c r="V160" s="289">
        <f>'Varmepumpeberegning VP1'!W148</f>
        <v>3.3372461519597025</v>
      </c>
      <c r="W160" s="289">
        <f>'Varmepumpeberegning VP1'!X148</f>
        <v>9.936217278319095</v>
      </c>
      <c r="X160" s="289">
        <f t="shared" si="16"/>
        <v>43.365504555254446</v>
      </c>
      <c r="Y160" s="15">
        <f>MAX(0,MIN('Potentiel produktion'!C147*$D$3,N160))</f>
        <v>0</v>
      </c>
      <c r="Z160" s="15">
        <f t="shared" si="17"/>
        <v>1.6587708333333333</v>
      </c>
      <c r="AA160" s="16">
        <f t="shared" si="18"/>
        <v>0</v>
      </c>
      <c r="AB160" s="16">
        <v>0</v>
      </c>
      <c r="AC160" s="16">
        <v>0</v>
      </c>
      <c r="AD160" s="145">
        <f>(Y160*$H$3+Z160*'Varmepumpeberegning VP1'!Z148+AA160*$H$5+AB160*$H$6+AC160*$H$7)*24</f>
        <v>1726.4024190969571</v>
      </c>
      <c r="AF160" s="16">
        <f>Z160*'Varmepumpeberegning VP1'!Z148*24</f>
        <v>1726.4024190969571</v>
      </c>
      <c r="AG160" s="20">
        <f>(Z160/'Varmepumpeberegning VP1'!W148)*24</f>
        <v>11.929147023399045</v>
      </c>
      <c r="AH160" s="17">
        <f t="shared" si="19"/>
        <v>43.365504555254454</v>
      </c>
      <c r="AI160" s="15">
        <f>'Varmepumpeberegning VP1'!X148-'Systemberegning VP1'!Z160</f>
        <v>8.2774464449857614</v>
      </c>
    </row>
    <row r="161" spans="10:35" x14ac:dyDescent="0.25">
      <c r="J161" s="253"/>
      <c r="K161">
        <v>5</v>
      </c>
      <c r="L161">
        <v>146</v>
      </c>
      <c r="M161" s="310">
        <v>0.42097500000000004</v>
      </c>
      <c r="N161" s="15">
        <v>2.2329833333333315</v>
      </c>
      <c r="P161" s="15">
        <f>MAX(0,MIN('Potentiel produktion'!C148*$D$3,N161))</f>
        <v>0</v>
      </c>
      <c r="Q161" s="15">
        <f t="shared" si="14"/>
        <v>2.2329833333333315</v>
      </c>
      <c r="R161" s="15">
        <v>0</v>
      </c>
      <c r="S161" s="15">
        <v>0</v>
      </c>
      <c r="T161" s="160">
        <f t="shared" si="15"/>
        <v>6055.8507999999947</v>
      </c>
      <c r="V161" s="289">
        <f>'Varmepumpeberegning VP1'!W149</f>
        <v>3.3372461519597025</v>
      </c>
      <c r="W161" s="289">
        <f>'Varmepumpeberegning VP1'!X149</f>
        <v>9.936217278319095</v>
      </c>
      <c r="X161" s="289">
        <f t="shared" si="16"/>
        <v>43.365504555254446</v>
      </c>
      <c r="Y161" s="15">
        <f>MAX(0,MIN('Potentiel produktion'!C148*$D$3,N161))</f>
        <v>0</v>
      </c>
      <c r="Z161" s="15">
        <f t="shared" si="17"/>
        <v>2.2329833333333315</v>
      </c>
      <c r="AA161" s="16">
        <f t="shared" si="18"/>
        <v>0</v>
      </c>
      <c r="AB161" s="16">
        <v>0</v>
      </c>
      <c r="AC161" s="16">
        <v>0</v>
      </c>
      <c r="AD161" s="145">
        <f>(Y161*$H$3+Z161*'Varmepumpeberegning VP1'!Z149+AA161*$H$5+AB161*$H$6+AC161*$H$7)*24</f>
        <v>2324.0267739233723</v>
      </c>
      <c r="AF161" s="16">
        <f>Z161*'Varmepumpeberegning VP1'!Z149*24</f>
        <v>2324.0267739233723</v>
      </c>
      <c r="AG161" s="20">
        <f>(Z161/'Varmepumpeberegning VP1'!W149)*24</f>
        <v>16.058629648439272</v>
      </c>
      <c r="AH161" s="17">
        <f t="shared" si="19"/>
        <v>43.365504555254439</v>
      </c>
      <c r="AI161" s="15">
        <f>'Varmepumpeberegning VP1'!X149-'Systemberegning VP1'!Z161</f>
        <v>7.7032339449857634</v>
      </c>
    </row>
    <row r="162" spans="10:35" x14ac:dyDescent="0.25">
      <c r="J162" s="253"/>
      <c r="K162">
        <v>5</v>
      </c>
      <c r="L162">
        <v>147</v>
      </c>
      <c r="M162" s="310">
        <v>0.42642500000000011</v>
      </c>
      <c r="N162" s="15">
        <v>2.1167249999999989</v>
      </c>
      <c r="P162" s="15">
        <f>MAX(0,MIN('Potentiel produktion'!C149*$D$3,N162))</f>
        <v>0</v>
      </c>
      <c r="Q162" s="15">
        <f t="shared" si="14"/>
        <v>2.1167249999999989</v>
      </c>
      <c r="R162" s="15">
        <v>0</v>
      </c>
      <c r="S162" s="15">
        <v>0</v>
      </c>
      <c r="T162" s="160">
        <f t="shared" si="15"/>
        <v>5740.5581999999968</v>
      </c>
      <c r="V162" s="289">
        <f>'Varmepumpeberegning VP1'!W150</f>
        <v>3.3372461519597025</v>
      </c>
      <c r="W162" s="289">
        <f>'Varmepumpeberegning VP1'!X150</f>
        <v>9.936217278319095</v>
      </c>
      <c r="X162" s="289">
        <f t="shared" si="16"/>
        <v>43.365504555254446</v>
      </c>
      <c r="Y162" s="15">
        <f>MAX(0,MIN('Potentiel produktion'!C149*$D$3,N162))</f>
        <v>0</v>
      </c>
      <c r="Z162" s="15">
        <f t="shared" si="17"/>
        <v>2.1167249999999989</v>
      </c>
      <c r="AA162" s="16">
        <f t="shared" si="18"/>
        <v>0</v>
      </c>
      <c r="AB162" s="16">
        <v>0</v>
      </c>
      <c r="AC162" s="16">
        <v>0</v>
      </c>
      <c r="AD162" s="145">
        <f>(Y162*$H$3+Z162*'Varmepumpeberegning VP1'!Z150+AA162*$H$5+AB162*$H$6+AC162*$H$7)*24</f>
        <v>2203.0283431133021</v>
      </c>
      <c r="AF162" s="16">
        <f>Z162*'Varmepumpeberegning VP1'!Z150*24</f>
        <v>2203.0283431133021</v>
      </c>
      <c r="AG162" s="20">
        <f>(Z162/'Varmepumpeberegning VP1'!W150)*24</f>
        <v>15.222551075583171</v>
      </c>
      <c r="AH162" s="17">
        <f t="shared" si="19"/>
        <v>43.365504555254454</v>
      </c>
      <c r="AI162" s="15">
        <f>'Varmepumpeberegning VP1'!X150-'Systemberegning VP1'!Z162</f>
        <v>7.8194922783190961</v>
      </c>
    </row>
    <row r="163" spans="10:35" x14ac:dyDescent="0.25">
      <c r="J163" s="253"/>
      <c r="K163">
        <v>5</v>
      </c>
      <c r="L163">
        <v>148</v>
      </c>
      <c r="M163" s="310">
        <v>0.39332500000000009</v>
      </c>
      <c r="N163" s="15">
        <v>2.6874041666666666</v>
      </c>
      <c r="P163" s="15">
        <f>MAX(0,MIN('Potentiel produktion'!C150*$D$3,N163))</f>
        <v>0</v>
      </c>
      <c r="Q163" s="15">
        <f t="shared" si="14"/>
        <v>2.6874041666666666</v>
      </c>
      <c r="R163" s="15">
        <v>0</v>
      </c>
      <c r="S163" s="15">
        <v>0</v>
      </c>
      <c r="T163" s="160">
        <f t="shared" si="15"/>
        <v>7288.2401</v>
      </c>
      <c r="V163" s="289">
        <f>'Varmepumpeberegning VP1'!W151</f>
        <v>3.3372461519597025</v>
      </c>
      <c r="W163" s="289">
        <f>'Varmepumpeberegning VP1'!X151</f>
        <v>9.936217278319095</v>
      </c>
      <c r="X163" s="289">
        <f t="shared" si="16"/>
        <v>43.365504555254446</v>
      </c>
      <c r="Y163" s="15">
        <f>MAX(0,MIN('Potentiel produktion'!C150*$D$3,N163))</f>
        <v>0</v>
      </c>
      <c r="Z163" s="15">
        <f t="shared" si="17"/>
        <v>2.6874041666666666</v>
      </c>
      <c r="AA163" s="16">
        <f t="shared" si="18"/>
        <v>0</v>
      </c>
      <c r="AB163" s="16">
        <v>0</v>
      </c>
      <c r="AC163" s="16">
        <v>0</v>
      </c>
      <c r="AD163" s="145">
        <f>(Y163*$H$3+Z163*'Varmepumpeberegning VP1'!Z151+AA163*$H$5+AB163*$H$6+AC163*$H$7)*24</f>
        <v>2796.9753031534347</v>
      </c>
      <c r="AF163" s="16">
        <f>Z163*'Varmepumpeberegning VP1'!Z151*24</f>
        <v>2796.9753031534347</v>
      </c>
      <c r="AG163" s="20">
        <f>(Z163/'Varmepumpeberegning VP1'!W151)*24</f>
        <v>19.326623528242159</v>
      </c>
      <c r="AH163" s="17">
        <f t="shared" si="19"/>
        <v>43.365504555254454</v>
      </c>
      <c r="AI163" s="15">
        <f>'Varmepumpeberegning VP1'!X151-'Systemberegning VP1'!Z163</f>
        <v>7.2488131116524279</v>
      </c>
    </row>
    <row r="164" spans="10:35" x14ac:dyDescent="0.25">
      <c r="J164" s="253"/>
      <c r="K164">
        <v>5</v>
      </c>
      <c r="L164">
        <v>149</v>
      </c>
      <c r="M164" s="310">
        <v>0.37390000000000007</v>
      </c>
      <c r="N164" s="15">
        <v>2.0427416666666667</v>
      </c>
      <c r="P164" s="15">
        <f>MAX(0,MIN('Potentiel produktion'!C151*$D$3,N164))</f>
        <v>0</v>
      </c>
      <c r="Q164" s="15">
        <f t="shared" si="14"/>
        <v>2.0427416666666667</v>
      </c>
      <c r="R164" s="15">
        <v>0</v>
      </c>
      <c r="S164" s="15">
        <v>0</v>
      </c>
      <c r="T164" s="160">
        <f t="shared" si="15"/>
        <v>5539.9153999999999</v>
      </c>
      <c r="V164" s="289">
        <f>'Varmepumpeberegning VP1'!W152</f>
        <v>3.2930492366901718</v>
      </c>
      <c r="W164" s="289">
        <f>'Varmepumpeberegning VP1'!X152</f>
        <v>9.8312960343314195</v>
      </c>
      <c r="X164" s="289">
        <f t="shared" si="16"/>
        <v>43.924113311887368</v>
      </c>
      <c r="Y164" s="15">
        <f>MAX(0,MIN('Potentiel produktion'!C151*$D$3,N164))</f>
        <v>0</v>
      </c>
      <c r="Z164" s="15">
        <f t="shared" si="17"/>
        <v>2.0427416666666667</v>
      </c>
      <c r="AA164" s="16">
        <f t="shared" si="18"/>
        <v>0</v>
      </c>
      <c r="AB164" s="16">
        <v>0</v>
      </c>
      <c r="AC164" s="16">
        <v>0</v>
      </c>
      <c r="AD164" s="145">
        <f>(Y164*$H$3+Z164*'Varmepumpeberegning VP1'!Z152+AA164*$H$5+AB164*$H$6+AC164*$H$7)*24</f>
        <v>2153.4147944059278</v>
      </c>
      <c r="AF164" s="16">
        <f>Z164*'Varmepumpeberegning VP1'!Z152*24</f>
        <v>2153.4147944059278</v>
      </c>
      <c r="AG164" s="20">
        <f>(Z164/'Varmepumpeberegning VP1'!W152)*24</f>
        <v>14.887660789814245</v>
      </c>
      <c r="AH164" s="17">
        <f t="shared" si="19"/>
        <v>43.924113311887368</v>
      </c>
      <c r="AI164" s="15">
        <f>'Varmepumpeberegning VP1'!X152-'Systemberegning VP1'!Z164</f>
        <v>7.7885543676647533</v>
      </c>
    </row>
    <row r="165" spans="10:35" x14ac:dyDescent="0.25">
      <c r="J165" s="253"/>
      <c r="K165">
        <v>5</v>
      </c>
      <c r="L165">
        <v>150</v>
      </c>
      <c r="M165" s="310">
        <v>0.43891250000000004</v>
      </c>
      <c r="N165" s="15">
        <v>2.4513749999999992</v>
      </c>
      <c r="P165" s="15">
        <f>MAX(0,MIN('Potentiel produktion'!C152*$D$3,N165))</f>
        <v>0</v>
      </c>
      <c r="Q165" s="15">
        <f t="shared" si="14"/>
        <v>2.4513749999999992</v>
      </c>
      <c r="R165" s="15">
        <v>0</v>
      </c>
      <c r="S165" s="15">
        <v>0</v>
      </c>
      <c r="T165" s="160">
        <f t="shared" si="15"/>
        <v>6648.1289999999972</v>
      </c>
      <c r="V165" s="289">
        <f>'Varmepumpeberegning VP1'!W153</f>
        <v>3.3372461519597025</v>
      </c>
      <c r="W165" s="289">
        <f>'Varmepumpeberegning VP1'!X153</f>
        <v>9.936217278319095</v>
      </c>
      <c r="X165" s="289">
        <f t="shared" si="16"/>
        <v>43.365504555254446</v>
      </c>
      <c r="Y165" s="15">
        <f>MAX(0,MIN('Potentiel produktion'!C152*$D$3,N165))</f>
        <v>0</v>
      </c>
      <c r="Z165" s="15">
        <f t="shared" si="17"/>
        <v>2.4513749999999992</v>
      </c>
      <c r="AA165" s="16">
        <f t="shared" si="18"/>
        <v>0</v>
      </c>
      <c r="AB165" s="16">
        <v>0</v>
      </c>
      <c r="AC165" s="16">
        <v>0</v>
      </c>
      <c r="AD165" s="145">
        <f>(Y165*$H$3+Z165*'Varmepumpeberegning VP1'!Z153+AA165*$H$5+AB165*$H$6+AC165*$H$7)*24</f>
        <v>2551.3227294992839</v>
      </c>
      <c r="AF165" s="16">
        <f>Z165*'Varmepumpeberegning VP1'!Z153*24</f>
        <v>2551.3227294992839</v>
      </c>
      <c r="AG165" s="20">
        <f>(Z165/'Varmepumpeberegning VP1'!W153)*24</f>
        <v>17.629206034278287</v>
      </c>
      <c r="AH165" s="17">
        <f t="shared" si="19"/>
        <v>43.365504555254439</v>
      </c>
      <c r="AI165" s="15">
        <f>'Varmepumpeberegning VP1'!X153-'Systemberegning VP1'!Z165</f>
        <v>7.4848422783190962</v>
      </c>
    </row>
    <row r="166" spans="10:35" x14ac:dyDescent="0.25">
      <c r="J166" s="253"/>
      <c r="K166">
        <v>5</v>
      </c>
      <c r="L166">
        <v>151</v>
      </c>
      <c r="M166" s="310">
        <v>0.43855000000000005</v>
      </c>
      <c r="N166" s="15">
        <v>2.3069458333333319</v>
      </c>
      <c r="P166" s="15">
        <f>MAX(0,MIN('Potentiel produktion'!C153*$D$3,N166))</f>
        <v>0</v>
      </c>
      <c r="Q166" s="15">
        <f t="shared" si="14"/>
        <v>2.3069458333333319</v>
      </c>
      <c r="R166" s="15">
        <v>0</v>
      </c>
      <c r="S166" s="15">
        <v>0</v>
      </c>
      <c r="T166" s="160">
        <f t="shared" si="15"/>
        <v>6256.4370999999965</v>
      </c>
      <c r="V166" s="289">
        <f>'Varmepumpeberegning VP1'!W154</f>
        <v>3.2930492366901718</v>
      </c>
      <c r="W166" s="289">
        <f>'Varmepumpeberegning VP1'!X154</f>
        <v>9.8312960343314195</v>
      </c>
      <c r="X166" s="289">
        <f t="shared" si="16"/>
        <v>43.924113311887368</v>
      </c>
      <c r="Y166" s="15">
        <f>MAX(0,MIN('Potentiel produktion'!C153*$D$3,N166))</f>
        <v>0</v>
      </c>
      <c r="Z166" s="15">
        <f t="shared" si="17"/>
        <v>2.3069458333333319</v>
      </c>
      <c r="AA166" s="16">
        <f t="shared" si="18"/>
        <v>0</v>
      </c>
      <c r="AB166" s="16">
        <v>0</v>
      </c>
      <c r="AC166" s="16">
        <v>0</v>
      </c>
      <c r="AD166" s="145">
        <f>(Y166*$H$3+Z166*'Varmepumpeberegning VP1'!Z154+AA166*$H$5+AB166*$H$6+AC166*$H$7)*24</f>
        <v>2431.9332045052724</v>
      </c>
      <c r="AF166" s="16">
        <f>Z166*'Varmepumpeberegning VP1'!Z154*24</f>
        <v>2431.9332045052724</v>
      </c>
      <c r="AG166" s="20">
        <f>(Z166/'Varmepumpeberegning VP1'!W154)*24</f>
        <v>16.813201388889276</v>
      </c>
      <c r="AH166" s="17">
        <f t="shared" si="19"/>
        <v>43.924113311887361</v>
      </c>
      <c r="AI166" s="15">
        <f>'Varmepumpeberegning VP1'!X154-'Systemberegning VP1'!Z166</f>
        <v>7.5243502009980876</v>
      </c>
    </row>
    <row r="167" spans="10:35" x14ac:dyDescent="0.25">
      <c r="J167" s="253"/>
      <c r="K167">
        <v>6</v>
      </c>
      <c r="L167">
        <v>152</v>
      </c>
      <c r="M167" s="310">
        <v>0.19368750000000004</v>
      </c>
      <c r="N167" s="15">
        <v>1.0881000000000005</v>
      </c>
      <c r="P167" s="15">
        <f>MAX(0,MIN('Potentiel produktion'!C154*$D$3,N167))</f>
        <v>0</v>
      </c>
      <c r="Q167" s="15">
        <f t="shared" si="14"/>
        <v>1.0881000000000005</v>
      </c>
      <c r="R167" s="15">
        <v>0</v>
      </c>
      <c r="S167" s="15">
        <v>0</v>
      </c>
      <c r="T167" s="160">
        <f t="shared" si="15"/>
        <v>2950.927200000001</v>
      </c>
      <c r="V167" s="289">
        <f>'Varmepumpeberegning VP1'!W155</f>
        <v>3.3372461519597025</v>
      </c>
      <c r="W167" s="289">
        <f>'Varmepumpeberegning VP1'!X155</f>
        <v>9.936217278319095</v>
      </c>
      <c r="X167" s="289">
        <f t="shared" si="16"/>
        <v>43.365504555254446</v>
      </c>
      <c r="Y167" s="15">
        <f>MAX(0,MIN('Potentiel produktion'!C154*$D$3,N167))</f>
        <v>0</v>
      </c>
      <c r="Z167" s="15">
        <f t="shared" si="17"/>
        <v>1.0881000000000005</v>
      </c>
      <c r="AA167" s="16">
        <f t="shared" si="18"/>
        <v>0</v>
      </c>
      <c r="AB167" s="16">
        <v>0</v>
      </c>
      <c r="AC167" s="16">
        <v>0</v>
      </c>
      <c r="AD167" s="145">
        <f>(Y167*$H$3+Z167*'Varmepumpeberegning VP1'!Z155+AA167*$H$5+AB167*$H$6+AC167*$H$7)*24</f>
        <v>1132.4641321577374</v>
      </c>
      <c r="AF167" s="16">
        <f>Z167*'Varmepumpeberegning VP1'!Z155*24</f>
        <v>1132.4641321577374</v>
      </c>
      <c r="AG167" s="20">
        <f>(Z167/'Varmepumpeberegning VP1'!W155)*24</f>
        <v>7.8251345003919113</v>
      </c>
      <c r="AH167" s="17">
        <f t="shared" si="19"/>
        <v>43.365504555254454</v>
      </c>
      <c r="AI167" s="15">
        <f>'Varmepumpeberegning VP1'!X155-'Systemberegning VP1'!Z167</f>
        <v>8.8481172783190942</v>
      </c>
    </row>
    <row r="168" spans="10:35" x14ac:dyDescent="0.25">
      <c r="J168" s="253"/>
      <c r="K168">
        <v>6</v>
      </c>
      <c r="L168">
        <v>153</v>
      </c>
      <c r="M168" s="310">
        <v>0.19368750000000004</v>
      </c>
      <c r="N168" s="15">
        <v>1.0881000000000005</v>
      </c>
      <c r="P168" s="15">
        <f>MAX(0,MIN('Potentiel produktion'!C155*$D$3,N168))</f>
        <v>0</v>
      </c>
      <c r="Q168" s="15">
        <f t="shared" si="14"/>
        <v>1.0881000000000005</v>
      </c>
      <c r="R168" s="15">
        <v>0</v>
      </c>
      <c r="S168" s="15">
        <v>0</v>
      </c>
      <c r="T168" s="160">
        <f t="shared" si="15"/>
        <v>2950.927200000001</v>
      </c>
      <c r="V168" s="289">
        <f>'Varmepumpeberegning VP1'!W156</f>
        <v>3.3372461519597025</v>
      </c>
      <c r="W168" s="289">
        <f>'Varmepumpeberegning VP1'!X156</f>
        <v>9.936217278319095</v>
      </c>
      <c r="X168" s="289">
        <f t="shared" si="16"/>
        <v>43.365504555254446</v>
      </c>
      <c r="Y168" s="15">
        <f>MAX(0,MIN('Potentiel produktion'!C155*$D$3,N168))</f>
        <v>0</v>
      </c>
      <c r="Z168" s="15">
        <f t="shared" si="17"/>
        <v>1.0881000000000005</v>
      </c>
      <c r="AA168" s="16">
        <f t="shared" si="18"/>
        <v>0</v>
      </c>
      <c r="AB168" s="16">
        <v>0</v>
      </c>
      <c r="AC168" s="16">
        <v>0</v>
      </c>
      <c r="AD168" s="145">
        <f>(Y168*$H$3+Z168*'Varmepumpeberegning VP1'!Z156+AA168*$H$5+AB168*$H$6+AC168*$H$7)*24</f>
        <v>1132.4641321577374</v>
      </c>
      <c r="AF168" s="16">
        <f>Z168*'Varmepumpeberegning VP1'!Z156*24</f>
        <v>1132.4641321577374</v>
      </c>
      <c r="AG168" s="20">
        <f>(Z168/'Varmepumpeberegning VP1'!W156)*24</f>
        <v>7.8251345003919113</v>
      </c>
      <c r="AH168" s="17">
        <f t="shared" si="19"/>
        <v>43.365504555254454</v>
      </c>
      <c r="AI168" s="15">
        <f>'Varmepumpeberegning VP1'!X156-'Systemberegning VP1'!Z168</f>
        <v>8.8481172783190942</v>
      </c>
    </row>
    <row r="169" spans="10:35" x14ac:dyDescent="0.25">
      <c r="J169" s="253"/>
      <c r="K169">
        <v>6</v>
      </c>
      <c r="L169">
        <v>154</v>
      </c>
      <c r="M169" s="310">
        <v>0.19368750000000004</v>
      </c>
      <c r="N169" s="15">
        <v>1.0881000000000005</v>
      </c>
      <c r="P169" s="15">
        <f>MAX(0,MIN('Potentiel produktion'!C156*$D$3,N169))</f>
        <v>0</v>
      </c>
      <c r="Q169" s="15">
        <f t="shared" si="14"/>
        <v>1.0881000000000005</v>
      </c>
      <c r="R169" s="15">
        <v>0</v>
      </c>
      <c r="S169" s="15">
        <v>0</v>
      </c>
      <c r="T169" s="160">
        <f t="shared" si="15"/>
        <v>2950.927200000001</v>
      </c>
      <c r="V169" s="289">
        <f>'Varmepumpeberegning VP1'!W157</f>
        <v>3.2930492366901718</v>
      </c>
      <c r="W169" s="289">
        <f>'Varmepumpeberegning VP1'!X157</f>
        <v>9.8312960343314195</v>
      </c>
      <c r="X169" s="289">
        <f t="shared" si="16"/>
        <v>43.924113311887368</v>
      </c>
      <c r="Y169" s="15">
        <f>MAX(0,MIN('Potentiel produktion'!C156*$D$3,N169))</f>
        <v>0</v>
      </c>
      <c r="Z169" s="15">
        <f t="shared" si="17"/>
        <v>1.0881000000000005</v>
      </c>
      <c r="AA169" s="16">
        <f t="shared" si="18"/>
        <v>0</v>
      </c>
      <c r="AB169" s="16">
        <v>0</v>
      </c>
      <c r="AC169" s="16">
        <v>0</v>
      </c>
      <c r="AD169" s="145">
        <f>(Y169*$H$3+Z169*'Varmepumpeberegning VP1'!Z157+AA169*$H$5+AB169*$H$6+AC169*$H$7)*24</f>
        <v>1147.051864671952</v>
      </c>
      <c r="AF169" s="16">
        <f>Z169*'Varmepumpeberegning VP1'!Z157*24</f>
        <v>1147.051864671952</v>
      </c>
      <c r="AG169" s="20">
        <f>(Z169/'Varmepumpeberegning VP1'!W157)*24</f>
        <v>7.9301577726324783</v>
      </c>
      <c r="AH169" s="17">
        <f t="shared" si="19"/>
        <v>43.924113311887368</v>
      </c>
      <c r="AI169" s="15">
        <f>'Varmepumpeberegning VP1'!X157-'Systemberegning VP1'!Z169</f>
        <v>8.7431960343314188</v>
      </c>
    </row>
    <row r="170" spans="10:35" x14ac:dyDescent="0.25">
      <c r="J170" s="253"/>
      <c r="K170">
        <v>6</v>
      </c>
      <c r="L170">
        <v>155</v>
      </c>
      <c r="M170" s="310">
        <v>0.19368750000000004</v>
      </c>
      <c r="N170" s="15">
        <v>1.0881000000000005</v>
      </c>
      <c r="P170" s="15">
        <f>MAX(0,MIN('Potentiel produktion'!C157*$D$3,N170))</f>
        <v>0</v>
      </c>
      <c r="Q170" s="15">
        <f t="shared" si="14"/>
        <v>1.0881000000000005</v>
      </c>
      <c r="R170" s="15">
        <v>0</v>
      </c>
      <c r="S170" s="15">
        <v>0</v>
      </c>
      <c r="T170" s="160">
        <f t="shared" si="15"/>
        <v>2950.927200000001</v>
      </c>
      <c r="V170" s="289">
        <f>'Varmepumpeberegning VP1'!W158</f>
        <v>3.2930492366901718</v>
      </c>
      <c r="W170" s="289">
        <f>'Varmepumpeberegning VP1'!X158</f>
        <v>9.8312960343314195</v>
      </c>
      <c r="X170" s="289">
        <f t="shared" si="16"/>
        <v>43.924113311887368</v>
      </c>
      <c r="Y170" s="15">
        <f>MAX(0,MIN('Potentiel produktion'!C157*$D$3,N170))</f>
        <v>0</v>
      </c>
      <c r="Z170" s="15">
        <f t="shared" si="17"/>
        <v>1.0881000000000005</v>
      </c>
      <c r="AA170" s="16">
        <f t="shared" si="18"/>
        <v>0</v>
      </c>
      <c r="AB170" s="16">
        <v>0</v>
      </c>
      <c r="AC170" s="16">
        <v>0</v>
      </c>
      <c r="AD170" s="145">
        <f>(Y170*$H$3+Z170*'Varmepumpeberegning VP1'!Z158+AA170*$H$5+AB170*$H$6+AC170*$H$7)*24</f>
        <v>1147.051864671952</v>
      </c>
      <c r="AF170" s="16">
        <f>Z170*'Varmepumpeberegning VP1'!Z158*24</f>
        <v>1147.051864671952</v>
      </c>
      <c r="AG170" s="20">
        <f>(Z170/'Varmepumpeberegning VP1'!W158)*24</f>
        <v>7.9301577726324783</v>
      </c>
      <c r="AH170" s="17">
        <f t="shared" si="19"/>
        <v>43.924113311887368</v>
      </c>
      <c r="AI170" s="15">
        <f>'Varmepumpeberegning VP1'!X158-'Systemberegning VP1'!Z170</f>
        <v>8.7431960343314188</v>
      </c>
    </row>
    <row r="171" spans="10:35" x14ac:dyDescent="0.25">
      <c r="J171" s="253"/>
      <c r="K171">
        <v>6</v>
      </c>
      <c r="L171">
        <v>156</v>
      </c>
      <c r="M171" s="310">
        <v>0.19368750000000004</v>
      </c>
      <c r="N171" s="15">
        <v>1.0881000000000005</v>
      </c>
      <c r="P171" s="15">
        <f>MAX(0,MIN('Potentiel produktion'!C158*$D$3,N171))</f>
        <v>0</v>
      </c>
      <c r="Q171" s="15">
        <f t="shared" si="14"/>
        <v>1.0881000000000005</v>
      </c>
      <c r="R171" s="15">
        <v>0</v>
      </c>
      <c r="S171" s="15">
        <v>0</v>
      </c>
      <c r="T171" s="160">
        <f t="shared" si="15"/>
        <v>2950.927200000001</v>
      </c>
      <c r="V171" s="289">
        <f>'Varmepumpeberegning VP1'!W159</f>
        <v>3.3372461519597025</v>
      </c>
      <c r="W171" s="289">
        <f>'Varmepumpeberegning VP1'!X159</f>
        <v>9.936217278319095</v>
      </c>
      <c r="X171" s="289">
        <f t="shared" si="16"/>
        <v>43.365504555254446</v>
      </c>
      <c r="Y171" s="15">
        <f>MAX(0,MIN('Potentiel produktion'!C158*$D$3,N171))</f>
        <v>0</v>
      </c>
      <c r="Z171" s="15">
        <f t="shared" si="17"/>
        <v>1.0881000000000005</v>
      </c>
      <c r="AA171" s="16">
        <f t="shared" si="18"/>
        <v>0</v>
      </c>
      <c r="AB171" s="16">
        <v>0</v>
      </c>
      <c r="AC171" s="16">
        <v>0</v>
      </c>
      <c r="AD171" s="145">
        <f>(Y171*$H$3+Z171*'Varmepumpeberegning VP1'!Z159+AA171*$H$5+AB171*$H$6+AC171*$H$7)*24</f>
        <v>1132.4641321577374</v>
      </c>
      <c r="AF171" s="16">
        <f>Z171*'Varmepumpeberegning VP1'!Z159*24</f>
        <v>1132.4641321577374</v>
      </c>
      <c r="AG171" s="20">
        <f>(Z171/'Varmepumpeberegning VP1'!W159)*24</f>
        <v>7.8251345003919113</v>
      </c>
      <c r="AH171" s="17">
        <f t="shared" si="19"/>
        <v>43.365504555254454</v>
      </c>
      <c r="AI171" s="15">
        <f>'Varmepumpeberegning VP1'!X159-'Systemberegning VP1'!Z171</f>
        <v>8.8481172783190942</v>
      </c>
    </row>
    <row r="172" spans="10:35" x14ac:dyDescent="0.25">
      <c r="J172" s="253"/>
      <c r="K172">
        <v>6</v>
      </c>
      <c r="L172">
        <v>157</v>
      </c>
      <c r="M172" s="310">
        <v>0.19368750000000004</v>
      </c>
      <c r="N172" s="15">
        <v>1.0881000000000005</v>
      </c>
      <c r="P172" s="15">
        <f>MAX(0,MIN('Potentiel produktion'!C159*$D$3,N172))</f>
        <v>0</v>
      </c>
      <c r="Q172" s="15">
        <f t="shared" si="14"/>
        <v>1.0881000000000005</v>
      </c>
      <c r="R172" s="15">
        <v>0</v>
      </c>
      <c r="S172" s="15">
        <v>0</v>
      </c>
      <c r="T172" s="160">
        <f t="shared" si="15"/>
        <v>2950.927200000001</v>
      </c>
      <c r="V172" s="289">
        <f>'Varmepumpeberegning VP1'!W160</f>
        <v>3.2490914584620767</v>
      </c>
      <c r="W172" s="289">
        <f>'Varmepumpeberegning VP1'!X160</f>
        <v>9.7263747903437441</v>
      </c>
      <c r="X172" s="289">
        <f t="shared" si="16"/>
        <v>44.494773819951156</v>
      </c>
      <c r="Y172" s="15">
        <f>MAX(0,MIN('Potentiel produktion'!C159*$D$3,N172))</f>
        <v>0</v>
      </c>
      <c r="Z172" s="15">
        <f t="shared" si="17"/>
        <v>1.0881000000000005</v>
      </c>
      <c r="AA172" s="16">
        <f t="shared" si="18"/>
        <v>0</v>
      </c>
      <c r="AB172" s="16">
        <v>0</v>
      </c>
      <c r="AC172" s="16">
        <v>0</v>
      </c>
      <c r="AD172" s="145">
        <f>(Y172*$H$3+Z172*'Varmepumpeberegning VP1'!Z160+AA172*$H$5+AB172*$H$6+AC172*$H$7)*24</f>
        <v>1161.9543214437331</v>
      </c>
      <c r="AF172" s="16">
        <f>Z172*'Varmepumpeberegning VP1'!Z160*24</f>
        <v>1161.9543214437331</v>
      </c>
      <c r="AG172" s="20">
        <f>(Z172/'Varmepumpeberegning VP1'!W160)*24</f>
        <v>8.0374468782608499</v>
      </c>
      <c r="AH172" s="17">
        <f t="shared" si="19"/>
        <v>44.494773819951156</v>
      </c>
      <c r="AI172" s="15">
        <f>'Varmepumpeberegning VP1'!X160-'Systemberegning VP1'!Z172</f>
        <v>8.6382747903437433</v>
      </c>
    </row>
    <row r="173" spans="10:35" x14ac:dyDescent="0.25">
      <c r="J173" s="253"/>
      <c r="K173">
        <v>6</v>
      </c>
      <c r="L173">
        <v>158</v>
      </c>
      <c r="M173" s="310">
        <v>0.19368750000000004</v>
      </c>
      <c r="N173" s="15">
        <v>1.0881000000000005</v>
      </c>
      <c r="P173" s="15">
        <f>MAX(0,MIN('Potentiel produktion'!C160*$D$3,N173))</f>
        <v>0</v>
      </c>
      <c r="Q173" s="15">
        <f t="shared" si="14"/>
        <v>1.0881000000000005</v>
      </c>
      <c r="R173" s="15">
        <v>0</v>
      </c>
      <c r="S173" s="15">
        <v>0</v>
      </c>
      <c r="T173" s="160">
        <f t="shared" si="15"/>
        <v>2950.927200000001</v>
      </c>
      <c r="V173" s="289">
        <f>'Varmepumpeberegning VP1'!W161</f>
        <v>3.2490914584620767</v>
      </c>
      <c r="W173" s="289">
        <f>'Varmepumpeberegning VP1'!X161</f>
        <v>9.7263747903437441</v>
      </c>
      <c r="X173" s="289">
        <f t="shared" si="16"/>
        <v>44.494773819951156</v>
      </c>
      <c r="Y173" s="15">
        <f>MAX(0,MIN('Potentiel produktion'!C160*$D$3,N173))</f>
        <v>0</v>
      </c>
      <c r="Z173" s="15">
        <f t="shared" si="17"/>
        <v>1.0881000000000005</v>
      </c>
      <c r="AA173" s="16">
        <f t="shared" si="18"/>
        <v>0</v>
      </c>
      <c r="AB173" s="16">
        <v>0</v>
      </c>
      <c r="AC173" s="16">
        <v>0</v>
      </c>
      <c r="AD173" s="145">
        <f>(Y173*$H$3+Z173*'Varmepumpeberegning VP1'!Z161+AA173*$H$5+AB173*$H$6+AC173*$H$7)*24</f>
        <v>1161.9543214437331</v>
      </c>
      <c r="AF173" s="16">
        <f>Z173*'Varmepumpeberegning VP1'!Z161*24</f>
        <v>1161.9543214437331</v>
      </c>
      <c r="AG173" s="20">
        <f>(Z173/'Varmepumpeberegning VP1'!W161)*24</f>
        <v>8.0374468782608499</v>
      </c>
      <c r="AH173" s="17">
        <f t="shared" si="19"/>
        <v>44.494773819951156</v>
      </c>
      <c r="AI173" s="15">
        <f>'Varmepumpeberegning VP1'!X161-'Systemberegning VP1'!Z173</f>
        <v>8.6382747903437433</v>
      </c>
    </row>
    <row r="174" spans="10:35" x14ac:dyDescent="0.25">
      <c r="J174" s="253"/>
      <c r="K174">
        <v>6</v>
      </c>
      <c r="L174">
        <v>159</v>
      </c>
      <c r="M174" s="310">
        <v>0.19368750000000004</v>
      </c>
      <c r="N174" s="15">
        <v>1.0881000000000005</v>
      </c>
      <c r="P174" s="15">
        <f>MAX(0,MIN('Potentiel produktion'!C161*$D$3,N174))</f>
        <v>0</v>
      </c>
      <c r="Q174" s="15">
        <f t="shared" si="14"/>
        <v>1.0881000000000005</v>
      </c>
      <c r="R174" s="15">
        <v>0</v>
      </c>
      <c r="S174" s="15">
        <v>0</v>
      </c>
      <c r="T174" s="160">
        <f t="shared" si="15"/>
        <v>2950.927200000001</v>
      </c>
      <c r="V174" s="289">
        <f>'Varmepumpeberegning VP1'!W162</f>
        <v>3.2490914584620767</v>
      </c>
      <c r="W174" s="289">
        <f>'Varmepumpeberegning VP1'!X162</f>
        <v>9.7263747903437441</v>
      </c>
      <c r="X174" s="289">
        <f t="shared" si="16"/>
        <v>44.494773819951156</v>
      </c>
      <c r="Y174" s="15">
        <f>MAX(0,MIN('Potentiel produktion'!C161*$D$3,N174))</f>
        <v>0</v>
      </c>
      <c r="Z174" s="15">
        <f t="shared" si="17"/>
        <v>1.0881000000000005</v>
      </c>
      <c r="AA174" s="16">
        <f t="shared" si="18"/>
        <v>0</v>
      </c>
      <c r="AB174" s="16">
        <v>0</v>
      </c>
      <c r="AC174" s="16">
        <v>0</v>
      </c>
      <c r="AD174" s="145">
        <f>(Y174*$H$3+Z174*'Varmepumpeberegning VP1'!Z162+AA174*$H$5+AB174*$H$6+AC174*$H$7)*24</f>
        <v>1161.9543214437331</v>
      </c>
      <c r="AF174" s="16">
        <f>Z174*'Varmepumpeberegning VP1'!Z162*24</f>
        <v>1161.9543214437331</v>
      </c>
      <c r="AG174" s="20">
        <f>(Z174/'Varmepumpeberegning VP1'!W162)*24</f>
        <v>8.0374468782608499</v>
      </c>
      <c r="AH174" s="17">
        <f t="shared" si="19"/>
        <v>44.494773819951156</v>
      </c>
      <c r="AI174" s="15">
        <f>'Varmepumpeberegning VP1'!X162-'Systemberegning VP1'!Z174</f>
        <v>8.6382747903437433</v>
      </c>
    </row>
    <row r="175" spans="10:35" x14ac:dyDescent="0.25">
      <c r="J175" s="253"/>
      <c r="K175">
        <v>6</v>
      </c>
      <c r="L175">
        <v>160</v>
      </c>
      <c r="M175" s="310">
        <v>0.19368750000000004</v>
      </c>
      <c r="N175" s="15">
        <v>1.0881000000000005</v>
      </c>
      <c r="P175" s="15">
        <f>MAX(0,MIN('Potentiel produktion'!C162*$D$3,N175))</f>
        <v>0</v>
      </c>
      <c r="Q175" s="15">
        <f t="shared" si="14"/>
        <v>1.0881000000000005</v>
      </c>
      <c r="R175" s="15">
        <v>0</v>
      </c>
      <c r="S175" s="15">
        <v>0</v>
      </c>
      <c r="T175" s="160">
        <f t="shared" si="15"/>
        <v>2950.927200000001</v>
      </c>
      <c r="V175" s="289">
        <f>'Varmepumpeberegning VP1'!W163</f>
        <v>3.2490914584620767</v>
      </c>
      <c r="W175" s="289">
        <f>'Varmepumpeberegning VP1'!X163</f>
        <v>9.7263747903437441</v>
      </c>
      <c r="X175" s="289">
        <f t="shared" si="16"/>
        <v>44.494773819951156</v>
      </c>
      <c r="Y175" s="15">
        <f>MAX(0,MIN('Potentiel produktion'!C162*$D$3,N175))</f>
        <v>0</v>
      </c>
      <c r="Z175" s="15">
        <f t="shared" si="17"/>
        <v>1.0881000000000005</v>
      </c>
      <c r="AA175" s="16">
        <f t="shared" si="18"/>
        <v>0</v>
      </c>
      <c r="AB175" s="16">
        <v>0</v>
      </c>
      <c r="AC175" s="16">
        <v>0</v>
      </c>
      <c r="AD175" s="145">
        <f>(Y175*$H$3+Z175*'Varmepumpeberegning VP1'!Z163+AA175*$H$5+AB175*$H$6+AC175*$H$7)*24</f>
        <v>1161.9543214437331</v>
      </c>
      <c r="AF175" s="16">
        <f>Z175*'Varmepumpeberegning VP1'!Z163*24</f>
        <v>1161.9543214437331</v>
      </c>
      <c r="AG175" s="20">
        <f>(Z175/'Varmepumpeberegning VP1'!W163)*24</f>
        <v>8.0374468782608499</v>
      </c>
      <c r="AH175" s="17">
        <f t="shared" si="19"/>
        <v>44.494773819951156</v>
      </c>
      <c r="AI175" s="15">
        <f>'Varmepumpeberegning VP1'!X163-'Systemberegning VP1'!Z175</f>
        <v>8.6382747903437433</v>
      </c>
    </row>
    <row r="176" spans="10:35" x14ac:dyDescent="0.25">
      <c r="J176" s="253"/>
      <c r="K176">
        <v>6</v>
      </c>
      <c r="L176">
        <v>161</v>
      </c>
      <c r="M176" s="310">
        <v>0.19368750000000004</v>
      </c>
      <c r="N176" s="15">
        <v>1.0881000000000005</v>
      </c>
      <c r="P176" s="15">
        <f>MAX(0,MIN('Potentiel produktion'!C163*$D$3,N176))</f>
        <v>0</v>
      </c>
      <c r="Q176" s="15">
        <f t="shared" si="14"/>
        <v>1.0881000000000005</v>
      </c>
      <c r="R176" s="15">
        <v>0</v>
      </c>
      <c r="S176" s="15">
        <v>0</v>
      </c>
      <c r="T176" s="160">
        <f t="shared" si="15"/>
        <v>2950.927200000001</v>
      </c>
      <c r="V176" s="289">
        <f>'Varmepumpeberegning VP1'!W164</f>
        <v>3.2053708816573461</v>
      </c>
      <c r="W176" s="289">
        <f>'Varmepumpeberegning VP1'!X164</f>
        <v>9.6214535463560686</v>
      </c>
      <c r="X176" s="289">
        <f t="shared" si="16"/>
        <v>45.077880349837372</v>
      </c>
      <c r="Y176" s="15">
        <f>MAX(0,MIN('Potentiel produktion'!C163*$D$3,N176))</f>
        <v>0</v>
      </c>
      <c r="Z176" s="15">
        <f t="shared" si="17"/>
        <v>1.0881000000000005</v>
      </c>
      <c r="AA176" s="16">
        <f t="shared" si="18"/>
        <v>0</v>
      </c>
      <c r="AB176" s="16">
        <v>0</v>
      </c>
      <c r="AC176" s="16">
        <v>0</v>
      </c>
      <c r="AD176" s="145">
        <f>(Y176*$H$3+Z176*'Varmepumpeberegning VP1'!Z164+AA176*$H$5+AB176*$H$6+AC176*$H$7)*24</f>
        <v>1177.1817986077936</v>
      </c>
      <c r="AF176" s="16">
        <f>Z176*'Varmepumpeberegning VP1'!Z164*24</f>
        <v>1177.1817986077936</v>
      </c>
      <c r="AG176" s="20">
        <f>(Z176/'Varmepumpeberegning VP1'!W164)*24</f>
        <v>8.1470759435168674</v>
      </c>
      <c r="AH176" s="17">
        <f t="shared" si="19"/>
        <v>45.077880349837365</v>
      </c>
      <c r="AI176" s="15">
        <f>'Varmepumpeberegning VP1'!X164-'Systemberegning VP1'!Z176</f>
        <v>8.5333535463560679</v>
      </c>
    </row>
    <row r="177" spans="10:35" x14ac:dyDescent="0.25">
      <c r="J177" s="253"/>
      <c r="K177">
        <v>6</v>
      </c>
      <c r="L177">
        <v>162</v>
      </c>
      <c r="M177" s="310">
        <v>0.19368750000000004</v>
      </c>
      <c r="N177" s="15">
        <v>1.0881000000000005</v>
      </c>
      <c r="P177" s="15">
        <f>MAX(0,MIN('Potentiel produktion'!C164*$D$3,N177))</f>
        <v>0</v>
      </c>
      <c r="Q177" s="15">
        <f t="shared" si="14"/>
        <v>1.0881000000000005</v>
      </c>
      <c r="R177" s="15">
        <v>0</v>
      </c>
      <c r="S177" s="15">
        <v>0</v>
      </c>
      <c r="T177" s="160">
        <f t="shared" si="15"/>
        <v>2950.927200000001</v>
      </c>
      <c r="V177" s="289">
        <f>'Varmepumpeberegning VP1'!W165</f>
        <v>3.1618855914913517</v>
      </c>
      <c r="W177" s="289">
        <f>'Varmepumpeberegning VP1'!X165</f>
        <v>9.5165323023683932</v>
      </c>
      <c r="X177" s="289">
        <f t="shared" si="16"/>
        <v>45.673844559506328</v>
      </c>
      <c r="Y177" s="15">
        <f>MAX(0,MIN('Potentiel produktion'!C164*$D$3,N177))</f>
        <v>0</v>
      </c>
      <c r="Z177" s="15">
        <f t="shared" si="17"/>
        <v>1.0881000000000005</v>
      </c>
      <c r="AA177" s="16">
        <f t="shared" si="18"/>
        <v>0</v>
      </c>
      <c r="AB177" s="16">
        <v>0</v>
      </c>
      <c r="AC177" s="16">
        <v>0</v>
      </c>
      <c r="AD177" s="145">
        <f>(Y177*$H$3+Z177*'Varmepumpeberegning VP1'!Z165+AA177*$H$5+AB177*$H$6+AC177*$H$7)*24</f>
        <v>1192.7450463647726</v>
      </c>
      <c r="AF177" s="16">
        <f>Z177*'Varmepumpeberegning VP1'!Z165*24</f>
        <v>1192.7450463647726</v>
      </c>
      <c r="AG177" s="20">
        <f>(Z177/'Varmepumpeberegning VP1'!W165)*24</f>
        <v>8.2591223636535052</v>
      </c>
      <c r="AH177" s="17">
        <f t="shared" si="19"/>
        <v>45.673844559506328</v>
      </c>
      <c r="AI177" s="15">
        <f>'Varmepumpeberegning VP1'!X165-'Systemberegning VP1'!Z177</f>
        <v>8.4284323023683925</v>
      </c>
    </row>
    <row r="178" spans="10:35" x14ac:dyDescent="0.25">
      <c r="J178" s="253"/>
      <c r="K178">
        <v>6</v>
      </c>
      <c r="L178">
        <v>163</v>
      </c>
      <c r="M178" s="310">
        <v>0.19368750000000004</v>
      </c>
      <c r="N178" s="15">
        <v>1.0881000000000005</v>
      </c>
      <c r="P178" s="15">
        <f>MAX(0,MIN('Potentiel produktion'!C165*$D$3,N178))</f>
        <v>0</v>
      </c>
      <c r="Q178" s="15">
        <f t="shared" si="14"/>
        <v>1.0881000000000005</v>
      </c>
      <c r="R178" s="15">
        <v>0</v>
      </c>
      <c r="S178" s="15">
        <v>0</v>
      </c>
      <c r="T178" s="160">
        <f t="shared" si="15"/>
        <v>2950.927200000001</v>
      </c>
      <c r="V178" s="289">
        <f>'Varmepumpeberegning VP1'!W166</f>
        <v>3.2053708816573461</v>
      </c>
      <c r="W178" s="289">
        <f>'Varmepumpeberegning VP1'!X166</f>
        <v>9.6214535463560686</v>
      </c>
      <c r="X178" s="289">
        <f t="shared" si="16"/>
        <v>45.077880349837372</v>
      </c>
      <c r="Y178" s="15">
        <f>MAX(0,MIN('Potentiel produktion'!C165*$D$3,N178))</f>
        <v>0</v>
      </c>
      <c r="Z178" s="15">
        <f t="shared" si="17"/>
        <v>1.0881000000000005</v>
      </c>
      <c r="AA178" s="16">
        <f t="shared" si="18"/>
        <v>0</v>
      </c>
      <c r="AB178" s="16">
        <v>0</v>
      </c>
      <c r="AC178" s="16">
        <v>0</v>
      </c>
      <c r="AD178" s="145">
        <f>(Y178*$H$3+Z178*'Varmepumpeberegning VP1'!Z166+AA178*$H$5+AB178*$H$6+AC178*$H$7)*24</f>
        <v>1177.1817986077936</v>
      </c>
      <c r="AF178" s="16">
        <f>Z178*'Varmepumpeberegning VP1'!Z166*24</f>
        <v>1177.1817986077936</v>
      </c>
      <c r="AG178" s="20">
        <f>(Z178/'Varmepumpeberegning VP1'!W166)*24</f>
        <v>8.1470759435168674</v>
      </c>
      <c r="AH178" s="17">
        <f t="shared" si="19"/>
        <v>45.077880349837365</v>
      </c>
      <c r="AI178" s="15">
        <f>'Varmepumpeberegning VP1'!X166-'Systemberegning VP1'!Z178</f>
        <v>8.5333535463560679</v>
      </c>
    </row>
    <row r="179" spans="10:35" x14ac:dyDescent="0.25">
      <c r="J179" s="253"/>
      <c r="K179">
        <v>6</v>
      </c>
      <c r="L179">
        <v>164</v>
      </c>
      <c r="M179" s="310">
        <v>0.19368750000000004</v>
      </c>
      <c r="N179" s="15">
        <v>1.0881000000000005</v>
      </c>
      <c r="P179" s="15">
        <f>MAX(0,MIN('Potentiel produktion'!C166*$D$3,N179))</f>
        <v>0</v>
      </c>
      <c r="Q179" s="15">
        <f t="shared" si="14"/>
        <v>1.0881000000000005</v>
      </c>
      <c r="R179" s="15">
        <v>0</v>
      </c>
      <c r="S179" s="15">
        <v>0</v>
      </c>
      <c r="T179" s="160">
        <f t="shared" si="15"/>
        <v>2950.927200000001</v>
      </c>
      <c r="V179" s="289">
        <f>'Varmepumpeberegning VP1'!W167</f>
        <v>3.1618855914913517</v>
      </c>
      <c r="W179" s="289">
        <f>'Varmepumpeberegning VP1'!X167</f>
        <v>9.5165323023683932</v>
      </c>
      <c r="X179" s="289">
        <f t="shared" si="16"/>
        <v>45.673844559506328</v>
      </c>
      <c r="Y179" s="15">
        <f>MAX(0,MIN('Potentiel produktion'!C166*$D$3,N179))</f>
        <v>0</v>
      </c>
      <c r="Z179" s="15">
        <f t="shared" si="17"/>
        <v>1.0881000000000005</v>
      </c>
      <c r="AA179" s="16">
        <f t="shared" si="18"/>
        <v>0</v>
      </c>
      <c r="AB179" s="16">
        <v>0</v>
      </c>
      <c r="AC179" s="16">
        <v>0</v>
      </c>
      <c r="AD179" s="145">
        <f>(Y179*$H$3+Z179*'Varmepumpeberegning VP1'!Z167+AA179*$H$5+AB179*$H$6+AC179*$H$7)*24</f>
        <v>1192.7450463647726</v>
      </c>
      <c r="AF179" s="16">
        <f>Z179*'Varmepumpeberegning VP1'!Z167*24</f>
        <v>1192.7450463647726</v>
      </c>
      <c r="AG179" s="20">
        <f>(Z179/'Varmepumpeberegning VP1'!W167)*24</f>
        <v>8.2591223636535052</v>
      </c>
      <c r="AH179" s="17">
        <f t="shared" si="19"/>
        <v>45.673844559506328</v>
      </c>
      <c r="AI179" s="15">
        <f>'Varmepumpeberegning VP1'!X167-'Systemberegning VP1'!Z179</f>
        <v>8.4284323023683925</v>
      </c>
    </row>
    <row r="180" spans="10:35" x14ac:dyDescent="0.25">
      <c r="J180" s="253"/>
      <c r="K180">
        <v>6</v>
      </c>
      <c r="L180">
        <v>165</v>
      </c>
      <c r="M180" s="310">
        <v>0.19368750000000004</v>
      </c>
      <c r="N180" s="15">
        <v>1.0881000000000005</v>
      </c>
      <c r="P180" s="15">
        <f>MAX(0,MIN('Potentiel produktion'!C167*$D$3,N180))</f>
        <v>0</v>
      </c>
      <c r="Q180" s="15">
        <f t="shared" si="14"/>
        <v>1.0881000000000005</v>
      </c>
      <c r="R180" s="15">
        <v>0</v>
      </c>
      <c r="S180" s="15">
        <v>0</v>
      </c>
      <c r="T180" s="160">
        <f t="shared" si="15"/>
        <v>2950.927200000001</v>
      </c>
      <c r="V180" s="289">
        <f>'Varmepumpeberegning VP1'!W168</f>
        <v>3.2490914584620767</v>
      </c>
      <c r="W180" s="289">
        <f>'Varmepumpeberegning VP1'!X168</f>
        <v>9.7263747903437441</v>
      </c>
      <c r="X180" s="289">
        <f t="shared" si="16"/>
        <v>44.494773819951156</v>
      </c>
      <c r="Y180" s="15">
        <f>MAX(0,MIN('Potentiel produktion'!C167*$D$3,N180))</f>
        <v>0</v>
      </c>
      <c r="Z180" s="15">
        <f t="shared" si="17"/>
        <v>1.0881000000000005</v>
      </c>
      <c r="AA180" s="16">
        <f t="shared" si="18"/>
        <v>0</v>
      </c>
      <c r="AB180" s="16">
        <v>0</v>
      </c>
      <c r="AC180" s="16">
        <v>0</v>
      </c>
      <c r="AD180" s="145">
        <f>(Y180*$H$3+Z180*'Varmepumpeberegning VP1'!Z168+AA180*$H$5+AB180*$H$6+AC180*$H$7)*24</f>
        <v>1161.9543214437331</v>
      </c>
      <c r="AF180" s="16">
        <f>Z180*'Varmepumpeberegning VP1'!Z168*24</f>
        <v>1161.9543214437331</v>
      </c>
      <c r="AG180" s="20">
        <f>(Z180/'Varmepumpeberegning VP1'!W168)*24</f>
        <v>8.0374468782608499</v>
      </c>
      <c r="AH180" s="17">
        <f t="shared" si="19"/>
        <v>44.494773819951156</v>
      </c>
      <c r="AI180" s="15">
        <f>'Varmepumpeberegning VP1'!X168-'Systemberegning VP1'!Z180</f>
        <v>8.6382747903437433</v>
      </c>
    </row>
    <row r="181" spans="10:35" x14ac:dyDescent="0.25">
      <c r="J181" s="253"/>
      <c r="K181">
        <v>6</v>
      </c>
      <c r="L181">
        <v>166</v>
      </c>
      <c r="M181" s="310">
        <v>0.19368750000000004</v>
      </c>
      <c r="N181" s="15">
        <v>1.0881000000000005</v>
      </c>
      <c r="P181" s="15">
        <f>MAX(0,MIN('Potentiel produktion'!C168*$D$3,N181))</f>
        <v>0</v>
      </c>
      <c r="Q181" s="15">
        <f t="shared" si="14"/>
        <v>1.0881000000000005</v>
      </c>
      <c r="R181" s="15">
        <v>0</v>
      </c>
      <c r="S181" s="15">
        <v>0</v>
      </c>
      <c r="T181" s="160">
        <f t="shared" si="15"/>
        <v>2950.927200000001</v>
      </c>
      <c r="V181" s="289">
        <f>'Varmepumpeberegning VP1'!W169</f>
        <v>3.3372461519597025</v>
      </c>
      <c r="W181" s="289">
        <f>'Varmepumpeberegning VP1'!X169</f>
        <v>9.936217278319095</v>
      </c>
      <c r="X181" s="289">
        <f t="shared" si="16"/>
        <v>43.365504555254446</v>
      </c>
      <c r="Y181" s="15">
        <f>MAX(0,MIN('Potentiel produktion'!C168*$D$3,N181))</f>
        <v>0</v>
      </c>
      <c r="Z181" s="15">
        <f t="shared" si="17"/>
        <v>1.0881000000000005</v>
      </c>
      <c r="AA181" s="16">
        <f t="shared" si="18"/>
        <v>0</v>
      </c>
      <c r="AB181" s="16">
        <v>0</v>
      </c>
      <c r="AC181" s="16">
        <v>0</v>
      </c>
      <c r="AD181" s="145">
        <f>(Y181*$H$3+Z181*'Varmepumpeberegning VP1'!Z169+AA181*$H$5+AB181*$H$6+AC181*$H$7)*24</f>
        <v>1132.4641321577374</v>
      </c>
      <c r="AF181" s="16">
        <f>Z181*'Varmepumpeberegning VP1'!Z169*24</f>
        <v>1132.4641321577374</v>
      </c>
      <c r="AG181" s="20">
        <f>(Z181/'Varmepumpeberegning VP1'!W169)*24</f>
        <v>7.8251345003919113</v>
      </c>
      <c r="AH181" s="17">
        <f t="shared" si="19"/>
        <v>43.365504555254454</v>
      </c>
      <c r="AI181" s="15">
        <f>'Varmepumpeberegning VP1'!X169-'Systemberegning VP1'!Z181</f>
        <v>8.8481172783190942</v>
      </c>
    </row>
    <row r="182" spans="10:35" x14ac:dyDescent="0.25">
      <c r="J182" s="253"/>
      <c r="K182">
        <v>6</v>
      </c>
      <c r="L182">
        <v>167</v>
      </c>
      <c r="M182" s="310">
        <v>0.19368750000000004</v>
      </c>
      <c r="N182" s="15">
        <v>1.0881000000000005</v>
      </c>
      <c r="P182" s="15">
        <f>MAX(0,MIN('Potentiel produktion'!C169*$D$3,N182))</f>
        <v>0</v>
      </c>
      <c r="Q182" s="15">
        <f t="shared" si="14"/>
        <v>1.0881000000000005</v>
      </c>
      <c r="R182" s="15">
        <v>0</v>
      </c>
      <c r="S182" s="15">
        <v>0</v>
      </c>
      <c r="T182" s="160">
        <f t="shared" si="15"/>
        <v>2950.927200000001</v>
      </c>
      <c r="V182" s="289">
        <f>'Varmepumpeberegning VP1'!W170</f>
        <v>3.2930492366901718</v>
      </c>
      <c r="W182" s="289">
        <f>'Varmepumpeberegning VP1'!X170</f>
        <v>9.8312960343314195</v>
      </c>
      <c r="X182" s="289">
        <f t="shared" si="16"/>
        <v>43.924113311887368</v>
      </c>
      <c r="Y182" s="15">
        <f>MAX(0,MIN('Potentiel produktion'!C169*$D$3,N182))</f>
        <v>0</v>
      </c>
      <c r="Z182" s="15">
        <f t="shared" si="17"/>
        <v>1.0881000000000005</v>
      </c>
      <c r="AA182" s="16">
        <f t="shared" si="18"/>
        <v>0</v>
      </c>
      <c r="AB182" s="16">
        <v>0</v>
      </c>
      <c r="AC182" s="16">
        <v>0</v>
      </c>
      <c r="AD182" s="145">
        <f>(Y182*$H$3+Z182*'Varmepumpeberegning VP1'!Z170+AA182*$H$5+AB182*$H$6+AC182*$H$7)*24</f>
        <v>1147.051864671952</v>
      </c>
      <c r="AF182" s="16">
        <f>Z182*'Varmepumpeberegning VP1'!Z170*24</f>
        <v>1147.051864671952</v>
      </c>
      <c r="AG182" s="20">
        <f>(Z182/'Varmepumpeberegning VP1'!W170)*24</f>
        <v>7.9301577726324783</v>
      </c>
      <c r="AH182" s="17">
        <f t="shared" si="19"/>
        <v>43.924113311887368</v>
      </c>
      <c r="AI182" s="15">
        <f>'Varmepumpeberegning VP1'!X170-'Systemberegning VP1'!Z182</f>
        <v>8.7431960343314188</v>
      </c>
    </row>
    <row r="183" spans="10:35" x14ac:dyDescent="0.25">
      <c r="J183" s="253"/>
      <c r="K183">
        <v>6</v>
      </c>
      <c r="L183">
        <v>168</v>
      </c>
      <c r="M183" s="310">
        <v>0.19368750000000004</v>
      </c>
      <c r="N183" s="15">
        <v>1.0881000000000005</v>
      </c>
      <c r="P183" s="15">
        <f>MAX(0,MIN('Potentiel produktion'!C170*$D$3,N183))</f>
        <v>0</v>
      </c>
      <c r="Q183" s="15">
        <f t="shared" si="14"/>
        <v>1.0881000000000005</v>
      </c>
      <c r="R183" s="15">
        <v>0</v>
      </c>
      <c r="S183" s="15">
        <v>0</v>
      </c>
      <c r="T183" s="160">
        <f t="shared" si="15"/>
        <v>2950.927200000001</v>
      </c>
      <c r="V183" s="289">
        <f>'Varmepumpeberegning VP1'!W171</f>
        <v>3.2930492366901718</v>
      </c>
      <c r="W183" s="289">
        <f>'Varmepumpeberegning VP1'!X171</f>
        <v>9.8312960343314195</v>
      </c>
      <c r="X183" s="289">
        <f t="shared" si="16"/>
        <v>43.924113311887368</v>
      </c>
      <c r="Y183" s="15">
        <f>MAX(0,MIN('Potentiel produktion'!C170*$D$3,N183))</f>
        <v>0</v>
      </c>
      <c r="Z183" s="15">
        <f t="shared" si="17"/>
        <v>1.0881000000000005</v>
      </c>
      <c r="AA183" s="16">
        <f t="shared" si="18"/>
        <v>0</v>
      </c>
      <c r="AB183" s="16">
        <v>0</v>
      </c>
      <c r="AC183" s="16">
        <v>0</v>
      </c>
      <c r="AD183" s="145">
        <f>(Y183*$H$3+Z183*'Varmepumpeberegning VP1'!Z171+AA183*$H$5+AB183*$H$6+AC183*$H$7)*24</f>
        <v>1147.051864671952</v>
      </c>
      <c r="AF183" s="16">
        <f>Z183*'Varmepumpeberegning VP1'!Z171*24</f>
        <v>1147.051864671952</v>
      </c>
      <c r="AG183" s="20">
        <f>(Z183/'Varmepumpeberegning VP1'!W171)*24</f>
        <v>7.9301577726324783</v>
      </c>
      <c r="AH183" s="17">
        <f t="shared" si="19"/>
        <v>43.924113311887368</v>
      </c>
      <c r="AI183" s="15">
        <f>'Varmepumpeberegning VP1'!X171-'Systemberegning VP1'!Z183</f>
        <v>8.7431960343314188</v>
      </c>
    </row>
    <row r="184" spans="10:35" x14ac:dyDescent="0.25">
      <c r="J184" s="253"/>
      <c r="K184">
        <v>6</v>
      </c>
      <c r="L184">
        <v>169</v>
      </c>
      <c r="M184" s="310">
        <v>0.19368750000000004</v>
      </c>
      <c r="N184" s="15">
        <v>1.0881000000000005</v>
      </c>
      <c r="P184" s="15">
        <f>MAX(0,MIN('Potentiel produktion'!C171*$D$3,N184))</f>
        <v>0</v>
      </c>
      <c r="Q184" s="15">
        <f t="shared" si="14"/>
        <v>1.0881000000000005</v>
      </c>
      <c r="R184" s="15">
        <v>0</v>
      </c>
      <c r="S184" s="15">
        <v>0</v>
      </c>
      <c r="T184" s="160">
        <f t="shared" si="15"/>
        <v>2950.927200000001</v>
      </c>
      <c r="V184" s="289">
        <f>'Varmepumpeberegning VP1'!W172</f>
        <v>3.3372461519597025</v>
      </c>
      <c r="W184" s="289">
        <f>'Varmepumpeberegning VP1'!X172</f>
        <v>9.936217278319095</v>
      </c>
      <c r="X184" s="289">
        <f t="shared" si="16"/>
        <v>43.365504555254446</v>
      </c>
      <c r="Y184" s="15">
        <f>MAX(0,MIN('Potentiel produktion'!C171*$D$3,N184))</f>
        <v>0</v>
      </c>
      <c r="Z184" s="15">
        <f t="shared" si="17"/>
        <v>1.0881000000000005</v>
      </c>
      <c r="AA184" s="16">
        <f t="shared" si="18"/>
        <v>0</v>
      </c>
      <c r="AB184" s="16">
        <v>0</v>
      </c>
      <c r="AC184" s="16">
        <v>0</v>
      </c>
      <c r="AD184" s="145">
        <f>(Y184*$H$3+Z184*'Varmepumpeberegning VP1'!Z172+AA184*$H$5+AB184*$H$6+AC184*$H$7)*24</f>
        <v>1132.4641321577374</v>
      </c>
      <c r="AF184" s="16">
        <f>Z184*'Varmepumpeberegning VP1'!Z172*24</f>
        <v>1132.4641321577374</v>
      </c>
      <c r="AG184" s="20">
        <f>(Z184/'Varmepumpeberegning VP1'!W172)*24</f>
        <v>7.8251345003919113</v>
      </c>
      <c r="AH184" s="17">
        <f t="shared" si="19"/>
        <v>43.365504555254454</v>
      </c>
      <c r="AI184" s="15">
        <f>'Varmepumpeberegning VP1'!X172-'Systemberegning VP1'!Z184</f>
        <v>8.8481172783190942</v>
      </c>
    </row>
    <row r="185" spans="10:35" x14ac:dyDescent="0.25">
      <c r="J185" s="253"/>
      <c r="K185">
        <v>6</v>
      </c>
      <c r="L185">
        <v>170</v>
      </c>
      <c r="M185" s="310">
        <v>0.19368750000000004</v>
      </c>
      <c r="N185" s="15">
        <v>1.0881000000000005</v>
      </c>
      <c r="P185" s="15">
        <f>MAX(0,MIN('Potentiel produktion'!C172*$D$3,N185))</f>
        <v>0</v>
      </c>
      <c r="Q185" s="15">
        <f t="shared" si="14"/>
        <v>1.0881000000000005</v>
      </c>
      <c r="R185" s="15">
        <v>0</v>
      </c>
      <c r="S185" s="15">
        <v>0</v>
      </c>
      <c r="T185" s="160">
        <f t="shared" si="15"/>
        <v>2950.927200000001</v>
      </c>
      <c r="V185" s="289">
        <f>'Varmepumpeberegning VP1'!W173</f>
        <v>3.3372461519597025</v>
      </c>
      <c r="W185" s="289">
        <f>'Varmepumpeberegning VP1'!X173</f>
        <v>9.936217278319095</v>
      </c>
      <c r="X185" s="289">
        <f t="shared" si="16"/>
        <v>43.365504555254446</v>
      </c>
      <c r="Y185" s="15">
        <f>MAX(0,MIN('Potentiel produktion'!C172*$D$3,N185))</f>
        <v>0</v>
      </c>
      <c r="Z185" s="15">
        <f t="shared" si="17"/>
        <v>1.0881000000000005</v>
      </c>
      <c r="AA185" s="16">
        <f t="shared" si="18"/>
        <v>0</v>
      </c>
      <c r="AB185" s="16">
        <v>0</v>
      </c>
      <c r="AC185" s="16">
        <v>0</v>
      </c>
      <c r="AD185" s="145">
        <f>(Y185*$H$3+Z185*'Varmepumpeberegning VP1'!Z173+AA185*$H$5+AB185*$H$6+AC185*$H$7)*24</f>
        <v>1132.4641321577374</v>
      </c>
      <c r="AF185" s="16">
        <f>Z185*'Varmepumpeberegning VP1'!Z173*24</f>
        <v>1132.4641321577374</v>
      </c>
      <c r="AG185" s="20">
        <f>(Z185/'Varmepumpeberegning VP1'!W173)*24</f>
        <v>7.8251345003919113</v>
      </c>
      <c r="AH185" s="17">
        <f t="shared" si="19"/>
        <v>43.365504555254454</v>
      </c>
      <c r="AI185" s="15">
        <f>'Varmepumpeberegning VP1'!X173-'Systemberegning VP1'!Z185</f>
        <v>8.8481172783190942</v>
      </c>
    </row>
    <row r="186" spans="10:35" x14ac:dyDescent="0.25">
      <c r="J186" s="253"/>
      <c r="K186">
        <v>6</v>
      </c>
      <c r="L186">
        <v>171</v>
      </c>
      <c r="M186" s="310">
        <v>0.19368750000000004</v>
      </c>
      <c r="N186" s="15">
        <v>1.0881000000000005</v>
      </c>
      <c r="P186" s="15">
        <f>MAX(0,MIN('Potentiel produktion'!C173*$D$3,N186))</f>
        <v>0</v>
      </c>
      <c r="Q186" s="15">
        <f t="shared" si="14"/>
        <v>1.0881000000000005</v>
      </c>
      <c r="R186" s="15">
        <v>0</v>
      </c>
      <c r="S186" s="15">
        <v>0</v>
      </c>
      <c r="T186" s="160">
        <f t="shared" si="15"/>
        <v>2950.927200000001</v>
      </c>
      <c r="V186" s="289">
        <f>'Varmepumpeberegning VP1'!W174</f>
        <v>3.3372461519597025</v>
      </c>
      <c r="W186" s="289">
        <f>'Varmepumpeberegning VP1'!X174</f>
        <v>9.936217278319095</v>
      </c>
      <c r="X186" s="289">
        <f t="shared" si="16"/>
        <v>43.365504555254446</v>
      </c>
      <c r="Y186" s="15">
        <f>MAX(0,MIN('Potentiel produktion'!C173*$D$3,N186))</f>
        <v>0</v>
      </c>
      <c r="Z186" s="15">
        <f t="shared" si="17"/>
        <v>1.0881000000000005</v>
      </c>
      <c r="AA186" s="16">
        <f t="shared" si="18"/>
        <v>0</v>
      </c>
      <c r="AB186" s="16">
        <v>0</v>
      </c>
      <c r="AC186" s="16">
        <v>0</v>
      </c>
      <c r="AD186" s="145">
        <f>(Y186*$H$3+Z186*'Varmepumpeberegning VP1'!Z174+AA186*$H$5+AB186*$H$6+AC186*$H$7)*24</f>
        <v>1132.4641321577374</v>
      </c>
      <c r="AF186" s="16">
        <f>Z186*'Varmepumpeberegning VP1'!Z174*24</f>
        <v>1132.4641321577374</v>
      </c>
      <c r="AG186" s="20">
        <f>(Z186/'Varmepumpeberegning VP1'!W174)*24</f>
        <v>7.8251345003919113</v>
      </c>
      <c r="AH186" s="17">
        <f t="shared" si="19"/>
        <v>43.365504555254454</v>
      </c>
      <c r="AI186" s="15">
        <f>'Varmepumpeberegning VP1'!X174-'Systemberegning VP1'!Z186</f>
        <v>8.8481172783190942</v>
      </c>
    </row>
    <row r="187" spans="10:35" x14ac:dyDescent="0.25">
      <c r="J187" s="253"/>
      <c r="K187">
        <v>6</v>
      </c>
      <c r="L187">
        <v>172</v>
      </c>
      <c r="M187" s="310">
        <v>0.19368750000000004</v>
      </c>
      <c r="N187" s="15">
        <v>1.0881000000000005</v>
      </c>
      <c r="P187" s="15">
        <f>MAX(0,MIN('Potentiel produktion'!C174*$D$3,N187))</f>
        <v>0</v>
      </c>
      <c r="Q187" s="15">
        <f t="shared" si="14"/>
        <v>1.0881000000000005</v>
      </c>
      <c r="R187" s="15">
        <v>0</v>
      </c>
      <c r="S187" s="15">
        <v>0</v>
      </c>
      <c r="T187" s="160">
        <f t="shared" si="15"/>
        <v>2950.927200000001</v>
      </c>
      <c r="V187" s="289">
        <f>'Varmepumpeberegning VP1'!W175</f>
        <v>3.2930492366901718</v>
      </c>
      <c r="W187" s="289">
        <f>'Varmepumpeberegning VP1'!X175</f>
        <v>9.8312960343314195</v>
      </c>
      <c r="X187" s="289">
        <f t="shared" si="16"/>
        <v>43.924113311887368</v>
      </c>
      <c r="Y187" s="15">
        <f>MAX(0,MIN('Potentiel produktion'!C174*$D$3,N187))</f>
        <v>0</v>
      </c>
      <c r="Z187" s="15">
        <f t="shared" si="17"/>
        <v>1.0881000000000005</v>
      </c>
      <c r="AA187" s="16">
        <f t="shared" si="18"/>
        <v>0</v>
      </c>
      <c r="AB187" s="16">
        <v>0</v>
      </c>
      <c r="AC187" s="16">
        <v>0</v>
      </c>
      <c r="AD187" s="145">
        <f>(Y187*$H$3+Z187*'Varmepumpeberegning VP1'!Z175+AA187*$H$5+AB187*$H$6+AC187*$H$7)*24</f>
        <v>1147.051864671952</v>
      </c>
      <c r="AF187" s="16">
        <f>Z187*'Varmepumpeberegning VP1'!Z175*24</f>
        <v>1147.051864671952</v>
      </c>
      <c r="AG187" s="20">
        <f>(Z187/'Varmepumpeberegning VP1'!W175)*24</f>
        <v>7.9301577726324783</v>
      </c>
      <c r="AH187" s="17">
        <f t="shared" si="19"/>
        <v>43.924113311887368</v>
      </c>
      <c r="AI187" s="15">
        <f>'Varmepumpeberegning VP1'!X175-'Systemberegning VP1'!Z187</f>
        <v>8.7431960343314188</v>
      </c>
    </row>
    <row r="188" spans="10:35" x14ac:dyDescent="0.25">
      <c r="J188" s="253"/>
      <c r="K188">
        <v>6</v>
      </c>
      <c r="L188">
        <v>173</v>
      </c>
      <c r="M188" s="310">
        <v>0.19368750000000004</v>
      </c>
      <c r="N188" s="15">
        <v>1.0881000000000005</v>
      </c>
      <c r="P188" s="15">
        <f>MAX(0,MIN('Potentiel produktion'!C175*$D$3,N188))</f>
        <v>0</v>
      </c>
      <c r="Q188" s="15">
        <f t="shared" si="14"/>
        <v>1.0881000000000005</v>
      </c>
      <c r="R188" s="15">
        <v>0</v>
      </c>
      <c r="S188" s="15">
        <v>0</v>
      </c>
      <c r="T188" s="160">
        <f t="shared" si="15"/>
        <v>2950.927200000001</v>
      </c>
      <c r="V188" s="289">
        <f>'Varmepumpeberegning VP1'!W176</f>
        <v>3.3372461519597025</v>
      </c>
      <c r="W188" s="289">
        <f>'Varmepumpeberegning VP1'!X176</f>
        <v>9.936217278319095</v>
      </c>
      <c r="X188" s="289">
        <f t="shared" si="16"/>
        <v>43.365504555254446</v>
      </c>
      <c r="Y188" s="15">
        <f>MAX(0,MIN('Potentiel produktion'!C175*$D$3,N188))</f>
        <v>0</v>
      </c>
      <c r="Z188" s="15">
        <f t="shared" si="17"/>
        <v>1.0881000000000005</v>
      </c>
      <c r="AA188" s="16">
        <f t="shared" si="18"/>
        <v>0</v>
      </c>
      <c r="AB188" s="16">
        <v>0</v>
      </c>
      <c r="AC188" s="16">
        <v>0</v>
      </c>
      <c r="AD188" s="145">
        <f>(Y188*$H$3+Z188*'Varmepumpeberegning VP1'!Z176+AA188*$H$5+AB188*$H$6+AC188*$H$7)*24</f>
        <v>1132.4641321577374</v>
      </c>
      <c r="AF188" s="16">
        <f>Z188*'Varmepumpeberegning VP1'!Z176*24</f>
        <v>1132.4641321577374</v>
      </c>
      <c r="AG188" s="20">
        <f>(Z188/'Varmepumpeberegning VP1'!W176)*24</f>
        <v>7.8251345003919113</v>
      </c>
      <c r="AH188" s="17">
        <f t="shared" si="19"/>
        <v>43.365504555254454</v>
      </c>
      <c r="AI188" s="15">
        <f>'Varmepumpeberegning VP1'!X176-'Systemberegning VP1'!Z188</f>
        <v>8.8481172783190942</v>
      </c>
    </row>
    <row r="189" spans="10:35" x14ac:dyDescent="0.25">
      <c r="J189" s="253"/>
      <c r="K189">
        <v>6</v>
      </c>
      <c r="L189">
        <v>174</v>
      </c>
      <c r="M189" s="310">
        <v>0.19368750000000004</v>
      </c>
      <c r="N189" s="15">
        <v>1.0881000000000005</v>
      </c>
      <c r="P189" s="15">
        <f>MAX(0,MIN('Potentiel produktion'!C176*$D$3,N189))</f>
        <v>0</v>
      </c>
      <c r="Q189" s="15">
        <f t="shared" si="14"/>
        <v>1.0881000000000005</v>
      </c>
      <c r="R189" s="15">
        <v>0</v>
      </c>
      <c r="S189" s="15">
        <v>0</v>
      </c>
      <c r="T189" s="160">
        <f t="shared" si="15"/>
        <v>2950.927200000001</v>
      </c>
      <c r="V189" s="289">
        <f>'Varmepumpeberegning VP1'!W177</f>
        <v>3.3372461519597025</v>
      </c>
      <c r="W189" s="289">
        <f>'Varmepumpeberegning VP1'!X177</f>
        <v>9.936217278319095</v>
      </c>
      <c r="X189" s="289">
        <f t="shared" si="16"/>
        <v>43.365504555254446</v>
      </c>
      <c r="Y189" s="15">
        <f>MAX(0,MIN('Potentiel produktion'!C176*$D$3,N189))</f>
        <v>0</v>
      </c>
      <c r="Z189" s="15">
        <f t="shared" si="17"/>
        <v>1.0881000000000005</v>
      </c>
      <c r="AA189" s="16">
        <f t="shared" si="18"/>
        <v>0</v>
      </c>
      <c r="AB189" s="16">
        <v>0</v>
      </c>
      <c r="AC189" s="16">
        <v>0</v>
      </c>
      <c r="AD189" s="145">
        <f>(Y189*$H$3+Z189*'Varmepumpeberegning VP1'!Z177+AA189*$H$5+AB189*$H$6+AC189*$H$7)*24</f>
        <v>1132.4641321577374</v>
      </c>
      <c r="AF189" s="16">
        <f>Z189*'Varmepumpeberegning VP1'!Z177*24</f>
        <v>1132.4641321577374</v>
      </c>
      <c r="AG189" s="20">
        <f>(Z189/'Varmepumpeberegning VP1'!W177)*24</f>
        <v>7.8251345003919113</v>
      </c>
      <c r="AH189" s="17">
        <f t="shared" si="19"/>
        <v>43.365504555254454</v>
      </c>
      <c r="AI189" s="15">
        <f>'Varmepumpeberegning VP1'!X177-'Systemberegning VP1'!Z189</f>
        <v>8.8481172783190942</v>
      </c>
    </row>
    <row r="190" spans="10:35" x14ac:dyDescent="0.25">
      <c r="J190" s="253"/>
      <c r="K190">
        <v>6</v>
      </c>
      <c r="L190">
        <v>175</v>
      </c>
      <c r="M190" s="310">
        <v>0.19368750000000004</v>
      </c>
      <c r="N190" s="15">
        <v>1.0881000000000005</v>
      </c>
      <c r="P190" s="15">
        <f>MAX(0,MIN('Potentiel produktion'!C177*$D$3,N190))</f>
        <v>0</v>
      </c>
      <c r="Q190" s="15">
        <f t="shared" si="14"/>
        <v>1.0881000000000005</v>
      </c>
      <c r="R190" s="15">
        <v>0</v>
      </c>
      <c r="S190" s="15">
        <v>0</v>
      </c>
      <c r="T190" s="160">
        <f t="shared" si="15"/>
        <v>2950.927200000001</v>
      </c>
      <c r="V190" s="289">
        <f>'Varmepumpeberegning VP1'!W178</f>
        <v>3.3372461519597025</v>
      </c>
      <c r="W190" s="289">
        <f>'Varmepumpeberegning VP1'!X178</f>
        <v>9.936217278319095</v>
      </c>
      <c r="X190" s="289">
        <f t="shared" si="16"/>
        <v>43.365504555254446</v>
      </c>
      <c r="Y190" s="15">
        <f>MAX(0,MIN('Potentiel produktion'!C177*$D$3,N190))</f>
        <v>0</v>
      </c>
      <c r="Z190" s="15">
        <f t="shared" si="17"/>
        <v>1.0881000000000005</v>
      </c>
      <c r="AA190" s="16">
        <f t="shared" si="18"/>
        <v>0</v>
      </c>
      <c r="AB190" s="16">
        <v>0</v>
      </c>
      <c r="AC190" s="16">
        <v>0</v>
      </c>
      <c r="AD190" s="145">
        <f>(Y190*$H$3+Z190*'Varmepumpeberegning VP1'!Z178+AA190*$H$5+AB190*$H$6+AC190*$H$7)*24</f>
        <v>1132.4641321577374</v>
      </c>
      <c r="AF190" s="16">
        <f>Z190*'Varmepumpeberegning VP1'!Z178*24</f>
        <v>1132.4641321577374</v>
      </c>
      <c r="AG190" s="20">
        <f>(Z190/'Varmepumpeberegning VP1'!W178)*24</f>
        <v>7.8251345003919113</v>
      </c>
      <c r="AH190" s="17">
        <f t="shared" si="19"/>
        <v>43.365504555254454</v>
      </c>
      <c r="AI190" s="15">
        <f>'Varmepumpeberegning VP1'!X178-'Systemberegning VP1'!Z190</f>
        <v>8.8481172783190942</v>
      </c>
    </row>
    <row r="191" spans="10:35" x14ac:dyDescent="0.25">
      <c r="J191" s="253"/>
      <c r="K191">
        <v>6</v>
      </c>
      <c r="L191">
        <v>176</v>
      </c>
      <c r="M191" s="310">
        <v>0.19368750000000004</v>
      </c>
      <c r="N191" s="15">
        <v>1.0881000000000005</v>
      </c>
      <c r="P191" s="15">
        <f>MAX(0,MIN('Potentiel produktion'!C178*$D$3,N191))</f>
        <v>0</v>
      </c>
      <c r="Q191" s="15">
        <f t="shared" si="14"/>
        <v>1.0881000000000005</v>
      </c>
      <c r="R191" s="15">
        <v>0</v>
      </c>
      <c r="S191" s="15">
        <v>0</v>
      </c>
      <c r="T191" s="160">
        <f t="shared" si="15"/>
        <v>2950.927200000001</v>
      </c>
      <c r="V191" s="289">
        <f>'Varmepumpeberegning VP1'!W179</f>
        <v>3.3372461519597025</v>
      </c>
      <c r="W191" s="289">
        <f>'Varmepumpeberegning VP1'!X179</f>
        <v>9.936217278319095</v>
      </c>
      <c r="X191" s="289">
        <f t="shared" si="16"/>
        <v>43.365504555254446</v>
      </c>
      <c r="Y191" s="15">
        <f>MAX(0,MIN('Potentiel produktion'!C178*$D$3,N191))</f>
        <v>0</v>
      </c>
      <c r="Z191" s="15">
        <f t="shared" si="17"/>
        <v>1.0881000000000005</v>
      </c>
      <c r="AA191" s="16">
        <f t="shared" si="18"/>
        <v>0</v>
      </c>
      <c r="AB191" s="16">
        <v>0</v>
      </c>
      <c r="AC191" s="16">
        <v>0</v>
      </c>
      <c r="AD191" s="145">
        <f>(Y191*$H$3+Z191*'Varmepumpeberegning VP1'!Z179+AA191*$H$5+AB191*$H$6+AC191*$H$7)*24</f>
        <v>1132.4641321577374</v>
      </c>
      <c r="AF191" s="16">
        <f>Z191*'Varmepumpeberegning VP1'!Z179*24</f>
        <v>1132.4641321577374</v>
      </c>
      <c r="AG191" s="20">
        <f>(Z191/'Varmepumpeberegning VP1'!W179)*24</f>
        <v>7.8251345003919113</v>
      </c>
      <c r="AH191" s="17">
        <f t="shared" si="19"/>
        <v>43.365504555254454</v>
      </c>
      <c r="AI191" s="15">
        <f>'Varmepumpeberegning VP1'!X179-'Systemberegning VP1'!Z191</f>
        <v>8.8481172783190942</v>
      </c>
    </row>
    <row r="192" spans="10:35" x14ac:dyDescent="0.25">
      <c r="J192" s="253"/>
      <c r="K192">
        <v>6</v>
      </c>
      <c r="L192">
        <v>177</v>
      </c>
      <c r="M192" s="310">
        <v>0.19368750000000004</v>
      </c>
      <c r="N192" s="15">
        <v>1.0881000000000005</v>
      </c>
      <c r="P192" s="15">
        <f>MAX(0,MIN('Potentiel produktion'!C179*$D$3,N192))</f>
        <v>0</v>
      </c>
      <c r="Q192" s="15">
        <f t="shared" si="14"/>
        <v>1.0881000000000005</v>
      </c>
      <c r="R192" s="15">
        <v>0</v>
      </c>
      <c r="S192" s="15">
        <v>0</v>
      </c>
      <c r="T192" s="160">
        <f t="shared" si="15"/>
        <v>2950.927200000001</v>
      </c>
      <c r="V192" s="289">
        <f>'Varmepumpeberegning VP1'!W180</f>
        <v>3.3372461519597025</v>
      </c>
      <c r="W192" s="289">
        <f>'Varmepumpeberegning VP1'!X180</f>
        <v>9.936217278319095</v>
      </c>
      <c r="X192" s="289">
        <f t="shared" si="16"/>
        <v>43.365504555254446</v>
      </c>
      <c r="Y192" s="15">
        <f>MAX(0,MIN('Potentiel produktion'!C179*$D$3,N192))</f>
        <v>0</v>
      </c>
      <c r="Z192" s="15">
        <f t="shared" si="17"/>
        <v>1.0881000000000005</v>
      </c>
      <c r="AA192" s="16">
        <f t="shared" si="18"/>
        <v>0</v>
      </c>
      <c r="AB192" s="16">
        <v>0</v>
      </c>
      <c r="AC192" s="16">
        <v>0</v>
      </c>
      <c r="AD192" s="145">
        <f>(Y192*$H$3+Z192*'Varmepumpeberegning VP1'!Z180+AA192*$H$5+AB192*$H$6+AC192*$H$7)*24</f>
        <v>1132.4641321577374</v>
      </c>
      <c r="AF192" s="16">
        <f>Z192*'Varmepumpeberegning VP1'!Z180*24</f>
        <v>1132.4641321577374</v>
      </c>
      <c r="AG192" s="20">
        <f>(Z192/'Varmepumpeberegning VP1'!W180)*24</f>
        <v>7.8251345003919113</v>
      </c>
      <c r="AH192" s="17">
        <f t="shared" si="19"/>
        <v>43.365504555254454</v>
      </c>
      <c r="AI192" s="15">
        <f>'Varmepumpeberegning VP1'!X180-'Systemberegning VP1'!Z192</f>
        <v>8.8481172783190942</v>
      </c>
    </row>
    <row r="193" spans="10:35" x14ac:dyDescent="0.25">
      <c r="J193" s="253"/>
      <c r="K193">
        <v>6</v>
      </c>
      <c r="L193">
        <v>178</v>
      </c>
      <c r="M193" s="310">
        <v>0.19368750000000004</v>
      </c>
      <c r="N193" s="15">
        <v>1.0881000000000005</v>
      </c>
      <c r="P193" s="15">
        <f>MAX(0,MIN('Potentiel produktion'!C180*$D$3,N193))</f>
        <v>0</v>
      </c>
      <c r="Q193" s="15">
        <f t="shared" si="14"/>
        <v>1.0881000000000005</v>
      </c>
      <c r="R193" s="15">
        <v>0</v>
      </c>
      <c r="S193" s="15">
        <v>0</v>
      </c>
      <c r="T193" s="160">
        <f t="shared" si="15"/>
        <v>2950.927200000001</v>
      </c>
      <c r="V193" s="289">
        <f>'Varmepumpeberegning VP1'!W181</f>
        <v>3.3372461519597025</v>
      </c>
      <c r="W193" s="289">
        <f>'Varmepumpeberegning VP1'!X181</f>
        <v>9.936217278319095</v>
      </c>
      <c r="X193" s="289">
        <f t="shared" si="16"/>
        <v>43.365504555254446</v>
      </c>
      <c r="Y193" s="15">
        <f>MAX(0,MIN('Potentiel produktion'!C180*$D$3,N193))</f>
        <v>0</v>
      </c>
      <c r="Z193" s="15">
        <f t="shared" si="17"/>
        <v>1.0881000000000005</v>
      </c>
      <c r="AA193" s="16">
        <f t="shared" si="18"/>
        <v>0</v>
      </c>
      <c r="AB193" s="16">
        <v>0</v>
      </c>
      <c r="AC193" s="16">
        <v>0</v>
      </c>
      <c r="AD193" s="145">
        <f>(Y193*$H$3+Z193*'Varmepumpeberegning VP1'!Z181+AA193*$H$5+AB193*$H$6+AC193*$H$7)*24</f>
        <v>1132.4641321577374</v>
      </c>
      <c r="AF193" s="16">
        <f>Z193*'Varmepumpeberegning VP1'!Z181*24</f>
        <v>1132.4641321577374</v>
      </c>
      <c r="AG193" s="20">
        <f>(Z193/'Varmepumpeberegning VP1'!W181)*24</f>
        <v>7.8251345003919113</v>
      </c>
      <c r="AH193" s="17">
        <f t="shared" si="19"/>
        <v>43.365504555254454</v>
      </c>
      <c r="AI193" s="15">
        <f>'Varmepumpeberegning VP1'!X181-'Systemberegning VP1'!Z193</f>
        <v>8.8481172783190942</v>
      </c>
    </row>
    <row r="194" spans="10:35" x14ac:dyDescent="0.25">
      <c r="J194" s="253"/>
      <c r="K194">
        <v>6</v>
      </c>
      <c r="L194">
        <v>179</v>
      </c>
      <c r="M194" s="310">
        <v>0.19368750000000004</v>
      </c>
      <c r="N194" s="15">
        <v>1.0881000000000005</v>
      </c>
      <c r="P194" s="15">
        <f>MAX(0,MIN('Potentiel produktion'!C181*$D$3,N194))</f>
        <v>0</v>
      </c>
      <c r="Q194" s="15">
        <f t="shared" si="14"/>
        <v>1.0881000000000005</v>
      </c>
      <c r="R194" s="15">
        <v>0</v>
      </c>
      <c r="S194" s="15">
        <v>0</v>
      </c>
      <c r="T194" s="160">
        <f t="shared" si="15"/>
        <v>2950.927200000001</v>
      </c>
      <c r="V194" s="289">
        <f>'Varmepumpeberegning VP1'!W182</f>
        <v>3.3372461519597025</v>
      </c>
      <c r="W194" s="289">
        <f>'Varmepumpeberegning VP1'!X182</f>
        <v>9.936217278319095</v>
      </c>
      <c r="X194" s="289">
        <f t="shared" si="16"/>
        <v>43.365504555254446</v>
      </c>
      <c r="Y194" s="15">
        <f>MAX(0,MIN('Potentiel produktion'!C181*$D$3,N194))</f>
        <v>0</v>
      </c>
      <c r="Z194" s="15">
        <f t="shared" si="17"/>
        <v>1.0881000000000005</v>
      </c>
      <c r="AA194" s="16">
        <f t="shared" si="18"/>
        <v>0</v>
      </c>
      <c r="AB194" s="16">
        <v>0</v>
      </c>
      <c r="AC194" s="16">
        <v>0</v>
      </c>
      <c r="AD194" s="145">
        <f>(Y194*$H$3+Z194*'Varmepumpeberegning VP1'!Z182+AA194*$H$5+AB194*$H$6+AC194*$H$7)*24</f>
        <v>1132.4641321577374</v>
      </c>
      <c r="AF194" s="16">
        <f>Z194*'Varmepumpeberegning VP1'!Z182*24</f>
        <v>1132.4641321577374</v>
      </c>
      <c r="AG194" s="20">
        <f>(Z194/'Varmepumpeberegning VP1'!W182)*24</f>
        <v>7.8251345003919113</v>
      </c>
      <c r="AH194" s="17">
        <f t="shared" si="19"/>
        <v>43.365504555254454</v>
      </c>
      <c r="AI194" s="15">
        <f>'Varmepumpeberegning VP1'!X182-'Systemberegning VP1'!Z194</f>
        <v>8.8481172783190942</v>
      </c>
    </row>
    <row r="195" spans="10:35" x14ac:dyDescent="0.25">
      <c r="J195" s="253"/>
      <c r="K195">
        <v>6</v>
      </c>
      <c r="L195">
        <v>180</v>
      </c>
      <c r="M195" s="310">
        <v>0.19368750000000004</v>
      </c>
      <c r="N195" s="15">
        <v>1.0881000000000005</v>
      </c>
      <c r="P195" s="15">
        <f>MAX(0,MIN('Potentiel produktion'!C182*$D$3,N195))</f>
        <v>0</v>
      </c>
      <c r="Q195" s="15">
        <f t="shared" si="14"/>
        <v>1.0881000000000005</v>
      </c>
      <c r="R195" s="15">
        <v>0</v>
      </c>
      <c r="S195" s="15">
        <v>0</v>
      </c>
      <c r="T195" s="160">
        <f t="shared" si="15"/>
        <v>2950.927200000001</v>
      </c>
      <c r="V195" s="289">
        <f>'Varmepumpeberegning VP1'!W183</f>
        <v>3.3372461519597025</v>
      </c>
      <c r="W195" s="289">
        <f>'Varmepumpeberegning VP1'!X183</f>
        <v>9.936217278319095</v>
      </c>
      <c r="X195" s="289">
        <f t="shared" si="16"/>
        <v>43.365504555254446</v>
      </c>
      <c r="Y195" s="15">
        <f>MAX(0,MIN('Potentiel produktion'!C182*$D$3,N195))</f>
        <v>0</v>
      </c>
      <c r="Z195" s="15">
        <f t="shared" si="17"/>
        <v>1.0881000000000005</v>
      </c>
      <c r="AA195" s="16">
        <f t="shared" si="18"/>
        <v>0</v>
      </c>
      <c r="AB195" s="16">
        <v>0</v>
      </c>
      <c r="AC195" s="16">
        <v>0</v>
      </c>
      <c r="AD195" s="145">
        <f>(Y195*$H$3+Z195*'Varmepumpeberegning VP1'!Z183+AA195*$H$5+AB195*$H$6+AC195*$H$7)*24</f>
        <v>1132.4641321577374</v>
      </c>
      <c r="AF195" s="16">
        <f>Z195*'Varmepumpeberegning VP1'!Z183*24</f>
        <v>1132.4641321577374</v>
      </c>
      <c r="AG195" s="20">
        <f>(Z195/'Varmepumpeberegning VP1'!W183)*24</f>
        <v>7.8251345003919113</v>
      </c>
      <c r="AH195" s="17">
        <f t="shared" si="19"/>
        <v>43.365504555254454</v>
      </c>
      <c r="AI195" s="15">
        <f>'Varmepumpeberegning VP1'!X183-'Systemberegning VP1'!Z195</f>
        <v>8.8481172783190942</v>
      </c>
    </row>
    <row r="196" spans="10:35" x14ac:dyDescent="0.25">
      <c r="J196" s="253"/>
      <c r="K196">
        <v>6</v>
      </c>
      <c r="L196">
        <v>181</v>
      </c>
      <c r="M196" s="310">
        <v>0.19368750000000004</v>
      </c>
      <c r="N196" s="15">
        <v>1.0881000000000005</v>
      </c>
      <c r="P196" s="15">
        <f>MAX(0,MIN('Potentiel produktion'!C183*$D$3,N196))</f>
        <v>0</v>
      </c>
      <c r="Q196" s="15">
        <f t="shared" si="14"/>
        <v>1.0881000000000005</v>
      </c>
      <c r="R196" s="15">
        <v>0</v>
      </c>
      <c r="S196" s="15">
        <v>0</v>
      </c>
      <c r="T196" s="160">
        <f t="shared" si="15"/>
        <v>2950.927200000001</v>
      </c>
      <c r="V196" s="289">
        <f>'Varmepumpeberegning VP1'!W184</f>
        <v>3.3372461519597025</v>
      </c>
      <c r="W196" s="289">
        <f>'Varmepumpeberegning VP1'!X184</f>
        <v>9.936217278319095</v>
      </c>
      <c r="X196" s="289">
        <f t="shared" si="16"/>
        <v>43.365504555254446</v>
      </c>
      <c r="Y196" s="15">
        <f>MAX(0,MIN('Potentiel produktion'!C183*$D$3,N196))</f>
        <v>0</v>
      </c>
      <c r="Z196" s="15">
        <f t="shared" si="17"/>
        <v>1.0881000000000005</v>
      </c>
      <c r="AA196" s="16">
        <f t="shared" si="18"/>
        <v>0</v>
      </c>
      <c r="AB196" s="16">
        <v>0</v>
      </c>
      <c r="AC196" s="16">
        <v>0</v>
      </c>
      <c r="AD196" s="145">
        <f>(Y196*$H$3+Z196*'Varmepumpeberegning VP1'!Z184+AA196*$H$5+AB196*$H$6+AC196*$H$7)*24</f>
        <v>1132.4641321577374</v>
      </c>
      <c r="AF196" s="16">
        <f>Z196*'Varmepumpeberegning VP1'!Z184*24</f>
        <v>1132.4641321577374</v>
      </c>
      <c r="AG196" s="20">
        <f>(Z196/'Varmepumpeberegning VP1'!W184)*24</f>
        <v>7.8251345003919113</v>
      </c>
      <c r="AH196" s="17">
        <f t="shared" si="19"/>
        <v>43.365504555254454</v>
      </c>
      <c r="AI196" s="15">
        <f>'Varmepumpeberegning VP1'!X184-'Systemberegning VP1'!Z196</f>
        <v>8.8481172783190942</v>
      </c>
    </row>
    <row r="197" spans="10:35" x14ac:dyDescent="0.25">
      <c r="J197" s="253"/>
      <c r="K197">
        <v>7</v>
      </c>
      <c r="L197">
        <v>182</v>
      </c>
      <c r="M197" s="310">
        <v>0.19368750000000004</v>
      </c>
      <c r="N197" s="15">
        <v>1.0881000000000005</v>
      </c>
      <c r="P197" s="15">
        <f>MAX(0,MIN('Potentiel produktion'!C184*$D$3,N197))</f>
        <v>0</v>
      </c>
      <c r="Q197" s="15">
        <f t="shared" si="14"/>
        <v>1.0881000000000005</v>
      </c>
      <c r="R197" s="15">
        <v>0</v>
      </c>
      <c r="S197" s="15">
        <v>0</v>
      </c>
      <c r="T197" s="160">
        <f t="shared" si="15"/>
        <v>2950.927200000001</v>
      </c>
      <c r="V197" s="289">
        <f>'Varmepumpeberegning VP1'!W185</f>
        <v>3.3372461519597025</v>
      </c>
      <c r="W197" s="289">
        <f>'Varmepumpeberegning VP1'!X185</f>
        <v>9.936217278319095</v>
      </c>
      <c r="X197" s="289">
        <f t="shared" si="16"/>
        <v>43.365504555254446</v>
      </c>
      <c r="Y197" s="15">
        <f>MAX(0,MIN('Potentiel produktion'!C184*$D$3,N197))</f>
        <v>0</v>
      </c>
      <c r="Z197" s="15">
        <f t="shared" si="17"/>
        <v>1.0881000000000005</v>
      </c>
      <c r="AA197" s="16">
        <f t="shared" si="18"/>
        <v>0</v>
      </c>
      <c r="AB197" s="16">
        <v>0</v>
      </c>
      <c r="AC197" s="16">
        <v>0</v>
      </c>
      <c r="AD197" s="145">
        <f>(Y197*$H$3+Z197*'Varmepumpeberegning VP1'!Z185+AA197*$H$5+AB197*$H$6+AC197*$H$7)*24</f>
        <v>1132.4641321577374</v>
      </c>
      <c r="AF197" s="16">
        <f>Z197*'Varmepumpeberegning VP1'!Z185*24</f>
        <v>1132.4641321577374</v>
      </c>
      <c r="AG197" s="20">
        <f>(Z197/'Varmepumpeberegning VP1'!W185)*24</f>
        <v>7.8251345003919113</v>
      </c>
      <c r="AH197" s="17">
        <f t="shared" si="19"/>
        <v>43.365504555254454</v>
      </c>
      <c r="AI197" s="15">
        <f>'Varmepumpeberegning VP1'!X185-'Systemberegning VP1'!Z197</f>
        <v>8.8481172783190942</v>
      </c>
    </row>
    <row r="198" spans="10:35" x14ac:dyDescent="0.25">
      <c r="J198" s="253"/>
      <c r="K198">
        <v>7</v>
      </c>
      <c r="L198">
        <v>183</v>
      </c>
      <c r="M198" s="310">
        <v>0.19368750000000004</v>
      </c>
      <c r="N198" s="15">
        <v>1.0881000000000005</v>
      </c>
      <c r="P198" s="15">
        <f>MAX(0,MIN('Potentiel produktion'!C185*$D$3,N198))</f>
        <v>0</v>
      </c>
      <c r="Q198" s="15">
        <f t="shared" si="14"/>
        <v>1.0881000000000005</v>
      </c>
      <c r="R198" s="15">
        <v>0</v>
      </c>
      <c r="S198" s="15">
        <v>0</v>
      </c>
      <c r="T198" s="160">
        <f t="shared" si="15"/>
        <v>2950.927200000001</v>
      </c>
      <c r="V198" s="289">
        <f>'Varmepumpeberegning VP1'!W186</f>
        <v>3.3372461519597025</v>
      </c>
      <c r="W198" s="289">
        <f>'Varmepumpeberegning VP1'!X186</f>
        <v>9.936217278319095</v>
      </c>
      <c r="X198" s="289">
        <f t="shared" si="16"/>
        <v>43.365504555254446</v>
      </c>
      <c r="Y198" s="15">
        <f>MAX(0,MIN('Potentiel produktion'!C185*$D$3,N198))</f>
        <v>0</v>
      </c>
      <c r="Z198" s="15">
        <f t="shared" si="17"/>
        <v>1.0881000000000005</v>
      </c>
      <c r="AA198" s="16">
        <f t="shared" si="18"/>
        <v>0</v>
      </c>
      <c r="AB198" s="16">
        <v>0</v>
      </c>
      <c r="AC198" s="16">
        <v>0</v>
      </c>
      <c r="AD198" s="145">
        <f>(Y198*$H$3+Z198*'Varmepumpeberegning VP1'!Z186+AA198*$H$5+AB198*$H$6+AC198*$H$7)*24</f>
        <v>1132.4641321577374</v>
      </c>
      <c r="AF198" s="16">
        <f>Z198*'Varmepumpeberegning VP1'!Z186*24</f>
        <v>1132.4641321577374</v>
      </c>
      <c r="AG198" s="20">
        <f>(Z198/'Varmepumpeberegning VP1'!W186)*24</f>
        <v>7.8251345003919113</v>
      </c>
      <c r="AH198" s="17">
        <f t="shared" si="19"/>
        <v>43.365504555254454</v>
      </c>
      <c r="AI198" s="15">
        <f>'Varmepumpeberegning VP1'!X186-'Systemberegning VP1'!Z198</f>
        <v>8.8481172783190942</v>
      </c>
    </row>
    <row r="199" spans="10:35" x14ac:dyDescent="0.25">
      <c r="J199" s="253"/>
      <c r="K199">
        <v>7</v>
      </c>
      <c r="L199">
        <v>184</v>
      </c>
      <c r="M199" s="310">
        <v>0.19368750000000004</v>
      </c>
      <c r="N199" s="15">
        <v>1.0881000000000005</v>
      </c>
      <c r="P199" s="15">
        <f>MAX(0,MIN('Potentiel produktion'!C186*$D$3,N199))</f>
        <v>0</v>
      </c>
      <c r="Q199" s="15">
        <f t="shared" si="14"/>
        <v>1.0881000000000005</v>
      </c>
      <c r="R199" s="15">
        <v>0</v>
      </c>
      <c r="S199" s="15">
        <v>0</v>
      </c>
      <c r="T199" s="160">
        <f t="shared" si="15"/>
        <v>2950.927200000001</v>
      </c>
      <c r="V199" s="289">
        <f>'Varmepumpeberegning VP1'!W187</f>
        <v>3.3372461519597025</v>
      </c>
      <c r="W199" s="289">
        <f>'Varmepumpeberegning VP1'!X187</f>
        <v>9.936217278319095</v>
      </c>
      <c r="X199" s="289">
        <f t="shared" si="16"/>
        <v>43.365504555254446</v>
      </c>
      <c r="Y199" s="15">
        <f>MAX(0,MIN('Potentiel produktion'!C186*$D$3,N199))</f>
        <v>0</v>
      </c>
      <c r="Z199" s="15">
        <f t="shared" si="17"/>
        <v>1.0881000000000005</v>
      </c>
      <c r="AA199" s="16">
        <f t="shared" si="18"/>
        <v>0</v>
      </c>
      <c r="AB199" s="16">
        <v>0</v>
      </c>
      <c r="AC199" s="16">
        <v>0</v>
      </c>
      <c r="AD199" s="145">
        <f>(Y199*$H$3+Z199*'Varmepumpeberegning VP1'!Z187+AA199*$H$5+AB199*$H$6+AC199*$H$7)*24</f>
        <v>1132.4641321577374</v>
      </c>
      <c r="AF199" s="16">
        <f>Z199*'Varmepumpeberegning VP1'!Z187*24</f>
        <v>1132.4641321577374</v>
      </c>
      <c r="AG199" s="20">
        <f>(Z199/'Varmepumpeberegning VP1'!W187)*24</f>
        <v>7.8251345003919113</v>
      </c>
      <c r="AH199" s="17">
        <f t="shared" si="19"/>
        <v>43.365504555254454</v>
      </c>
      <c r="AI199" s="15">
        <f>'Varmepumpeberegning VP1'!X187-'Systemberegning VP1'!Z199</f>
        <v>8.8481172783190942</v>
      </c>
    </row>
    <row r="200" spans="10:35" x14ac:dyDescent="0.25">
      <c r="J200" s="253"/>
      <c r="K200">
        <v>7</v>
      </c>
      <c r="L200">
        <v>185</v>
      </c>
      <c r="M200" s="310">
        <v>0.19368750000000004</v>
      </c>
      <c r="N200" s="15">
        <v>1.0881000000000005</v>
      </c>
      <c r="P200" s="15">
        <f>MAX(0,MIN('Potentiel produktion'!C187*$D$3,N200))</f>
        <v>0</v>
      </c>
      <c r="Q200" s="15">
        <f t="shared" si="14"/>
        <v>1.0881000000000005</v>
      </c>
      <c r="R200" s="15">
        <v>0</v>
      </c>
      <c r="S200" s="15">
        <v>0</v>
      </c>
      <c r="T200" s="160">
        <f t="shared" si="15"/>
        <v>2950.927200000001</v>
      </c>
      <c r="V200" s="289">
        <f>'Varmepumpeberegning VP1'!W188</f>
        <v>3.2490914584620767</v>
      </c>
      <c r="W200" s="289">
        <f>'Varmepumpeberegning VP1'!X188</f>
        <v>9.7263747903437441</v>
      </c>
      <c r="X200" s="289">
        <f t="shared" si="16"/>
        <v>44.494773819951156</v>
      </c>
      <c r="Y200" s="15">
        <f>MAX(0,MIN('Potentiel produktion'!C187*$D$3,N200))</f>
        <v>0</v>
      </c>
      <c r="Z200" s="15">
        <f t="shared" si="17"/>
        <v>1.0881000000000005</v>
      </c>
      <c r="AA200" s="16">
        <f t="shared" si="18"/>
        <v>0</v>
      </c>
      <c r="AB200" s="16">
        <v>0</v>
      </c>
      <c r="AC200" s="16">
        <v>0</v>
      </c>
      <c r="AD200" s="145">
        <f>(Y200*$H$3+Z200*'Varmepumpeberegning VP1'!Z188+AA200*$H$5+AB200*$H$6+AC200*$H$7)*24</f>
        <v>1161.9543214437331</v>
      </c>
      <c r="AF200" s="16">
        <f>Z200*'Varmepumpeberegning VP1'!Z188*24</f>
        <v>1161.9543214437331</v>
      </c>
      <c r="AG200" s="20">
        <f>(Z200/'Varmepumpeberegning VP1'!W188)*24</f>
        <v>8.0374468782608499</v>
      </c>
      <c r="AH200" s="17">
        <f t="shared" si="19"/>
        <v>44.494773819951156</v>
      </c>
      <c r="AI200" s="15">
        <f>'Varmepumpeberegning VP1'!X188-'Systemberegning VP1'!Z200</f>
        <v>8.6382747903437433</v>
      </c>
    </row>
    <row r="201" spans="10:35" x14ac:dyDescent="0.25">
      <c r="J201" s="253"/>
      <c r="K201">
        <v>7</v>
      </c>
      <c r="L201">
        <v>186</v>
      </c>
      <c r="M201" s="310">
        <v>0.19368750000000004</v>
      </c>
      <c r="N201" s="15">
        <v>1.0881000000000005</v>
      </c>
      <c r="P201" s="15">
        <f>MAX(0,MIN('Potentiel produktion'!C188*$D$3,N201))</f>
        <v>0</v>
      </c>
      <c r="Q201" s="15">
        <f t="shared" si="14"/>
        <v>1.0881000000000005</v>
      </c>
      <c r="R201" s="15">
        <v>0</v>
      </c>
      <c r="S201" s="15">
        <v>0</v>
      </c>
      <c r="T201" s="160">
        <f t="shared" si="15"/>
        <v>2950.927200000001</v>
      </c>
      <c r="V201" s="289">
        <f>'Varmepumpeberegning VP1'!W189</f>
        <v>3.3372461519597025</v>
      </c>
      <c r="W201" s="289">
        <f>'Varmepumpeberegning VP1'!X189</f>
        <v>9.936217278319095</v>
      </c>
      <c r="X201" s="289">
        <f t="shared" si="16"/>
        <v>43.365504555254446</v>
      </c>
      <c r="Y201" s="15">
        <f>MAX(0,MIN('Potentiel produktion'!C188*$D$3,N201))</f>
        <v>0</v>
      </c>
      <c r="Z201" s="15">
        <f t="shared" si="17"/>
        <v>1.0881000000000005</v>
      </c>
      <c r="AA201" s="16">
        <f t="shared" si="18"/>
        <v>0</v>
      </c>
      <c r="AB201" s="16">
        <v>0</v>
      </c>
      <c r="AC201" s="16">
        <v>0</v>
      </c>
      <c r="AD201" s="145">
        <f>(Y201*$H$3+Z201*'Varmepumpeberegning VP1'!Z189+AA201*$H$5+AB201*$H$6+AC201*$H$7)*24</f>
        <v>1132.4641321577374</v>
      </c>
      <c r="AF201" s="16">
        <f>Z201*'Varmepumpeberegning VP1'!Z189*24</f>
        <v>1132.4641321577374</v>
      </c>
      <c r="AG201" s="20">
        <f>(Z201/'Varmepumpeberegning VP1'!W189)*24</f>
        <v>7.8251345003919113</v>
      </c>
      <c r="AH201" s="17">
        <f t="shared" si="19"/>
        <v>43.365504555254454</v>
      </c>
      <c r="AI201" s="15">
        <f>'Varmepumpeberegning VP1'!X189-'Systemberegning VP1'!Z201</f>
        <v>8.8481172783190942</v>
      </c>
    </row>
    <row r="202" spans="10:35" x14ac:dyDescent="0.25">
      <c r="J202" s="253"/>
      <c r="K202">
        <v>7</v>
      </c>
      <c r="L202">
        <v>187</v>
      </c>
      <c r="M202" s="310">
        <v>0.19368750000000004</v>
      </c>
      <c r="N202" s="15">
        <v>1.0881000000000005</v>
      </c>
      <c r="P202" s="15">
        <f>MAX(0,MIN('Potentiel produktion'!C189*$D$3,N202))</f>
        <v>0</v>
      </c>
      <c r="Q202" s="15">
        <f t="shared" si="14"/>
        <v>1.0881000000000005</v>
      </c>
      <c r="R202" s="15">
        <v>0</v>
      </c>
      <c r="S202" s="15">
        <v>0</v>
      </c>
      <c r="T202" s="160">
        <f t="shared" si="15"/>
        <v>2950.927200000001</v>
      </c>
      <c r="V202" s="289">
        <f>'Varmepumpeberegning VP1'!W190</f>
        <v>3.3372461519597025</v>
      </c>
      <c r="W202" s="289">
        <f>'Varmepumpeberegning VP1'!X190</f>
        <v>9.936217278319095</v>
      </c>
      <c r="X202" s="289">
        <f t="shared" si="16"/>
        <v>43.365504555254446</v>
      </c>
      <c r="Y202" s="15">
        <f>MAX(0,MIN('Potentiel produktion'!C189*$D$3,N202))</f>
        <v>0</v>
      </c>
      <c r="Z202" s="15">
        <f t="shared" si="17"/>
        <v>1.0881000000000005</v>
      </c>
      <c r="AA202" s="16">
        <f t="shared" si="18"/>
        <v>0</v>
      </c>
      <c r="AB202" s="16">
        <v>0</v>
      </c>
      <c r="AC202" s="16">
        <v>0</v>
      </c>
      <c r="AD202" s="145">
        <f>(Y202*$H$3+Z202*'Varmepumpeberegning VP1'!Z190+AA202*$H$5+AB202*$H$6+AC202*$H$7)*24</f>
        <v>1132.4641321577374</v>
      </c>
      <c r="AF202" s="16">
        <f>Z202*'Varmepumpeberegning VP1'!Z190*24</f>
        <v>1132.4641321577374</v>
      </c>
      <c r="AG202" s="20">
        <f>(Z202/'Varmepumpeberegning VP1'!W190)*24</f>
        <v>7.8251345003919113</v>
      </c>
      <c r="AH202" s="17">
        <f t="shared" si="19"/>
        <v>43.365504555254454</v>
      </c>
      <c r="AI202" s="15">
        <f>'Varmepumpeberegning VP1'!X190-'Systemberegning VP1'!Z202</f>
        <v>8.8481172783190942</v>
      </c>
    </row>
    <row r="203" spans="10:35" x14ac:dyDescent="0.25">
      <c r="J203" s="253"/>
      <c r="K203">
        <v>7</v>
      </c>
      <c r="L203">
        <v>188</v>
      </c>
      <c r="M203" s="310">
        <v>0.19368750000000004</v>
      </c>
      <c r="N203" s="15">
        <v>1.0881000000000005</v>
      </c>
      <c r="P203" s="15">
        <f>MAX(0,MIN('Potentiel produktion'!C190*$D$3,N203))</f>
        <v>0</v>
      </c>
      <c r="Q203" s="15">
        <f t="shared" si="14"/>
        <v>1.0881000000000005</v>
      </c>
      <c r="R203" s="15">
        <v>0</v>
      </c>
      <c r="S203" s="15">
        <v>0</v>
      </c>
      <c r="T203" s="160">
        <f t="shared" si="15"/>
        <v>2950.927200000001</v>
      </c>
      <c r="V203" s="289">
        <f>'Varmepumpeberegning VP1'!W191</f>
        <v>3.3372461519597025</v>
      </c>
      <c r="W203" s="289">
        <f>'Varmepumpeberegning VP1'!X191</f>
        <v>9.936217278319095</v>
      </c>
      <c r="X203" s="289">
        <f t="shared" si="16"/>
        <v>43.365504555254446</v>
      </c>
      <c r="Y203" s="15">
        <f>MAX(0,MIN('Potentiel produktion'!C190*$D$3,N203))</f>
        <v>0</v>
      </c>
      <c r="Z203" s="15">
        <f t="shared" si="17"/>
        <v>1.0881000000000005</v>
      </c>
      <c r="AA203" s="16">
        <f t="shared" si="18"/>
        <v>0</v>
      </c>
      <c r="AB203" s="16">
        <v>0</v>
      </c>
      <c r="AC203" s="16">
        <v>0</v>
      </c>
      <c r="AD203" s="145">
        <f>(Y203*$H$3+Z203*'Varmepumpeberegning VP1'!Z191+AA203*$H$5+AB203*$H$6+AC203*$H$7)*24</f>
        <v>1132.4641321577374</v>
      </c>
      <c r="AF203" s="16">
        <f>Z203*'Varmepumpeberegning VP1'!Z191*24</f>
        <v>1132.4641321577374</v>
      </c>
      <c r="AG203" s="20">
        <f>(Z203/'Varmepumpeberegning VP1'!W191)*24</f>
        <v>7.8251345003919113</v>
      </c>
      <c r="AH203" s="17">
        <f t="shared" si="19"/>
        <v>43.365504555254454</v>
      </c>
      <c r="AI203" s="15">
        <f>'Varmepumpeberegning VP1'!X191-'Systemberegning VP1'!Z203</f>
        <v>8.8481172783190942</v>
      </c>
    </row>
    <row r="204" spans="10:35" x14ac:dyDescent="0.25">
      <c r="J204" s="253"/>
      <c r="K204">
        <v>7</v>
      </c>
      <c r="L204">
        <v>189</v>
      </c>
      <c r="M204" s="310">
        <v>0.19368750000000004</v>
      </c>
      <c r="N204" s="15">
        <v>1.0881000000000005</v>
      </c>
      <c r="P204" s="15">
        <f>MAX(0,MIN('Potentiel produktion'!C191*$D$3,N204))</f>
        <v>0</v>
      </c>
      <c r="Q204" s="15">
        <f t="shared" si="14"/>
        <v>1.0881000000000005</v>
      </c>
      <c r="R204" s="15">
        <v>0</v>
      </c>
      <c r="S204" s="15">
        <v>0</v>
      </c>
      <c r="T204" s="160">
        <f t="shared" si="15"/>
        <v>2950.927200000001</v>
      </c>
      <c r="V204" s="289">
        <f>'Varmepumpeberegning VP1'!W192</f>
        <v>3.2930492366901718</v>
      </c>
      <c r="W204" s="289">
        <f>'Varmepumpeberegning VP1'!X192</f>
        <v>9.8312960343314195</v>
      </c>
      <c r="X204" s="289">
        <f t="shared" si="16"/>
        <v>43.924113311887368</v>
      </c>
      <c r="Y204" s="15">
        <f>MAX(0,MIN('Potentiel produktion'!C191*$D$3,N204))</f>
        <v>0</v>
      </c>
      <c r="Z204" s="15">
        <f t="shared" si="17"/>
        <v>1.0881000000000005</v>
      </c>
      <c r="AA204" s="16">
        <f t="shared" si="18"/>
        <v>0</v>
      </c>
      <c r="AB204" s="16">
        <v>0</v>
      </c>
      <c r="AC204" s="16">
        <v>0</v>
      </c>
      <c r="AD204" s="145">
        <f>(Y204*$H$3+Z204*'Varmepumpeberegning VP1'!Z192+AA204*$H$5+AB204*$H$6+AC204*$H$7)*24</f>
        <v>1147.051864671952</v>
      </c>
      <c r="AF204" s="16">
        <f>Z204*'Varmepumpeberegning VP1'!Z192*24</f>
        <v>1147.051864671952</v>
      </c>
      <c r="AG204" s="20">
        <f>(Z204/'Varmepumpeberegning VP1'!W192)*24</f>
        <v>7.9301577726324783</v>
      </c>
      <c r="AH204" s="17">
        <f t="shared" si="19"/>
        <v>43.924113311887368</v>
      </c>
      <c r="AI204" s="15">
        <f>'Varmepumpeberegning VP1'!X192-'Systemberegning VP1'!Z204</f>
        <v>8.7431960343314188</v>
      </c>
    </row>
    <row r="205" spans="10:35" x14ac:dyDescent="0.25">
      <c r="J205" s="253"/>
      <c r="K205">
        <v>7</v>
      </c>
      <c r="L205">
        <v>190</v>
      </c>
      <c r="M205" s="310">
        <v>0.19368750000000004</v>
      </c>
      <c r="N205" s="15">
        <v>1.0881000000000005</v>
      </c>
      <c r="P205" s="15">
        <f>MAX(0,MIN('Potentiel produktion'!C192*$D$3,N205))</f>
        <v>0</v>
      </c>
      <c r="Q205" s="15">
        <f t="shared" si="14"/>
        <v>1.0881000000000005</v>
      </c>
      <c r="R205" s="15">
        <v>0</v>
      </c>
      <c r="S205" s="15">
        <v>0</v>
      </c>
      <c r="T205" s="160">
        <f t="shared" si="15"/>
        <v>2950.927200000001</v>
      </c>
      <c r="V205" s="289">
        <f>'Varmepumpeberegning VP1'!W193</f>
        <v>3.3372461519597025</v>
      </c>
      <c r="W205" s="289">
        <f>'Varmepumpeberegning VP1'!X193</f>
        <v>9.936217278319095</v>
      </c>
      <c r="X205" s="289">
        <f t="shared" si="16"/>
        <v>43.365504555254446</v>
      </c>
      <c r="Y205" s="15">
        <f>MAX(0,MIN('Potentiel produktion'!C192*$D$3,N205))</f>
        <v>0</v>
      </c>
      <c r="Z205" s="15">
        <f t="shared" si="17"/>
        <v>1.0881000000000005</v>
      </c>
      <c r="AA205" s="16">
        <f t="shared" si="18"/>
        <v>0</v>
      </c>
      <c r="AB205" s="16">
        <v>0</v>
      </c>
      <c r="AC205" s="16">
        <v>0</v>
      </c>
      <c r="AD205" s="145">
        <f>(Y205*$H$3+Z205*'Varmepumpeberegning VP1'!Z193+AA205*$H$5+AB205*$H$6+AC205*$H$7)*24</f>
        <v>1132.4641321577374</v>
      </c>
      <c r="AF205" s="16">
        <f>Z205*'Varmepumpeberegning VP1'!Z193*24</f>
        <v>1132.4641321577374</v>
      </c>
      <c r="AG205" s="20">
        <f>(Z205/'Varmepumpeberegning VP1'!W193)*24</f>
        <v>7.8251345003919113</v>
      </c>
      <c r="AH205" s="17">
        <f t="shared" si="19"/>
        <v>43.365504555254454</v>
      </c>
      <c r="AI205" s="15">
        <f>'Varmepumpeberegning VP1'!X193-'Systemberegning VP1'!Z205</f>
        <v>8.8481172783190942</v>
      </c>
    </row>
    <row r="206" spans="10:35" x14ac:dyDescent="0.25">
      <c r="J206" s="253"/>
      <c r="K206">
        <v>7</v>
      </c>
      <c r="L206">
        <v>191</v>
      </c>
      <c r="M206" s="310">
        <v>0.19368750000000004</v>
      </c>
      <c r="N206" s="15">
        <v>1.0881000000000005</v>
      </c>
      <c r="P206" s="15">
        <f>MAX(0,MIN('Potentiel produktion'!C193*$D$3,N206))</f>
        <v>0</v>
      </c>
      <c r="Q206" s="15">
        <f t="shared" si="14"/>
        <v>1.0881000000000005</v>
      </c>
      <c r="R206" s="15">
        <v>0</v>
      </c>
      <c r="S206" s="15">
        <v>0</v>
      </c>
      <c r="T206" s="160">
        <f t="shared" si="15"/>
        <v>2950.927200000001</v>
      </c>
      <c r="V206" s="289">
        <f>'Varmepumpeberegning VP1'!W194</f>
        <v>3.3372461519597025</v>
      </c>
      <c r="W206" s="289">
        <f>'Varmepumpeberegning VP1'!X194</f>
        <v>9.936217278319095</v>
      </c>
      <c r="X206" s="289">
        <f t="shared" si="16"/>
        <v>43.365504555254446</v>
      </c>
      <c r="Y206" s="15">
        <f>MAX(0,MIN('Potentiel produktion'!C193*$D$3,N206))</f>
        <v>0</v>
      </c>
      <c r="Z206" s="15">
        <f t="shared" si="17"/>
        <v>1.0881000000000005</v>
      </c>
      <c r="AA206" s="16">
        <f t="shared" si="18"/>
        <v>0</v>
      </c>
      <c r="AB206" s="16">
        <v>0</v>
      </c>
      <c r="AC206" s="16">
        <v>0</v>
      </c>
      <c r="AD206" s="145">
        <f>(Y206*$H$3+Z206*'Varmepumpeberegning VP1'!Z194+AA206*$H$5+AB206*$H$6+AC206*$H$7)*24</f>
        <v>1132.4641321577374</v>
      </c>
      <c r="AF206" s="16">
        <f>Z206*'Varmepumpeberegning VP1'!Z194*24</f>
        <v>1132.4641321577374</v>
      </c>
      <c r="AG206" s="20">
        <f>(Z206/'Varmepumpeberegning VP1'!W194)*24</f>
        <v>7.8251345003919113</v>
      </c>
      <c r="AH206" s="17">
        <f t="shared" si="19"/>
        <v>43.365504555254454</v>
      </c>
      <c r="AI206" s="15">
        <f>'Varmepumpeberegning VP1'!X194-'Systemberegning VP1'!Z206</f>
        <v>8.8481172783190942</v>
      </c>
    </row>
    <row r="207" spans="10:35" x14ac:dyDescent="0.25">
      <c r="J207" s="253"/>
      <c r="K207">
        <v>7</v>
      </c>
      <c r="L207">
        <v>192</v>
      </c>
      <c r="M207" s="310">
        <v>0.19368750000000004</v>
      </c>
      <c r="N207" s="15">
        <v>1.0881000000000005</v>
      </c>
      <c r="P207" s="15">
        <f>MAX(0,MIN('Potentiel produktion'!C194*$D$3,N207))</f>
        <v>0</v>
      </c>
      <c r="Q207" s="15">
        <f t="shared" si="14"/>
        <v>1.0881000000000005</v>
      </c>
      <c r="R207" s="15">
        <v>0</v>
      </c>
      <c r="S207" s="15">
        <v>0</v>
      </c>
      <c r="T207" s="160">
        <f t="shared" si="15"/>
        <v>2950.927200000001</v>
      </c>
      <c r="V207" s="289">
        <f>'Varmepumpeberegning VP1'!W195</f>
        <v>3.3372461519597025</v>
      </c>
      <c r="W207" s="289">
        <f>'Varmepumpeberegning VP1'!X195</f>
        <v>9.936217278319095</v>
      </c>
      <c r="X207" s="289">
        <f t="shared" si="16"/>
        <v>43.365504555254446</v>
      </c>
      <c r="Y207" s="15">
        <f>MAX(0,MIN('Potentiel produktion'!C194*$D$3,N207))</f>
        <v>0</v>
      </c>
      <c r="Z207" s="15">
        <f t="shared" si="17"/>
        <v>1.0881000000000005</v>
      </c>
      <c r="AA207" s="16">
        <f t="shared" si="18"/>
        <v>0</v>
      </c>
      <c r="AB207" s="16">
        <v>0</v>
      </c>
      <c r="AC207" s="16">
        <v>0</v>
      </c>
      <c r="AD207" s="145">
        <f>(Y207*$H$3+Z207*'Varmepumpeberegning VP1'!Z195+AA207*$H$5+AB207*$H$6+AC207*$H$7)*24</f>
        <v>1132.4641321577374</v>
      </c>
      <c r="AF207" s="16">
        <f>Z207*'Varmepumpeberegning VP1'!Z195*24</f>
        <v>1132.4641321577374</v>
      </c>
      <c r="AG207" s="20">
        <f>(Z207/'Varmepumpeberegning VP1'!W195)*24</f>
        <v>7.8251345003919113</v>
      </c>
      <c r="AH207" s="17">
        <f t="shared" si="19"/>
        <v>43.365504555254454</v>
      </c>
      <c r="AI207" s="15">
        <f>'Varmepumpeberegning VP1'!X195-'Systemberegning VP1'!Z207</f>
        <v>8.8481172783190942</v>
      </c>
    </row>
    <row r="208" spans="10:35" x14ac:dyDescent="0.25">
      <c r="J208" s="253"/>
      <c r="K208">
        <v>7</v>
      </c>
      <c r="L208">
        <v>193</v>
      </c>
      <c r="M208" s="310">
        <v>0.19368750000000004</v>
      </c>
      <c r="N208" s="15">
        <v>1.0881000000000005</v>
      </c>
      <c r="P208" s="15">
        <f>MAX(0,MIN('Potentiel produktion'!C195*$D$3,N208))</f>
        <v>0</v>
      </c>
      <c r="Q208" s="15">
        <f t="shared" si="14"/>
        <v>1.0881000000000005</v>
      </c>
      <c r="R208" s="15">
        <v>0</v>
      </c>
      <c r="S208" s="15">
        <v>0</v>
      </c>
      <c r="T208" s="160">
        <f t="shared" si="15"/>
        <v>2950.927200000001</v>
      </c>
      <c r="V208" s="289">
        <f>'Varmepumpeberegning VP1'!W196</f>
        <v>3.3372461519597025</v>
      </c>
      <c r="W208" s="289">
        <f>'Varmepumpeberegning VP1'!X196</f>
        <v>9.936217278319095</v>
      </c>
      <c r="X208" s="289">
        <f t="shared" si="16"/>
        <v>43.365504555254446</v>
      </c>
      <c r="Y208" s="15">
        <f>MAX(0,MIN('Potentiel produktion'!C195*$D$3,N208))</f>
        <v>0</v>
      </c>
      <c r="Z208" s="15">
        <f t="shared" si="17"/>
        <v>1.0881000000000005</v>
      </c>
      <c r="AA208" s="16">
        <f t="shared" si="18"/>
        <v>0</v>
      </c>
      <c r="AB208" s="16">
        <v>0</v>
      </c>
      <c r="AC208" s="16">
        <v>0</v>
      </c>
      <c r="AD208" s="145">
        <f>(Y208*$H$3+Z208*'Varmepumpeberegning VP1'!Z196+AA208*$H$5+AB208*$H$6+AC208*$H$7)*24</f>
        <v>1132.4641321577374</v>
      </c>
      <c r="AF208" s="16">
        <f>Z208*'Varmepumpeberegning VP1'!Z196*24</f>
        <v>1132.4641321577374</v>
      </c>
      <c r="AG208" s="20">
        <f>(Z208/'Varmepumpeberegning VP1'!W196)*24</f>
        <v>7.8251345003919113</v>
      </c>
      <c r="AH208" s="17">
        <f t="shared" si="19"/>
        <v>43.365504555254454</v>
      </c>
      <c r="AI208" s="15">
        <f>'Varmepumpeberegning VP1'!X196-'Systemberegning VP1'!Z208</f>
        <v>8.8481172783190942</v>
      </c>
    </row>
    <row r="209" spans="10:35" x14ac:dyDescent="0.25">
      <c r="J209" s="253"/>
      <c r="K209">
        <v>7</v>
      </c>
      <c r="L209">
        <v>194</v>
      </c>
      <c r="M209" s="310">
        <v>0.19368750000000004</v>
      </c>
      <c r="N209" s="15">
        <v>1.0881000000000005</v>
      </c>
      <c r="P209" s="15">
        <f>MAX(0,MIN('Potentiel produktion'!C196*$D$3,N209))</f>
        <v>0</v>
      </c>
      <c r="Q209" s="15">
        <f t="shared" ref="Q209:Q272" si="20">MAX(0,MIN($C$5*$D$5,N209-SUM(P209)))</f>
        <v>1.0881000000000005</v>
      </c>
      <c r="R209" s="15">
        <v>0</v>
      </c>
      <c r="S209" s="15">
        <v>0</v>
      </c>
      <c r="T209" s="160">
        <f t="shared" ref="T209:T272" si="21">(P209*$H$3+Q209*$H$5+R209*$H$6+S209*$H$7)*24</f>
        <v>2950.927200000001</v>
      </c>
      <c r="V209" s="289">
        <f>'Varmepumpeberegning VP1'!W197</f>
        <v>3.2930492366901718</v>
      </c>
      <c r="W209" s="289">
        <f>'Varmepumpeberegning VP1'!X197</f>
        <v>9.8312960343314195</v>
      </c>
      <c r="X209" s="289">
        <f t="shared" ref="X209:X272" si="22">($G$4+$F$4)/V209+$E$4</f>
        <v>43.924113311887368</v>
      </c>
      <c r="Y209" s="15">
        <f>MAX(0,MIN('Potentiel produktion'!C196*$D$3,N209))</f>
        <v>0</v>
      </c>
      <c r="Z209" s="15">
        <f t="shared" ref="Z209:Z272" si="23">IF(X209&lt;=$H$5,MAX(0,MIN(W209,N209-SUM(Y209))),MAX(0,MIN(W209,N209-Y209-30)))</f>
        <v>1.0881000000000005</v>
      </c>
      <c r="AA209" s="16">
        <f t="shared" ref="AA209:AA272" si="24">MAX(0,MIN($C$5*$D$5,N209-SUM(Y209:Z209)))</f>
        <v>0</v>
      </c>
      <c r="AB209" s="16">
        <v>0</v>
      </c>
      <c r="AC209" s="16">
        <v>0</v>
      </c>
      <c r="AD209" s="145">
        <f>(Y209*$H$3+Z209*'Varmepumpeberegning VP1'!Z197+AA209*$H$5+AB209*$H$6+AC209*$H$7)*24</f>
        <v>1147.051864671952</v>
      </c>
      <c r="AF209" s="16">
        <f>Z209*'Varmepumpeberegning VP1'!Z197*24</f>
        <v>1147.051864671952</v>
      </c>
      <c r="AG209" s="20">
        <f>(Z209/'Varmepumpeberegning VP1'!W197)*24</f>
        <v>7.9301577726324783</v>
      </c>
      <c r="AH209" s="17">
        <f t="shared" si="19"/>
        <v>43.924113311887368</v>
      </c>
      <c r="AI209" s="15">
        <f>'Varmepumpeberegning VP1'!X197-'Systemberegning VP1'!Z209</f>
        <v>8.7431960343314188</v>
      </c>
    </row>
    <row r="210" spans="10:35" x14ac:dyDescent="0.25">
      <c r="J210" s="253"/>
      <c r="K210">
        <v>7</v>
      </c>
      <c r="L210">
        <v>195</v>
      </c>
      <c r="M210" s="310">
        <v>0.19368750000000004</v>
      </c>
      <c r="N210" s="15">
        <v>1.0881000000000005</v>
      </c>
      <c r="P210" s="15">
        <f>MAX(0,MIN('Potentiel produktion'!C197*$D$3,N210))</f>
        <v>0</v>
      </c>
      <c r="Q210" s="15">
        <f t="shared" si="20"/>
        <v>1.0881000000000005</v>
      </c>
      <c r="R210" s="15">
        <v>0</v>
      </c>
      <c r="S210" s="15">
        <v>0</v>
      </c>
      <c r="T210" s="160">
        <f t="shared" si="21"/>
        <v>2950.927200000001</v>
      </c>
      <c r="V210" s="289">
        <f>'Varmepumpeberegning VP1'!W198</f>
        <v>3.3372461519597025</v>
      </c>
      <c r="W210" s="289">
        <f>'Varmepumpeberegning VP1'!X198</f>
        <v>9.936217278319095</v>
      </c>
      <c r="X210" s="289">
        <f t="shared" si="22"/>
        <v>43.365504555254446</v>
      </c>
      <c r="Y210" s="15">
        <f>MAX(0,MIN('Potentiel produktion'!C197*$D$3,N210))</f>
        <v>0</v>
      </c>
      <c r="Z210" s="15">
        <f t="shared" si="23"/>
        <v>1.0881000000000005</v>
      </c>
      <c r="AA210" s="16">
        <f t="shared" si="24"/>
        <v>0</v>
      </c>
      <c r="AB210" s="16">
        <v>0</v>
      </c>
      <c r="AC210" s="16">
        <v>0</v>
      </c>
      <c r="AD210" s="145">
        <f>(Y210*$H$3+Z210*'Varmepumpeberegning VP1'!Z198+AA210*$H$5+AB210*$H$6+AC210*$H$7)*24</f>
        <v>1132.4641321577374</v>
      </c>
      <c r="AF210" s="16">
        <f>Z210*'Varmepumpeberegning VP1'!Z198*24</f>
        <v>1132.4641321577374</v>
      </c>
      <c r="AG210" s="20">
        <f>(Z210/'Varmepumpeberegning VP1'!W198)*24</f>
        <v>7.8251345003919113</v>
      </c>
      <c r="AH210" s="17">
        <f t="shared" si="19"/>
        <v>43.365504555254454</v>
      </c>
      <c r="AI210" s="15">
        <f>'Varmepumpeberegning VP1'!X198-'Systemberegning VP1'!Z210</f>
        <v>8.8481172783190942</v>
      </c>
    </row>
    <row r="211" spans="10:35" x14ac:dyDescent="0.25">
      <c r="J211" s="253"/>
      <c r="K211">
        <v>7</v>
      </c>
      <c r="L211">
        <v>196</v>
      </c>
      <c r="M211" s="310">
        <v>0.19368750000000004</v>
      </c>
      <c r="N211" s="15">
        <v>1.0881000000000005</v>
      </c>
      <c r="P211" s="15">
        <f>MAX(0,MIN('Potentiel produktion'!C198*$D$3,N211))</f>
        <v>0</v>
      </c>
      <c r="Q211" s="15">
        <f t="shared" si="20"/>
        <v>1.0881000000000005</v>
      </c>
      <c r="R211" s="15">
        <v>0</v>
      </c>
      <c r="S211" s="15">
        <v>0</v>
      </c>
      <c r="T211" s="160">
        <f t="shared" si="21"/>
        <v>2950.927200000001</v>
      </c>
      <c r="V211" s="289">
        <f>'Varmepumpeberegning VP1'!W199</f>
        <v>3.3372461519597025</v>
      </c>
      <c r="W211" s="289">
        <f>'Varmepumpeberegning VP1'!X199</f>
        <v>9.936217278319095</v>
      </c>
      <c r="X211" s="289">
        <f t="shared" si="22"/>
        <v>43.365504555254446</v>
      </c>
      <c r="Y211" s="15">
        <f>MAX(0,MIN('Potentiel produktion'!C198*$D$3,N211))</f>
        <v>0</v>
      </c>
      <c r="Z211" s="15">
        <f t="shared" si="23"/>
        <v>1.0881000000000005</v>
      </c>
      <c r="AA211" s="16">
        <f t="shared" si="24"/>
        <v>0</v>
      </c>
      <c r="AB211" s="16">
        <v>0</v>
      </c>
      <c r="AC211" s="16">
        <v>0</v>
      </c>
      <c r="AD211" s="145">
        <f>(Y211*$H$3+Z211*'Varmepumpeberegning VP1'!Z199+AA211*$H$5+AB211*$H$6+AC211*$H$7)*24</f>
        <v>1132.4641321577374</v>
      </c>
      <c r="AF211" s="16">
        <f>Z211*'Varmepumpeberegning VP1'!Z199*24</f>
        <v>1132.4641321577374</v>
      </c>
      <c r="AG211" s="20">
        <f>(Z211/'Varmepumpeberegning VP1'!W199)*24</f>
        <v>7.8251345003919113</v>
      </c>
      <c r="AH211" s="17">
        <f t="shared" si="19"/>
        <v>43.365504555254454</v>
      </c>
      <c r="AI211" s="15">
        <f>'Varmepumpeberegning VP1'!X199-'Systemberegning VP1'!Z211</f>
        <v>8.8481172783190942</v>
      </c>
    </row>
    <row r="212" spans="10:35" x14ac:dyDescent="0.25">
      <c r="J212" s="253"/>
      <c r="K212">
        <v>7</v>
      </c>
      <c r="L212">
        <v>197</v>
      </c>
      <c r="M212" s="310">
        <v>0.19368750000000004</v>
      </c>
      <c r="N212" s="15">
        <v>1.0881000000000005</v>
      </c>
      <c r="P212" s="15">
        <f>MAX(0,MIN('Potentiel produktion'!C199*$D$3,N212))</f>
        <v>0</v>
      </c>
      <c r="Q212" s="15">
        <f t="shared" si="20"/>
        <v>1.0881000000000005</v>
      </c>
      <c r="R212" s="15">
        <v>0</v>
      </c>
      <c r="S212" s="15">
        <v>0</v>
      </c>
      <c r="T212" s="160">
        <f t="shared" si="21"/>
        <v>2950.927200000001</v>
      </c>
      <c r="V212" s="289">
        <f>'Varmepumpeberegning VP1'!W200</f>
        <v>3.3372461519597025</v>
      </c>
      <c r="W212" s="289">
        <f>'Varmepumpeberegning VP1'!X200</f>
        <v>9.936217278319095</v>
      </c>
      <c r="X212" s="289">
        <f t="shared" si="22"/>
        <v>43.365504555254446</v>
      </c>
      <c r="Y212" s="15">
        <f>MAX(0,MIN('Potentiel produktion'!C199*$D$3,N212))</f>
        <v>0</v>
      </c>
      <c r="Z212" s="15">
        <f t="shared" si="23"/>
        <v>1.0881000000000005</v>
      </c>
      <c r="AA212" s="16">
        <f t="shared" si="24"/>
        <v>0</v>
      </c>
      <c r="AB212" s="16">
        <v>0</v>
      </c>
      <c r="AC212" s="16">
        <v>0</v>
      </c>
      <c r="AD212" s="145">
        <f>(Y212*$H$3+Z212*'Varmepumpeberegning VP1'!Z200+AA212*$H$5+AB212*$H$6+AC212*$H$7)*24</f>
        <v>1132.4641321577374</v>
      </c>
      <c r="AF212" s="16">
        <f>Z212*'Varmepumpeberegning VP1'!Z200*24</f>
        <v>1132.4641321577374</v>
      </c>
      <c r="AG212" s="20">
        <f>(Z212/'Varmepumpeberegning VP1'!W200)*24</f>
        <v>7.8251345003919113</v>
      </c>
      <c r="AH212" s="17">
        <f t="shared" si="19"/>
        <v>43.365504555254454</v>
      </c>
      <c r="AI212" s="15">
        <f>'Varmepumpeberegning VP1'!X200-'Systemberegning VP1'!Z212</f>
        <v>8.8481172783190942</v>
      </c>
    </row>
    <row r="213" spans="10:35" x14ac:dyDescent="0.25">
      <c r="J213" s="253"/>
      <c r="K213">
        <v>7</v>
      </c>
      <c r="L213">
        <v>198</v>
      </c>
      <c r="M213" s="310">
        <v>0.19368750000000004</v>
      </c>
      <c r="N213" s="15">
        <v>1.0881000000000005</v>
      </c>
      <c r="P213" s="15">
        <f>MAX(0,MIN('Potentiel produktion'!C200*$D$3,N213))</f>
        <v>0</v>
      </c>
      <c r="Q213" s="15">
        <f t="shared" si="20"/>
        <v>1.0881000000000005</v>
      </c>
      <c r="R213" s="15">
        <v>0</v>
      </c>
      <c r="S213" s="15">
        <v>0</v>
      </c>
      <c r="T213" s="160">
        <f t="shared" si="21"/>
        <v>2950.927200000001</v>
      </c>
      <c r="V213" s="289">
        <f>'Varmepumpeberegning VP1'!W201</f>
        <v>3.3372461519597025</v>
      </c>
      <c r="W213" s="289">
        <f>'Varmepumpeberegning VP1'!X201</f>
        <v>9.936217278319095</v>
      </c>
      <c r="X213" s="289">
        <f t="shared" si="22"/>
        <v>43.365504555254446</v>
      </c>
      <c r="Y213" s="15">
        <f>MAX(0,MIN('Potentiel produktion'!C200*$D$3,N213))</f>
        <v>0</v>
      </c>
      <c r="Z213" s="15">
        <f t="shared" si="23"/>
        <v>1.0881000000000005</v>
      </c>
      <c r="AA213" s="16">
        <f t="shared" si="24"/>
        <v>0</v>
      </c>
      <c r="AB213" s="16">
        <v>0</v>
      </c>
      <c r="AC213" s="16">
        <v>0</v>
      </c>
      <c r="AD213" s="145">
        <f>(Y213*$H$3+Z213*'Varmepumpeberegning VP1'!Z201+AA213*$H$5+AB213*$H$6+AC213*$H$7)*24</f>
        <v>1132.4641321577374</v>
      </c>
      <c r="AF213" s="16">
        <f>Z213*'Varmepumpeberegning VP1'!Z201*24</f>
        <v>1132.4641321577374</v>
      </c>
      <c r="AG213" s="20">
        <f>(Z213/'Varmepumpeberegning VP1'!W201)*24</f>
        <v>7.8251345003919113</v>
      </c>
      <c r="AH213" s="17">
        <f t="shared" ref="AH213:AH276" si="25">AF213/Z213/24</f>
        <v>43.365504555254454</v>
      </c>
      <c r="AI213" s="15">
        <f>'Varmepumpeberegning VP1'!X201-'Systemberegning VP1'!Z213</f>
        <v>8.8481172783190942</v>
      </c>
    </row>
    <row r="214" spans="10:35" x14ac:dyDescent="0.25">
      <c r="J214" s="253"/>
      <c r="K214">
        <v>7</v>
      </c>
      <c r="L214">
        <v>199</v>
      </c>
      <c r="M214" s="310">
        <v>0.19368750000000004</v>
      </c>
      <c r="N214" s="15">
        <v>1.0881000000000005</v>
      </c>
      <c r="P214" s="15">
        <f>MAX(0,MIN('Potentiel produktion'!C201*$D$3,N214))</f>
        <v>0</v>
      </c>
      <c r="Q214" s="15">
        <f t="shared" si="20"/>
        <v>1.0881000000000005</v>
      </c>
      <c r="R214" s="15">
        <v>0</v>
      </c>
      <c r="S214" s="15">
        <v>0</v>
      </c>
      <c r="T214" s="160">
        <f t="shared" si="21"/>
        <v>2950.927200000001</v>
      </c>
      <c r="V214" s="289">
        <f>'Varmepumpeberegning VP1'!W202</f>
        <v>3.3372461519597025</v>
      </c>
      <c r="W214" s="289">
        <f>'Varmepumpeberegning VP1'!X202</f>
        <v>9.936217278319095</v>
      </c>
      <c r="X214" s="289">
        <f t="shared" si="22"/>
        <v>43.365504555254446</v>
      </c>
      <c r="Y214" s="15">
        <f>MAX(0,MIN('Potentiel produktion'!C201*$D$3,N214))</f>
        <v>0</v>
      </c>
      <c r="Z214" s="15">
        <f t="shared" si="23"/>
        <v>1.0881000000000005</v>
      </c>
      <c r="AA214" s="16">
        <f t="shared" si="24"/>
        <v>0</v>
      </c>
      <c r="AB214" s="16">
        <v>0</v>
      </c>
      <c r="AC214" s="16">
        <v>0</v>
      </c>
      <c r="AD214" s="145">
        <f>(Y214*$H$3+Z214*'Varmepumpeberegning VP1'!Z202+AA214*$H$5+AB214*$H$6+AC214*$H$7)*24</f>
        <v>1132.4641321577374</v>
      </c>
      <c r="AF214" s="16">
        <f>Z214*'Varmepumpeberegning VP1'!Z202*24</f>
        <v>1132.4641321577374</v>
      </c>
      <c r="AG214" s="20">
        <f>(Z214/'Varmepumpeberegning VP1'!W202)*24</f>
        <v>7.8251345003919113</v>
      </c>
      <c r="AH214" s="17">
        <f t="shared" si="25"/>
        <v>43.365504555254454</v>
      </c>
      <c r="AI214" s="15">
        <f>'Varmepumpeberegning VP1'!X202-'Systemberegning VP1'!Z214</f>
        <v>8.8481172783190942</v>
      </c>
    </row>
    <row r="215" spans="10:35" x14ac:dyDescent="0.25">
      <c r="J215" s="253"/>
      <c r="K215">
        <v>7</v>
      </c>
      <c r="L215">
        <v>200</v>
      </c>
      <c r="M215" s="310">
        <v>0.19368750000000004</v>
      </c>
      <c r="N215" s="15">
        <v>1.0881000000000005</v>
      </c>
      <c r="P215" s="15">
        <f>MAX(0,MIN('Potentiel produktion'!C202*$D$3,N215))</f>
        <v>0</v>
      </c>
      <c r="Q215" s="15">
        <f t="shared" si="20"/>
        <v>1.0881000000000005</v>
      </c>
      <c r="R215" s="15">
        <v>0</v>
      </c>
      <c r="S215" s="15">
        <v>0</v>
      </c>
      <c r="T215" s="160">
        <f t="shared" si="21"/>
        <v>2950.927200000001</v>
      </c>
      <c r="V215" s="289">
        <f>'Varmepumpeberegning VP1'!W203</f>
        <v>3.3372461519597025</v>
      </c>
      <c r="W215" s="289">
        <f>'Varmepumpeberegning VP1'!X203</f>
        <v>9.936217278319095</v>
      </c>
      <c r="X215" s="289">
        <f t="shared" si="22"/>
        <v>43.365504555254446</v>
      </c>
      <c r="Y215" s="15">
        <f>MAX(0,MIN('Potentiel produktion'!C202*$D$3,N215))</f>
        <v>0</v>
      </c>
      <c r="Z215" s="15">
        <f t="shared" si="23"/>
        <v>1.0881000000000005</v>
      </c>
      <c r="AA215" s="16">
        <f t="shared" si="24"/>
        <v>0</v>
      </c>
      <c r="AB215" s="16">
        <v>0</v>
      </c>
      <c r="AC215" s="16">
        <v>0</v>
      </c>
      <c r="AD215" s="145">
        <f>(Y215*$H$3+Z215*'Varmepumpeberegning VP1'!Z203+AA215*$H$5+AB215*$H$6+AC215*$H$7)*24</f>
        <v>1132.4641321577374</v>
      </c>
      <c r="AF215" s="16">
        <f>Z215*'Varmepumpeberegning VP1'!Z203*24</f>
        <v>1132.4641321577374</v>
      </c>
      <c r="AG215" s="20">
        <f>(Z215/'Varmepumpeberegning VP1'!W203)*24</f>
        <v>7.8251345003919113</v>
      </c>
      <c r="AH215" s="17">
        <f t="shared" si="25"/>
        <v>43.365504555254454</v>
      </c>
      <c r="AI215" s="15">
        <f>'Varmepumpeberegning VP1'!X203-'Systemberegning VP1'!Z215</f>
        <v>8.8481172783190942</v>
      </c>
    </row>
    <row r="216" spans="10:35" x14ac:dyDescent="0.25">
      <c r="J216" s="253"/>
      <c r="K216">
        <v>7</v>
      </c>
      <c r="L216">
        <v>201</v>
      </c>
      <c r="M216" s="310">
        <v>0.19368750000000004</v>
      </c>
      <c r="N216" s="15">
        <v>1.0881000000000005</v>
      </c>
      <c r="P216" s="15">
        <f>MAX(0,MIN('Potentiel produktion'!C203*$D$3,N216))</f>
        <v>0</v>
      </c>
      <c r="Q216" s="15">
        <f t="shared" si="20"/>
        <v>1.0881000000000005</v>
      </c>
      <c r="R216" s="15">
        <v>0</v>
      </c>
      <c r="S216" s="15">
        <v>0</v>
      </c>
      <c r="T216" s="160">
        <f t="shared" si="21"/>
        <v>2950.927200000001</v>
      </c>
      <c r="V216" s="289">
        <f>'Varmepumpeberegning VP1'!W204</f>
        <v>3.3372461519597025</v>
      </c>
      <c r="W216" s="289">
        <f>'Varmepumpeberegning VP1'!X204</f>
        <v>9.936217278319095</v>
      </c>
      <c r="X216" s="289">
        <f t="shared" si="22"/>
        <v>43.365504555254446</v>
      </c>
      <c r="Y216" s="15">
        <f>MAX(0,MIN('Potentiel produktion'!C203*$D$3,N216))</f>
        <v>0</v>
      </c>
      <c r="Z216" s="15">
        <f t="shared" si="23"/>
        <v>1.0881000000000005</v>
      </c>
      <c r="AA216" s="16">
        <f t="shared" si="24"/>
        <v>0</v>
      </c>
      <c r="AB216" s="16">
        <v>0</v>
      </c>
      <c r="AC216" s="16">
        <v>0</v>
      </c>
      <c r="AD216" s="145">
        <f>(Y216*$H$3+Z216*'Varmepumpeberegning VP1'!Z204+AA216*$H$5+AB216*$H$6+AC216*$H$7)*24</f>
        <v>1132.4641321577374</v>
      </c>
      <c r="AF216" s="16">
        <f>Z216*'Varmepumpeberegning VP1'!Z204*24</f>
        <v>1132.4641321577374</v>
      </c>
      <c r="AG216" s="20">
        <f>(Z216/'Varmepumpeberegning VP1'!W204)*24</f>
        <v>7.8251345003919113</v>
      </c>
      <c r="AH216" s="17">
        <f t="shared" si="25"/>
        <v>43.365504555254454</v>
      </c>
      <c r="AI216" s="15">
        <f>'Varmepumpeberegning VP1'!X204-'Systemberegning VP1'!Z216</f>
        <v>8.8481172783190942</v>
      </c>
    </row>
    <row r="217" spans="10:35" x14ac:dyDescent="0.25">
      <c r="J217" s="253"/>
      <c r="K217">
        <v>7</v>
      </c>
      <c r="L217">
        <v>202</v>
      </c>
      <c r="M217" s="310">
        <v>0.19368750000000004</v>
      </c>
      <c r="N217" s="15">
        <v>1.0881000000000005</v>
      </c>
      <c r="P217" s="15">
        <f>MAX(0,MIN('Potentiel produktion'!C204*$D$3,N217))</f>
        <v>0</v>
      </c>
      <c r="Q217" s="15">
        <f t="shared" si="20"/>
        <v>1.0881000000000005</v>
      </c>
      <c r="R217" s="15">
        <v>0</v>
      </c>
      <c r="S217" s="15">
        <v>0</v>
      </c>
      <c r="T217" s="160">
        <f t="shared" si="21"/>
        <v>2950.927200000001</v>
      </c>
      <c r="V217" s="289">
        <f>'Varmepumpeberegning VP1'!W205</f>
        <v>3.3372461519597025</v>
      </c>
      <c r="W217" s="289">
        <f>'Varmepumpeberegning VP1'!X205</f>
        <v>9.936217278319095</v>
      </c>
      <c r="X217" s="289">
        <f t="shared" si="22"/>
        <v>43.365504555254446</v>
      </c>
      <c r="Y217" s="15">
        <f>MAX(0,MIN('Potentiel produktion'!C204*$D$3,N217))</f>
        <v>0</v>
      </c>
      <c r="Z217" s="15">
        <f t="shared" si="23"/>
        <v>1.0881000000000005</v>
      </c>
      <c r="AA217" s="16">
        <f t="shared" si="24"/>
        <v>0</v>
      </c>
      <c r="AB217" s="16">
        <v>0</v>
      </c>
      <c r="AC217" s="16">
        <v>0</v>
      </c>
      <c r="AD217" s="145">
        <f>(Y217*$H$3+Z217*'Varmepumpeberegning VP1'!Z205+AA217*$H$5+AB217*$H$6+AC217*$H$7)*24</f>
        <v>1132.4641321577374</v>
      </c>
      <c r="AF217" s="16">
        <f>Z217*'Varmepumpeberegning VP1'!Z205*24</f>
        <v>1132.4641321577374</v>
      </c>
      <c r="AG217" s="20">
        <f>(Z217/'Varmepumpeberegning VP1'!W205)*24</f>
        <v>7.8251345003919113</v>
      </c>
      <c r="AH217" s="17">
        <f t="shared" si="25"/>
        <v>43.365504555254454</v>
      </c>
      <c r="AI217" s="15">
        <f>'Varmepumpeberegning VP1'!X205-'Systemberegning VP1'!Z217</f>
        <v>8.8481172783190942</v>
      </c>
    </row>
    <row r="218" spans="10:35" x14ac:dyDescent="0.25">
      <c r="J218" s="253"/>
      <c r="K218">
        <v>7</v>
      </c>
      <c r="L218">
        <v>203</v>
      </c>
      <c r="M218" s="310">
        <v>0.19368750000000004</v>
      </c>
      <c r="N218" s="15">
        <v>1.0881000000000005</v>
      </c>
      <c r="P218" s="15">
        <f>MAX(0,MIN('Potentiel produktion'!C205*$D$3,N218))</f>
        <v>0</v>
      </c>
      <c r="Q218" s="15">
        <f t="shared" si="20"/>
        <v>1.0881000000000005</v>
      </c>
      <c r="R218" s="15">
        <v>0</v>
      </c>
      <c r="S218" s="15">
        <v>0</v>
      </c>
      <c r="T218" s="160">
        <f t="shared" si="21"/>
        <v>2950.927200000001</v>
      </c>
      <c r="V218" s="289">
        <f>'Varmepumpeberegning VP1'!W206</f>
        <v>3.3372461519597025</v>
      </c>
      <c r="W218" s="289">
        <f>'Varmepumpeberegning VP1'!X206</f>
        <v>9.936217278319095</v>
      </c>
      <c r="X218" s="289">
        <f t="shared" si="22"/>
        <v>43.365504555254446</v>
      </c>
      <c r="Y218" s="15">
        <f>MAX(0,MIN('Potentiel produktion'!C205*$D$3,N218))</f>
        <v>0</v>
      </c>
      <c r="Z218" s="15">
        <f t="shared" si="23"/>
        <v>1.0881000000000005</v>
      </c>
      <c r="AA218" s="16">
        <f t="shared" si="24"/>
        <v>0</v>
      </c>
      <c r="AB218" s="16">
        <v>0</v>
      </c>
      <c r="AC218" s="16">
        <v>0</v>
      </c>
      <c r="AD218" s="145">
        <f>(Y218*$H$3+Z218*'Varmepumpeberegning VP1'!Z206+AA218*$H$5+AB218*$H$6+AC218*$H$7)*24</f>
        <v>1132.4641321577374</v>
      </c>
      <c r="AF218" s="16">
        <f>Z218*'Varmepumpeberegning VP1'!Z206*24</f>
        <v>1132.4641321577374</v>
      </c>
      <c r="AG218" s="20">
        <f>(Z218/'Varmepumpeberegning VP1'!W206)*24</f>
        <v>7.8251345003919113</v>
      </c>
      <c r="AH218" s="17">
        <f t="shared" si="25"/>
        <v>43.365504555254454</v>
      </c>
      <c r="AI218" s="15">
        <f>'Varmepumpeberegning VP1'!X206-'Systemberegning VP1'!Z218</f>
        <v>8.8481172783190942</v>
      </c>
    </row>
    <row r="219" spans="10:35" x14ac:dyDescent="0.25">
      <c r="J219" s="253"/>
      <c r="K219">
        <v>7</v>
      </c>
      <c r="L219">
        <v>204</v>
      </c>
      <c r="M219" s="310">
        <v>0.19368750000000004</v>
      </c>
      <c r="N219" s="15">
        <v>1.0881000000000005</v>
      </c>
      <c r="P219" s="15">
        <f>MAX(0,MIN('Potentiel produktion'!C206*$D$3,N219))</f>
        <v>0</v>
      </c>
      <c r="Q219" s="15">
        <f t="shared" si="20"/>
        <v>1.0881000000000005</v>
      </c>
      <c r="R219" s="15">
        <v>0</v>
      </c>
      <c r="S219" s="15">
        <v>0</v>
      </c>
      <c r="T219" s="160">
        <f t="shared" si="21"/>
        <v>2950.927200000001</v>
      </c>
      <c r="V219" s="289">
        <f>'Varmepumpeberegning VP1'!W207</f>
        <v>3.3372461519597025</v>
      </c>
      <c r="W219" s="289">
        <f>'Varmepumpeberegning VP1'!X207</f>
        <v>9.936217278319095</v>
      </c>
      <c r="X219" s="289">
        <f t="shared" si="22"/>
        <v>43.365504555254446</v>
      </c>
      <c r="Y219" s="15">
        <f>MAX(0,MIN('Potentiel produktion'!C206*$D$3,N219))</f>
        <v>0</v>
      </c>
      <c r="Z219" s="15">
        <f t="shared" si="23"/>
        <v>1.0881000000000005</v>
      </c>
      <c r="AA219" s="16">
        <f t="shared" si="24"/>
        <v>0</v>
      </c>
      <c r="AB219" s="16">
        <v>0</v>
      </c>
      <c r="AC219" s="16">
        <v>0</v>
      </c>
      <c r="AD219" s="145">
        <f>(Y219*$H$3+Z219*'Varmepumpeberegning VP1'!Z207+AA219*$H$5+AB219*$H$6+AC219*$H$7)*24</f>
        <v>1132.4641321577374</v>
      </c>
      <c r="AF219" s="16">
        <f>Z219*'Varmepumpeberegning VP1'!Z207*24</f>
        <v>1132.4641321577374</v>
      </c>
      <c r="AG219" s="20">
        <f>(Z219/'Varmepumpeberegning VP1'!W207)*24</f>
        <v>7.8251345003919113</v>
      </c>
      <c r="AH219" s="17">
        <f t="shared" si="25"/>
        <v>43.365504555254454</v>
      </c>
      <c r="AI219" s="15">
        <f>'Varmepumpeberegning VP1'!X207-'Systemberegning VP1'!Z219</f>
        <v>8.8481172783190942</v>
      </c>
    </row>
    <row r="220" spans="10:35" x14ac:dyDescent="0.25">
      <c r="J220" s="253"/>
      <c r="K220">
        <v>7</v>
      </c>
      <c r="L220">
        <v>205</v>
      </c>
      <c r="M220" s="310">
        <v>0.19368750000000004</v>
      </c>
      <c r="N220" s="15">
        <v>1.0881000000000005</v>
      </c>
      <c r="P220" s="15">
        <f>MAX(0,MIN('Potentiel produktion'!C207*$D$3,N220))</f>
        <v>0</v>
      </c>
      <c r="Q220" s="15">
        <f t="shared" si="20"/>
        <v>1.0881000000000005</v>
      </c>
      <c r="R220" s="15">
        <v>0</v>
      </c>
      <c r="S220" s="15">
        <v>0</v>
      </c>
      <c r="T220" s="160">
        <f t="shared" si="21"/>
        <v>2950.927200000001</v>
      </c>
      <c r="V220" s="289">
        <f>'Varmepumpeberegning VP1'!W208</f>
        <v>3.3372461519597025</v>
      </c>
      <c r="W220" s="289">
        <f>'Varmepumpeberegning VP1'!X208</f>
        <v>9.936217278319095</v>
      </c>
      <c r="X220" s="289">
        <f t="shared" si="22"/>
        <v>43.365504555254446</v>
      </c>
      <c r="Y220" s="15">
        <f>MAX(0,MIN('Potentiel produktion'!C207*$D$3,N220))</f>
        <v>0</v>
      </c>
      <c r="Z220" s="15">
        <f t="shared" si="23"/>
        <v>1.0881000000000005</v>
      </c>
      <c r="AA220" s="16">
        <f t="shared" si="24"/>
        <v>0</v>
      </c>
      <c r="AB220" s="16">
        <v>0</v>
      </c>
      <c r="AC220" s="16">
        <v>0</v>
      </c>
      <c r="AD220" s="145">
        <f>(Y220*$H$3+Z220*'Varmepumpeberegning VP1'!Z208+AA220*$H$5+AB220*$H$6+AC220*$H$7)*24</f>
        <v>1132.4641321577374</v>
      </c>
      <c r="AF220" s="16">
        <f>Z220*'Varmepumpeberegning VP1'!Z208*24</f>
        <v>1132.4641321577374</v>
      </c>
      <c r="AG220" s="20">
        <f>(Z220/'Varmepumpeberegning VP1'!W208)*24</f>
        <v>7.8251345003919113</v>
      </c>
      <c r="AH220" s="17">
        <f t="shared" si="25"/>
        <v>43.365504555254454</v>
      </c>
      <c r="AI220" s="15">
        <f>'Varmepumpeberegning VP1'!X208-'Systemberegning VP1'!Z220</f>
        <v>8.8481172783190942</v>
      </c>
    </row>
    <row r="221" spans="10:35" x14ac:dyDescent="0.25">
      <c r="J221" s="253"/>
      <c r="K221">
        <v>7</v>
      </c>
      <c r="L221">
        <v>206</v>
      </c>
      <c r="M221" s="310">
        <v>0.19368750000000004</v>
      </c>
      <c r="N221" s="15">
        <v>1.0881000000000005</v>
      </c>
      <c r="P221" s="15">
        <f>MAX(0,MIN('Potentiel produktion'!C208*$D$3,N221))</f>
        <v>0</v>
      </c>
      <c r="Q221" s="15">
        <f t="shared" si="20"/>
        <v>1.0881000000000005</v>
      </c>
      <c r="R221" s="15">
        <v>0</v>
      </c>
      <c r="S221" s="15">
        <v>0</v>
      </c>
      <c r="T221" s="160">
        <f t="shared" si="21"/>
        <v>2950.927200000001</v>
      </c>
      <c r="V221" s="289">
        <f>'Varmepumpeberegning VP1'!W209</f>
        <v>3.3372461519597025</v>
      </c>
      <c r="W221" s="289">
        <f>'Varmepumpeberegning VP1'!X209</f>
        <v>9.936217278319095</v>
      </c>
      <c r="X221" s="289">
        <f t="shared" si="22"/>
        <v>43.365504555254446</v>
      </c>
      <c r="Y221" s="15">
        <f>MAX(0,MIN('Potentiel produktion'!C208*$D$3,N221))</f>
        <v>0</v>
      </c>
      <c r="Z221" s="15">
        <f t="shared" si="23"/>
        <v>1.0881000000000005</v>
      </c>
      <c r="AA221" s="16">
        <f t="shared" si="24"/>
        <v>0</v>
      </c>
      <c r="AB221" s="16">
        <v>0</v>
      </c>
      <c r="AC221" s="16">
        <v>0</v>
      </c>
      <c r="AD221" s="145">
        <f>(Y221*$H$3+Z221*'Varmepumpeberegning VP1'!Z209+AA221*$H$5+AB221*$H$6+AC221*$H$7)*24</f>
        <v>1132.4641321577374</v>
      </c>
      <c r="AF221" s="16">
        <f>Z221*'Varmepumpeberegning VP1'!Z209*24</f>
        <v>1132.4641321577374</v>
      </c>
      <c r="AG221" s="20">
        <f>(Z221/'Varmepumpeberegning VP1'!W209)*24</f>
        <v>7.8251345003919113</v>
      </c>
      <c r="AH221" s="17">
        <f t="shared" si="25"/>
        <v>43.365504555254454</v>
      </c>
      <c r="AI221" s="15">
        <f>'Varmepumpeberegning VP1'!X209-'Systemberegning VP1'!Z221</f>
        <v>8.8481172783190942</v>
      </c>
    </row>
    <row r="222" spans="10:35" x14ac:dyDescent="0.25">
      <c r="J222" s="253"/>
      <c r="K222">
        <v>7</v>
      </c>
      <c r="L222">
        <v>207</v>
      </c>
      <c r="M222" s="310">
        <v>0.19368750000000004</v>
      </c>
      <c r="N222" s="15">
        <v>1.0881000000000005</v>
      </c>
      <c r="P222" s="15">
        <f>MAX(0,MIN('Potentiel produktion'!C209*$D$3,N222))</f>
        <v>0</v>
      </c>
      <c r="Q222" s="15">
        <f t="shared" si="20"/>
        <v>1.0881000000000005</v>
      </c>
      <c r="R222" s="15">
        <v>0</v>
      </c>
      <c r="S222" s="15">
        <v>0</v>
      </c>
      <c r="T222" s="160">
        <f t="shared" si="21"/>
        <v>2950.927200000001</v>
      </c>
      <c r="V222" s="289">
        <f>'Varmepumpeberegning VP1'!W210</f>
        <v>3.3372461519597025</v>
      </c>
      <c r="W222" s="289">
        <f>'Varmepumpeberegning VP1'!X210</f>
        <v>9.936217278319095</v>
      </c>
      <c r="X222" s="289">
        <f t="shared" si="22"/>
        <v>43.365504555254446</v>
      </c>
      <c r="Y222" s="15">
        <f>MAX(0,MIN('Potentiel produktion'!C209*$D$3,N222))</f>
        <v>0</v>
      </c>
      <c r="Z222" s="15">
        <f t="shared" si="23"/>
        <v>1.0881000000000005</v>
      </c>
      <c r="AA222" s="16">
        <f t="shared" si="24"/>
        <v>0</v>
      </c>
      <c r="AB222" s="16">
        <v>0</v>
      </c>
      <c r="AC222" s="16">
        <v>0</v>
      </c>
      <c r="AD222" s="145">
        <f>(Y222*$H$3+Z222*'Varmepumpeberegning VP1'!Z210+AA222*$H$5+AB222*$H$6+AC222*$H$7)*24</f>
        <v>1132.4641321577374</v>
      </c>
      <c r="AF222" s="16">
        <f>Z222*'Varmepumpeberegning VP1'!Z210*24</f>
        <v>1132.4641321577374</v>
      </c>
      <c r="AG222" s="20">
        <f>(Z222/'Varmepumpeberegning VP1'!W210)*24</f>
        <v>7.8251345003919113</v>
      </c>
      <c r="AH222" s="17">
        <f t="shared" si="25"/>
        <v>43.365504555254454</v>
      </c>
      <c r="AI222" s="15">
        <f>'Varmepumpeberegning VP1'!X210-'Systemberegning VP1'!Z222</f>
        <v>8.8481172783190942</v>
      </c>
    </row>
    <row r="223" spans="10:35" x14ac:dyDescent="0.25">
      <c r="J223" s="253"/>
      <c r="K223">
        <v>7</v>
      </c>
      <c r="L223">
        <v>208</v>
      </c>
      <c r="M223" s="310">
        <v>0.19368750000000004</v>
      </c>
      <c r="N223" s="15">
        <v>1.0881000000000005</v>
      </c>
      <c r="P223" s="15">
        <f>MAX(0,MIN('Potentiel produktion'!C210*$D$3,N223))</f>
        <v>0</v>
      </c>
      <c r="Q223" s="15">
        <f t="shared" si="20"/>
        <v>1.0881000000000005</v>
      </c>
      <c r="R223" s="15">
        <v>0</v>
      </c>
      <c r="S223" s="15">
        <v>0</v>
      </c>
      <c r="T223" s="160">
        <f t="shared" si="21"/>
        <v>2950.927200000001</v>
      </c>
      <c r="V223" s="289">
        <f>'Varmepumpeberegning VP1'!W211</f>
        <v>3.3372461519597025</v>
      </c>
      <c r="W223" s="289">
        <f>'Varmepumpeberegning VP1'!X211</f>
        <v>9.936217278319095</v>
      </c>
      <c r="X223" s="289">
        <f t="shared" si="22"/>
        <v>43.365504555254446</v>
      </c>
      <c r="Y223" s="15">
        <f>MAX(0,MIN('Potentiel produktion'!C210*$D$3,N223))</f>
        <v>0</v>
      </c>
      <c r="Z223" s="15">
        <f t="shared" si="23"/>
        <v>1.0881000000000005</v>
      </c>
      <c r="AA223" s="16">
        <f t="shared" si="24"/>
        <v>0</v>
      </c>
      <c r="AB223" s="16">
        <v>0</v>
      </c>
      <c r="AC223" s="16">
        <v>0</v>
      </c>
      <c r="AD223" s="145">
        <f>(Y223*$H$3+Z223*'Varmepumpeberegning VP1'!Z211+AA223*$H$5+AB223*$H$6+AC223*$H$7)*24</f>
        <v>1132.4641321577374</v>
      </c>
      <c r="AF223" s="16">
        <f>Z223*'Varmepumpeberegning VP1'!Z211*24</f>
        <v>1132.4641321577374</v>
      </c>
      <c r="AG223" s="20">
        <f>(Z223/'Varmepumpeberegning VP1'!W211)*24</f>
        <v>7.8251345003919113</v>
      </c>
      <c r="AH223" s="17">
        <f t="shared" si="25"/>
        <v>43.365504555254454</v>
      </c>
      <c r="AI223" s="15">
        <f>'Varmepumpeberegning VP1'!X211-'Systemberegning VP1'!Z223</f>
        <v>8.8481172783190942</v>
      </c>
    </row>
    <row r="224" spans="10:35" x14ac:dyDescent="0.25">
      <c r="J224" s="253"/>
      <c r="K224">
        <v>7</v>
      </c>
      <c r="L224">
        <v>209</v>
      </c>
      <c r="M224" s="310">
        <v>0.19368750000000004</v>
      </c>
      <c r="N224" s="15">
        <v>1.0881000000000005</v>
      </c>
      <c r="P224" s="15">
        <f>MAX(0,MIN('Potentiel produktion'!C211*$D$3,N224))</f>
        <v>0</v>
      </c>
      <c r="Q224" s="15">
        <f t="shared" si="20"/>
        <v>1.0881000000000005</v>
      </c>
      <c r="R224" s="15">
        <v>0</v>
      </c>
      <c r="S224" s="15">
        <v>0</v>
      </c>
      <c r="T224" s="160">
        <f t="shared" si="21"/>
        <v>2950.927200000001</v>
      </c>
      <c r="V224" s="289">
        <f>'Varmepumpeberegning VP1'!W212</f>
        <v>3.3372461519597025</v>
      </c>
      <c r="W224" s="289">
        <f>'Varmepumpeberegning VP1'!X212</f>
        <v>9.936217278319095</v>
      </c>
      <c r="X224" s="289">
        <f t="shared" si="22"/>
        <v>43.365504555254446</v>
      </c>
      <c r="Y224" s="15">
        <f>MAX(0,MIN('Potentiel produktion'!C211*$D$3,N224))</f>
        <v>0</v>
      </c>
      <c r="Z224" s="15">
        <f t="shared" si="23"/>
        <v>1.0881000000000005</v>
      </c>
      <c r="AA224" s="16">
        <f t="shared" si="24"/>
        <v>0</v>
      </c>
      <c r="AB224" s="16">
        <v>0</v>
      </c>
      <c r="AC224" s="16">
        <v>0</v>
      </c>
      <c r="AD224" s="145">
        <f>(Y224*$H$3+Z224*'Varmepumpeberegning VP1'!Z212+AA224*$H$5+AB224*$H$6+AC224*$H$7)*24</f>
        <v>1132.4641321577374</v>
      </c>
      <c r="AF224" s="16">
        <f>Z224*'Varmepumpeberegning VP1'!Z212*24</f>
        <v>1132.4641321577374</v>
      </c>
      <c r="AG224" s="20">
        <f>(Z224/'Varmepumpeberegning VP1'!W212)*24</f>
        <v>7.8251345003919113</v>
      </c>
      <c r="AH224" s="17">
        <f t="shared" si="25"/>
        <v>43.365504555254454</v>
      </c>
      <c r="AI224" s="15">
        <f>'Varmepumpeberegning VP1'!X212-'Systemberegning VP1'!Z224</f>
        <v>8.8481172783190942</v>
      </c>
    </row>
    <row r="225" spans="10:35" x14ac:dyDescent="0.25">
      <c r="J225" s="253"/>
      <c r="K225">
        <v>7</v>
      </c>
      <c r="L225">
        <v>210</v>
      </c>
      <c r="M225" s="310">
        <v>0.19368750000000004</v>
      </c>
      <c r="N225" s="15">
        <v>1.0881000000000005</v>
      </c>
      <c r="P225" s="15">
        <f>MAX(0,MIN('Potentiel produktion'!C212*$D$3,N225))</f>
        <v>0</v>
      </c>
      <c r="Q225" s="15">
        <f t="shared" si="20"/>
        <v>1.0881000000000005</v>
      </c>
      <c r="R225" s="15">
        <v>0</v>
      </c>
      <c r="S225" s="15">
        <v>0</v>
      </c>
      <c r="T225" s="160">
        <f t="shared" si="21"/>
        <v>2950.927200000001</v>
      </c>
      <c r="V225" s="289">
        <f>'Varmepumpeberegning VP1'!W213</f>
        <v>3.3372461519597025</v>
      </c>
      <c r="W225" s="289">
        <f>'Varmepumpeberegning VP1'!X213</f>
        <v>9.936217278319095</v>
      </c>
      <c r="X225" s="289">
        <f t="shared" si="22"/>
        <v>43.365504555254446</v>
      </c>
      <c r="Y225" s="15">
        <f>MAX(0,MIN('Potentiel produktion'!C212*$D$3,N225))</f>
        <v>0</v>
      </c>
      <c r="Z225" s="15">
        <f t="shared" si="23"/>
        <v>1.0881000000000005</v>
      </c>
      <c r="AA225" s="16">
        <f t="shared" si="24"/>
        <v>0</v>
      </c>
      <c r="AB225" s="16">
        <v>0</v>
      </c>
      <c r="AC225" s="16">
        <v>0</v>
      </c>
      <c r="AD225" s="145">
        <f>(Y225*$H$3+Z225*'Varmepumpeberegning VP1'!Z213+AA225*$H$5+AB225*$H$6+AC225*$H$7)*24</f>
        <v>1132.4641321577374</v>
      </c>
      <c r="AF225" s="16">
        <f>Z225*'Varmepumpeberegning VP1'!Z213*24</f>
        <v>1132.4641321577374</v>
      </c>
      <c r="AG225" s="20">
        <f>(Z225/'Varmepumpeberegning VP1'!W213)*24</f>
        <v>7.8251345003919113</v>
      </c>
      <c r="AH225" s="17">
        <f t="shared" si="25"/>
        <v>43.365504555254454</v>
      </c>
      <c r="AI225" s="15">
        <f>'Varmepumpeberegning VP1'!X213-'Systemberegning VP1'!Z225</f>
        <v>8.8481172783190942</v>
      </c>
    </row>
    <row r="226" spans="10:35" x14ac:dyDescent="0.25">
      <c r="J226" s="253"/>
      <c r="K226">
        <v>7</v>
      </c>
      <c r="L226">
        <v>211</v>
      </c>
      <c r="M226" s="310">
        <v>0.19368750000000004</v>
      </c>
      <c r="N226" s="15">
        <v>1.0881000000000005</v>
      </c>
      <c r="P226" s="15">
        <f>MAX(0,MIN('Potentiel produktion'!C213*$D$3,N226))</f>
        <v>0</v>
      </c>
      <c r="Q226" s="15">
        <f t="shared" si="20"/>
        <v>1.0881000000000005</v>
      </c>
      <c r="R226" s="15">
        <v>0</v>
      </c>
      <c r="S226" s="15">
        <v>0</v>
      </c>
      <c r="T226" s="160">
        <f t="shared" si="21"/>
        <v>2950.927200000001</v>
      </c>
      <c r="V226" s="289">
        <f>'Varmepumpeberegning VP1'!W214</f>
        <v>3.3372461519597025</v>
      </c>
      <c r="W226" s="289">
        <f>'Varmepumpeberegning VP1'!X214</f>
        <v>9.936217278319095</v>
      </c>
      <c r="X226" s="289">
        <f t="shared" si="22"/>
        <v>43.365504555254446</v>
      </c>
      <c r="Y226" s="15">
        <f>MAX(0,MIN('Potentiel produktion'!C213*$D$3,N226))</f>
        <v>0</v>
      </c>
      <c r="Z226" s="15">
        <f t="shared" si="23"/>
        <v>1.0881000000000005</v>
      </c>
      <c r="AA226" s="16">
        <f t="shared" si="24"/>
        <v>0</v>
      </c>
      <c r="AB226" s="16">
        <v>0</v>
      </c>
      <c r="AC226" s="16">
        <v>0</v>
      </c>
      <c r="AD226" s="145">
        <f>(Y226*$H$3+Z226*'Varmepumpeberegning VP1'!Z214+AA226*$H$5+AB226*$H$6+AC226*$H$7)*24</f>
        <v>1132.4641321577374</v>
      </c>
      <c r="AF226" s="16">
        <f>Z226*'Varmepumpeberegning VP1'!Z214*24</f>
        <v>1132.4641321577374</v>
      </c>
      <c r="AG226" s="20">
        <f>(Z226/'Varmepumpeberegning VP1'!W214)*24</f>
        <v>7.8251345003919113</v>
      </c>
      <c r="AH226" s="17">
        <f t="shared" si="25"/>
        <v>43.365504555254454</v>
      </c>
      <c r="AI226" s="15">
        <f>'Varmepumpeberegning VP1'!X214-'Systemberegning VP1'!Z226</f>
        <v>8.8481172783190942</v>
      </c>
    </row>
    <row r="227" spans="10:35" x14ac:dyDescent="0.25">
      <c r="J227" s="253"/>
      <c r="K227">
        <v>7</v>
      </c>
      <c r="L227">
        <v>212</v>
      </c>
      <c r="M227" s="310">
        <v>0.19368750000000004</v>
      </c>
      <c r="N227" s="15">
        <v>1.0881000000000005</v>
      </c>
      <c r="P227" s="15">
        <f>MAX(0,MIN('Potentiel produktion'!C214*$D$3,N227))</f>
        <v>0</v>
      </c>
      <c r="Q227" s="15">
        <f t="shared" si="20"/>
        <v>1.0881000000000005</v>
      </c>
      <c r="R227" s="15">
        <v>0</v>
      </c>
      <c r="S227" s="15">
        <v>0</v>
      </c>
      <c r="T227" s="160">
        <f t="shared" si="21"/>
        <v>2950.927200000001</v>
      </c>
      <c r="V227" s="289">
        <f>'Varmepumpeberegning VP1'!W215</f>
        <v>3.3372461519597025</v>
      </c>
      <c r="W227" s="289">
        <f>'Varmepumpeberegning VP1'!X215</f>
        <v>9.936217278319095</v>
      </c>
      <c r="X227" s="289">
        <f t="shared" si="22"/>
        <v>43.365504555254446</v>
      </c>
      <c r="Y227" s="15">
        <f>MAX(0,MIN('Potentiel produktion'!C214*$D$3,N227))</f>
        <v>0</v>
      </c>
      <c r="Z227" s="15">
        <f t="shared" si="23"/>
        <v>1.0881000000000005</v>
      </c>
      <c r="AA227" s="16">
        <f t="shared" si="24"/>
        <v>0</v>
      </c>
      <c r="AB227" s="16">
        <v>0</v>
      </c>
      <c r="AC227" s="16">
        <v>0</v>
      </c>
      <c r="AD227" s="145">
        <f>(Y227*$H$3+Z227*'Varmepumpeberegning VP1'!Z215+AA227*$H$5+AB227*$H$6+AC227*$H$7)*24</f>
        <v>1132.4641321577374</v>
      </c>
      <c r="AF227" s="16">
        <f>Z227*'Varmepumpeberegning VP1'!Z215*24</f>
        <v>1132.4641321577374</v>
      </c>
      <c r="AG227" s="20">
        <f>(Z227/'Varmepumpeberegning VP1'!W215)*24</f>
        <v>7.8251345003919113</v>
      </c>
      <c r="AH227" s="17">
        <f t="shared" si="25"/>
        <v>43.365504555254454</v>
      </c>
      <c r="AI227" s="15">
        <f>'Varmepumpeberegning VP1'!X215-'Systemberegning VP1'!Z227</f>
        <v>8.8481172783190942</v>
      </c>
    </row>
    <row r="228" spans="10:35" x14ac:dyDescent="0.25">
      <c r="J228" s="253"/>
      <c r="K228">
        <v>8</v>
      </c>
      <c r="L228">
        <v>213</v>
      </c>
      <c r="M228" s="310">
        <v>0.19368750000000004</v>
      </c>
      <c r="N228" s="15">
        <v>1.0881000000000005</v>
      </c>
      <c r="P228" s="15">
        <f>MAX(0,MIN('Potentiel produktion'!C215*$D$3,N228))</f>
        <v>0</v>
      </c>
      <c r="Q228" s="15">
        <f t="shared" si="20"/>
        <v>1.0881000000000005</v>
      </c>
      <c r="R228" s="15">
        <v>0</v>
      </c>
      <c r="S228" s="15">
        <v>0</v>
      </c>
      <c r="T228" s="160">
        <f t="shared" si="21"/>
        <v>2950.927200000001</v>
      </c>
      <c r="V228" s="289">
        <f>'Varmepumpeberegning VP1'!W216</f>
        <v>3.3372461519597025</v>
      </c>
      <c r="W228" s="289">
        <f>'Varmepumpeberegning VP1'!X216</f>
        <v>9.936217278319095</v>
      </c>
      <c r="X228" s="289">
        <f t="shared" si="22"/>
        <v>43.365504555254446</v>
      </c>
      <c r="Y228" s="15">
        <f>MAX(0,MIN('Potentiel produktion'!C215*$D$3,N228))</f>
        <v>0</v>
      </c>
      <c r="Z228" s="15">
        <f t="shared" si="23"/>
        <v>1.0881000000000005</v>
      </c>
      <c r="AA228" s="16">
        <f t="shared" si="24"/>
        <v>0</v>
      </c>
      <c r="AB228" s="16">
        <v>0</v>
      </c>
      <c r="AC228" s="16">
        <v>0</v>
      </c>
      <c r="AD228" s="145">
        <f>(Y228*$H$3+Z228*'Varmepumpeberegning VP1'!Z216+AA228*$H$5+AB228*$H$6+AC228*$H$7)*24</f>
        <v>1132.4641321577374</v>
      </c>
      <c r="AF228" s="16">
        <f>Z228*'Varmepumpeberegning VP1'!Z216*24</f>
        <v>1132.4641321577374</v>
      </c>
      <c r="AG228" s="20">
        <f>(Z228/'Varmepumpeberegning VP1'!W216)*24</f>
        <v>7.8251345003919113</v>
      </c>
      <c r="AH228" s="17">
        <f t="shared" si="25"/>
        <v>43.365504555254454</v>
      </c>
      <c r="AI228" s="15">
        <f>'Varmepumpeberegning VP1'!X216-'Systemberegning VP1'!Z228</f>
        <v>8.8481172783190942</v>
      </c>
    </row>
    <row r="229" spans="10:35" x14ac:dyDescent="0.25">
      <c r="J229" s="253"/>
      <c r="K229">
        <v>8</v>
      </c>
      <c r="L229">
        <v>214</v>
      </c>
      <c r="M229" s="310">
        <v>0.19368750000000004</v>
      </c>
      <c r="N229" s="15">
        <v>1.0881000000000005</v>
      </c>
      <c r="P229" s="15">
        <f>MAX(0,MIN('Potentiel produktion'!C216*$D$3,N229))</f>
        <v>0</v>
      </c>
      <c r="Q229" s="15">
        <f t="shared" si="20"/>
        <v>1.0881000000000005</v>
      </c>
      <c r="R229" s="15">
        <v>0</v>
      </c>
      <c r="S229" s="15">
        <v>0</v>
      </c>
      <c r="T229" s="160">
        <f t="shared" si="21"/>
        <v>2950.927200000001</v>
      </c>
      <c r="V229" s="289">
        <f>'Varmepumpeberegning VP1'!W217</f>
        <v>3.3372461519597025</v>
      </c>
      <c r="W229" s="289">
        <f>'Varmepumpeberegning VP1'!X217</f>
        <v>9.936217278319095</v>
      </c>
      <c r="X229" s="289">
        <f t="shared" si="22"/>
        <v>43.365504555254446</v>
      </c>
      <c r="Y229" s="15">
        <f>MAX(0,MIN('Potentiel produktion'!C216*$D$3,N229))</f>
        <v>0</v>
      </c>
      <c r="Z229" s="15">
        <f t="shared" si="23"/>
        <v>1.0881000000000005</v>
      </c>
      <c r="AA229" s="16">
        <f t="shared" si="24"/>
        <v>0</v>
      </c>
      <c r="AB229" s="16">
        <v>0</v>
      </c>
      <c r="AC229" s="16">
        <v>0</v>
      </c>
      <c r="AD229" s="145">
        <f>(Y229*$H$3+Z229*'Varmepumpeberegning VP1'!Z217+AA229*$H$5+AB229*$H$6+AC229*$H$7)*24</f>
        <v>1132.4641321577374</v>
      </c>
      <c r="AF229" s="16">
        <f>Z229*'Varmepumpeberegning VP1'!Z217*24</f>
        <v>1132.4641321577374</v>
      </c>
      <c r="AG229" s="20">
        <f>(Z229/'Varmepumpeberegning VP1'!W217)*24</f>
        <v>7.8251345003919113</v>
      </c>
      <c r="AH229" s="17">
        <f t="shared" si="25"/>
        <v>43.365504555254454</v>
      </c>
      <c r="AI229" s="15">
        <f>'Varmepumpeberegning VP1'!X217-'Systemberegning VP1'!Z229</f>
        <v>8.8481172783190942</v>
      </c>
    </row>
    <row r="230" spans="10:35" x14ac:dyDescent="0.25">
      <c r="J230" s="253"/>
      <c r="K230">
        <v>8</v>
      </c>
      <c r="L230">
        <v>215</v>
      </c>
      <c r="M230" s="310">
        <v>0.19368750000000004</v>
      </c>
      <c r="N230" s="15">
        <v>1.0881000000000005</v>
      </c>
      <c r="P230" s="15">
        <f>MAX(0,MIN('Potentiel produktion'!C217*$D$3,N230))</f>
        <v>0</v>
      </c>
      <c r="Q230" s="15">
        <f t="shared" si="20"/>
        <v>1.0881000000000005</v>
      </c>
      <c r="R230" s="15">
        <v>0</v>
      </c>
      <c r="S230" s="15">
        <v>0</v>
      </c>
      <c r="T230" s="160">
        <f t="shared" si="21"/>
        <v>2950.927200000001</v>
      </c>
      <c r="V230" s="289">
        <f>'Varmepumpeberegning VP1'!W218</f>
        <v>3.3372461519597025</v>
      </c>
      <c r="W230" s="289">
        <f>'Varmepumpeberegning VP1'!X218</f>
        <v>9.936217278319095</v>
      </c>
      <c r="X230" s="289">
        <f t="shared" si="22"/>
        <v>43.365504555254446</v>
      </c>
      <c r="Y230" s="15">
        <f>MAX(0,MIN('Potentiel produktion'!C217*$D$3,N230))</f>
        <v>0</v>
      </c>
      <c r="Z230" s="15">
        <f t="shared" si="23"/>
        <v>1.0881000000000005</v>
      </c>
      <c r="AA230" s="16">
        <f t="shared" si="24"/>
        <v>0</v>
      </c>
      <c r="AB230" s="16">
        <v>0</v>
      </c>
      <c r="AC230" s="16">
        <v>0</v>
      </c>
      <c r="AD230" s="145">
        <f>(Y230*$H$3+Z230*'Varmepumpeberegning VP1'!Z218+AA230*$H$5+AB230*$H$6+AC230*$H$7)*24</f>
        <v>1132.4641321577374</v>
      </c>
      <c r="AF230" s="16">
        <f>Z230*'Varmepumpeberegning VP1'!Z218*24</f>
        <v>1132.4641321577374</v>
      </c>
      <c r="AG230" s="20">
        <f>(Z230/'Varmepumpeberegning VP1'!W218)*24</f>
        <v>7.8251345003919113</v>
      </c>
      <c r="AH230" s="17">
        <f t="shared" si="25"/>
        <v>43.365504555254454</v>
      </c>
      <c r="AI230" s="15">
        <f>'Varmepumpeberegning VP1'!X218-'Systemberegning VP1'!Z230</f>
        <v>8.8481172783190942</v>
      </c>
    </row>
    <row r="231" spans="10:35" x14ac:dyDescent="0.25">
      <c r="J231" s="253"/>
      <c r="K231">
        <v>8</v>
      </c>
      <c r="L231">
        <v>216</v>
      </c>
      <c r="M231" s="310">
        <v>0.19368750000000004</v>
      </c>
      <c r="N231" s="15">
        <v>1.0881000000000005</v>
      </c>
      <c r="P231" s="15">
        <f>MAX(0,MIN('Potentiel produktion'!C218*$D$3,N231))</f>
        <v>0</v>
      </c>
      <c r="Q231" s="15">
        <f t="shared" si="20"/>
        <v>1.0881000000000005</v>
      </c>
      <c r="R231" s="15">
        <v>0</v>
      </c>
      <c r="S231" s="15">
        <v>0</v>
      </c>
      <c r="T231" s="160">
        <f t="shared" si="21"/>
        <v>2950.927200000001</v>
      </c>
      <c r="V231" s="289">
        <f>'Varmepumpeberegning VP1'!W219</f>
        <v>3.3372461519597025</v>
      </c>
      <c r="W231" s="289">
        <f>'Varmepumpeberegning VP1'!X219</f>
        <v>9.936217278319095</v>
      </c>
      <c r="X231" s="289">
        <f t="shared" si="22"/>
        <v>43.365504555254446</v>
      </c>
      <c r="Y231" s="15">
        <f>MAX(0,MIN('Potentiel produktion'!C218*$D$3,N231))</f>
        <v>0</v>
      </c>
      <c r="Z231" s="15">
        <f t="shared" si="23"/>
        <v>1.0881000000000005</v>
      </c>
      <c r="AA231" s="16">
        <f t="shared" si="24"/>
        <v>0</v>
      </c>
      <c r="AB231" s="16">
        <v>0</v>
      </c>
      <c r="AC231" s="16">
        <v>0</v>
      </c>
      <c r="AD231" s="145">
        <f>(Y231*$H$3+Z231*'Varmepumpeberegning VP1'!Z219+AA231*$H$5+AB231*$H$6+AC231*$H$7)*24</f>
        <v>1132.4641321577374</v>
      </c>
      <c r="AF231" s="16">
        <f>Z231*'Varmepumpeberegning VP1'!Z219*24</f>
        <v>1132.4641321577374</v>
      </c>
      <c r="AG231" s="20">
        <f>(Z231/'Varmepumpeberegning VP1'!W219)*24</f>
        <v>7.8251345003919113</v>
      </c>
      <c r="AH231" s="17">
        <f t="shared" si="25"/>
        <v>43.365504555254454</v>
      </c>
      <c r="AI231" s="15">
        <f>'Varmepumpeberegning VP1'!X219-'Systemberegning VP1'!Z231</f>
        <v>8.8481172783190942</v>
      </c>
    </row>
    <row r="232" spans="10:35" x14ac:dyDescent="0.25">
      <c r="J232" s="253"/>
      <c r="K232">
        <v>8</v>
      </c>
      <c r="L232">
        <v>217</v>
      </c>
      <c r="M232" s="310">
        <v>0.19368750000000004</v>
      </c>
      <c r="N232" s="15">
        <v>1.0881000000000005</v>
      </c>
      <c r="P232" s="15">
        <f>MAX(0,MIN('Potentiel produktion'!C219*$D$3,N232))</f>
        <v>0</v>
      </c>
      <c r="Q232" s="15">
        <f t="shared" si="20"/>
        <v>1.0881000000000005</v>
      </c>
      <c r="R232" s="15">
        <v>0</v>
      </c>
      <c r="S232" s="15">
        <v>0</v>
      </c>
      <c r="T232" s="160">
        <f t="shared" si="21"/>
        <v>2950.927200000001</v>
      </c>
      <c r="V232" s="289">
        <f>'Varmepumpeberegning VP1'!W220</f>
        <v>3.3372461519597025</v>
      </c>
      <c r="W232" s="289">
        <f>'Varmepumpeberegning VP1'!X220</f>
        <v>9.936217278319095</v>
      </c>
      <c r="X232" s="289">
        <f t="shared" si="22"/>
        <v>43.365504555254446</v>
      </c>
      <c r="Y232" s="15">
        <f>MAX(0,MIN('Potentiel produktion'!C219*$D$3,N232))</f>
        <v>0</v>
      </c>
      <c r="Z232" s="15">
        <f t="shared" si="23"/>
        <v>1.0881000000000005</v>
      </c>
      <c r="AA232" s="16">
        <f t="shared" si="24"/>
        <v>0</v>
      </c>
      <c r="AB232" s="16">
        <v>0</v>
      </c>
      <c r="AC232" s="16">
        <v>0</v>
      </c>
      <c r="AD232" s="145">
        <f>(Y232*$H$3+Z232*'Varmepumpeberegning VP1'!Z220+AA232*$H$5+AB232*$H$6+AC232*$H$7)*24</f>
        <v>1132.4641321577374</v>
      </c>
      <c r="AF232" s="16">
        <f>Z232*'Varmepumpeberegning VP1'!Z220*24</f>
        <v>1132.4641321577374</v>
      </c>
      <c r="AG232" s="20">
        <f>(Z232/'Varmepumpeberegning VP1'!W220)*24</f>
        <v>7.8251345003919113</v>
      </c>
      <c r="AH232" s="17">
        <f t="shared" si="25"/>
        <v>43.365504555254454</v>
      </c>
      <c r="AI232" s="15">
        <f>'Varmepumpeberegning VP1'!X220-'Systemberegning VP1'!Z232</f>
        <v>8.8481172783190942</v>
      </c>
    </row>
    <row r="233" spans="10:35" x14ac:dyDescent="0.25">
      <c r="J233" s="253"/>
      <c r="K233">
        <v>8</v>
      </c>
      <c r="L233">
        <v>218</v>
      </c>
      <c r="M233" s="310">
        <v>0.19368750000000004</v>
      </c>
      <c r="N233" s="15">
        <v>1.0881000000000005</v>
      </c>
      <c r="P233" s="15">
        <f>MAX(0,MIN('Potentiel produktion'!C220*$D$3,N233))</f>
        <v>0</v>
      </c>
      <c r="Q233" s="15">
        <f t="shared" si="20"/>
        <v>1.0881000000000005</v>
      </c>
      <c r="R233" s="15">
        <v>0</v>
      </c>
      <c r="S233" s="15">
        <v>0</v>
      </c>
      <c r="T233" s="160">
        <f t="shared" si="21"/>
        <v>2950.927200000001</v>
      </c>
      <c r="V233" s="289">
        <f>'Varmepumpeberegning VP1'!W221</f>
        <v>3.3372461519597025</v>
      </c>
      <c r="W233" s="289">
        <f>'Varmepumpeberegning VP1'!X221</f>
        <v>9.936217278319095</v>
      </c>
      <c r="X233" s="289">
        <f t="shared" si="22"/>
        <v>43.365504555254446</v>
      </c>
      <c r="Y233" s="15">
        <f>MAX(0,MIN('Potentiel produktion'!C220*$D$3,N233))</f>
        <v>0</v>
      </c>
      <c r="Z233" s="15">
        <f t="shared" si="23"/>
        <v>1.0881000000000005</v>
      </c>
      <c r="AA233" s="16">
        <f t="shared" si="24"/>
        <v>0</v>
      </c>
      <c r="AB233" s="16">
        <v>0</v>
      </c>
      <c r="AC233" s="16">
        <v>0</v>
      </c>
      <c r="AD233" s="145">
        <f>(Y233*$H$3+Z233*'Varmepumpeberegning VP1'!Z221+AA233*$H$5+AB233*$H$6+AC233*$H$7)*24</f>
        <v>1132.4641321577374</v>
      </c>
      <c r="AF233" s="16">
        <f>Z233*'Varmepumpeberegning VP1'!Z221*24</f>
        <v>1132.4641321577374</v>
      </c>
      <c r="AG233" s="20">
        <f>(Z233/'Varmepumpeberegning VP1'!W221)*24</f>
        <v>7.8251345003919113</v>
      </c>
      <c r="AH233" s="17">
        <f t="shared" si="25"/>
        <v>43.365504555254454</v>
      </c>
      <c r="AI233" s="15">
        <f>'Varmepumpeberegning VP1'!X221-'Systemberegning VP1'!Z233</f>
        <v>8.8481172783190942</v>
      </c>
    </row>
    <row r="234" spans="10:35" x14ac:dyDescent="0.25">
      <c r="J234" s="253"/>
      <c r="K234">
        <v>8</v>
      </c>
      <c r="L234">
        <v>219</v>
      </c>
      <c r="M234" s="310">
        <v>0.19368750000000004</v>
      </c>
      <c r="N234" s="15">
        <v>1.0881000000000005</v>
      </c>
      <c r="P234" s="15">
        <f>MAX(0,MIN('Potentiel produktion'!C221*$D$3,N234))</f>
        <v>0</v>
      </c>
      <c r="Q234" s="15">
        <f t="shared" si="20"/>
        <v>1.0881000000000005</v>
      </c>
      <c r="R234" s="15">
        <v>0</v>
      </c>
      <c r="S234" s="15">
        <v>0</v>
      </c>
      <c r="T234" s="160">
        <f t="shared" si="21"/>
        <v>2950.927200000001</v>
      </c>
      <c r="V234" s="289">
        <f>'Varmepumpeberegning VP1'!W222</f>
        <v>3.3372461519597025</v>
      </c>
      <c r="W234" s="289">
        <f>'Varmepumpeberegning VP1'!X222</f>
        <v>9.936217278319095</v>
      </c>
      <c r="X234" s="289">
        <f t="shared" si="22"/>
        <v>43.365504555254446</v>
      </c>
      <c r="Y234" s="15">
        <f>MAX(0,MIN('Potentiel produktion'!C221*$D$3,N234))</f>
        <v>0</v>
      </c>
      <c r="Z234" s="15">
        <f t="shared" si="23"/>
        <v>1.0881000000000005</v>
      </c>
      <c r="AA234" s="16">
        <f t="shared" si="24"/>
        <v>0</v>
      </c>
      <c r="AB234" s="16">
        <v>0</v>
      </c>
      <c r="AC234" s="16">
        <v>0</v>
      </c>
      <c r="AD234" s="145">
        <f>(Y234*$H$3+Z234*'Varmepumpeberegning VP1'!Z222+AA234*$H$5+AB234*$H$6+AC234*$H$7)*24</f>
        <v>1132.4641321577374</v>
      </c>
      <c r="AF234" s="16">
        <f>Z234*'Varmepumpeberegning VP1'!Z222*24</f>
        <v>1132.4641321577374</v>
      </c>
      <c r="AG234" s="20">
        <f>(Z234/'Varmepumpeberegning VP1'!W222)*24</f>
        <v>7.8251345003919113</v>
      </c>
      <c r="AH234" s="17">
        <f t="shared" si="25"/>
        <v>43.365504555254454</v>
      </c>
      <c r="AI234" s="15">
        <f>'Varmepumpeberegning VP1'!X222-'Systemberegning VP1'!Z234</f>
        <v>8.8481172783190942</v>
      </c>
    </row>
    <row r="235" spans="10:35" x14ac:dyDescent="0.25">
      <c r="J235" s="253"/>
      <c r="K235">
        <v>8</v>
      </c>
      <c r="L235">
        <v>220</v>
      </c>
      <c r="M235" s="310">
        <v>0.19368750000000004</v>
      </c>
      <c r="N235" s="15">
        <v>1.0881000000000005</v>
      </c>
      <c r="P235" s="15">
        <f>MAX(0,MIN('Potentiel produktion'!C222*$D$3,N235))</f>
        <v>0</v>
      </c>
      <c r="Q235" s="15">
        <f t="shared" si="20"/>
        <v>1.0881000000000005</v>
      </c>
      <c r="R235" s="15">
        <v>0</v>
      </c>
      <c r="S235" s="15">
        <v>0</v>
      </c>
      <c r="T235" s="160">
        <f t="shared" si="21"/>
        <v>2950.927200000001</v>
      </c>
      <c r="V235" s="289">
        <f>'Varmepumpeberegning VP1'!W223</f>
        <v>3.3372461519597025</v>
      </c>
      <c r="W235" s="289">
        <f>'Varmepumpeberegning VP1'!X223</f>
        <v>9.936217278319095</v>
      </c>
      <c r="X235" s="289">
        <f t="shared" si="22"/>
        <v>43.365504555254446</v>
      </c>
      <c r="Y235" s="15">
        <f>MAX(0,MIN('Potentiel produktion'!C222*$D$3,N235))</f>
        <v>0</v>
      </c>
      <c r="Z235" s="15">
        <f t="shared" si="23"/>
        <v>1.0881000000000005</v>
      </c>
      <c r="AA235" s="16">
        <f t="shared" si="24"/>
        <v>0</v>
      </c>
      <c r="AB235" s="16">
        <v>0</v>
      </c>
      <c r="AC235" s="16">
        <v>0</v>
      </c>
      <c r="AD235" s="145">
        <f>(Y235*$H$3+Z235*'Varmepumpeberegning VP1'!Z223+AA235*$H$5+AB235*$H$6+AC235*$H$7)*24</f>
        <v>1132.4641321577374</v>
      </c>
      <c r="AF235" s="16">
        <f>Z235*'Varmepumpeberegning VP1'!Z223*24</f>
        <v>1132.4641321577374</v>
      </c>
      <c r="AG235" s="20">
        <f>(Z235/'Varmepumpeberegning VP1'!W223)*24</f>
        <v>7.8251345003919113</v>
      </c>
      <c r="AH235" s="17">
        <f t="shared" si="25"/>
        <v>43.365504555254454</v>
      </c>
      <c r="AI235" s="15">
        <f>'Varmepumpeberegning VP1'!X223-'Systemberegning VP1'!Z235</f>
        <v>8.8481172783190942</v>
      </c>
    </row>
    <row r="236" spans="10:35" x14ac:dyDescent="0.25">
      <c r="J236" s="253"/>
      <c r="K236">
        <v>8</v>
      </c>
      <c r="L236">
        <v>221</v>
      </c>
      <c r="M236" s="310">
        <v>0.19368750000000004</v>
      </c>
      <c r="N236" s="15">
        <v>1.0881000000000005</v>
      </c>
      <c r="P236" s="15">
        <f>MAX(0,MIN('Potentiel produktion'!C223*$D$3,N236))</f>
        <v>0</v>
      </c>
      <c r="Q236" s="15">
        <f t="shared" si="20"/>
        <v>1.0881000000000005</v>
      </c>
      <c r="R236" s="15">
        <v>0</v>
      </c>
      <c r="S236" s="15">
        <v>0</v>
      </c>
      <c r="T236" s="160">
        <f t="shared" si="21"/>
        <v>2950.927200000001</v>
      </c>
      <c r="V236" s="289">
        <f>'Varmepumpeberegning VP1'!W224</f>
        <v>3.3372461519597025</v>
      </c>
      <c r="W236" s="289">
        <f>'Varmepumpeberegning VP1'!X224</f>
        <v>9.936217278319095</v>
      </c>
      <c r="X236" s="289">
        <f t="shared" si="22"/>
        <v>43.365504555254446</v>
      </c>
      <c r="Y236" s="15">
        <f>MAX(0,MIN('Potentiel produktion'!C223*$D$3,N236))</f>
        <v>0</v>
      </c>
      <c r="Z236" s="15">
        <f t="shared" si="23"/>
        <v>1.0881000000000005</v>
      </c>
      <c r="AA236" s="16">
        <f t="shared" si="24"/>
        <v>0</v>
      </c>
      <c r="AB236" s="16">
        <v>0</v>
      </c>
      <c r="AC236" s="16">
        <v>0</v>
      </c>
      <c r="AD236" s="145">
        <f>(Y236*$H$3+Z236*'Varmepumpeberegning VP1'!Z224+AA236*$H$5+AB236*$H$6+AC236*$H$7)*24</f>
        <v>1132.4641321577374</v>
      </c>
      <c r="AF236" s="16">
        <f>Z236*'Varmepumpeberegning VP1'!Z224*24</f>
        <v>1132.4641321577374</v>
      </c>
      <c r="AG236" s="20">
        <f>(Z236/'Varmepumpeberegning VP1'!W224)*24</f>
        <v>7.8251345003919113</v>
      </c>
      <c r="AH236" s="17">
        <f t="shared" si="25"/>
        <v>43.365504555254454</v>
      </c>
      <c r="AI236" s="15">
        <f>'Varmepumpeberegning VP1'!X224-'Systemberegning VP1'!Z236</f>
        <v>8.8481172783190942</v>
      </c>
    </row>
    <row r="237" spans="10:35" x14ac:dyDescent="0.25">
      <c r="J237" s="253"/>
      <c r="K237">
        <v>8</v>
      </c>
      <c r="L237">
        <v>222</v>
      </c>
      <c r="M237" s="310">
        <v>0.19368750000000004</v>
      </c>
      <c r="N237" s="15">
        <v>1.0881000000000005</v>
      </c>
      <c r="P237" s="15">
        <f>MAX(0,MIN('Potentiel produktion'!C224*$D$3,N237))</f>
        <v>0</v>
      </c>
      <c r="Q237" s="15">
        <f t="shared" si="20"/>
        <v>1.0881000000000005</v>
      </c>
      <c r="R237" s="15">
        <v>0</v>
      </c>
      <c r="S237" s="15">
        <v>0</v>
      </c>
      <c r="T237" s="160">
        <f t="shared" si="21"/>
        <v>2950.927200000001</v>
      </c>
      <c r="V237" s="289">
        <f>'Varmepumpeberegning VP1'!W225</f>
        <v>3.3372461519597025</v>
      </c>
      <c r="W237" s="289">
        <f>'Varmepumpeberegning VP1'!X225</f>
        <v>9.936217278319095</v>
      </c>
      <c r="X237" s="289">
        <f t="shared" si="22"/>
        <v>43.365504555254446</v>
      </c>
      <c r="Y237" s="15">
        <f>MAX(0,MIN('Potentiel produktion'!C224*$D$3,N237))</f>
        <v>0</v>
      </c>
      <c r="Z237" s="15">
        <f t="shared" si="23"/>
        <v>1.0881000000000005</v>
      </c>
      <c r="AA237" s="16">
        <f t="shared" si="24"/>
        <v>0</v>
      </c>
      <c r="AB237" s="16">
        <v>0</v>
      </c>
      <c r="AC237" s="16">
        <v>0</v>
      </c>
      <c r="AD237" s="145">
        <f>(Y237*$H$3+Z237*'Varmepumpeberegning VP1'!Z225+AA237*$H$5+AB237*$H$6+AC237*$H$7)*24</f>
        <v>1132.4641321577374</v>
      </c>
      <c r="AF237" s="16">
        <f>Z237*'Varmepumpeberegning VP1'!Z225*24</f>
        <v>1132.4641321577374</v>
      </c>
      <c r="AG237" s="20">
        <f>(Z237/'Varmepumpeberegning VP1'!W225)*24</f>
        <v>7.8251345003919113</v>
      </c>
      <c r="AH237" s="17">
        <f t="shared" si="25"/>
        <v>43.365504555254454</v>
      </c>
      <c r="AI237" s="15">
        <f>'Varmepumpeberegning VP1'!X225-'Systemberegning VP1'!Z237</f>
        <v>8.8481172783190942</v>
      </c>
    </row>
    <row r="238" spans="10:35" x14ac:dyDescent="0.25">
      <c r="J238" s="253"/>
      <c r="K238">
        <v>8</v>
      </c>
      <c r="L238">
        <v>223</v>
      </c>
      <c r="M238" s="310">
        <v>0.19368750000000004</v>
      </c>
      <c r="N238" s="15">
        <v>1.0881000000000005</v>
      </c>
      <c r="P238" s="15">
        <f>MAX(0,MIN('Potentiel produktion'!C225*$D$3,N238))</f>
        <v>0</v>
      </c>
      <c r="Q238" s="15">
        <f t="shared" si="20"/>
        <v>1.0881000000000005</v>
      </c>
      <c r="R238" s="15">
        <v>0</v>
      </c>
      <c r="S238" s="15">
        <v>0</v>
      </c>
      <c r="T238" s="160">
        <f t="shared" si="21"/>
        <v>2950.927200000001</v>
      </c>
      <c r="V238" s="289">
        <f>'Varmepumpeberegning VP1'!W226</f>
        <v>3.3372461519597025</v>
      </c>
      <c r="W238" s="289">
        <f>'Varmepumpeberegning VP1'!X226</f>
        <v>9.936217278319095</v>
      </c>
      <c r="X238" s="289">
        <f t="shared" si="22"/>
        <v>43.365504555254446</v>
      </c>
      <c r="Y238" s="15">
        <f>MAX(0,MIN('Potentiel produktion'!C225*$D$3,N238))</f>
        <v>0</v>
      </c>
      <c r="Z238" s="15">
        <f t="shared" si="23"/>
        <v>1.0881000000000005</v>
      </c>
      <c r="AA238" s="16">
        <f t="shared" si="24"/>
        <v>0</v>
      </c>
      <c r="AB238" s="16">
        <v>0</v>
      </c>
      <c r="AC238" s="16">
        <v>0</v>
      </c>
      <c r="AD238" s="145">
        <f>(Y238*$H$3+Z238*'Varmepumpeberegning VP1'!Z226+AA238*$H$5+AB238*$H$6+AC238*$H$7)*24</f>
        <v>1132.4641321577374</v>
      </c>
      <c r="AF238" s="16">
        <f>Z238*'Varmepumpeberegning VP1'!Z226*24</f>
        <v>1132.4641321577374</v>
      </c>
      <c r="AG238" s="20">
        <f>(Z238/'Varmepumpeberegning VP1'!W226)*24</f>
        <v>7.8251345003919113</v>
      </c>
      <c r="AH238" s="17">
        <f t="shared" si="25"/>
        <v>43.365504555254454</v>
      </c>
      <c r="AI238" s="15">
        <f>'Varmepumpeberegning VP1'!X226-'Systemberegning VP1'!Z238</f>
        <v>8.8481172783190942</v>
      </c>
    </row>
    <row r="239" spans="10:35" x14ac:dyDescent="0.25">
      <c r="J239" s="253"/>
      <c r="K239">
        <v>8</v>
      </c>
      <c r="L239">
        <v>224</v>
      </c>
      <c r="M239" s="310">
        <v>0.19368750000000004</v>
      </c>
      <c r="N239" s="15">
        <v>1.0881000000000005</v>
      </c>
      <c r="P239" s="15">
        <f>MAX(0,MIN('Potentiel produktion'!C226*$D$3,N239))</f>
        <v>0</v>
      </c>
      <c r="Q239" s="15">
        <f t="shared" si="20"/>
        <v>1.0881000000000005</v>
      </c>
      <c r="R239" s="15">
        <v>0</v>
      </c>
      <c r="S239" s="15">
        <v>0</v>
      </c>
      <c r="T239" s="160">
        <f t="shared" si="21"/>
        <v>2950.927200000001</v>
      </c>
      <c r="V239" s="289">
        <f>'Varmepumpeberegning VP1'!W227</f>
        <v>3.3372461519597025</v>
      </c>
      <c r="W239" s="289">
        <f>'Varmepumpeberegning VP1'!X227</f>
        <v>9.936217278319095</v>
      </c>
      <c r="X239" s="289">
        <f t="shared" si="22"/>
        <v>43.365504555254446</v>
      </c>
      <c r="Y239" s="15">
        <f>MAX(0,MIN('Potentiel produktion'!C226*$D$3,N239))</f>
        <v>0</v>
      </c>
      <c r="Z239" s="15">
        <f t="shared" si="23"/>
        <v>1.0881000000000005</v>
      </c>
      <c r="AA239" s="16">
        <f t="shared" si="24"/>
        <v>0</v>
      </c>
      <c r="AB239" s="16">
        <v>0</v>
      </c>
      <c r="AC239" s="16">
        <v>0</v>
      </c>
      <c r="AD239" s="145">
        <f>(Y239*$H$3+Z239*'Varmepumpeberegning VP1'!Z227+AA239*$H$5+AB239*$H$6+AC239*$H$7)*24</f>
        <v>1132.4641321577374</v>
      </c>
      <c r="AF239" s="16">
        <f>Z239*'Varmepumpeberegning VP1'!Z227*24</f>
        <v>1132.4641321577374</v>
      </c>
      <c r="AG239" s="20">
        <f>(Z239/'Varmepumpeberegning VP1'!W227)*24</f>
        <v>7.8251345003919113</v>
      </c>
      <c r="AH239" s="17">
        <f t="shared" si="25"/>
        <v>43.365504555254454</v>
      </c>
      <c r="AI239" s="15">
        <f>'Varmepumpeberegning VP1'!X227-'Systemberegning VP1'!Z239</f>
        <v>8.8481172783190942</v>
      </c>
    </row>
    <row r="240" spans="10:35" x14ac:dyDescent="0.25">
      <c r="J240" s="253"/>
      <c r="K240">
        <v>8</v>
      </c>
      <c r="L240">
        <v>225</v>
      </c>
      <c r="M240" s="310">
        <v>0.19368750000000004</v>
      </c>
      <c r="N240" s="15">
        <v>1.0881000000000005</v>
      </c>
      <c r="P240" s="15">
        <f>MAX(0,MIN('Potentiel produktion'!C227*$D$3,N240))</f>
        <v>0</v>
      </c>
      <c r="Q240" s="15">
        <f t="shared" si="20"/>
        <v>1.0881000000000005</v>
      </c>
      <c r="R240" s="15">
        <v>0</v>
      </c>
      <c r="S240" s="15">
        <v>0</v>
      </c>
      <c r="T240" s="160">
        <f t="shared" si="21"/>
        <v>2950.927200000001</v>
      </c>
      <c r="V240" s="289">
        <f>'Varmepumpeberegning VP1'!W228</f>
        <v>3.3372461519597025</v>
      </c>
      <c r="W240" s="289">
        <f>'Varmepumpeberegning VP1'!X228</f>
        <v>9.936217278319095</v>
      </c>
      <c r="X240" s="289">
        <f t="shared" si="22"/>
        <v>43.365504555254446</v>
      </c>
      <c r="Y240" s="15">
        <f>MAX(0,MIN('Potentiel produktion'!C227*$D$3,N240))</f>
        <v>0</v>
      </c>
      <c r="Z240" s="15">
        <f t="shared" si="23"/>
        <v>1.0881000000000005</v>
      </c>
      <c r="AA240" s="16">
        <f t="shared" si="24"/>
        <v>0</v>
      </c>
      <c r="AB240" s="16">
        <v>0</v>
      </c>
      <c r="AC240" s="16">
        <v>0</v>
      </c>
      <c r="AD240" s="145">
        <f>(Y240*$H$3+Z240*'Varmepumpeberegning VP1'!Z228+AA240*$H$5+AB240*$H$6+AC240*$H$7)*24</f>
        <v>1132.4641321577374</v>
      </c>
      <c r="AF240" s="16">
        <f>Z240*'Varmepumpeberegning VP1'!Z228*24</f>
        <v>1132.4641321577374</v>
      </c>
      <c r="AG240" s="20">
        <f>(Z240/'Varmepumpeberegning VP1'!W228)*24</f>
        <v>7.8251345003919113</v>
      </c>
      <c r="AH240" s="17">
        <f t="shared" si="25"/>
        <v>43.365504555254454</v>
      </c>
      <c r="AI240" s="15">
        <f>'Varmepumpeberegning VP1'!X228-'Systemberegning VP1'!Z240</f>
        <v>8.8481172783190942</v>
      </c>
    </row>
    <row r="241" spans="10:35" x14ac:dyDescent="0.25">
      <c r="J241" s="253"/>
      <c r="K241">
        <v>8</v>
      </c>
      <c r="L241">
        <v>226</v>
      </c>
      <c r="M241" s="310">
        <v>0.19368750000000004</v>
      </c>
      <c r="N241" s="15">
        <v>1.0881000000000005</v>
      </c>
      <c r="P241" s="15">
        <f>MAX(0,MIN('Potentiel produktion'!C228*$D$3,N241))</f>
        <v>0</v>
      </c>
      <c r="Q241" s="15">
        <f t="shared" si="20"/>
        <v>1.0881000000000005</v>
      </c>
      <c r="R241" s="15">
        <v>0</v>
      </c>
      <c r="S241" s="15">
        <v>0</v>
      </c>
      <c r="T241" s="160">
        <f t="shared" si="21"/>
        <v>2950.927200000001</v>
      </c>
      <c r="V241" s="289">
        <f>'Varmepumpeberegning VP1'!W229</f>
        <v>3.3372461519597025</v>
      </c>
      <c r="W241" s="289">
        <f>'Varmepumpeberegning VP1'!X229</f>
        <v>9.936217278319095</v>
      </c>
      <c r="X241" s="289">
        <f t="shared" si="22"/>
        <v>43.365504555254446</v>
      </c>
      <c r="Y241" s="15">
        <f>MAX(0,MIN('Potentiel produktion'!C228*$D$3,N241))</f>
        <v>0</v>
      </c>
      <c r="Z241" s="15">
        <f>IF(X241&lt;=$H$5,MAX(0,MIN(W241,N241-SUM(Y241))),MAX(0,MIN(W241,N241-Y241-30)))</f>
        <v>1.0881000000000005</v>
      </c>
      <c r="AA241" s="16">
        <f t="shared" si="24"/>
        <v>0</v>
      </c>
      <c r="AB241" s="16">
        <v>0</v>
      </c>
      <c r="AC241" s="16">
        <v>0</v>
      </c>
      <c r="AD241" s="145">
        <f>(Y241*$H$3+Z241*'Varmepumpeberegning VP1'!Z229+AA241*$H$5+AB241*$H$6+AC241*$H$7)*24</f>
        <v>1132.4641321577374</v>
      </c>
      <c r="AF241" s="16">
        <f>Z241*'Varmepumpeberegning VP1'!Z229*24</f>
        <v>1132.4641321577374</v>
      </c>
      <c r="AG241" s="20">
        <f>(Z241/'Varmepumpeberegning VP1'!W229)*24</f>
        <v>7.8251345003919113</v>
      </c>
      <c r="AH241" s="17">
        <f t="shared" si="25"/>
        <v>43.365504555254454</v>
      </c>
      <c r="AI241" s="15">
        <f>'Varmepumpeberegning VP1'!X229-'Systemberegning VP1'!Z241</f>
        <v>8.8481172783190942</v>
      </c>
    </row>
    <row r="242" spans="10:35" x14ac:dyDescent="0.25">
      <c r="J242" s="253"/>
      <c r="K242">
        <v>8</v>
      </c>
      <c r="L242">
        <v>227</v>
      </c>
      <c r="M242" s="310">
        <v>0.19368750000000004</v>
      </c>
      <c r="N242" s="15">
        <v>1.0881000000000005</v>
      </c>
      <c r="P242" s="15">
        <f>MAX(0,MIN('Potentiel produktion'!C229*$D$3,N242))</f>
        <v>0</v>
      </c>
      <c r="Q242" s="15">
        <f t="shared" si="20"/>
        <v>1.0881000000000005</v>
      </c>
      <c r="R242" s="15">
        <v>0</v>
      </c>
      <c r="S242" s="15">
        <v>0</v>
      </c>
      <c r="T242" s="160">
        <f t="shared" si="21"/>
        <v>2950.927200000001</v>
      </c>
      <c r="V242" s="289">
        <f>'Varmepumpeberegning VP1'!W230</f>
        <v>3.3372461519597025</v>
      </c>
      <c r="W242" s="289">
        <f>'Varmepumpeberegning VP1'!X230</f>
        <v>9.936217278319095</v>
      </c>
      <c r="X242" s="289">
        <f t="shared" si="22"/>
        <v>43.365504555254446</v>
      </c>
      <c r="Y242" s="15">
        <f>MAX(0,MIN('Potentiel produktion'!C229*$D$3,N242))</f>
        <v>0</v>
      </c>
      <c r="Z242" s="15">
        <f t="shared" si="23"/>
        <v>1.0881000000000005</v>
      </c>
      <c r="AA242" s="16">
        <f t="shared" si="24"/>
        <v>0</v>
      </c>
      <c r="AB242" s="16">
        <v>0</v>
      </c>
      <c r="AC242" s="16">
        <v>0</v>
      </c>
      <c r="AD242" s="145">
        <f>(Y242*$H$3+Z242*'Varmepumpeberegning VP1'!Z230+AA242*$H$5+AB242*$H$6+AC242*$H$7)*24</f>
        <v>1132.4641321577374</v>
      </c>
      <c r="AF242" s="16">
        <f>Z242*'Varmepumpeberegning VP1'!Z230*24</f>
        <v>1132.4641321577374</v>
      </c>
      <c r="AG242" s="20">
        <f>(Z242/'Varmepumpeberegning VP1'!W230)*24</f>
        <v>7.8251345003919113</v>
      </c>
      <c r="AH242" s="17">
        <f t="shared" si="25"/>
        <v>43.365504555254454</v>
      </c>
      <c r="AI242" s="15">
        <f>'Varmepumpeberegning VP1'!X230-'Systemberegning VP1'!Z242</f>
        <v>8.8481172783190942</v>
      </c>
    </row>
    <row r="243" spans="10:35" x14ac:dyDescent="0.25">
      <c r="J243" s="253"/>
      <c r="K243">
        <v>8</v>
      </c>
      <c r="L243">
        <v>228</v>
      </c>
      <c r="M243" s="310">
        <v>0.19368750000000004</v>
      </c>
      <c r="N243" s="15">
        <v>1.0881000000000005</v>
      </c>
      <c r="P243" s="15">
        <f>MAX(0,MIN('Potentiel produktion'!C230*$D$3,N243))</f>
        <v>0</v>
      </c>
      <c r="Q243" s="15">
        <f t="shared" si="20"/>
        <v>1.0881000000000005</v>
      </c>
      <c r="R243" s="15">
        <v>0</v>
      </c>
      <c r="S243" s="15">
        <v>0</v>
      </c>
      <c r="T243" s="160">
        <f t="shared" si="21"/>
        <v>2950.927200000001</v>
      </c>
      <c r="V243" s="289">
        <f>'Varmepumpeberegning VP1'!W231</f>
        <v>3.3372461519597025</v>
      </c>
      <c r="W243" s="289">
        <f>'Varmepumpeberegning VP1'!X231</f>
        <v>9.936217278319095</v>
      </c>
      <c r="X243" s="289">
        <f t="shared" si="22"/>
        <v>43.365504555254446</v>
      </c>
      <c r="Y243" s="15">
        <f>MAX(0,MIN('Potentiel produktion'!C230*$D$3,N243))</f>
        <v>0</v>
      </c>
      <c r="Z243" s="15">
        <f t="shared" si="23"/>
        <v>1.0881000000000005</v>
      </c>
      <c r="AA243" s="16">
        <f t="shared" si="24"/>
        <v>0</v>
      </c>
      <c r="AB243" s="16">
        <v>0</v>
      </c>
      <c r="AC243" s="16">
        <v>0</v>
      </c>
      <c r="AD243" s="145">
        <f>(Y243*$H$3+Z243*'Varmepumpeberegning VP1'!Z231+AA243*$H$5+AB243*$H$6+AC243*$H$7)*24</f>
        <v>1132.4641321577374</v>
      </c>
      <c r="AF243" s="16">
        <f>Z243*'Varmepumpeberegning VP1'!Z231*24</f>
        <v>1132.4641321577374</v>
      </c>
      <c r="AG243" s="20">
        <f>(Z243/'Varmepumpeberegning VP1'!W231)*24</f>
        <v>7.8251345003919113</v>
      </c>
      <c r="AH243" s="17">
        <f t="shared" si="25"/>
        <v>43.365504555254454</v>
      </c>
      <c r="AI243" s="15">
        <f>'Varmepumpeberegning VP1'!X231-'Systemberegning VP1'!Z243</f>
        <v>8.8481172783190942</v>
      </c>
    </row>
    <row r="244" spans="10:35" x14ac:dyDescent="0.25">
      <c r="J244" s="253"/>
      <c r="K244">
        <v>8</v>
      </c>
      <c r="L244">
        <v>229</v>
      </c>
      <c r="M244" s="310">
        <v>0.19368750000000004</v>
      </c>
      <c r="N244" s="15">
        <v>1.0881000000000005</v>
      </c>
      <c r="P244" s="15">
        <f>MAX(0,MIN('Potentiel produktion'!C231*$D$3,N244))</f>
        <v>0</v>
      </c>
      <c r="Q244" s="15">
        <f t="shared" si="20"/>
        <v>1.0881000000000005</v>
      </c>
      <c r="R244" s="15">
        <v>0</v>
      </c>
      <c r="S244" s="15">
        <v>0</v>
      </c>
      <c r="T244" s="160">
        <f t="shared" si="21"/>
        <v>2950.927200000001</v>
      </c>
      <c r="V244" s="289">
        <f>'Varmepumpeberegning VP1'!W232</f>
        <v>3.3372461519597025</v>
      </c>
      <c r="W244" s="289">
        <f>'Varmepumpeberegning VP1'!X232</f>
        <v>9.936217278319095</v>
      </c>
      <c r="X244" s="289">
        <f t="shared" si="22"/>
        <v>43.365504555254446</v>
      </c>
      <c r="Y244" s="15">
        <f>MAX(0,MIN('Potentiel produktion'!C231*$D$3,N244))</f>
        <v>0</v>
      </c>
      <c r="Z244" s="15">
        <f t="shared" si="23"/>
        <v>1.0881000000000005</v>
      </c>
      <c r="AA244" s="16">
        <f t="shared" si="24"/>
        <v>0</v>
      </c>
      <c r="AB244" s="16">
        <v>0</v>
      </c>
      <c r="AC244" s="16">
        <v>0</v>
      </c>
      <c r="AD244" s="145">
        <f>(Y244*$H$3+Z244*'Varmepumpeberegning VP1'!Z232+AA244*$H$5+AB244*$H$6+AC244*$H$7)*24</f>
        <v>1132.4641321577374</v>
      </c>
      <c r="AF244" s="16">
        <f>Z244*'Varmepumpeberegning VP1'!Z232*24</f>
        <v>1132.4641321577374</v>
      </c>
      <c r="AG244" s="20">
        <f>(Z244/'Varmepumpeberegning VP1'!W232)*24</f>
        <v>7.8251345003919113</v>
      </c>
      <c r="AH244" s="17">
        <f t="shared" si="25"/>
        <v>43.365504555254454</v>
      </c>
      <c r="AI244" s="15">
        <f>'Varmepumpeberegning VP1'!X232-'Systemberegning VP1'!Z244</f>
        <v>8.8481172783190942</v>
      </c>
    </row>
    <row r="245" spans="10:35" x14ac:dyDescent="0.25">
      <c r="J245" s="253"/>
      <c r="K245">
        <v>8</v>
      </c>
      <c r="L245">
        <v>230</v>
      </c>
      <c r="M245" s="310">
        <v>0.19368750000000004</v>
      </c>
      <c r="N245" s="15">
        <v>1.0881000000000005</v>
      </c>
      <c r="P245" s="15">
        <f>MAX(0,MIN('Potentiel produktion'!C232*$D$3,N245))</f>
        <v>0</v>
      </c>
      <c r="Q245" s="15">
        <f t="shared" si="20"/>
        <v>1.0881000000000005</v>
      </c>
      <c r="R245" s="15">
        <v>0</v>
      </c>
      <c r="S245" s="15">
        <v>0</v>
      </c>
      <c r="T245" s="160">
        <f t="shared" si="21"/>
        <v>2950.927200000001</v>
      </c>
      <c r="V245" s="289">
        <f>'Varmepumpeberegning VP1'!W233</f>
        <v>3.3372461519597025</v>
      </c>
      <c r="W245" s="289">
        <f>'Varmepumpeberegning VP1'!X233</f>
        <v>9.936217278319095</v>
      </c>
      <c r="X245" s="289">
        <f t="shared" si="22"/>
        <v>43.365504555254446</v>
      </c>
      <c r="Y245" s="15">
        <f>MAX(0,MIN('Potentiel produktion'!C232*$D$3,N245))</f>
        <v>0</v>
      </c>
      <c r="Z245" s="15">
        <f t="shared" si="23"/>
        <v>1.0881000000000005</v>
      </c>
      <c r="AA245" s="16">
        <f t="shared" si="24"/>
        <v>0</v>
      </c>
      <c r="AB245" s="16">
        <v>0</v>
      </c>
      <c r="AC245" s="16">
        <v>0</v>
      </c>
      <c r="AD245" s="145">
        <f>(Y245*$H$3+Z245*'Varmepumpeberegning VP1'!Z233+AA245*$H$5+AB245*$H$6+AC245*$H$7)*24</f>
        <v>1132.4641321577374</v>
      </c>
      <c r="AF245" s="16">
        <f>Z245*'Varmepumpeberegning VP1'!Z233*24</f>
        <v>1132.4641321577374</v>
      </c>
      <c r="AG245" s="20">
        <f>(Z245/'Varmepumpeberegning VP1'!W233)*24</f>
        <v>7.8251345003919113</v>
      </c>
      <c r="AH245" s="17">
        <f t="shared" si="25"/>
        <v>43.365504555254454</v>
      </c>
      <c r="AI245" s="15">
        <f>'Varmepumpeberegning VP1'!X233-'Systemberegning VP1'!Z245</f>
        <v>8.8481172783190942</v>
      </c>
    </row>
    <row r="246" spans="10:35" x14ac:dyDescent="0.25">
      <c r="J246" s="253"/>
      <c r="K246">
        <v>8</v>
      </c>
      <c r="L246">
        <v>231</v>
      </c>
      <c r="M246" s="310">
        <v>0.19368750000000004</v>
      </c>
      <c r="N246" s="15">
        <v>1.0881000000000005</v>
      </c>
      <c r="P246" s="15">
        <f>MAX(0,MIN('Potentiel produktion'!C233*$D$3,N246))</f>
        <v>0</v>
      </c>
      <c r="Q246" s="15">
        <f t="shared" si="20"/>
        <v>1.0881000000000005</v>
      </c>
      <c r="R246" s="15">
        <v>0</v>
      </c>
      <c r="S246" s="15">
        <v>0</v>
      </c>
      <c r="T246" s="160">
        <f t="shared" si="21"/>
        <v>2950.927200000001</v>
      </c>
      <c r="V246" s="289">
        <f>'Varmepumpeberegning VP1'!W234</f>
        <v>3.3372461519597025</v>
      </c>
      <c r="W246" s="289">
        <f>'Varmepumpeberegning VP1'!X234</f>
        <v>9.936217278319095</v>
      </c>
      <c r="X246" s="289">
        <f t="shared" si="22"/>
        <v>43.365504555254446</v>
      </c>
      <c r="Y246" s="15">
        <f>MAX(0,MIN('Potentiel produktion'!C233*$D$3,N246))</f>
        <v>0</v>
      </c>
      <c r="Z246" s="15">
        <f t="shared" si="23"/>
        <v>1.0881000000000005</v>
      </c>
      <c r="AA246" s="16">
        <f t="shared" si="24"/>
        <v>0</v>
      </c>
      <c r="AB246" s="16">
        <v>0</v>
      </c>
      <c r="AC246" s="16">
        <v>0</v>
      </c>
      <c r="AD246" s="145">
        <f>(Y246*$H$3+Z246*'Varmepumpeberegning VP1'!Z234+AA246*$H$5+AB246*$H$6+AC246*$H$7)*24</f>
        <v>1132.4641321577374</v>
      </c>
      <c r="AF246" s="16">
        <f>Z246*'Varmepumpeberegning VP1'!Z234*24</f>
        <v>1132.4641321577374</v>
      </c>
      <c r="AG246" s="20">
        <f>(Z246/'Varmepumpeberegning VP1'!W234)*24</f>
        <v>7.8251345003919113</v>
      </c>
      <c r="AH246" s="17">
        <f t="shared" si="25"/>
        <v>43.365504555254454</v>
      </c>
      <c r="AI246" s="15">
        <f>'Varmepumpeberegning VP1'!X234-'Systemberegning VP1'!Z246</f>
        <v>8.8481172783190942</v>
      </c>
    </row>
    <row r="247" spans="10:35" x14ac:dyDescent="0.25">
      <c r="J247" s="253"/>
      <c r="K247">
        <v>8</v>
      </c>
      <c r="L247">
        <v>232</v>
      </c>
      <c r="M247" s="310">
        <v>0.19368750000000004</v>
      </c>
      <c r="N247" s="15">
        <v>1.0881000000000005</v>
      </c>
      <c r="P247" s="15">
        <f>MAX(0,MIN('Potentiel produktion'!C234*$D$3,N247))</f>
        <v>0</v>
      </c>
      <c r="Q247" s="15">
        <f t="shared" si="20"/>
        <v>1.0881000000000005</v>
      </c>
      <c r="R247" s="15">
        <v>0</v>
      </c>
      <c r="S247" s="15">
        <v>0</v>
      </c>
      <c r="T247" s="160">
        <f t="shared" si="21"/>
        <v>2950.927200000001</v>
      </c>
      <c r="V247" s="289">
        <f>'Varmepumpeberegning VP1'!W235</f>
        <v>3.3372461519597025</v>
      </c>
      <c r="W247" s="289">
        <f>'Varmepumpeberegning VP1'!X235</f>
        <v>9.936217278319095</v>
      </c>
      <c r="X247" s="289">
        <f t="shared" si="22"/>
        <v>43.365504555254446</v>
      </c>
      <c r="Y247" s="15">
        <f>MAX(0,MIN('Potentiel produktion'!C234*$D$3,N247))</f>
        <v>0</v>
      </c>
      <c r="Z247" s="15">
        <f t="shared" si="23"/>
        <v>1.0881000000000005</v>
      </c>
      <c r="AA247" s="16">
        <f t="shared" si="24"/>
        <v>0</v>
      </c>
      <c r="AB247" s="16">
        <v>0</v>
      </c>
      <c r="AC247" s="16">
        <v>0</v>
      </c>
      <c r="AD247" s="145">
        <f>(Y247*$H$3+Z247*'Varmepumpeberegning VP1'!Z235+AA247*$H$5+AB247*$H$6+AC247*$H$7)*24</f>
        <v>1132.4641321577374</v>
      </c>
      <c r="AF247" s="16">
        <f>Z247*'Varmepumpeberegning VP1'!Z235*24</f>
        <v>1132.4641321577374</v>
      </c>
      <c r="AG247" s="20">
        <f>(Z247/'Varmepumpeberegning VP1'!W235)*24</f>
        <v>7.8251345003919113</v>
      </c>
      <c r="AH247" s="17">
        <f t="shared" si="25"/>
        <v>43.365504555254454</v>
      </c>
      <c r="AI247" s="15">
        <f>'Varmepumpeberegning VP1'!X235-'Systemberegning VP1'!Z247</f>
        <v>8.8481172783190942</v>
      </c>
    </row>
    <row r="248" spans="10:35" x14ac:dyDescent="0.25">
      <c r="J248" s="253"/>
      <c r="K248">
        <v>8</v>
      </c>
      <c r="L248">
        <v>233</v>
      </c>
      <c r="M248" s="310">
        <v>0.19368750000000004</v>
      </c>
      <c r="N248" s="15">
        <v>1.0881000000000005</v>
      </c>
      <c r="P248" s="15">
        <f>MAX(0,MIN('Potentiel produktion'!C235*$D$3,N248))</f>
        <v>0</v>
      </c>
      <c r="Q248" s="15">
        <f t="shared" si="20"/>
        <v>1.0881000000000005</v>
      </c>
      <c r="R248" s="15">
        <v>0</v>
      </c>
      <c r="S248" s="15">
        <v>0</v>
      </c>
      <c r="T248" s="160">
        <f t="shared" si="21"/>
        <v>2950.927200000001</v>
      </c>
      <c r="V248" s="289">
        <f>'Varmepumpeberegning VP1'!W236</f>
        <v>3.3372461519597025</v>
      </c>
      <c r="W248" s="289">
        <f>'Varmepumpeberegning VP1'!X236</f>
        <v>9.936217278319095</v>
      </c>
      <c r="X248" s="289">
        <f t="shared" si="22"/>
        <v>43.365504555254446</v>
      </c>
      <c r="Y248" s="15">
        <f>MAX(0,MIN('Potentiel produktion'!C235*$D$3,N248))</f>
        <v>0</v>
      </c>
      <c r="Z248" s="15">
        <f t="shared" si="23"/>
        <v>1.0881000000000005</v>
      </c>
      <c r="AA248" s="16">
        <f t="shared" si="24"/>
        <v>0</v>
      </c>
      <c r="AB248" s="16">
        <v>0</v>
      </c>
      <c r="AC248" s="16">
        <v>0</v>
      </c>
      <c r="AD248" s="145">
        <f>(Y248*$H$3+Z248*'Varmepumpeberegning VP1'!Z236+AA248*$H$5+AB248*$H$6+AC248*$H$7)*24</f>
        <v>1132.4641321577374</v>
      </c>
      <c r="AF248" s="16">
        <f>Z248*'Varmepumpeberegning VP1'!Z236*24</f>
        <v>1132.4641321577374</v>
      </c>
      <c r="AG248" s="20">
        <f>(Z248/'Varmepumpeberegning VP1'!W236)*24</f>
        <v>7.8251345003919113</v>
      </c>
      <c r="AH248" s="17">
        <f t="shared" si="25"/>
        <v>43.365504555254454</v>
      </c>
      <c r="AI248" s="15">
        <f>'Varmepumpeberegning VP1'!X236-'Systemberegning VP1'!Z248</f>
        <v>8.8481172783190942</v>
      </c>
    </row>
    <row r="249" spans="10:35" x14ac:dyDescent="0.25">
      <c r="J249" s="253"/>
      <c r="K249">
        <v>8</v>
      </c>
      <c r="L249">
        <v>234</v>
      </c>
      <c r="M249" s="310">
        <v>0.19368750000000004</v>
      </c>
      <c r="N249" s="15">
        <v>1.0881000000000005</v>
      </c>
      <c r="P249" s="15">
        <f>MAX(0,MIN('Potentiel produktion'!C236*$D$3,N249))</f>
        <v>0</v>
      </c>
      <c r="Q249" s="15">
        <f t="shared" si="20"/>
        <v>1.0881000000000005</v>
      </c>
      <c r="R249" s="15">
        <v>0</v>
      </c>
      <c r="S249" s="15">
        <v>0</v>
      </c>
      <c r="T249" s="160">
        <f t="shared" si="21"/>
        <v>2950.927200000001</v>
      </c>
      <c r="V249" s="289">
        <f>'Varmepumpeberegning VP1'!W237</f>
        <v>3.3372461519597025</v>
      </c>
      <c r="W249" s="289">
        <f>'Varmepumpeberegning VP1'!X237</f>
        <v>9.936217278319095</v>
      </c>
      <c r="X249" s="289">
        <f t="shared" si="22"/>
        <v>43.365504555254446</v>
      </c>
      <c r="Y249" s="15">
        <f>MAX(0,MIN('Potentiel produktion'!C236*$D$3,N249))</f>
        <v>0</v>
      </c>
      <c r="Z249" s="15">
        <f t="shared" si="23"/>
        <v>1.0881000000000005</v>
      </c>
      <c r="AA249" s="16">
        <f t="shared" si="24"/>
        <v>0</v>
      </c>
      <c r="AB249" s="16">
        <v>0</v>
      </c>
      <c r="AC249" s="16">
        <v>0</v>
      </c>
      <c r="AD249" s="145">
        <f>(Y249*$H$3+Z249*'Varmepumpeberegning VP1'!Z237+AA249*$H$5+AB249*$H$6+AC249*$H$7)*24</f>
        <v>1132.4641321577374</v>
      </c>
      <c r="AF249" s="16">
        <f>Z249*'Varmepumpeberegning VP1'!Z237*24</f>
        <v>1132.4641321577374</v>
      </c>
      <c r="AG249" s="20">
        <f>(Z249/'Varmepumpeberegning VP1'!W237)*24</f>
        <v>7.8251345003919113</v>
      </c>
      <c r="AH249" s="17">
        <f t="shared" si="25"/>
        <v>43.365504555254454</v>
      </c>
      <c r="AI249" s="15">
        <f>'Varmepumpeberegning VP1'!X237-'Systemberegning VP1'!Z249</f>
        <v>8.8481172783190942</v>
      </c>
    </row>
    <row r="250" spans="10:35" x14ac:dyDescent="0.25">
      <c r="J250" s="253"/>
      <c r="K250">
        <v>8</v>
      </c>
      <c r="L250">
        <v>235</v>
      </c>
      <c r="M250" s="310">
        <v>0.19368750000000004</v>
      </c>
      <c r="N250" s="15">
        <v>1.0881000000000005</v>
      </c>
      <c r="P250" s="15">
        <f>MAX(0,MIN('Potentiel produktion'!C237*$D$3,N250))</f>
        <v>0</v>
      </c>
      <c r="Q250" s="15">
        <f t="shared" si="20"/>
        <v>1.0881000000000005</v>
      </c>
      <c r="R250" s="15">
        <v>0</v>
      </c>
      <c r="S250" s="15">
        <v>0</v>
      </c>
      <c r="T250" s="160">
        <f t="shared" si="21"/>
        <v>2950.927200000001</v>
      </c>
      <c r="V250" s="289">
        <f>'Varmepumpeberegning VP1'!W238</f>
        <v>3.3372461519597025</v>
      </c>
      <c r="W250" s="289">
        <f>'Varmepumpeberegning VP1'!X238</f>
        <v>9.936217278319095</v>
      </c>
      <c r="X250" s="289">
        <f t="shared" si="22"/>
        <v>43.365504555254446</v>
      </c>
      <c r="Y250" s="15">
        <f>MAX(0,MIN('Potentiel produktion'!C237*$D$3,N250))</f>
        <v>0</v>
      </c>
      <c r="Z250" s="15">
        <f t="shared" si="23"/>
        <v>1.0881000000000005</v>
      </c>
      <c r="AA250" s="16">
        <f t="shared" si="24"/>
        <v>0</v>
      </c>
      <c r="AB250" s="16">
        <v>0</v>
      </c>
      <c r="AC250" s="16">
        <v>0</v>
      </c>
      <c r="AD250" s="145">
        <f>(Y250*$H$3+Z250*'Varmepumpeberegning VP1'!Z238+AA250*$H$5+AB250*$H$6+AC250*$H$7)*24</f>
        <v>1132.4641321577374</v>
      </c>
      <c r="AF250" s="16">
        <f>Z250*'Varmepumpeberegning VP1'!Z238*24</f>
        <v>1132.4641321577374</v>
      </c>
      <c r="AG250" s="20">
        <f>(Z250/'Varmepumpeberegning VP1'!W238)*24</f>
        <v>7.8251345003919113</v>
      </c>
      <c r="AH250" s="17">
        <f t="shared" si="25"/>
        <v>43.365504555254454</v>
      </c>
      <c r="AI250" s="15">
        <f>'Varmepumpeberegning VP1'!X238-'Systemberegning VP1'!Z250</f>
        <v>8.8481172783190942</v>
      </c>
    </row>
    <row r="251" spans="10:35" x14ac:dyDescent="0.25">
      <c r="J251" s="253"/>
      <c r="K251">
        <v>8</v>
      </c>
      <c r="L251">
        <v>236</v>
      </c>
      <c r="M251" s="310">
        <v>0.19368750000000004</v>
      </c>
      <c r="N251" s="15">
        <v>1.0881000000000005</v>
      </c>
      <c r="P251" s="15">
        <f>MAX(0,MIN('Potentiel produktion'!C238*$D$3,N251))</f>
        <v>0</v>
      </c>
      <c r="Q251" s="15">
        <f t="shared" si="20"/>
        <v>1.0881000000000005</v>
      </c>
      <c r="R251" s="15">
        <v>0</v>
      </c>
      <c r="S251" s="15">
        <v>0</v>
      </c>
      <c r="T251" s="160">
        <f t="shared" si="21"/>
        <v>2950.927200000001</v>
      </c>
      <c r="V251" s="289">
        <f>'Varmepumpeberegning VP1'!W239</f>
        <v>3.3372461519597025</v>
      </c>
      <c r="W251" s="289">
        <f>'Varmepumpeberegning VP1'!X239</f>
        <v>9.936217278319095</v>
      </c>
      <c r="X251" s="289">
        <f t="shared" si="22"/>
        <v>43.365504555254446</v>
      </c>
      <c r="Y251" s="15">
        <f>MAX(0,MIN('Potentiel produktion'!C238*$D$3,N251))</f>
        <v>0</v>
      </c>
      <c r="Z251" s="15">
        <f t="shared" si="23"/>
        <v>1.0881000000000005</v>
      </c>
      <c r="AA251" s="16">
        <f t="shared" si="24"/>
        <v>0</v>
      </c>
      <c r="AB251" s="16">
        <v>0</v>
      </c>
      <c r="AC251" s="16">
        <v>0</v>
      </c>
      <c r="AD251" s="145">
        <f>(Y251*$H$3+Z251*'Varmepumpeberegning VP1'!Z239+AA251*$H$5+AB251*$H$6+AC251*$H$7)*24</f>
        <v>1132.4641321577374</v>
      </c>
      <c r="AF251" s="16">
        <f>Z251*'Varmepumpeberegning VP1'!Z239*24</f>
        <v>1132.4641321577374</v>
      </c>
      <c r="AG251" s="20">
        <f>(Z251/'Varmepumpeberegning VP1'!W239)*24</f>
        <v>7.8251345003919113</v>
      </c>
      <c r="AH251" s="17">
        <f t="shared" si="25"/>
        <v>43.365504555254454</v>
      </c>
      <c r="AI251" s="15">
        <f>'Varmepumpeberegning VP1'!X239-'Systemberegning VP1'!Z251</f>
        <v>8.8481172783190942</v>
      </c>
    </row>
    <row r="252" spans="10:35" x14ac:dyDescent="0.25">
      <c r="J252" s="253"/>
      <c r="K252">
        <v>8</v>
      </c>
      <c r="L252">
        <v>237</v>
      </c>
      <c r="M252" s="310">
        <v>0.19368750000000004</v>
      </c>
      <c r="N252" s="15">
        <v>1.0881000000000005</v>
      </c>
      <c r="P252" s="15">
        <f>MAX(0,MIN('Potentiel produktion'!C239*$D$3,N252))</f>
        <v>0</v>
      </c>
      <c r="Q252" s="15">
        <f t="shared" si="20"/>
        <v>1.0881000000000005</v>
      </c>
      <c r="R252" s="15">
        <v>0</v>
      </c>
      <c r="S252" s="15">
        <v>0</v>
      </c>
      <c r="T252" s="160">
        <f t="shared" si="21"/>
        <v>2950.927200000001</v>
      </c>
      <c r="V252" s="289">
        <f>'Varmepumpeberegning VP1'!W240</f>
        <v>3.3372461519597025</v>
      </c>
      <c r="W252" s="289">
        <f>'Varmepumpeberegning VP1'!X240</f>
        <v>9.936217278319095</v>
      </c>
      <c r="X252" s="289">
        <f t="shared" si="22"/>
        <v>43.365504555254446</v>
      </c>
      <c r="Y252" s="15">
        <f>MAX(0,MIN('Potentiel produktion'!C239*$D$3,N252))</f>
        <v>0</v>
      </c>
      <c r="Z252" s="15">
        <f t="shared" si="23"/>
        <v>1.0881000000000005</v>
      </c>
      <c r="AA252" s="16">
        <f t="shared" si="24"/>
        <v>0</v>
      </c>
      <c r="AB252" s="16">
        <v>0</v>
      </c>
      <c r="AC252" s="16">
        <v>0</v>
      </c>
      <c r="AD252" s="145">
        <f>(Y252*$H$3+Z252*'Varmepumpeberegning VP1'!Z240+AA252*$H$5+AB252*$H$6+AC252*$H$7)*24</f>
        <v>1132.4641321577374</v>
      </c>
      <c r="AF252" s="16">
        <f>Z252*'Varmepumpeberegning VP1'!Z240*24</f>
        <v>1132.4641321577374</v>
      </c>
      <c r="AG252" s="20">
        <f>(Z252/'Varmepumpeberegning VP1'!W240)*24</f>
        <v>7.8251345003919113</v>
      </c>
      <c r="AH252" s="17">
        <f t="shared" si="25"/>
        <v>43.365504555254454</v>
      </c>
      <c r="AI252" s="15">
        <f>'Varmepumpeberegning VP1'!X240-'Systemberegning VP1'!Z252</f>
        <v>8.8481172783190942</v>
      </c>
    </row>
    <row r="253" spans="10:35" x14ac:dyDescent="0.25">
      <c r="J253" s="253"/>
      <c r="K253">
        <v>8</v>
      </c>
      <c r="L253">
        <v>238</v>
      </c>
      <c r="M253" s="310">
        <v>0.19368750000000004</v>
      </c>
      <c r="N253" s="15">
        <v>1.0881000000000005</v>
      </c>
      <c r="P253" s="15">
        <f>MAX(0,MIN('Potentiel produktion'!C240*$D$3,N253))</f>
        <v>0</v>
      </c>
      <c r="Q253" s="15">
        <f t="shared" si="20"/>
        <v>1.0881000000000005</v>
      </c>
      <c r="R253" s="15">
        <v>0</v>
      </c>
      <c r="S253" s="15">
        <v>0</v>
      </c>
      <c r="T253" s="160">
        <f t="shared" si="21"/>
        <v>2950.927200000001</v>
      </c>
      <c r="V253" s="289">
        <f>'Varmepumpeberegning VP1'!W241</f>
        <v>3.3372461519597025</v>
      </c>
      <c r="W253" s="289">
        <f>'Varmepumpeberegning VP1'!X241</f>
        <v>9.936217278319095</v>
      </c>
      <c r="X253" s="289">
        <f t="shared" si="22"/>
        <v>43.365504555254446</v>
      </c>
      <c r="Y253" s="15">
        <f>MAX(0,MIN('Potentiel produktion'!C240*$D$3,N253))</f>
        <v>0</v>
      </c>
      <c r="Z253" s="15">
        <f t="shared" si="23"/>
        <v>1.0881000000000005</v>
      </c>
      <c r="AA253" s="16">
        <f t="shared" si="24"/>
        <v>0</v>
      </c>
      <c r="AB253" s="16">
        <v>0</v>
      </c>
      <c r="AC253" s="16">
        <v>0</v>
      </c>
      <c r="AD253" s="145">
        <f>(Y253*$H$3+Z253*'Varmepumpeberegning VP1'!Z241+AA253*$H$5+AB253*$H$6+AC253*$H$7)*24</f>
        <v>1132.4641321577374</v>
      </c>
      <c r="AF253" s="16">
        <f>Z253*'Varmepumpeberegning VP1'!Z241*24</f>
        <v>1132.4641321577374</v>
      </c>
      <c r="AG253" s="20">
        <f>(Z253/'Varmepumpeberegning VP1'!W241)*24</f>
        <v>7.8251345003919113</v>
      </c>
      <c r="AH253" s="17">
        <f t="shared" si="25"/>
        <v>43.365504555254454</v>
      </c>
      <c r="AI253" s="15">
        <f>'Varmepumpeberegning VP1'!X241-'Systemberegning VP1'!Z253</f>
        <v>8.8481172783190942</v>
      </c>
    </row>
    <row r="254" spans="10:35" x14ac:dyDescent="0.25">
      <c r="J254" s="253"/>
      <c r="K254">
        <v>8</v>
      </c>
      <c r="L254">
        <v>239</v>
      </c>
      <c r="M254" s="310">
        <v>0.19368750000000004</v>
      </c>
      <c r="N254" s="15">
        <v>1.0881000000000005</v>
      </c>
      <c r="P254" s="15">
        <f>MAX(0,MIN('Potentiel produktion'!C241*$D$3,N254))</f>
        <v>0</v>
      </c>
      <c r="Q254" s="15">
        <f t="shared" si="20"/>
        <v>1.0881000000000005</v>
      </c>
      <c r="R254" s="15">
        <v>0</v>
      </c>
      <c r="S254" s="15">
        <v>0</v>
      </c>
      <c r="T254" s="160">
        <f t="shared" si="21"/>
        <v>2950.927200000001</v>
      </c>
      <c r="V254" s="289">
        <f>'Varmepumpeberegning VP1'!W242</f>
        <v>3.3372461519597025</v>
      </c>
      <c r="W254" s="289">
        <f>'Varmepumpeberegning VP1'!X242</f>
        <v>9.936217278319095</v>
      </c>
      <c r="X254" s="289">
        <f t="shared" si="22"/>
        <v>43.365504555254446</v>
      </c>
      <c r="Y254" s="15">
        <f>MAX(0,MIN('Potentiel produktion'!C241*$D$3,N254))</f>
        <v>0</v>
      </c>
      <c r="Z254" s="15">
        <f t="shared" si="23"/>
        <v>1.0881000000000005</v>
      </c>
      <c r="AA254" s="16">
        <f t="shared" si="24"/>
        <v>0</v>
      </c>
      <c r="AB254" s="16">
        <v>0</v>
      </c>
      <c r="AC254" s="16">
        <v>0</v>
      </c>
      <c r="AD254" s="145">
        <f>(Y254*$H$3+Z254*'Varmepumpeberegning VP1'!Z242+AA254*$H$5+AB254*$H$6+AC254*$H$7)*24</f>
        <v>1132.4641321577374</v>
      </c>
      <c r="AF254" s="16">
        <f>Z254*'Varmepumpeberegning VP1'!Z242*24</f>
        <v>1132.4641321577374</v>
      </c>
      <c r="AG254" s="20">
        <f>(Z254/'Varmepumpeberegning VP1'!W242)*24</f>
        <v>7.8251345003919113</v>
      </c>
      <c r="AH254" s="17">
        <f t="shared" si="25"/>
        <v>43.365504555254454</v>
      </c>
      <c r="AI254" s="15">
        <f>'Varmepumpeberegning VP1'!X242-'Systemberegning VP1'!Z254</f>
        <v>8.8481172783190942</v>
      </c>
    </row>
    <row r="255" spans="10:35" x14ac:dyDescent="0.25">
      <c r="J255" s="253"/>
      <c r="K255">
        <v>8</v>
      </c>
      <c r="L255">
        <v>240</v>
      </c>
      <c r="M255" s="310">
        <v>0.19368750000000004</v>
      </c>
      <c r="N255" s="15">
        <v>1.0881000000000005</v>
      </c>
      <c r="P255" s="15">
        <f>MAX(0,MIN('Potentiel produktion'!C242*$D$3,N255))</f>
        <v>0</v>
      </c>
      <c r="Q255" s="15">
        <f t="shared" si="20"/>
        <v>1.0881000000000005</v>
      </c>
      <c r="R255" s="15">
        <v>0</v>
      </c>
      <c r="S255" s="15">
        <v>0</v>
      </c>
      <c r="T255" s="160">
        <f t="shared" si="21"/>
        <v>2950.927200000001</v>
      </c>
      <c r="V255" s="289">
        <f>'Varmepumpeberegning VP1'!W243</f>
        <v>3.3372461519597025</v>
      </c>
      <c r="W255" s="289">
        <f>'Varmepumpeberegning VP1'!X243</f>
        <v>9.936217278319095</v>
      </c>
      <c r="X255" s="289">
        <f t="shared" si="22"/>
        <v>43.365504555254446</v>
      </c>
      <c r="Y255" s="15">
        <f>MAX(0,MIN('Potentiel produktion'!C242*$D$3,N255))</f>
        <v>0</v>
      </c>
      <c r="Z255" s="15">
        <f t="shared" si="23"/>
        <v>1.0881000000000005</v>
      </c>
      <c r="AA255" s="16">
        <f t="shared" si="24"/>
        <v>0</v>
      </c>
      <c r="AB255" s="16">
        <v>0</v>
      </c>
      <c r="AC255" s="16">
        <v>0</v>
      </c>
      <c r="AD255" s="145">
        <f>(Y255*$H$3+Z255*'Varmepumpeberegning VP1'!Z243+AA255*$H$5+AB255*$H$6+AC255*$H$7)*24</f>
        <v>1132.4641321577374</v>
      </c>
      <c r="AF255" s="16">
        <f>Z255*'Varmepumpeberegning VP1'!Z243*24</f>
        <v>1132.4641321577374</v>
      </c>
      <c r="AG255" s="20">
        <f>(Z255/'Varmepumpeberegning VP1'!W243)*24</f>
        <v>7.8251345003919113</v>
      </c>
      <c r="AH255" s="17">
        <f t="shared" si="25"/>
        <v>43.365504555254454</v>
      </c>
      <c r="AI255" s="15">
        <f>'Varmepumpeberegning VP1'!X243-'Systemberegning VP1'!Z255</f>
        <v>8.8481172783190942</v>
      </c>
    </row>
    <row r="256" spans="10:35" x14ac:dyDescent="0.25">
      <c r="J256" s="253"/>
      <c r="K256">
        <v>8</v>
      </c>
      <c r="L256">
        <v>241</v>
      </c>
      <c r="M256" s="310">
        <v>0.19368750000000004</v>
      </c>
      <c r="N256" s="15">
        <v>1.0881000000000005</v>
      </c>
      <c r="P256" s="15">
        <f>MAX(0,MIN('Potentiel produktion'!C243*$D$3,N256))</f>
        <v>0</v>
      </c>
      <c r="Q256" s="15">
        <f t="shared" si="20"/>
        <v>1.0881000000000005</v>
      </c>
      <c r="R256" s="15">
        <v>0</v>
      </c>
      <c r="S256" s="15">
        <v>0</v>
      </c>
      <c r="T256" s="160">
        <f t="shared" si="21"/>
        <v>2950.927200000001</v>
      </c>
      <c r="V256" s="289">
        <f>'Varmepumpeberegning VP1'!W244</f>
        <v>3.3372461519597025</v>
      </c>
      <c r="W256" s="289">
        <f>'Varmepumpeberegning VP1'!X244</f>
        <v>9.936217278319095</v>
      </c>
      <c r="X256" s="289">
        <f t="shared" si="22"/>
        <v>43.365504555254446</v>
      </c>
      <c r="Y256" s="15">
        <f>MAX(0,MIN('Potentiel produktion'!C243*$D$3,N256))</f>
        <v>0</v>
      </c>
      <c r="Z256" s="15">
        <f t="shared" si="23"/>
        <v>1.0881000000000005</v>
      </c>
      <c r="AA256" s="16">
        <f t="shared" si="24"/>
        <v>0</v>
      </c>
      <c r="AB256" s="16">
        <v>0</v>
      </c>
      <c r="AC256" s="16">
        <v>0</v>
      </c>
      <c r="AD256" s="145">
        <f>(Y256*$H$3+Z256*'Varmepumpeberegning VP1'!Z244+AA256*$H$5+AB256*$H$6+AC256*$H$7)*24</f>
        <v>1132.4641321577374</v>
      </c>
      <c r="AF256" s="16">
        <f>Z256*'Varmepumpeberegning VP1'!Z244*24</f>
        <v>1132.4641321577374</v>
      </c>
      <c r="AG256" s="20">
        <f>(Z256/'Varmepumpeberegning VP1'!W244)*24</f>
        <v>7.8251345003919113</v>
      </c>
      <c r="AH256" s="17">
        <f t="shared" si="25"/>
        <v>43.365504555254454</v>
      </c>
      <c r="AI256" s="15">
        <f>'Varmepumpeberegning VP1'!X244-'Systemberegning VP1'!Z256</f>
        <v>8.8481172783190942</v>
      </c>
    </row>
    <row r="257" spans="10:35" x14ac:dyDescent="0.25">
      <c r="J257" s="253"/>
      <c r="K257">
        <v>8</v>
      </c>
      <c r="L257">
        <v>242</v>
      </c>
      <c r="M257" s="310">
        <v>0.19368750000000004</v>
      </c>
      <c r="N257" s="15">
        <v>1.0881000000000005</v>
      </c>
      <c r="P257" s="15">
        <f>MAX(0,MIN('Potentiel produktion'!C244*$D$3,N257))</f>
        <v>0</v>
      </c>
      <c r="Q257" s="15">
        <f t="shared" si="20"/>
        <v>1.0881000000000005</v>
      </c>
      <c r="R257" s="15">
        <v>0</v>
      </c>
      <c r="S257" s="15">
        <v>0</v>
      </c>
      <c r="T257" s="160">
        <f t="shared" si="21"/>
        <v>2950.927200000001</v>
      </c>
      <c r="V257" s="289">
        <f>'Varmepumpeberegning VP1'!W245</f>
        <v>3.3372461519597025</v>
      </c>
      <c r="W257" s="289">
        <f>'Varmepumpeberegning VP1'!X245</f>
        <v>9.936217278319095</v>
      </c>
      <c r="X257" s="289">
        <f t="shared" si="22"/>
        <v>43.365504555254446</v>
      </c>
      <c r="Y257" s="15">
        <f>MAX(0,MIN('Potentiel produktion'!C244*$D$3,N257))</f>
        <v>0</v>
      </c>
      <c r="Z257" s="15">
        <f t="shared" si="23"/>
        <v>1.0881000000000005</v>
      </c>
      <c r="AA257" s="16">
        <f t="shared" si="24"/>
        <v>0</v>
      </c>
      <c r="AB257" s="16">
        <v>0</v>
      </c>
      <c r="AC257" s="16">
        <v>0</v>
      </c>
      <c r="AD257" s="145">
        <f>(Y257*$H$3+Z257*'Varmepumpeberegning VP1'!Z245+AA257*$H$5+AB257*$H$6+AC257*$H$7)*24</f>
        <v>1132.4641321577374</v>
      </c>
      <c r="AF257" s="16">
        <f>Z257*'Varmepumpeberegning VP1'!Z245*24</f>
        <v>1132.4641321577374</v>
      </c>
      <c r="AG257" s="20">
        <f>(Z257/'Varmepumpeberegning VP1'!W245)*24</f>
        <v>7.8251345003919113</v>
      </c>
      <c r="AH257" s="17">
        <f t="shared" si="25"/>
        <v>43.365504555254454</v>
      </c>
      <c r="AI257" s="15">
        <f>'Varmepumpeberegning VP1'!X245-'Systemberegning VP1'!Z257</f>
        <v>8.8481172783190942</v>
      </c>
    </row>
    <row r="258" spans="10:35" x14ac:dyDescent="0.25">
      <c r="J258" s="253"/>
      <c r="K258">
        <v>8</v>
      </c>
      <c r="L258">
        <v>243</v>
      </c>
      <c r="M258" s="310">
        <v>0.19368750000000004</v>
      </c>
      <c r="N258" s="15">
        <v>1.0881000000000005</v>
      </c>
      <c r="P258" s="15">
        <f>MAX(0,MIN('Potentiel produktion'!C245*$D$3,N258))</f>
        <v>0</v>
      </c>
      <c r="Q258" s="15">
        <f t="shared" si="20"/>
        <v>1.0881000000000005</v>
      </c>
      <c r="R258" s="15">
        <v>0</v>
      </c>
      <c r="S258" s="15">
        <v>0</v>
      </c>
      <c r="T258" s="160">
        <f t="shared" si="21"/>
        <v>2950.927200000001</v>
      </c>
      <c r="V258" s="289">
        <f>'Varmepumpeberegning VP1'!W246</f>
        <v>3.3372461519597025</v>
      </c>
      <c r="W258" s="289">
        <f>'Varmepumpeberegning VP1'!X246</f>
        <v>9.936217278319095</v>
      </c>
      <c r="X258" s="289">
        <f t="shared" si="22"/>
        <v>43.365504555254446</v>
      </c>
      <c r="Y258" s="15">
        <f>MAX(0,MIN('Potentiel produktion'!C245*$D$3,N258))</f>
        <v>0</v>
      </c>
      <c r="Z258" s="15">
        <f t="shared" si="23"/>
        <v>1.0881000000000005</v>
      </c>
      <c r="AA258" s="16">
        <f t="shared" si="24"/>
        <v>0</v>
      </c>
      <c r="AB258" s="16">
        <v>0</v>
      </c>
      <c r="AC258" s="16">
        <v>0</v>
      </c>
      <c r="AD258" s="145">
        <f>(Y258*$H$3+Z258*'Varmepumpeberegning VP1'!Z246+AA258*$H$5+AB258*$H$6+AC258*$H$7)*24</f>
        <v>1132.4641321577374</v>
      </c>
      <c r="AF258" s="16">
        <f>Z258*'Varmepumpeberegning VP1'!Z246*24</f>
        <v>1132.4641321577374</v>
      </c>
      <c r="AG258" s="20">
        <f>(Z258/'Varmepumpeberegning VP1'!W246)*24</f>
        <v>7.8251345003919113</v>
      </c>
      <c r="AH258" s="17">
        <f t="shared" si="25"/>
        <v>43.365504555254454</v>
      </c>
      <c r="AI258" s="15">
        <f>'Varmepumpeberegning VP1'!X246-'Systemberegning VP1'!Z258</f>
        <v>8.8481172783190942</v>
      </c>
    </row>
    <row r="259" spans="10:35" x14ac:dyDescent="0.25">
      <c r="J259" s="253"/>
      <c r="K259">
        <v>9</v>
      </c>
      <c r="L259">
        <v>244</v>
      </c>
      <c r="M259" s="310">
        <v>0.26613750000000003</v>
      </c>
      <c r="N259" s="15">
        <v>1.4861541666666664</v>
      </c>
      <c r="P259" s="15">
        <f>MAX(0,MIN('Potentiel produktion'!C246*$D$3,N259))</f>
        <v>0</v>
      </c>
      <c r="Q259" s="15">
        <f t="shared" si="20"/>
        <v>1.4861541666666664</v>
      </c>
      <c r="R259" s="15">
        <v>0</v>
      </c>
      <c r="S259" s="15">
        <v>0</v>
      </c>
      <c r="T259" s="160">
        <f t="shared" si="21"/>
        <v>4030.4500999999991</v>
      </c>
      <c r="V259" s="289">
        <f>'Varmepumpeberegning VP1'!W247</f>
        <v>3.3372461519597025</v>
      </c>
      <c r="W259" s="289">
        <f>'Varmepumpeberegning VP1'!X247</f>
        <v>9.936217278319095</v>
      </c>
      <c r="X259" s="289">
        <f t="shared" si="22"/>
        <v>43.365504555254446</v>
      </c>
      <c r="Y259" s="15">
        <f>MAX(0,MIN('Potentiel produktion'!C246*$D$3,N259))</f>
        <v>0</v>
      </c>
      <c r="Z259" s="15">
        <f t="shared" si="23"/>
        <v>1.4861541666666664</v>
      </c>
      <c r="AA259" s="16">
        <f t="shared" si="24"/>
        <v>0</v>
      </c>
      <c r="AB259" s="16">
        <v>0</v>
      </c>
      <c r="AC259" s="16">
        <v>0</v>
      </c>
      <c r="AD259" s="145">
        <f>(Y259*$H$3+Z259*'Varmepumpeberegning VP1'!Z247+AA259*$H$5+AB259*$H$6+AC259*$H$7)*24</f>
        <v>1546.7478068254488</v>
      </c>
      <c r="AF259" s="16">
        <f>Z259*'Varmepumpeberegning VP1'!Z247*24</f>
        <v>1546.7478068254488</v>
      </c>
      <c r="AG259" s="20">
        <f>(Z259/'Varmepumpeberegning VP1'!W247)*24</f>
        <v>10.687764215131436</v>
      </c>
      <c r="AH259" s="17">
        <f t="shared" si="25"/>
        <v>43.365504555254454</v>
      </c>
      <c r="AI259" s="15">
        <f>'Varmepumpeberegning VP1'!X247-'Systemberegning VP1'!Z259</f>
        <v>8.4500631116524278</v>
      </c>
    </row>
    <row r="260" spans="10:35" x14ac:dyDescent="0.25">
      <c r="J260" s="253"/>
      <c r="K260">
        <v>9</v>
      </c>
      <c r="L260">
        <v>245</v>
      </c>
      <c r="M260" s="310">
        <v>0.31069999999999992</v>
      </c>
      <c r="N260" s="15">
        <v>1.0881000000000005</v>
      </c>
      <c r="P260" s="15">
        <f>MAX(0,MIN('Potentiel produktion'!C247*$D$3,N260))</f>
        <v>0</v>
      </c>
      <c r="Q260" s="15">
        <f t="shared" si="20"/>
        <v>1.0881000000000005</v>
      </c>
      <c r="R260" s="15">
        <v>0</v>
      </c>
      <c r="S260" s="15">
        <v>0</v>
      </c>
      <c r="T260" s="160">
        <f t="shared" si="21"/>
        <v>2950.927200000001</v>
      </c>
      <c r="V260" s="289">
        <f>'Varmepumpeberegning VP1'!W248</f>
        <v>3.3372461519597025</v>
      </c>
      <c r="W260" s="289">
        <f>'Varmepumpeberegning VP1'!X248</f>
        <v>9.936217278319095</v>
      </c>
      <c r="X260" s="289">
        <f t="shared" si="22"/>
        <v>43.365504555254446</v>
      </c>
      <c r="Y260" s="15">
        <f>MAX(0,MIN('Potentiel produktion'!C247*$D$3,N260))</f>
        <v>0</v>
      </c>
      <c r="Z260" s="15">
        <f t="shared" si="23"/>
        <v>1.0881000000000005</v>
      </c>
      <c r="AA260" s="16">
        <f t="shared" si="24"/>
        <v>0</v>
      </c>
      <c r="AB260" s="16">
        <v>0</v>
      </c>
      <c r="AC260" s="16">
        <v>0</v>
      </c>
      <c r="AD260" s="145">
        <f>(Y260*$H$3+Z260*'Varmepumpeberegning VP1'!Z248+AA260*$H$5+AB260*$H$6+AC260*$H$7)*24</f>
        <v>1132.4641321577374</v>
      </c>
      <c r="AF260" s="16">
        <f>Z260*'Varmepumpeberegning VP1'!Z248*24</f>
        <v>1132.4641321577374</v>
      </c>
      <c r="AG260" s="20">
        <f>(Z260/'Varmepumpeberegning VP1'!W248)*24</f>
        <v>7.8251345003919113</v>
      </c>
      <c r="AH260" s="17">
        <f t="shared" si="25"/>
        <v>43.365504555254454</v>
      </c>
      <c r="AI260" s="15">
        <f>'Varmepumpeberegning VP1'!X248-'Systemberegning VP1'!Z260</f>
        <v>8.8481172783190942</v>
      </c>
    </row>
    <row r="261" spans="10:35" x14ac:dyDescent="0.25">
      <c r="J261" s="253"/>
      <c r="K261">
        <v>9</v>
      </c>
      <c r="L261">
        <v>246</v>
      </c>
      <c r="M261" s="310">
        <v>0.30756249999999991</v>
      </c>
      <c r="N261" s="15">
        <v>1.0881000000000005</v>
      </c>
      <c r="P261" s="15">
        <f>MAX(0,MIN('Potentiel produktion'!C248*$D$3,N261))</f>
        <v>0</v>
      </c>
      <c r="Q261" s="15">
        <f t="shared" si="20"/>
        <v>1.0881000000000005</v>
      </c>
      <c r="R261" s="15">
        <v>0</v>
      </c>
      <c r="S261" s="15">
        <v>0</v>
      </c>
      <c r="T261" s="160">
        <f t="shared" si="21"/>
        <v>2950.927200000001</v>
      </c>
      <c r="V261" s="289">
        <f>'Varmepumpeberegning VP1'!W249</f>
        <v>3.3372461519597025</v>
      </c>
      <c r="W261" s="289">
        <f>'Varmepumpeberegning VP1'!X249</f>
        <v>9.936217278319095</v>
      </c>
      <c r="X261" s="289">
        <f t="shared" si="22"/>
        <v>43.365504555254446</v>
      </c>
      <c r="Y261" s="15">
        <f>MAX(0,MIN('Potentiel produktion'!C248*$D$3,N261))</f>
        <v>0</v>
      </c>
      <c r="Z261" s="15">
        <f t="shared" si="23"/>
        <v>1.0881000000000005</v>
      </c>
      <c r="AA261" s="16">
        <f t="shared" si="24"/>
        <v>0</v>
      </c>
      <c r="AB261" s="16">
        <v>0</v>
      </c>
      <c r="AC261" s="16">
        <v>0</v>
      </c>
      <c r="AD261" s="145">
        <f>(Y261*$H$3+Z261*'Varmepumpeberegning VP1'!Z249+AA261*$H$5+AB261*$H$6+AC261*$H$7)*24</f>
        <v>1132.4641321577374</v>
      </c>
      <c r="AF261" s="16">
        <f>Z261*'Varmepumpeberegning VP1'!Z249*24</f>
        <v>1132.4641321577374</v>
      </c>
      <c r="AG261" s="20">
        <f>(Z261/'Varmepumpeberegning VP1'!W249)*24</f>
        <v>7.8251345003919113</v>
      </c>
      <c r="AH261" s="17">
        <f t="shared" si="25"/>
        <v>43.365504555254454</v>
      </c>
      <c r="AI261" s="15">
        <f>'Varmepumpeberegning VP1'!X249-'Systemberegning VP1'!Z261</f>
        <v>8.8481172783190942</v>
      </c>
    </row>
    <row r="262" spans="10:35" x14ac:dyDescent="0.25">
      <c r="J262" s="253"/>
      <c r="K262">
        <v>9</v>
      </c>
      <c r="L262">
        <v>247</v>
      </c>
      <c r="M262" s="310">
        <v>0.27898749999999989</v>
      </c>
      <c r="N262" s="15">
        <v>1.0881000000000005</v>
      </c>
      <c r="P262" s="15">
        <f>MAX(0,MIN('Potentiel produktion'!C249*$D$3,N262))</f>
        <v>0</v>
      </c>
      <c r="Q262" s="15">
        <f t="shared" si="20"/>
        <v>1.0881000000000005</v>
      </c>
      <c r="R262" s="15">
        <v>0</v>
      </c>
      <c r="S262" s="15">
        <v>0</v>
      </c>
      <c r="T262" s="160">
        <f t="shared" si="21"/>
        <v>2950.927200000001</v>
      </c>
      <c r="V262" s="289">
        <f>'Varmepumpeberegning VP1'!W250</f>
        <v>3.3372461519597025</v>
      </c>
      <c r="W262" s="289">
        <f>'Varmepumpeberegning VP1'!X250</f>
        <v>9.936217278319095</v>
      </c>
      <c r="X262" s="289">
        <f t="shared" si="22"/>
        <v>43.365504555254446</v>
      </c>
      <c r="Y262" s="15">
        <f>MAX(0,MIN('Potentiel produktion'!C249*$D$3,N262))</f>
        <v>0</v>
      </c>
      <c r="Z262" s="15">
        <f t="shared" si="23"/>
        <v>1.0881000000000005</v>
      </c>
      <c r="AA262" s="16">
        <f t="shared" si="24"/>
        <v>0</v>
      </c>
      <c r="AB262" s="16">
        <v>0</v>
      </c>
      <c r="AC262" s="16">
        <v>0</v>
      </c>
      <c r="AD262" s="145">
        <f>(Y262*$H$3+Z262*'Varmepumpeberegning VP1'!Z250+AA262*$H$5+AB262*$H$6+AC262*$H$7)*24</f>
        <v>1132.4641321577374</v>
      </c>
      <c r="AF262" s="16">
        <f>Z262*'Varmepumpeberegning VP1'!Z250*24</f>
        <v>1132.4641321577374</v>
      </c>
      <c r="AG262" s="20">
        <f>(Z262/'Varmepumpeberegning VP1'!W250)*24</f>
        <v>7.8251345003919113</v>
      </c>
      <c r="AH262" s="17">
        <f t="shared" si="25"/>
        <v>43.365504555254454</v>
      </c>
      <c r="AI262" s="15">
        <f>'Varmepumpeberegning VP1'!X250-'Systemberegning VP1'!Z262</f>
        <v>8.8481172783190942</v>
      </c>
    </row>
    <row r="263" spans="10:35" x14ac:dyDescent="0.25">
      <c r="J263" s="253"/>
      <c r="K263">
        <v>9</v>
      </c>
      <c r="L263">
        <v>248</v>
      </c>
      <c r="M263" s="310">
        <v>0.26306249999999992</v>
      </c>
      <c r="N263" s="15">
        <v>1.1198000000000004</v>
      </c>
      <c r="P263" s="15">
        <f>MAX(0,MIN('Potentiel produktion'!C250*$D$3,N263))</f>
        <v>0</v>
      </c>
      <c r="Q263" s="15">
        <f t="shared" si="20"/>
        <v>1.1198000000000004</v>
      </c>
      <c r="R263" s="15">
        <v>0</v>
      </c>
      <c r="S263" s="15">
        <v>0</v>
      </c>
      <c r="T263" s="160">
        <f t="shared" si="21"/>
        <v>3036.8976000000007</v>
      </c>
      <c r="V263" s="289">
        <f>'Varmepumpeberegning VP1'!W251</f>
        <v>3.3372461519597025</v>
      </c>
      <c r="W263" s="289">
        <f>'Varmepumpeberegning VP1'!X251</f>
        <v>9.936217278319095</v>
      </c>
      <c r="X263" s="289">
        <f t="shared" si="22"/>
        <v>43.365504555254446</v>
      </c>
      <c r="Y263" s="15">
        <f>MAX(0,MIN('Potentiel produktion'!C250*$D$3,N263))</f>
        <v>0</v>
      </c>
      <c r="Z263" s="15">
        <f t="shared" si="23"/>
        <v>1.1198000000000004</v>
      </c>
      <c r="AA263" s="16">
        <f t="shared" si="24"/>
        <v>0</v>
      </c>
      <c r="AB263" s="16">
        <v>0</v>
      </c>
      <c r="AC263" s="16">
        <v>0</v>
      </c>
      <c r="AD263" s="145">
        <f>(Y263*$H$3+Z263*'Varmepumpeberegning VP1'!Z251+AA263*$H$5+AB263*$H$6+AC263*$H$7)*24</f>
        <v>1165.4566080233747</v>
      </c>
      <c r="AF263" s="16">
        <f>Z263*'Varmepumpeberegning VP1'!Z251*24</f>
        <v>1165.4566080233747</v>
      </c>
      <c r="AG263" s="20">
        <f>(Z263/'Varmepumpeberegning VP1'!W251)*24</f>
        <v>8.0531068960011574</v>
      </c>
      <c r="AH263" s="17">
        <f t="shared" si="25"/>
        <v>43.365504555254439</v>
      </c>
      <c r="AI263" s="15">
        <f>'Varmepumpeberegning VP1'!X251-'Systemberegning VP1'!Z263</f>
        <v>8.8164172783190953</v>
      </c>
    </row>
    <row r="264" spans="10:35" x14ac:dyDescent="0.25">
      <c r="J264" s="253"/>
      <c r="K264">
        <v>9</v>
      </c>
      <c r="L264">
        <v>249</v>
      </c>
      <c r="M264" s="310">
        <v>0.2232875</v>
      </c>
      <c r="N264" s="15">
        <v>1.0881000000000005</v>
      </c>
      <c r="P264" s="15">
        <f>MAX(0,MIN('Potentiel produktion'!C251*$D$3,N264))</f>
        <v>0</v>
      </c>
      <c r="Q264" s="15">
        <f t="shared" si="20"/>
        <v>1.0881000000000005</v>
      </c>
      <c r="R264" s="15">
        <v>0</v>
      </c>
      <c r="S264" s="15">
        <v>0</v>
      </c>
      <c r="T264" s="160">
        <f t="shared" si="21"/>
        <v>2950.927200000001</v>
      </c>
      <c r="V264" s="289">
        <f>'Varmepumpeberegning VP1'!W252</f>
        <v>3.3372461519597025</v>
      </c>
      <c r="W264" s="289">
        <f>'Varmepumpeberegning VP1'!X252</f>
        <v>9.936217278319095</v>
      </c>
      <c r="X264" s="289">
        <f t="shared" si="22"/>
        <v>43.365504555254446</v>
      </c>
      <c r="Y264" s="15">
        <f>MAX(0,MIN('Potentiel produktion'!C251*$D$3,N264))</f>
        <v>0</v>
      </c>
      <c r="Z264" s="15">
        <f t="shared" si="23"/>
        <v>1.0881000000000005</v>
      </c>
      <c r="AA264" s="16">
        <f t="shared" si="24"/>
        <v>0</v>
      </c>
      <c r="AB264" s="16">
        <v>0</v>
      </c>
      <c r="AC264" s="16">
        <v>0</v>
      </c>
      <c r="AD264" s="145">
        <f>(Y264*$H$3+Z264*'Varmepumpeberegning VP1'!Z252+AA264*$H$5+AB264*$H$6+AC264*$H$7)*24</f>
        <v>1132.4641321577374</v>
      </c>
      <c r="AF264" s="16">
        <f>Z264*'Varmepumpeberegning VP1'!Z252*24</f>
        <v>1132.4641321577374</v>
      </c>
      <c r="AG264" s="20">
        <f>(Z264/'Varmepumpeberegning VP1'!W252)*24</f>
        <v>7.8251345003919113</v>
      </c>
      <c r="AH264" s="17">
        <f t="shared" si="25"/>
        <v>43.365504555254454</v>
      </c>
      <c r="AI264" s="15">
        <f>'Varmepumpeberegning VP1'!X252-'Systemberegning VP1'!Z264</f>
        <v>8.8481172783190942</v>
      </c>
    </row>
    <row r="265" spans="10:35" x14ac:dyDescent="0.25">
      <c r="J265" s="253"/>
      <c r="K265">
        <v>9</v>
      </c>
      <c r="L265">
        <v>250</v>
      </c>
      <c r="M265" s="310">
        <v>0.2327374999999999</v>
      </c>
      <c r="N265" s="15">
        <v>1.0916208333333339</v>
      </c>
      <c r="P265" s="15">
        <f>MAX(0,MIN('Potentiel produktion'!C252*$D$3,N265))</f>
        <v>0</v>
      </c>
      <c r="Q265" s="15">
        <f t="shared" si="20"/>
        <v>1.0916208333333339</v>
      </c>
      <c r="R265" s="15">
        <v>0</v>
      </c>
      <c r="S265" s="15">
        <v>0</v>
      </c>
      <c r="T265" s="160">
        <f t="shared" si="21"/>
        <v>2960.4757000000018</v>
      </c>
      <c r="V265" s="289">
        <f>'Varmepumpeberegning VP1'!W253</f>
        <v>3.3372461519597025</v>
      </c>
      <c r="W265" s="289">
        <f>'Varmepumpeberegning VP1'!X253</f>
        <v>9.936217278319095</v>
      </c>
      <c r="X265" s="289">
        <f t="shared" si="22"/>
        <v>43.365504555254446</v>
      </c>
      <c r="Y265" s="15">
        <f>MAX(0,MIN('Potentiel produktion'!C252*$D$3,N265))</f>
        <v>0</v>
      </c>
      <c r="Z265" s="15">
        <f t="shared" si="23"/>
        <v>1.0916208333333339</v>
      </c>
      <c r="AA265" s="16">
        <f t="shared" si="24"/>
        <v>0</v>
      </c>
      <c r="AB265" s="16">
        <v>0</v>
      </c>
      <c r="AC265" s="16">
        <v>0</v>
      </c>
      <c r="AD265" s="145">
        <f>(Y265*$H$3+Z265*'Varmepumpeberegning VP1'!Z253+AA265*$H$5+AB265*$H$6+AC265*$H$7)*24</f>
        <v>1136.1285172926564</v>
      </c>
      <c r="AF265" s="16">
        <f>Z265*'Varmepumpeberegning VP1'!Z253*24</f>
        <v>1136.1285172926564</v>
      </c>
      <c r="AG265" s="20">
        <f>(Z265/'Varmepumpeberegning VP1'!W253)*24</f>
        <v>7.8504547782954095</v>
      </c>
      <c r="AH265" s="17">
        <f t="shared" si="25"/>
        <v>43.365504555254454</v>
      </c>
      <c r="AI265" s="15">
        <f>'Varmepumpeberegning VP1'!X253-'Systemberegning VP1'!Z265</f>
        <v>8.8445964449857613</v>
      </c>
    </row>
    <row r="266" spans="10:35" x14ac:dyDescent="0.25">
      <c r="J266" s="253"/>
      <c r="K266">
        <v>9</v>
      </c>
      <c r="L266">
        <v>251</v>
      </c>
      <c r="M266" s="310">
        <v>0.31856250000000008</v>
      </c>
      <c r="N266" s="15">
        <v>1.1620750000000004</v>
      </c>
      <c r="P266" s="15">
        <f>MAX(0,MIN('Potentiel produktion'!C253*$D$3,N266))</f>
        <v>0</v>
      </c>
      <c r="Q266" s="15">
        <f t="shared" si="20"/>
        <v>1.1620750000000004</v>
      </c>
      <c r="R266" s="15">
        <v>0</v>
      </c>
      <c r="S266" s="15">
        <v>0</v>
      </c>
      <c r="T266" s="160">
        <f t="shared" si="21"/>
        <v>3151.5474000000013</v>
      </c>
      <c r="V266" s="289">
        <f>'Varmepumpeberegning VP1'!W254</f>
        <v>3.3372461519597025</v>
      </c>
      <c r="W266" s="289">
        <f>'Varmepumpeberegning VP1'!X254</f>
        <v>9.936217278319095</v>
      </c>
      <c r="X266" s="289">
        <f t="shared" si="22"/>
        <v>43.365504555254446</v>
      </c>
      <c r="Y266" s="15">
        <f>MAX(0,MIN('Potentiel produktion'!C253*$D$3,N266))</f>
        <v>0</v>
      </c>
      <c r="Z266" s="15">
        <f t="shared" si="23"/>
        <v>1.1620750000000004</v>
      </c>
      <c r="AA266" s="16">
        <f t="shared" si="24"/>
        <v>0</v>
      </c>
      <c r="AB266" s="16">
        <v>0</v>
      </c>
      <c r="AC266" s="16">
        <v>0</v>
      </c>
      <c r="AD266" s="145">
        <f>(Y266*$H$3+Z266*'Varmepumpeberegning VP1'!Z254+AA266*$H$5+AB266*$H$6+AC266*$H$7)*24</f>
        <v>1209.455248945136</v>
      </c>
      <c r="AF266" s="16">
        <f>Z266*'Varmepumpeberegning VP1'!Z254*24</f>
        <v>1209.455248945136</v>
      </c>
      <c r="AG266" s="20">
        <f>(Z266/'Varmepumpeberegning VP1'!W254)*24</f>
        <v>8.3571300197986655</v>
      </c>
      <c r="AH266" s="17">
        <f t="shared" si="25"/>
        <v>43.365504555254454</v>
      </c>
      <c r="AI266" s="15">
        <f>'Varmepumpeberegning VP1'!X254-'Systemberegning VP1'!Z266</f>
        <v>8.7741422783190952</v>
      </c>
    </row>
    <row r="267" spans="10:35" x14ac:dyDescent="0.25">
      <c r="J267" s="253"/>
      <c r="K267">
        <v>9</v>
      </c>
      <c r="L267">
        <v>252</v>
      </c>
      <c r="M267" s="310">
        <v>0.33494999999999991</v>
      </c>
      <c r="N267" s="15">
        <v>2.0955916666666656</v>
      </c>
      <c r="P267" s="15">
        <f>MAX(0,MIN('Potentiel produktion'!C254*$D$3,N267))</f>
        <v>0</v>
      </c>
      <c r="Q267" s="15">
        <f t="shared" si="20"/>
        <v>2.0955916666666656</v>
      </c>
      <c r="R267" s="15">
        <v>0</v>
      </c>
      <c r="S267" s="15">
        <v>0</v>
      </c>
      <c r="T267" s="160">
        <f t="shared" si="21"/>
        <v>5683.2445999999973</v>
      </c>
      <c r="V267" s="289">
        <f>'Varmepumpeberegning VP1'!W255</f>
        <v>3.3372461519597025</v>
      </c>
      <c r="W267" s="289">
        <f>'Varmepumpeberegning VP1'!X255</f>
        <v>9.936217278319095</v>
      </c>
      <c r="X267" s="289">
        <f t="shared" si="22"/>
        <v>43.365504555254446</v>
      </c>
      <c r="Y267" s="15">
        <f>MAX(0,MIN('Potentiel produktion'!C254*$D$3,N267))</f>
        <v>0</v>
      </c>
      <c r="Z267" s="15">
        <f t="shared" si="23"/>
        <v>2.0955916666666656</v>
      </c>
      <c r="AA267" s="16">
        <f t="shared" si="24"/>
        <v>0</v>
      </c>
      <c r="AB267" s="16">
        <v>0</v>
      </c>
      <c r="AC267" s="16">
        <v>0</v>
      </c>
      <c r="AD267" s="145">
        <f>(Y267*$H$3+Z267*'Varmepumpeberegning VP1'!Z255+AA267*$H$5+AB267*$H$6+AC267*$H$7)*24</f>
        <v>2181.0333592028774</v>
      </c>
      <c r="AF267" s="16">
        <f>Z267*'Varmepumpeberegning VP1'!Z255*24</f>
        <v>2181.0333592028774</v>
      </c>
      <c r="AG267" s="20">
        <f>(Z267/'Varmepumpeberegning VP1'!W255)*24</f>
        <v>15.07056947851034</v>
      </c>
      <c r="AH267" s="17">
        <f t="shared" si="25"/>
        <v>43.365504555254454</v>
      </c>
      <c r="AI267" s="15">
        <f>'Varmepumpeberegning VP1'!X255-'Systemberegning VP1'!Z267</f>
        <v>7.8406256116524293</v>
      </c>
    </row>
    <row r="268" spans="10:35" x14ac:dyDescent="0.25">
      <c r="J268" s="253"/>
      <c r="K268">
        <v>9</v>
      </c>
      <c r="L268">
        <v>253</v>
      </c>
      <c r="M268" s="310">
        <v>0.31820000000000004</v>
      </c>
      <c r="N268" s="15">
        <v>2.324545833333334</v>
      </c>
      <c r="P268" s="15">
        <f>MAX(0,MIN('Potentiel produktion'!C255*$D$3,N268))</f>
        <v>0</v>
      </c>
      <c r="Q268" s="15">
        <f t="shared" si="20"/>
        <v>2.324545833333334</v>
      </c>
      <c r="R268" s="15">
        <v>0</v>
      </c>
      <c r="S268" s="15">
        <v>0</v>
      </c>
      <c r="T268" s="160">
        <f t="shared" si="21"/>
        <v>6304.1683000000012</v>
      </c>
      <c r="V268" s="289">
        <f>'Varmepumpeberegning VP1'!W256</f>
        <v>3.3372461519597025</v>
      </c>
      <c r="W268" s="289">
        <f>'Varmepumpeberegning VP1'!X256</f>
        <v>9.936217278319095</v>
      </c>
      <c r="X268" s="289">
        <f t="shared" si="22"/>
        <v>43.365504555254446</v>
      </c>
      <c r="Y268" s="15">
        <f>MAX(0,MIN('Potentiel produktion'!C255*$D$3,N268))</f>
        <v>0</v>
      </c>
      <c r="Z268" s="15">
        <f t="shared" si="23"/>
        <v>2.324545833333334</v>
      </c>
      <c r="AA268" s="16">
        <f t="shared" si="24"/>
        <v>0</v>
      </c>
      <c r="AB268" s="16">
        <v>0</v>
      </c>
      <c r="AC268" s="16">
        <v>0</v>
      </c>
      <c r="AD268" s="145">
        <f>(Y268*$H$3+Z268*'Varmepumpeberegning VP1'!Z256+AA268*$H$5+AB268*$H$6+AC268*$H$7)*24</f>
        <v>2419.3224701835466</v>
      </c>
      <c r="AF268" s="16">
        <f>Z268*'Varmepumpeberegning VP1'!Z256*24</f>
        <v>2419.3224701835466</v>
      </c>
      <c r="AG268" s="20">
        <f>(Z268/'Varmepumpeberegning VP1'!W256)*24</f>
        <v>16.717106698059851</v>
      </c>
      <c r="AH268" s="17">
        <f t="shared" si="25"/>
        <v>43.365504555254454</v>
      </c>
      <c r="AI268" s="15">
        <f>'Varmepumpeberegning VP1'!X256-'Systemberegning VP1'!Z268</f>
        <v>7.6116714449857614</v>
      </c>
    </row>
    <row r="269" spans="10:35" x14ac:dyDescent="0.25">
      <c r="J269" s="253"/>
      <c r="K269">
        <v>9</v>
      </c>
      <c r="L269">
        <v>254</v>
      </c>
      <c r="M269" s="310">
        <v>0.3010874999999999</v>
      </c>
      <c r="N269" s="15">
        <v>5.3153833333333331</v>
      </c>
      <c r="P269" s="15">
        <f>MAX(0,MIN('Potentiel produktion'!C256*$D$3,N269))</f>
        <v>0</v>
      </c>
      <c r="Q269" s="15">
        <f t="shared" si="20"/>
        <v>5.3153833333333331</v>
      </c>
      <c r="R269" s="15">
        <v>0</v>
      </c>
      <c r="S269" s="15">
        <v>0</v>
      </c>
      <c r="T269" s="160">
        <f t="shared" si="21"/>
        <v>14415.319600000001</v>
      </c>
      <c r="V269" s="289">
        <f>'Varmepumpeberegning VP1'!W257</f>
        <v>3.3372461519597025</v>
      </c>
      <c r="W269" s="289">
        <f>'Varmepumpeberegning VP1'!X257</f>
        <v>9.936217278319095</v>
      </c>
      <c r="X269" s="289">
        <f t="shared" si="22"/>
        <v>43.365504555254446</v>
      </c>
      <c r="Y269" s="15">
        <f>MAX(0,MIN('Potentiel produktion'!C256*$D$3,N269))</f>
        <v>0</v>
      </c>
      <c r="Z269" s="15">
        <f t="shared" si="23"/>
        <v>5.3153833333333331</v>
      </c>
      <c r="AA269" s="16">
        <f t="shared" si="24"/>
        <v>0</v>
      </c>
      <c r="AB269" s="16">
        <v>0</v>
      </c>
      <c r="AC269" s="16">
        <v>0</v>
      </c>
      <c r="AD269" s="145">
        <f>(Y269*$H$3+Z269*'Varmepumpeberegning VP1'!Z257+AA269*$H$5+AB269*$H$6+AC269*$H$7)*24</f>
        <v>5532.1027237101653</v>
      </c>
      <c r="AF269" s="16">
        <f>Z269*'Varmepumpeberegning VP1'!Z257*24</f>
        <v>5532.1027237101653</v>
      </c>
      <c r="AG269" s="20">
        <f>(Z269/'Varmepumpeberegning VP1'!W257)*24</f>
        <v>38.225888709194741</v>
      </c>
      <c r="AH269" s="17">
        <f t="shared" si="25"/>
        <v>43.365504555254439</v>
      </c>
      <c r="AI269" s="15">
        <f>'Varmepumpeberegning VP1'!X257-'Systemberegning VP1'!Z269</f>
        <v>4.6208339449857618</v>
      </c>
    </row>
    <row r="270" spans="10:35" x14ac:dyDescent="0.25">
      <c r="J270" s="253"/>
      <c r="K270">
        <v>9</v>
      </c>
      <c r="L270">
        <v>255</v>
      </c>
      <c r="M270" s="310">
        <v>0.33078749999999996</v>
      </c>
      <c r="N270" s="15">
        <v>5.8649374999999999</v>
      </c>
      <c r="P270" s="15">
        <f>MAX(0,MIN('Potentiel produktion'!C257*$D$3,N270))</f>
        <v>0</v>
      </c>
      <c r="Q270" s="15">
        <f t="shared" si="20"/>
        <v>5.8649374999999999</v>
      </c>
      <c r="R270" s="15">
        <v>0</v>
      </c>
      <c r="S270" s="15">
        <v>0</v>
      </c>
      <c r="T270" s="160">
        <f t="shared" si="21"/>
        <v>15905.710500000001</v>
      </c>
      <c r="V270" s="289">
        <f>'Varmepumpeberegning VP1'!W258</f>
        <v>3.1618855914913517</v>
      </c>
      <c r="W270" s="289">
        <f>'Varmepumpeberegning VP1'!X258</f>
        <v>9.5165323023683932</v>
      </c>
      <c r="X270" s="289">
        <f t="shared" si="22"/>
        <v>45.673844559506328</v>
      </c>
      <c r="Y270" s="15">
        <f>MAX(0,MIN('Potentiel produktion'!C257*$D$3,N270))</f>
        <v>0</v>
      </c>
      <c r="Z270" s="15">
        <f t="shared" si="23"/>
        <v>5.8649374999999999</v>
      </c>
      <c r="AA270" s="16">
        <f t="shared" si="24"/>
        <v>0</v>
      </c>
      <c r="AB270" s="16">
        <v>0</v>
      </c>
      <c r="AC270" s="16">
        <v>0</v>
      </c>
      <c r="AD270" s="145">
        <f>(Y270*$H$3+Z270*'Varmepumpeberegning VP1'!Z258+AA270*$H$5+AB270*$H$6+AC270*$H$7)*24</f>
        <v>6428.9818494292704</v>
      </c>
      <c r="AF270" s="16">
        <f>Z270*'Varmepumpeberegning VP1'!Z258*24</f>
        <v>6428.9818494292704</v>
      </c>
      <c r="AG270" s="20">
        <f>(Z270/'Varmepumpeberegning VP1'!W258)*24</f>
        <v>44.517265387078439</v>
      </c>
      <c r="AH270" s="17">
        <f t="shared" si="25"/>
        <v>45.673844559506314</v>
      </c>
      <c r="AI270" s="15">
        <f>'Varmepumpeberegning VP1'!X258-'Systemberegning VP1'!Z270</f>
        <v>3.6515948023683933</v>
      </c>
    </row>
    <row r="271" spans="10:35" x14ac:dyDescent="0.25">
      <c r="J271" s="253"/>
      <c r="K271">
        <v>9</v>
      </c>
      <c r="L271">
        <v>256</v>
      </c>
      <c r="M271" s="310">
        <v>0.33706249999999988</v>
      </c>
      <c r="N271" s="15">
        <v>5.2202708333333332</v>
      </c>
      <c r="P271" s="15">
        <f>MAX(0,MIN('Potentiel produktion'!C258*$D$3,N271))</f>
        <v>0</v>
      </c>
      <c r="Q271" s="15">
        <f t="shared" si="20"/>
        <v>5.2202708333333332</v>
      </c>
      <c r="R271" s="15">
        <v>0</v>
      </c>
      <c r="S271" s="15">
        <v>0</v>
      </c>
      <c r="T271" s="160">
        <f t="shared" si="21"/>
        <v>14157.3745</v>
      </c>
      <c r="V271" s="289">
        <f>'Varmepumpeberegning VP1'!W259</f>
        <v>3.1186336937333676</v>
      </c>
      <c r="W271" s="289">
        <f>'Varmepumpeberegning VP1'!X259</f>
        <v>9.4116110583807178</v>
      </c>
      <c r="X271" s="289">
        <f t="shared" si="22"/>
        <v>46.283096463675768</v>
      </c>
      <c r="Y271" s="15">
        <f>MAX(0,MIN('Potentiel produktion'!C258*$D$3,N271))</f>
        <v>0</v>
      </c>
      <c r="Z271" s="15">
        <f t="shared" si="23"/>
        <v>5.2202708333333332</v>
      </c>
      <c r="AA271" s="16">
        <f t="shared" si="24"/>
        <v>0</v>
      </c>
      <c r="AB271" s="16">
        <v>0</v>
      </c>
      <c r="AC271" s="16">
        <v>0</v>
      </c>
      <c r="AD271" s="145">
        <f>(Y271*$H$3+Z271*'Varmepumpeberegning VP1'!Z259+AA271*$H$5+AB271*$H$6+AC271*$H$7)*24</f>
        <v>5798.647165096314</v>
      </c>
      <c r="AF271" s="16">
        <f>Z271*'Varmepumpeberegning VP1'!Z259*24</f>
        <v>5798.647165096314</v>
      </c>
      <c r="AG271" s="20">
        <f>(Z271/'Varmepumpeberegning VP1'!W259)*24</f>
        <v>40.173522222809524</v>
      </c>
      <c r="AH271" s="17">
        <f t="shared" si="25"/>
        <v>46.283096463675768</v>
      </c>
      <c r="AI271" s="15">
        <f>'Varmepumpeberegning VP1'!X259-'Systemberegning VP1'!Z271</f>
        <v>4.1913402250473846</v>
      </c>
    </row>
    <row r="272" spans="10:35" x14ac:dyDescent="0.25">
      <c r="J272" s="253"/>
      <c r="K272">
        <v>9</v>
      </c>
      <c r="L272">
        <v>257</v>
      </c>
      <c r="M272" s="310">
        <v>0.40607500000000002</v>
      </c>
      <c r="N272" s="15">
        <v>5.0018708333333342</v>
      </c>
      <c r="P272" s="15">
        <f>MAX(0,MIN('Potentiel produktion'!C259*$D$3,N272))</f>
        <v>0</v>
      </c>
      <c r="Q272" s="15">
        <f t="shared" si="20"/>
        <v>5.0018708333333342</v>
      </c>
      <c r="R272" s="15">
        <v>0</v>
      </c>
      <c r="S272" s="15">
        <v>0</v>
      </c>
      <c r="T272" s="160">
        <f t="shared" si="21"/>
        <v>13565.073700000001</v>
      </c>
      <c r="V272" s="289">
        <f>'Varmepumpeberegning VP1'!W260</f>
        <v>3.1618855914913517</v>
      </c>
      <c r="W272" s="289">
        <f>'Varmepumpeberegning VP1'!X260</f>
        <v>9.5165323023683932</v>
      </c>
      <c r="X272" s="289">
        <f t="shared" si="22"/>
        <v>45.673844559506328</v>
      </c>
      <c r="Y272" s="15">
        <f>MAX(0,MIN('Potentiel produktion'!C259*$D$3,N272))</f>
        <v>0</v>
      </c>
      <c r="Z272" s="15">
        <f t="shared" si="23"/>
        <v>5.0018708333333342</v>
      </c>
      <c r="AA272" s="16">
        <f t="shared" si="24"/>
        <v>0</v>
      </c>
      <c r="AB272" s="16">
        <v>0</v>
      </c>
      <c r="AC272" s="16">
        <v>0</v>
      </c>
      <c r="AD272" s="145">
        <f>(Y272*$H$3+Z272*'Varmepumpeberegning VP1'!Z260+AA272*$H$5+AB272*$H$6+AC272*$H$7)*24</f>
        <v>5482.9121027614819</v>
      </c>
      <c r="AF272" s="16">
        <f>Z272*'Varmepumpeberegning VP1'!Z260*24</f>
        <v>5482.9121027614819</v>
      </c>
      <c r="AG272" s="20">
        <f>(Z272/'Varmepumpeberegning VP1'!W260)*24</f>
        <v>37.96623771683624</v>
      </c>
      <c r="AH272" s="17">
        <f t="shared" si="25"/>
        <v>45.673844559506328</v>
      </c>
      <c r="AI272" s="15">
        <f>'Varmepumpeberegning VP1'!X260-'Systemberegning VP1'!Z272</f>
        <v>4.514661469035059</v>
      </c>
    </row>
    <row r="273" spans="10:35" x14ac:dyDescent="0.25">
      <c r="J273" s="253"/>
      <c r="K273">
        <v>9</v>
      </c>
      <c r="L273">
        <v>258</v>
      </c>
      <c r="M273" s="310">
        <v>0.38294999999999996</v>
      </c>
      <c r="N273" s="15">
        <v>4.1704958333333328</v>
      </c>
      <c r="P273" s="15">
        <f>MAX(0,MIN('Potentiel produktion'!C260*$D$3,N273))</f>
        <v>0</v>
      </c>
      <c r="Q273" s="15">
        <f t="shared" ref="Q273:Q336" si="26">MAX(0,MIN($C$5*$D$5,N273-SUM(P273)))</f>
        <v>4.1704958333333328</v>
      </c>
      <c r="R273" s="15">
        <v>0</v>
      </c>
      <c r="S273" s="15">
        <v>0</v>
      </c>
      <c r="T273" s="160">
        <f t="shared" ref="T273:T336" si="27">(P273*$H$3+Q273*$H$5+R273*$H$6+S273*$H$7)*24</f>
        <v>11310.384699999999</v>
      </c>
      <c r="V273" s="289">
        <f>'Varmepumpeberegning VP1'!W261</f>
        <v>3.1618855914913517</v>
      </c>
      <c r="W273" s="289">
        <f>'Varmepumpeberegning VP1'!X261</f>
        <v>9.5165323023683932</v>
      </c>
      <c r="X273" s="289">
        <f t="shared" ref="X273:X336" si="28">($G$4+$F$4)/V273+$E$4</f>
        <v>45.673844559506328</v>
      </c>
      <c r="Y273" s="15">
        <f>MAX(0,MIN('Potentiel produktion'!C260*$D$3,N273))</f>
        <v>0</v>
      </c>
      <c r="Z273" s="15">
        <f t="shared" ref="Z273:Z336" si="29">IF(X273&lt;=$H$5,MAX(0,MIN(W273,N273-SUM(Y273))),MAX(0,MIN(W273,N273-Y273-30)))</f>
        <v>4.1704958333333328</v>
      </c>
      <c r="AA273" s="16">
        <f t="shared" ref="AA273:AA336" si="30">MAX(0,MIN($C$5*$D$5,N273-SUM(Y273:Z273)))</f>
        <v>0</v>
      </c>
      <c r="AB273" s="16">
        <v>0</v>
      </c>
      <c r="AC273" s="16">
        <v>0</v>
      </c>
      <c r="AD273" s="145">
        <f>(Y273*$H$3+Z273*'Varmepumpeberegning VP1'!Z261+AA273*$H$5+AB273*$H$6+AC273*$H$7)*24</f>
        <v>4571.5818822656511</v>
      </c>
      <c r="AF273" s="16">
        <f>Z273*'Varmepumpeberegning VP1'!Z261*24</f>
        <v>4571.5818822656511</v>
      </c>
      <c r="AG273" s="20">
        <f>(Z273/'Varmepumpeberegning VP1'!W261)*24</f>
        <v>31.655762709867723</v>
      </c>
      <c r="AH273" s="17">
        <f t="shared" si="25"/>
        <v>45.673844559506328</v>
      </c>
      <c r="AI273" s="15">
        <f>'Varmepumpeberegning VP1'!X261-'Systemberegning VP1'!Z273</f>
        <v>5.3460364690350604</v>
      </c>
    </row>
    <row r="274" spans="10:35" x14ac:dyDescent="0.25">
      <c r="J274" s="253"/>
      <c r="K274">
        <v>9</v>
      </c>
      <c r="L274">
        <v>259</v>
      </c>
      <c r="M274" s="310">
        <v>0.3722125</v>
      </c>
      <c r="N274" s="15">
        <v>2.3597916666666658</v>
      </c>
      <c r="P274" s="15">
        <f>MAX(0,MIN('Potentiel produktion'!C261*$D$3,N274))</f>
        <v>0</v>
      </c>
      <c r="Q274" s="15">
        <f t="shared" si="26"/>
        <v>2.3597916666666658</v>
      </c>
      <c r="R274" s="15">
        <v>0</v>
      </c>
      <c r="S274" s="15">
        <v>0</v>
      </c>
      <c r="T274" s="160">
        <f t="shared" si="27"/>
        <v>6399.7549999999983</v>
      </c>
      <c r="V274" s="289">
        <f>'Varmepumpeberegning VP1'!W262</f>
        <v>3.2490914584620767</v>
      </c>
      <c r="W274" s="289">
        <f>'Varmepumpeberegning VP1'!X262</f>
        <v>9.7263747903437441</v>
      </c>
      <c r="X274" s="289">
        <f t="shared" si="28"/>
        <v>44.494773819951156</v>
      </c>
      <c r="Y274" s="15">
        <f>MAX(0,MIN('Potentiel produktion'!C261*$D$3,N274))</f>
        <v>0</v>
      </c>
      <c r="Z274" s="15">
        <f t="shared" si="29"/>
        <v>2.3597916666666658</v>
      </c>
      <c r="AA274" s="16">
        <f t="shared" si="30"/>
        <v>0</v>
      </c>
      <c r="AB274" s="16">
        <v>0</v>
      </c>
      <c r="AC274" s="16">
        <v>0</v>
      </c>
      <c r="AD274" s="145">
        <f>(Y274*$H$3+Z274*'Varmepumpeberegning VP1'!Z262+AA274*$H$5+AB274*$H$6+AC274*$H$7)*24</f>
        <v>2519.9615152929327</v>
      </c>
      <c r="AF274" s="16">
        <f>Z274*'Varmepumpeberegning VP1'!Z262*24</f>
        <v>2519.9615152929327</v>
      </c>
      <c r="AG274" s="20">
        <f>(Z274/'Varmepumpeberegning VP1'!W262)*24</f>
        <v>17.431026711327959</v>
      </c>
      <c r="AH274" s="17">
        <f t="shared" si="25"/>
        <v>44.494773819951156</v>
      </c>
      <c r="AI274" s="15">
        <f>'Varmepumpeberegning VP1'!X262-'Systemberegning VP1'!Z274</f>
        <v>7.3665831236770778</v>
      </c>
    </row>
    <row r="275" spans="10:35" x14ac:dyDescent="0.25">
      <c r="J275" s="253"/>
      <c r="K275">
        <v>9</v>
      </c>
      <c r="L275">
        <v>260</v>
      </c>
      <c r="M275" s="310">
        <v>0.32986250000000006</v>
      </c>
      <c r="N275" s="15">
        <v>1.7926291666666663</v>
      </c>
      <c r="P275" s="15">
        <f>MAX(0,MIN('Potentiel produktion'!C262*$D$3,N275))</f>
        <v>0</v>
      </c>
      <c r="Q275" s="15">
        <f t="shared" si="26"/>
        <v>1.7926291666666663</v>
      </c>
      <c r="R275" s="15">
        <v>0</v>
      </c>
      <c r="S275" s="15">
        <v>0</v>
      </c>
      <c r="T275" s="160">
        <f t="shared" si="27"/>
        <v>4861.6102999999994</v>
      </c>
      <c r="V275" s="289">
        <f>'Varmepumpeberegning VP1'!W263</f>
        <v>3.3372461519597025</v>
      </c>
      <c r="W275" s="289">
        <f>'Varmepumpeberegning VP1'!X263</f>
        <v>9.936217278319095</v>
      </c>
      <c r="X275" s="289">
        <f t="shared" si="28"/>
        <v>43.365504555254446</v>
      </c>
      <c r="Y275" s="15">
        <f>MAX(0,MIN('Potentiel produktion'!C262*$D$3,N275))</f>
        <v>0</v>
      </c>
      <c r="Z275" s="15">
        <f t="shared" si="29"/>
        <v>1.7926291666666663</v>
      </c>
      <c r="AA275" s="16">
        <f t="shared" si="30"/>
        <v>0</v>
      </c>
      <c r="AB275" s="16">
        <v>0</v>
      </c>
      <c r="AC275" s="16">
        <v>0</v>
      </c>
      <c r="AD275" s="145">
        <f>(Y275*$H$3+Z275*'Varmepumpeberegning VP1'!Z263+AA275*$H$5+AB275*$H$6+AC275*$H$7)*24</f>
        <v>1865.7184390311672</v>
      </c>
      <c r="AF275" s="16">
        <f>Z275*'Varmepumpeberegning VP1'!Z263*24</f>
        <v>1865.7184390311672</v>
      </c>
      <c r="AG275" s="20">
        <f>(Z275/'Varmepumpeberegning VP1'!W263)*24</f>
        <v>12.891797020946719</v>
      </c>
      <c r="AH275" s="17">
        <f t="shared" si="25"/>
        <v>43.365504555254454</v>
      </c>
      <c r="AI275" s="15">
        <f>'Varmepumpeberegning VP1'!X263-'Systemberegning VP1'!Z275</f>
        <v>8.1435881116524289</v>
      </c>
    </row>
    <row r="276" spans="10:35" x14ac:dyDescent="0.25">
      <c r="J276" s="253"/>
      <c r="K276">
        <v>9</v>
      </c>
      <c r="L276">
        <v>261</v>
      </c>
      <c r="M276" s="310">
        <v>0.36537499999999995</v>
      </c>
      <c r="N276" s="15">
        <v>2.0920666666666659</v>
      </c>
      <c r="P276" s="15">
        <f>MAX(0,MIN('Potentiel produktion'!C263*$D$3,N276))</f>
        <v>0</v>
      </c>
      <c r="Q276" s="15">
        <f t="shared" si="26"/>
        <v>2.0920666666666659</v>
      </c>
      <c r="R276" s="15">
        <v>0</v>
      </c>
      <c r="S276" s="15">
        <v>0</v>
      </c>
      <c r="T276" s="160">
        <f t="shared" si="27"/>
        <v>5673.6847999999973</v>
      </c>
      <c r="V276" s="289">
        <f>'Varmepumpeberegning VP1'!W264</f>
        <v>3.3372461519597025</v>
      </c>
      <c r="W276" s="289">
        <f>'Varmepumpeberegning VP1'!X264</f>
        <v>9.936217278319095</v>
      </c>
      <c r="X276" s="289">
        <f t="shared" si="28"/>
        <v>43.365504555254446</v>
      </c>
      <c r="Y276" s="15">
        <f>MAX(0,MIN('Potentiel produktion'!C263*$D$3,N276))</f>
        <v>0</v>
      </c>
      <c r="Z276" s="15">
        <f t="shared" si="29"/>
        <v>2.0920666666666659</v>
      </c>
      <c r="AA276" s="16">
        <f t="shared" si="30"/>
        <v>0</v>
      </c>
      <c r="AB276" s="16">
        <v>0</v>
      </c>
      <c r="AC276" s="16">
        <v>0</v>
      </c>
      <c r="AD276" s="145">
        <f>(Y276*$H$3+Z276*'Varmepumpeberegning VP1'!Z264+AA276*$H$5+AB276*$H$6+AC276*$H$7)*24</f>
        <v>2177.3646375175031</v>
      </c>
      <c r="AF276" s="16">
        <f>Z276*'Varmepumpeberegning VP1'!Z264*24</f>
        <v>2177.3646375175031</v>
      </c>
      <c r="AG276" s="20">
        <f>(Z276/'Varmepumpeberegning VP1'!W264)*24</f>
        <v>15.045219235780923</v>
      </c>
      <c r="AH276" s="17">
        <f t="shared" si="25"/>
        <v>43.365504555254454</v>
      </c>
      <c r="AI276" s="15">
        <f>'Varmepumpeberegning VP1'!X264-'Systemberegning VP1'!Z276</f>
        <v>7.8441506116524291</v>
      </c>
    </row>
    <row r="277" spans="10:35" x14ac:dyDescent="0.25">
      <c r="J277" s="253"/>
      <c r="K277">
        <v>9</v>
      </c>
      <c r="L277">
        <v>262</v>
      </c>
      <c r="M277" s="310">
        <v>0.35745000000000005</v>
      </c>
      <c r="N277" s="15">
        <v>1.8983041666666658</v>
      </c>
      <c r="P277" s="15">
        <f>MAX(0,MIN('Potentiel produktion'!C264*$D$3,N277))</f>
        <v>0</v>
      </c>
      <c r="Q277" s="15">
        <f t="shared" si="26"/>
        <v>1.8983041666666658</v>
      </c>
      <c r="R277" s="15">
        <v>0</v>
      </c>
      <c r="S277" s="15">
        <v>0</v>
      </c>
      <c r="T277" s="160">
        <f t="shared" si="27"/>
        <v>5148.200899999998</v>
      </c>
      <c r="V277" s="289">
        <f>'Varmepumpeberegning VP1'!W265</f>
        <v>3.3372461519597025</v>
      </c>
      <c r="W277" s="289">
        <f>'Varmepumpeberegning VP1'!X265</f>
        <v>9.936217278319095</v>
      </c>
      <c r="X277" s="289">
        <f t="shared" si="28"/>
        <v>43.365504555254446</v>
      </c>
      <c r="Y277" s="15">
        <f>MAX(0,MIN('Potentiel produktion'!C264*$D$3,N277))</f>
        <v>0</v>
      </c>
      <c r="Z277" s="15">
        <f t="shared" si="29"/>
        <v>1.8983041666666658</v>
      </c>
      <c r="AA277" s="16">
        <f t="shared" si="30"/>
        <v>0</v>
      </c>
      <c r="AB277" s="16">
        <v>0</v>
      </c>
      <c r="AC277" s="16">
        <v>0</v>
      </c>
      <c r="AD277" s="145">
        <f>(Y277*$H$3+Z277*'Varmepumpeberegning VP1'!Z265+AA277*$H$5+AB277*$H$6+AC277*$H$7)*24</f>
        <v>1975.7020316842031</v>
      </c>
      <c r="AF277" s="16">
        <f>Z277*'Varmepumpeberegning VP1'!Z265*24</f>
        <v>1975.7020316842031</v>
      </c>
      <c r="AG277" s="20">
        <f>(Z277/'Varmepumpeberegning VP1'!W265)*24</f>
        <v>13.651764935962719</v>
      </c>
      <c r="AH277" s="17">
        <f t="shared" ref="AH277:AH340" si="31">AF277/Z277/24</f>
        <v>43.365504555254454</v>
      </c>
      <c r="AI277" s="15">
        <f>'Varmepumpeberegning VP1'!X265-'Systemberegning VP1'!Z277</f>
        <v>8.0379131116524292</v>
      </c>
    </row>
    <row r="278" spans="10:35" x14ac:dyDescent="0.25">
      <c r="J278" s="253"/>
      <c r="K278">
        <v>9</v>
      </c>
      <c r="L278">
        <v>263</v>
      </c>
      <c r="M278" s="310">
        <v>0.24604999999999996</v>
      </c>
      <c r="N278" s="15">
        <v>1.5847916666666668</v>
      </c>
      <c r="P278" s="15">
        <f>MAX(0,MIN('Potentiel produktion'!C265*$D$3,N278))</f>
        <v>0</v>
      </c>
      <c r="Q278" s="15">
        <f t="shared" si="26"/>
        <v>1.5847916666666668</v>
      </c>
      <c r="R278" s="15">
        <v>0</v>
      </c>
      <c r="S278" s="15">
        <v>0</v>
      </c>
      <c r="T278" s="160">
        <f t="shared" si="27"/>
        <v>4297.9550000000008</v>
      </c>
      <c r="V278" s="289">
        <f>'Varmepumpeberegning VP1'!W266</f>
        <v>3.3372461519597025</v>
      </c>
      <c r="W278" s="289">
        <f>'Varmepumpeberegning VP1'!X266</f>
        <v>9.936217278319095</v>
      </c>
      <c r="X278" s="289">
        <f t="shared" si="28"/>
        <v>43.365504555254446</v>
      </c>
      <c r="Y278" s="15">
        <f>MAX(0,MIN('Potentiel produktion'!C265*$D$3,N278))</f>
        <v>0</v>
      </c>
      <c r="Z278" s="15">
        <f t="shared" si="29"/>
        <v>1.5847916666666668</v>
      </c>
      <c r="AA278" s="16">
        <f t="shared" si="30"/>
        <v>0</v>
      </c>
      <c r="AB278" s="16">
        <v>0</v>
      </c>
      <c r="AC278" s="16">
        <v>0</v>
      </c>
      <c r="AD278" s="145">
        <f>(Y278*$H$3+Z278*'Varmepumpeberegning VP1'!Z266+AA278*$H$5+AB278*$H$6+AC278*$H$7)*24</f>
        <v>1649.4069657591031</v>
      </c>
      <c r="AF278" s="16">
        <f>Z278*'Varmepumpeberegning VP1'!Z266*24</f>
        <v>1649.4069657591031</v>
      </c>
      <c r="AG278" s="20">
        <f>(Z278/'Varmepumpeberegning VP1'!W266)*24</f>
        <v>11.397121539166369</v>
      </c>
      <c r="AH278" s="17">
        <f t="shared" si="31"/>
        <v>43.365504555254454</v>
      </c>
      <c r="AI278" s="15">
        <f>'Varmepumpeberegning VP1'!X266-'Systemberegning VP1'!Z278</f>
        <v>8.3514256116524272</v>
      </c>
    </row>
    <row r="279" spans="10:35" x14ac:dyDescent="0.25">
      <c r="J279" s="253"/>
      <c r="K279">
        <v>9</v>
      </c>
      <c r="L279">
        <v>264</v>
      </c>
      <c r="M279" s="310">
        <v>0.31043750000000014</v>
      </c>
      <c r="N279" s="15">
        <v>2.6874166666666652</v>
      </c>
      <c r="P279" s="15">
        <f>MAX(0,MIN('Potentiel produktion'!C266*$D$3,N279))</f>
        <v>0</v>
      </c>
      <c r="Q279" s="15">
        <f t="shared" si="26"/>
        <v>2.6874166666666652</v>
      </c>
      <c r="R279" s="15">
        <v>0</v>
      </c>
      <c r="S279" s="15">
        <v>0</v>
      </c>
      <c r="T279" s="160">
        <f t="shared" si="27"/>
        <v>7288.2739999999958</v>
      </c>
      <c r="V279" s="289">
        <f>'Varmepumpeberegning VP1'!W267</f>
        <v>3.3372461519597025</v>
      </c>
      <c r="W279" s="289">
        <f>'Varmepumpeberegning VP1'!X267</f>
        <v>9.936217278319095</v>
      </c>
      <c r="X279" s="289">
        <f t="shared" si="28"/>
        <v>43.365504555254446</v>
      </c>
      <c r="Y279" s="15">
        <f>MAX(0,MIN('Potentiel produktion'!C266*$D$3,N279))</f>
        <v>0</v>
      </c>
      <c r="Z279" s="15">
        <f t="shared" si="29"/>
        <v>2.6874166666666652</v>
      </c>
      <c r="AA279" s="16">
        <f t="shared" si="30"/>
        <v>0</v>
      </c>
      <c r="AB279" s="16">
        <v>0</v>
      </c>
      <c r="AC279" s="16">
        <v>0</v>
      </c>
      <c r="AD279" s="145">
        <f>(Y279*$H$3+Z279*'Varmepumpeberegning VP1'!Z267+AA279*$H$5+AB279*$H$6+AC279*$H$7)*24</f>
        <v>2796.9883128047995</v>
      </c>
      <c r="AF279" s="16">
        <f>Z279*'Varmepumpeberegning VP1'!Z267*24</f>
        <v>2796.9883128047995</v>
      </c>
      <c r="AG279" s="20">
        <f>(Z279/'Varmepumpeberegning VP1'!W267)*24</f>
        <v>19.326713422719912</v>
      </c>
      <c r="AH279" s="17">
        <f t="shared" si="31"/>
        <v>43.365504555254439</v>
      </c>
      <c r="AI279" s="15">
        <f>'Varmepumpeberegning VP1'!X267-'Systemberegning VP1'!Z279</f>
        <v>7.2488006116524293</v>
      </c>
    </row>
    <row r="280" spans="10:35" x14ac:dyDescent="0.25">
      <c r="J280" s="253"/>
      <c r="K280">
        <v>9</v>
      </c>
      <c r="L280">
        <v>265</v>
      </c>
      <c r="M280" s="310">
        <v>0.31866250000000002</v>
      </c>
      <c r="N280" s="15">
        <v>2.8635541666666655</v>
      </c>
      <c r="P280" s="15">
        <f>MAX(0,MIN('Potentiel produktion'!C267*$D$3,N280))</f>
        <v>0</v>
      </c>
      <c r="Q280" s="15">
        <f t="shared" si="26"/>
        <v>2.8635541666666655</v>
      </c>
      <c r="R280" s="15">
        <v>0</v>
      </c>
      <c r="S280" s="15">
        <v>0</v>
      </c>
      <c r="T280" s="160">
        <f t="shared" si="27"/>
        <v>7765.9588999999969</v>
      </c>
      <c r="V280" s="289">
        <f>'Varmepumpeberegning VP1'!W268</f>
        <v>3.3372461519597025</v>
      </c>
      <c r="W280" s="289">
        <f>'Varmepumpeberegning VP1'!X268</f>
        <v>9.936217278319095</v>
      </c>
      <c r="X280" s="289">
        <f t="shared" si="28"/>
        <v>43.365504555254446</v>
      </c>
      <c r="Y280" s="15">
        <f>MAX(0,MIN('Potentiel produktion'!C267*$D$3,N280))</f>
        <v>0</v>
      </c>
      <c r="Z280" s="15">
        <f t="shared" si="29"/>
        <v>2.8635541666666655</v>
      </c>
      <c r="AA280" s="16">
        <f t="shared" si="30"/>
        <v>0</v>
      </c>
      <c r="AB280" s="16">
        <v>0</v>
      </c>
      <c r="AC280" s="16">
        <v>0</v>
      </c>
      <c r="AD280" s="145">
        <f>(Y280*$H$3+Z280*'Varmepumpeberegning VP1'!Z268+AA280*$H$5+AB280*$H$6+AC280*$H$7)*24</f>
        <v>2980.3073102112271</v>
      </c>
      <c r="AF280" s="16">
        <f>Z280*'Varmepumpeberegning VP1'!Z268*24</f>
        <v>2980.3073102112271</v>
      </c>
      <c r="AG280" s="20">
        <f>(Z280/'Varmepumpeberegning VP1'!W268)*24</f>
        <v>20.593416508891021</v>
      </c>
      <c r="AH280" s="17">
        <f t="shared" si="31"/>
        <v>43.365504555254439</v>
      </c>
      <c r="AI280" s="15">
        <f>'Varmepumpeberegning VP1'!X268-'Systemberegning VP1'!Z280</f>
        <v>7.0726631116524299</v>
      </c>
    </row>
    <row r="281" spans="10:35" x14ac:dyDescent="0.25">
      <c r="J281" s="253"/>
      <c r="K281">
        <v>9</v>
      </c>
      <c r="L281">
        <v>266</v>
      </c>
      <c r="M281" s="310">
        <v>0.3219999999999999</v>
      </c>
      <c r="N281" s="15">
        <v>2.0004791666666657</v>
      </c>
      <c r="P281" s="15">
        <f>MAX(0,MIN('Potentiel produktion'!C268*$D$3,N281))</f>
        <v>0</v>
      </c>
      <c r="Q281" s="15">
        <f t="shared" si="26"/>
        <v>2.0004791666666657</v>
      </c>
      <c r="R281" s="15">
        <v>0</v>
      </c>
      <c r="S281" s="15">
        <v>0</v>
      </c>
      <c r="T281" s="160">
        <f t="shared" si="27"/>
        <v>5425.2994999999974</v>
      </c>
      <c r="V281" s="289">
        <f>'Varmepumpeberegning VP1'!W269</f>
        <v>3.3372461519597025</v>
      </c>
      <c r="W281" s="289">
        <f>'Varmepumpeberegning VP1'!X269</f>
        <v>9.936217278319095</v>
      </c>
      <c r="X281" s="289">
        <f t="shared" si="28"/>
        <v>43.365504555254446</v>
      </c>
      <c r="Y281" s="15">
        <f>MAX(0,MIN('Potentiel produktion'!C268*$D$3,N281))</f>
        <v>0</v>
      </c>
      <c r="Z281" s="15">
        <f t="shared" si="29"/>
        <v>2.0004791666666657</v>
      </c>
      <c r="AA281" s="16">
        <f t="shared" si="30"/>
        <v>0</v>
      </c>
      <c r="AB281" s="16">
        <v>0</v>
      </c>
      <c r="AC281" s="16">
        <v>0</v>
      </c>
      <c r="AD281" s="145">
        <f>(Y281*$H$3+Z281*'Varmepumpeberegning VP1'!Z269+AA281*$H$5+AB281*$H$6+AC281*$H$7)*24</f>
        <v>2082.0429219545977</v>
      </c>
      <c r="AF281" s="16">
        <f>Z281*'Varmepumpeberegning VP1'!Z269*24</f>
        <v>2082.0429219545977</v>
      </c>
      <c r="AG281" s="20">
        <f>(Z281/'Varmepumpeberegning VP1'!W269)*24</f>
        <v>14.38656239720483</v>
      </c>
      <c r="AH281" s="17">
        <f t="shared" si="31"/>
        <v>43.365504555254439</v>
      </c>
      <c r="AI281" s="15">
        <f>'Varmepumpeberegning VP1'!X269-'Systemberegning VP1'!Z281</f>
        <v>7.9357381116524293</v>
      </c>
    </row>
    <row r="282" spans="10:35" x14ac:dyDescent="0.25">
      <c r="J282" s="253"/>
      <c r="K282">
        <v>9</v>
      </c>
      <c r="L282">
        <v>267</v>
      </c>
      <c r="M282" s="310">
        <v>0.28592499999999998</v>
      </c>
      <c r="N282" s="15">
        <v>2.5746791666666664</v>
      </c>
      <c r="P282" s="15">
        <f>MAX(0,MIN('Potentiel produktion'!C269*$D$3,N282))</f>
        <v>0</v>
      </c>
      <c r="Q282" s="15">
        <f t="shared" si="26"/>
        <v>2.5746791666666664</v>
      </c>
      <c r="R282" s="15">
        <v>0</v>
      </c>
      <c r="S282" s="15">
        <v>0</v>
      </c>
      <c r="T282" s="160">
        <f t="shared" si="27"/>
        <v>6982.5298999999995</v>
      </c>
      <c r="V282" s="289">
        <f>'Varmepumpeberegning VP1'!W270</f>
        <v>3.3372461519597025</v>
      </c>
      <c r="W282" s="289">
        <f>'Varmepumpeberegning VP1'!X270</f>
        <v>9.936217278319095</v>
      </c>
      <c r="X282" s="289">
        <f t="shared" si="28"/>
        <v>43.365504555254446</v>
      </c>
      <c r="Y282" s="15">
        <f>MAX(0,MIN('Potentiel produktion'!C269*$D$3,N282))</f>
        <v>0</v>
      </c>
      <c r="Z282" s="15">
        <f t="shared" si="29"/>
        <v>2.5746791666666664</v>
      </c>
      <c r="AA282" s="16">
        <f t="shared" si="30"/>
        <v>0</v>
      </c>
      <c r="AB282" s="16">
        <v>0</v>
      </c>
      <c r="AC282" s="16">
        <v>0</v>
      </c>
      <c r="AD282" s="145">
        <f>(Y282*$H$3+Z282*'Varmepumpeberegning VP1'!Z270+AA282*$H$5+AB282*$H$6+AC282*$H$7)*24</f>
        <v>2679.6542671296488</v>
      </c>
      <c r="AF282" s="16">
        <f>Z282*'Varmepumpeberegning VP1'!Z270*24</f>
        <v>2679.6542671296488</v>
      </c>
      <c r="AG282" s="20">
        <f>(Z282/'Varmepumpeberegning VP1'!W270)*24</f>
        <v>18.515955127767313</v>
      </c>
      <c r="AH282" s="17">
        <f t="shared" si="31"/>
        <v>43.365504555254439</v>
      </c>
      <c r="AI282" s="15">
        <f>'Varmepumpeberegning VP1'!X270-'Systemberegning VP1'!Z282</f>
        <v>7.361538111652429</v>
      </c>
    </row>
    <row r="283" spans="10:35" x14ac:dyDescent="0.25">
      <c r="J283" s="253"/>
      <c r="K283">
        <v>9</v>
      </c>
      <c r="L283">
        <v>268</v>
      </c>
      <c r="M283" s="310">
        <v>0.27574999999999988</v>
      </c>
      <c r="N283" s="15">
        <v>2.5359208333333334</v>
      </c>
      <c r="P283" s="15">
        <f>MAX(0,MIN('Potentiel produktion'!C270*$D$3,N283))</f>
        <v>0</v>
      </c>
      <c r="Q283" s="15">
        <f t="shared" si="26"/>
        <v>2.5359208333333334</v>
      </c>
      <c r="R283" s="15">
        <v>0</v>
      </c>
      <c r="S283" s="15">
        <v>0</v>
      </c>
      <c r="T283" s="160">
        <f t="shared" si="27"/>
        <v>6877.4173000000001</v>
      </c>
      <c r="V283" s="289">
        <f>'Varmepumpeberegning VP1'!W271</f>
        <v>3.3372461519597025</v>
      </c>
      <c r="W283" s="289">
        <f>'Varmepumpeberegning VP1'!X271</f>
        <v>9.936217278319095</v>
      </c>
      <c r="X283" s="289">
        <f t="shared" si="28"/>
        <v>43.365504555254446</v>
      </c>
      <c r="Y283" s="15">
        <f>MAX(0,MIN('Potentiel produktion'!C270*$D$3,N283))</f>
        <v>0</v>
      </c>
      <c r="Z283" s="15">
        <f t="shared" si="29"/>
        <v>2.5359208333333334</v>
      </c>
      <c r="AA283" s="16">
        <f t="shared" si="30"/>
        <v>0</v>
      </c>
      <c r="AB283" s="16">
        <v>0</v>
      </c>
      <c r="AC283" s="16">
        <v>0</v>
      </c>
      <c r="AD283" s="145">
        <f>(Y283*$H$3+Z283*'Varmepumpeberegning VP1'!Z271+AA283*$H$5+AB283*$H$6+AC283*$H$7)*24</f>
        <v>2639.3156747923517</v>
      </c>
      <c r="AF283" s="16">
        <f>Z283*'Varmepumpeberegning VP1'!Z271*24</f>
        <v>2639.3156747923517</v>
      </c>
      <c r="AG283" s="20">
        <f>(Z283/'Varmepumpeberegning VP1'!W271)*24</f>
        <v>18.237222317047387</v>
      </c>
      <c r="AH283" s="17">
        <f t="shared" si="31"/>
        <v>43.365504555254454</v>
      </c>
      <c r="AI283" s="15">
        <f>'Varmepumpeberegning VP1'!X271-'Systemberegning VP1'!Z283</f>
        <v>7.4002964449857611</v>
      </c>
    </row>
    <row r="284" spans="10:35" x14ac:dyDescent="0.25">
      <c r="J284" s="253"/>
      <c r="K284">
        <v>9</v>
      </c>
      <c r="L284">
        <v>269</v>
      </c>
      <c r="M284" s="310">
        <v>0.31198749999999997</v>
      </c>
      <c r="N284" s="15">
        <v>2.1695666666666651</v>
      </c>
      <c r="P284" s="15">
        <f>MAX(0,MIN('Potentiel produktion'!C271*$D$3,N284))</f>
        <v>0</v>
      </c>
      <c r="Q284" s="15">
        <f t="shared" si="26"/>
        <v>2.1695666666666651</v>
      </c>
      <c r="R284" s="15">
        <v>0</v>
      </c>
      <c r="S284" s="15">
        <v>0</v>
      </c>
      <c r="T284" s="160">
        <f t="shared" si="27"/>
        <v>5883.8647999999957</v>
      </c>
      <c r="V284" s="289">
        <f>'Varmepumpeberegning VP1'!W272</f>
        <v>3.2930492366901718</v>
      </c>
      <c r="W284" s="289">
        <f>'Varmepumpeberegning VP1'!X272</f>
        <v>9.8312960343314195</v>
      </c>
      <c r="X284" s="289">
        <f t="shared" si="28"/>
        <v>43.924113311887368</v>
      </c>
      <c r="Y284" s="15">
        <f>MAX(0,MIN('Potentiel produktion'!C271*$D$3,N284))</f>
        <v>0</v>
      </c>
      <c r="Z284" s="15">
        <f t="shared" si="29"/>
        <v>2.1695666666666651</v>
      </c>
      <c r="AA284" s="16">
        <f t="shared" si="30"/>
        <v>0</v>
      </c>
      <c r="AB284" s="16">
        <v>0</v>
      </c>
      <c r="AC284" s="16">
        <v>0</v>
      </c>
      <c r="AD284" s="145">
        <f>(Y284*$H$3+Z284*'Varmepumpeberegning VP1'!Z272+AA284*$H$5+AB284*$H$6+AC284*$H$7)*24</f>
        <v>2287.1110105046487</v>
      </c>
      <c r="AF284" s="16">
        <f>Z284*'Varmepumpeberegning VP1'!Z272*24</f>
        <v>2287.1110105046487</v>
      </c>
      <c r="AG284" s="20">
        <f>(Z284/'Varmepumpeberegning VP1'!W272)*24</f>
        <v>15.811971293916901</v>
      </c>
      <c r="AH284" s="17">
        <f t="shared" si="31"/>
        <v>43.924113311887368</v>
      </c>
      <c r="AI284" s="15">
        <f>'Varmepumpeberegning VP1'!X272-'Systemberegning VP1'!Z284</f>
        <v>7.6617293676647549</v>
      </c>
    </row>
    <row r="285" spans="10:35" x14ac:dyDescent="0.25">
      <c r="J285" s="253"/>
      <c r="K285">
        <v>9</v>
      </c>
      <c r="L285">
        <v>270</v>
      </c>
      <c r="M285" s="310">
        <v>0.43855000000000005</v>
      </c>
      <c r="N285" s="15">
        <v>3.7583124999999993</v>
      </c>
      <c r="P285" s="15">
        <f>MAX(0,MIN('Potentiel produktion'!C272*$D$3,N285))</f>
        <v>0</v>
      </c>
      <c r="Q285" s="15">
        <f t="shared" si="26"/>
        <v>3.7583124999999993</v>
      </c>
      <c r="R285" s="15">
        <v>0</v>
      </c>
      <c r="S285" s="15">
        <v>0</v>
      </c>
      <c r="T285" s="160">
        <f t="shared" si="27"/>
        <v>10192.543499999998</v>
      </c>
      <c r="V285" s="289">
        <f>'Varmepumpeberegning VP1'!W273</f>
        <v>3.3372461519597025</v>
      </c>
      <c r="W285" s="289">
        <f>'Varmepumpeberegning VP1'!X273</f>
        <v>9.936217278319095</v>
      </c>
      <c r="X285" s="289">
        <f t="shared" si="28"/>
        <v>43.365504555254446</v>
      </c>
      <c r="Y285" s="15">
        <f>MAX(0,MIN('Potentiel produktion'!C272*$D$3,N285))</f>
        <v>0</v>
      </c>
      <c r="Z285" s="15">
        <f t="shared" si="29"/>
        <v>3.7583124999999993</v>
      </c>
      <c r="AA285" s="16">
        <f t="shared" si="30"/>
        <v>0</v>
      </c>
      <c r="AB285" s="16">
        <v>0</v>
      </c>
      <c r="AC285" s="16">
        <v>0</v>
      </c>
      <c r="AD285" s="145">
        <f>(Y285*$H$3+Z285*'Varmepumpeberegning VP1'!Z273+AA285*$H$5+AB285*$H$6+AC285*$H$7)*24</f>
        <v>3911.5468281316726</v>
      </c>
      <c r="AF285" s="16">
        <f>Z285*'Varmepumpeberegning VP1'!Z273*24</f>
        <v>3911.5468281316726</v>
      </c>
      <c r="AG285" s="20">
        <f>(Z285/'Varmepumpeberegning VP1'!W273)*24</f>
        <v>27.028123156882778</v>
      </c>
      <c r="AH285" s="17">
        <f t="shared" si="31"/>
        <v>43.365504555254439</v>
      </c>
      <c r="AI285" s="15">
        <f>'Varmepumpeberegning VP1'!X273-'Systemberegning VP1'!Z285</f>
        <v>6.1779047783190961</v>
      </c>
    </row>
    <row r="286" spans="10:35" x14ac:dyDescent="0.25">
      <c r="J286" s="253"/>
      <c r="K286">
        <v>9</v>
      </c>
      <c r="L286">
        <v>271</v>
      </c>
      <c r="M286" s="310">
        <v>0.45982499999999993</v>
      </c>
      <c r="N286" s="15">
        <v>5.773345833333333</v>
      </c>
      <c r="P286" s="15">
        <f>MAX(0,MIN('Potentiel produktion'!C273*$D$3,N286))</f>
        <v>0</v>
      </c>
      <c r="Q286" s="15">
        <f t="shared" si="26"/>
        <v>5.773345833333333</v>
      </c>
      <c r="R286" s="15">
        <v>0</v>
      </c>
      <c r="S286" s="15">
        <v>0</v>
      </c>
      <c r="T286" s="160">
        <f t="shared" si="27"/>
        <v>15657.313900000001</v>
      </c>
      <c r="V286" s="289">
        <f>'Varmepumpeberegning VP1'!W274</f>
        <v>3.2490914584620767</v>
      </c>
      <c r="W286" s="289">
        <f>'Varmepumpeberegning VP1'!X274</f>
        <v>9.7263747903437441</v>
      </c>
      <c r="X286" s="289">
        <f t="shared" si="28"/>
        <v>44.494773819951156</v>
      </c>
      <c r="Y286" s="15">
        <f>MAX(0,MIN('Potentiel produktion'!C273*$D$3,N286))</f>
        <v>0</v>
      </c>
      <c r="Z286" s="15">
        <f t="shared" si="29"/>
        <v>5.773345833333333</v>
      </c>
      <c r="AA286" s="16">
        <f t="shared" si="30"/>
        <v>0</v>
      </c>
      <c r="AB286" s="16">
        <v>0</v>
      </c>
      <c r="AC286" s="16">
        <v>0</v>
      </c>
      <c r="AD286" s="145">
        <f>(Y286*$H$3+Z286*'Varmepumpeberegning VP1'!Z274+AA286*$H$5+AB286*$H$6+AC286*$H$7)*24</f>
        <v>6165.209208924578</v>
      </c>
      <c r="AF286" s="16">
        <f>Z286*'Varmepumpeberegning VP1'!Z274*24</f>
        <v>6165.209208924578</v>
      </c>
      <c r="AG286" s="20">
        <f>(Z286/'Varmepumpeberegning VP1'!W274)*24</f>
        <v>42.645860164732341</v>
      </c>
      <c r="AH286" s="17">
        <f t="shared" si="31"/>
        <v>44.494773819951156</v>
      </c>
      <c r="AI286" s="15">
        <f>'Varmepumpeberegning VP1'!X274-'Systemberegning VP1'!Z286</f>
        <v>3.9530289570104111</v>
      </c>
    </row>
    <row r="287" spans="10:35" x14ac:dyDescent="0.25">
      <c r="J287" s="253"/>
      <c r="K287">
        <v>9</v>
      </c>
      <c r="L287">
        <v>272</v>
      </c>
      <c r="M287" s="310">
        <v>0.47195000000000004</v>
      </c>
      <c r="N287" s="15">
        <v>5.9529999999999994</v>
      </c>
      <c r="P287" s="15">
        <f>MAX(0,MIN('Potentiel produktion'!C274*$D$3,N287))</f>
        <v>0</v>
      </c>
      <c r="Q287" s="15">
        <f t="shared" si="26"/>
        <v>5.9529999999999994</v>
      </c>
      <c r="R287" s="15">
        <v>0</v>
      </c>
      <c r="S287" s="15">
        <v>0</v>
      </c>
      <c r="T287" s="160">
        <f t="shared" si="27"/>
        <v>16144.536</v>
      </c>
      <c r="V287" s="289">
        <f>'Varmepumpeberegning VP1'!W275</f>
        <v>3.1186336937333676</v>
      </c>
      <c r="W287" s="289">
        <f>'Varmepumpeberegning VP1'!X275</f>
        <v>9.4116110583807178</v>
      </c>
      <c r="X287" s="289">
        <f t="shared" si="28"/>
        <v>46.283096463675768</v>
      </c>
      <c r="Y287" s="15">
        <f>MAX(0,MIN('Potentiel produktion'!C274*$D$3,N287))</f>
        <v>0</v>
      </c>
      <c r="Z287" s="15">
        <f t="shared" si="29"/>
        <v>5.9529999999999994</v>
      </c>
      <c r="AA287" s="16">
        <f t="shared" si="30"/>
        <v>0</v>
      </c>
      <c r="AB287" s="16">
        <v>0</v>
      </c>
      <c r="AC287" s="16">
        <v>0</v>
      </c>
      <c r="AD287" s="145">
        <f>(Y287*$H$3+Z287*'Varmepumpeberegning VP1'!Z275+AA287*$H$5+AB287*$H$6+AC287*$H$7)*24</f>
        <v>6612.5585579582839</v>
      </c>
      <c r="AF287" s="16">
        <f>Z287*'Varmepumpeberegning VP1'!Z275*24</f>
        <v>6612.5585579582839</v>
      </c>
      <c r="AG287" s="20">
        <f>(Z287/'Varmepumpeberegning VP1'!W275)*24</f>
        <v>45.812369784591652</v>
      </c>
      <c r="AH287" s="17">
        <f t="shared" si="31"/>
        <v>46.283096463675768</v>
      </c>
      <c r="AI287" s="15">
        <f>'Varmepumpeberegning VP1'!X275-'Systemberegning VP1'!Z287</f>
        <v>3.4586110583807184</v>
      </c>
    </row>
    <row r="288" spans="10:35" x14ac:dyDescent="0.25">
      <c r="J288" s="253"/>
      <c r="K288">
        <v>9</v>
      </c>
      <c r="L288">
        <v>273</v>
      </c>
      <c r="M288" s="310">
        <v>0.43778750000000005</v>
      </c>
      <c r="N288" s="15">
        <v>5.4316374999999999</v>
      </c>
      <c r="P288" s="15">
        <f>MAX(0,MIN('Potentiel produktion'!C275*$D$3,N288))</f>
        <v>0</v>
      </c>
      <c r="Q288" s="15">
        <f t="shared" si="26"/>
        <v>5.4316374999999999</v>
      </c>
      <c r="R288" s="15">
        <v>0</v>
      </c>
      <c r="S288" s="15">
        <v>0</v>
      </c>
      <c r="T288" s="160">
        <f t="shared" si="27"/>
        <v>14730.600899999998</v>
      </c>
      <c r="V288" s="289">
        <f>'Varmepumpeberegning VP1'!W276</f>
        <v>3.1186336937333676</v>
      </c>
      <c r="W288" s="289">
        <f>'Varmepumpeberegning VP1'!X276</f>
        <v>9.4116110583807178</v>
      </c>
      <c r="X288" s="289">
        <f t="shared" si="28"/>
        <v>46.283096463675768</v>
      </c>
      <c r="Y288" s="15">
        <f>MAX(0,MIN('Potentiel produktion'!C275*$D$3,N288))</f>
        <v>0</v>
      </c>
      <c r="Z288" s="15">
        <f t="shared" si="29"/>
        <v>5.4316374999999999</v>
      </c>
      <c r="AA288" s="16">
        <f t="shared" si="30"/>
        <v>0</v>
      </c>
      <c r="AB288" s="16">
        <v>0</v>
      </c>
      <c r="AC288" s="16">
        <v>0</v>
      </c>
      <c r="AD288" s="145">
        <f>(Y288*$H$3+Z288*'Varmepumpeberegning VP1'!Z276+AA288*$H$5+AB288*$H$6+AC288*$H$7)*24</f>
        <v>6033.4320568372477</v>
      </c>
      <c r="AF288" s="16">
        <f>Z288*'Varmepumpeberegning VP1'!Z276*24</f>
        <v>6033.4320568372477</v>
      </c>
      <c r="AG288" s="20">
        <f>(Z288/'Varmepumpeberegning VP1'!W276)*24</f>
        <v>41.800131981497557</v>
      </c>
      <c r="AH288" s="17">
        <f t="shared" si="31"/>
        <v>46.283096463675768</v>
      </c>
      <c r="AI288" s="15">
        <f>'Varmepumpeberegning VP1'!X276-'Systemberegning VP1'!Z288</f>
        <v>3.9799735583807179</v>
      </c>
    </row>
    <row r="289" spans="10:35" x14ac:dyDescent="0.25">
      <c r="J289" s="13"/>
      <c r="K289">
        <v>10</v>
      </c>
      <c r="L289">
        <v>274</v>
      </c>
      <c r="M289" s="310">
        <v>0.41532499999999989</v>
      </c>
      <c r="N289" s="15">
        <v>3.7125208333333344</v>
      </c>
      <c r="P289" s="15">
        <f>MAX(0,MIN('Potentiel produktion'!C276*$D$3,N289))</f>
        <v>0</v>
      </c>
      <c r="Q289" s="15">
        <f t="shared" si="26"/>
        <v>3.7125208333333344</v>
      </c>
      <c r="R289" s="15">
        <v>0</v>
      </c>
      <c r="S289" s="15">
        <v>0</v>
      </c>
      <c r="T289" s="160">
        <f t="shared" si="27"/>
        <v>10068.356500000004</v>
      </c>
      <c r="V289" s="289">
        <f>'Varmepumpeberegning VP1'!W277</f>
        <v>3.1618855914913517</v>
      </c>
      <c r="W289" s="289">
        <f>'Varmepumpeberegning VP1'!X277</f>
        <v>9.5165323023683932</v>
      </c>
      <c r="X289" s="289">
        <f t="shared" si="28"/>
        <v>45.673844559506328</v>
      </c>
      <c r="Y289" s="15">
        <f>MAX(0,MIN('Potentiel produktion'!C276*$D$3,N289))</f>
        <v>0</v>
      </c>
      <c r="Z289" s="15">
        <f t="shared" si="29"/>
        <v>3.7125208333333344</v>
      </c>
      <c r="AA289" s="16">
        <f t="shared" si="30"/>
        <v>0</v>
      </c>
      <c r="AB289" s="16">
        <v>0</v>
      </c>
      <c r="AC289" s="16">
        <v>0</v>
      </c>
      <c r="AD289" s="145">
        <f>(Y289*$H$3+Z289*'Varmepumpeberegning VP1'!Z277+AA289*$H$5+AB289*$H$6+AC289*$H$7)*24</f>
        <v>4069.5623871742946</v>
      </c>
      <c r="AF289" s="16">
        <f>Z289*'Varmepumpeberegning VP1'!Z277*24</f>
        <v>4069.5623871742946</v>
      </c>
      <c r="AG289" s="20">
        <f>(Z289/'Varmepumpeberegning VP1'!W277)*24</f>
        <v>28.179545850668937</v>
      </c>
      <c r="AH289" s="17">
        <f t="shared" si="31"/>
        <v>45.673844559506328</v>
      </c>
      <c r="AI289" s="15">
        <f>'Varmepumpeberegning VP1'!X277-'Systemberegning VP1'!Z289</f>
        <v>5.8040114690350588</v>
      </c>
    </row>
    <row r="290" spans="10:35" x14ac:dyDescent="0.25">
      <c r="J290" s="13"/>
      <c r="K290">
        <v>10</v>
      </c>
      <c r="L290">
        <v>275</v>
      </c>
      <c r="M290" s="310">
        <v>0.4644500000000002</v>
      </c>
      <c r="N290" s="15">
        <v>4.9490208333333339</v>
      </c>
      <c r="P290" s="15">
        <f>MAX(0,MIN('Potentiel produktion'!C277*$D$3,N290))</f>
        <v>0</v>
      </c>
      <c r="Q290" s="15">
        <f t="shared" si="26"/>
        <v>4.9490208333333339</v>
      </c>
      <c r="R290" s="15">
        <v>0</v>
      </c>
      <c r="S290" s="15">
        <v>0</v>
      </c>
      <c r="T290" s="160">
        <f t="shared" si="27"/>
        <v>13421.744500000003</v>
      </c>
      <c r="V290" s="289">
        <f>'Varmepumpeberegning VP1'!W278</f>
        <v>3.2490914584620767</v>
      </c>
      <c r="W290" s="289">
        <f>'Varmepumpeberegning VP1'!X278</f>
        <v>9.7263747903437441</v>
      </c>
      <c r="X290" s="289">
        <f t="shared" si="28"/>
        <v>44.494773819951156</v>
      </c>
      <c r="Y290" s="15">
        <f>MAX(0,MIN('Potentiel produktion'!C277*$D$3,N290))</f>
        <v>0</v>
      </c>
      <c r="Z290" s="15">
        <f t="shared" si="29"/>
        <v>4.9490208333333339</v>
      </c>
      <c r="AA290" s="16">
        <f t="shared" si="30"/>
        <v>0</v>
      </c>
      <c r="AB290" s="16">
        <v>0</v>
      </c>
      <c r="AC290" s="16">
        <v>0</v>
      </c>
      <c r="AD290" s="145">
        <f>(Y290*$H$3+Z290*'Varmepumpeberegning VP1'!Z278+AA290*$H$5+AB290*$H$6+AC290*$H$7)*24</f>
        <v>5284.9335026254284</v>
      </c>
      <c r="AF290" s="16">
        <f>Z290*'Varmepumpeberegning VP1'!Z278*24</f>
        <v>5284.9335026254284</v>
      </c>
      <c r="AG290" s="20">
        <f>(Z290/'Varmepumpeberegning VP1'!W278)*24</f>
        <v>36.556834893229393</v>
      </c>
      <c r="AH290" s="17">
        <f t="shared" si="31"/>
        <v>44.494773819951149</v>
      </c>
      <c r="AI290" s="15">
        <f>'Varmepumpeberegning VP1'!X278-'Systemberegning VP1'!Z290</f>
        <v>4.7773539570104102</v>
      </c>
    </row>
    <row r="291" spans="10:35" x14ac:dyDescent="0.25">
      <c r="J291" s="13"/>
      <c r="K291">
        <v>10</v>
      </c>
      <c r="L291">
        <v>276</v>
      </c>
      <c r="M291" s="310">
        <v>0.45027500000000004</v>
      </c>
      <c r="N291" s="15">
        <v>6.6646083333333337</v>
      </c>
      <c r="P291" s="15">
        <f>MAX(0,MIN('Potentiel produktion'!C278*$D$3,N291))</f>
        <v>0</v>
      </c>
      <c r="Q291" s="15">
        <f t="shared" si="26"/>
        <v>6.6646083333333337</v>
      </c>
      <c r="R291" s="15">
        <v>0</v>
      </c>
      <c r="S291" s="15">
        <v>0</v>
      </c>
      <c r="T291" s="160">
        <f t="shared" si="27"/>
        <v>18074.417800000003</v>
      </c>
      <c r="V291" s="289">
        <f>'Varmepumpeberegning VP1'!W279</f>
        <v>3.1618855914913517</v>
      </c>
      <c r="W291" s="289">
        <f>'Varmepumpeberegning VP1'!X279</f>
        <v>9.5165323023683932</v>
      </c>
      <c r="X291" s="289">
        <f t="shared" si="28"/>
        <v>45.673844559506328</v>
      </c>
      <c r="Y291" s="15">
        <f>MAX(0,MIN('Potentiel produktion'!C278*$D$3,N291))</f>
        <v>0</v>
      </c>
      <c r="Z291" s="15">
        <f t="shared" si="29"/>
        <v>6.6646083333333337</v>
      </c>
      <c r="AA291" s="16">
        <f t="shared" si="30"/>
        <v>0</v>
      </c>
      <c r="AB291" s="16">
        <v>0</v>
      </c>
      <c r="AC291" s="16">
        <v>0</v>
      </c>
      <c r="AD291" s="145">
        <f>(Y291*$H$3+Z291*'Varmepumpeberegning VP1'!Z279+AA291*$H$5+AB291*$H$6+AC291*$H$7)*24</f>
        <v>7305.5588415997727</v>
      </c>
      <c r="AF291" s="16">
        <f>Z291*'Varmepumpeberegning VP1'!Z279*24</f>
        <v>7305.5588415997727</v>
      </c>
      <c r="AG291" s="20">
        <f>(Z291/'Varmepumpeberegning VP1'!W279)*24</f>
        <v>50.587092850679923</v>
      </c>
      <c r="AH291" s="17">
        <f t="shared" si="31"/>
        <v>45.673844559506328</v>
      </c>
      <c r="AI291" s="15">
        <f>'Varmepumpeberegning VP1'!X279-'Systemberegning VP1'!Z291</f>
        <v>2.8519239690350595</v>
      </c>
    </row>
    <row r="292" spans="10:35" x14ac:dyDescent="0.25">
      <c r="J292" s="13"/>
      <c r="K292">
        <v>10</v>
      </c>
      <c r="L292">
        <v>277</v>
      </c>
      <c r="M292" s="310">
        <v>0.46877500000000011</v>
      </c>
      <c r="N292" s="15">
        <v>7.6932625000000003</v>
      </c>
      <c r="P292" s="15">
        <f>MAX(0,MIN('Potentiel produktion'!C279*$D$3,N292))</f>
        <v>0</v>
      </c>
      <c r="Q292" s="15">
        <f t="shared" si="26"/>
        <v>7.6932625000000003</v>
      </c>
      <c r="R292" s="15">
        <v>0</v>
      </c>
      <c r="S292" s="15">
        <v>0</v>
      </c>
      <c r="T292" s="160">
        <f t="shared" si="27"/>
        <v>20864.127899999999</v>
      </c>
      <c r="V292" s="289">
        <f>'Varmepumpeberegning VP1'!W280</f>
        <v>3.0756133144315161</v>
      </c>
      <c r="W292" s="289">
        <f>'Varmepumpeberegning VP1'!X280</f>
        <v>9.3066898143930423</v>
      </c>
      <c r="X292" s="289">
        <f t="shared" si="28"/>
        <v>46.906085468567859</v>
      </c>
      <c r="Y292" s="15">
        <f>MAX(0,MIN('Potentiel produktion'!C279*$D$3,N292))</f>
        <v>0</v>
      </c>
      <c r="Z292" s="15">
        <f t="shared" si="29"/>
        <v>7.6932625000000003</v>
      </c>
      <c r="AA292" s="16">
        <f t="shared" si="30"/>
        <v>0</v>
      </c>
      <c r="AB292" s="16">
        <v>0</v>
      </c>
      <c r="AC292" s="16">
        <v>0</v>
      </c>
      <c r="AD292" s="145">
        <f>(Y292*$H$3+Z292*'Varmepumpeberegning VP1'!Z280+AA292*$H$5+AB292*$H$6+AC292*$H$7)*24</f>
        <v>8660.6598805710746</v>
      </c>
      <c r="AF292" s="16">
        <f>Z292*'Varmepumpeberegning VP1'!Z280*24</f>
        <v>8660.6598805710746</v>
      </c>
      <c r="AG292" s="20">
        <f>(Z292/'Varmepumpeberegning VP1'!W280)*24</f>
        <v>60.033001916604007</v>
      </c>
      <c r="AH292" s="17">
        <f t="shared" si="31"/>
        <v>46.906085468567859</v>
      </c>
      <c r="AI292" s="15">
        <f>'Varmepumpeberegning VP1'!X280-'Systemberegning VP1'!Z292</f>
        <v>1.613427314393042</v>
      </c>
    </row>
    <row r="293" spans="10:35" x14ac:dyDescent="0.25">
      <c r="J293" s="13"/>
      <c r="K293">
        <v>10</v>
      </c>
      <c r="L293">
        <v>278</v>
      </c>
      <c r="M293" s="310">
        <v>0.46193749999999983</v>
      </c>
      <c r="N293" s="15">
        <v>7.0908624999999992</v>
      </c>
      <c r="P293" s="15">
        <f>MAX(0,MIN('Potentiel produktion'!C280*$D$3,N293))</f>
        <v>0</v>
      </c>
      <c r="Q293" s="15">
        <f t="shared" si="26"/>
        <v>7.0908624999999992</v>
      </c>
      <c r="R293" s="15">
        <v>0</v>
      </c>
      <c r="S293" s="15">
        <v>0</v>
      </c>
      <c r="T293" s="160">
        <f t="shared" si="27"/>
        <v>19230.419099999996</v>
      </c>
      <c r="V293" s="289">
        <f>'Varmepumpeberegning VP1'!W281</f>
        <v>3.0328225996421248</v>
      </c>
      <c r="W293" s="289">
        <f>'Varmepumpeberegning VP1'!X281</f>
        <v>9.2017685704053669</v>
      </c>
      <c r="X293" s="289">
        <f t="shared" si="28"/>
        <v>47.54328147744701</v>
      </c>
      <c r="Y293" s="15">
        <f>MAX(0,MIN('Potentiel produktion'!C280*$D$3,N293))</f>
        <v>0</v>
      </c>
      <c r="Z293" s="15">
        <f t="shared" si="29"/>
        <v>7.0908624999999992</v>
      </c>
      <c r="AA293" s="16">
        <f t="shared" si="30"/>
        <v>0</v>
      </c>
      <c r="AB293" s="16">
        <v>0</v>
      </c>
      <c r="AC293" s="16">
        <v>0</v>
      </c>
      <c r="AD293" s="145">
        <f>(Y293*$H$3+Z293*'Varmepumpeberegning VP1'!Z281+AA293*$H$5+AB293*$H$6+AC293*$H$7)*24</f>
        <v>8090.9489221289659</v>
      </c>
      <c r="AF293" s="16">
        <f>Z293*'Varmepumpeberegning VP1'!Z281*24</f>
        <v>8090.9489221289659</v>
      </c>
      <c r="AG293" s="20">
        <f>(Z293/'Varmepumpeberegning VP1'!W281)*24</f>
        <v>56.112975424306526</v>
      </c>
      <c r="AH293" s="17">
        <f t="shared" si="31"/>
        <v>47.54328147744701</v>
      </c>
      <c r="AI293" s="15">
        <f>'Varmepumpeberegning VP1'!X281-'Systemberegning VP1'!Z293</f>
        <v>2.1109060704053677</v>
      </c>
    </row>
    <row r="294" spans="10:35" x14ac:dyDescent="0.25">
      <c r="J294" s="13"/>
      <c r="K294">
        <v>10</v>
      </c>
      <c r="L294">
        <v>279</v>
      </c>
      <c r="M294" s="310">
        <v>0.33854999999999991</v>
      </c>
      <c r="N294" s="15">
        <v>6.5060874999999987</v>
      </c>
      <c r="P294" s="15">
        <f>MAX(0,MIN('Potentiel produktion'!C281*$D$3,N294))</f>
        <v>0</v>
      </c>
      <c r="Q294" s="15">
        <f t="shared" si="26"/>
        <v>6.5060874999999987</v>
      </c>
      <c r="R294" s="15">
        <v>0</v>
      </c>
      <c r="S294" s="15">
        <v>0</v>
      </c>
      <c r="T294" s="160">
        <f t="shared" si="27"/>
        <v>17644.509299999998</v>
      </c>
      <c r="V294" s="289">
        <f>'Varmepumpeberegning VP1'!W282</f>
        <v>3.0756133144315161</v>
      </c>
      <c r="W294" s="289">
        <f>'Varmepumpeberegning VP1'!X282</f>
        <v>9.3066898143930423</v>
      </c>
      <c r="X294" s="289">
        <f t="shared" si="28"/>
        <v>46.906085468567859</v>
      </c>
      <c r="Y294" s="15">
        <f>MAX(0,MIN('Potentiel produktion'!C281*$D$3,N294))</f>
        <v>0</v>
      </c>
      <c r="Z294" s="15">
        <f t="shared" si="29"/>
        <v>6.5060874999999987</v>
      </c>
      <c r="AA294" s="16">
        <f t="shared" si="30"/>
        <v>0</v>
      </c>
      <c r="AB294" s="16">
        <v>0</v>
      </c>
      <c r="AC294" s="16">
        <v>0</v>
      </c>
      <c r="AD294" s="145">
        <f>(Y294*$H$3+Z294*'Varmepumpeberegning VP1'!Z282+AA294*$H$5+AB294*$H$6+AC294*$H$7)*24</f>
        <v>7324.2023121835427</v>
      </c>
      <c r="AF294" s="16">
        <f>Z294*'Varmepumpeberegning VP1'!Z282*24</f>
        <v>7324.2023121835427</v>
      </c>
      <c r="AG294" s="20">
        <f>(Z294/'Varmepumpeberegning VP1'!W282)*24</f>
        <v>50.769093522688621</v>
      </c>
      <c r="AH294" s="17">
        <f t="shared" si="31"/>
        <v>46.906085468567859</v>
      </c>
      <c r="AI294" s="15">
        <f>'Varmepumpeberegning VP1'!X282-'Systemberegning VP1'!Z294</f>
        <v>2.8006023143930436</v>
      </c>
    </row>
    <row r="295" spans="10:35" x14ac:dyDescent="0.25">
      <c r="J295" s="13"/>
      <c r="K295">
        <v>10</v>
      </c>
      <c r="L295">
        <v>280</v>
      </c>
      <c r="M295" s="310">
        <v>0.3813625000000001</v>
      </c>
      <c r="N295" s="15">
        <v>3.1277541666666662</v>
      </c>
      <c r="P295" s="15">
        <f>MAX(0,MIN('Potentiel produktion'!C282*$D$3,N295))</f>
        <v>0</v>
      </c>
      <c r="Q295" s="15">
        <f t="shared" si="26"/>
        <v>3.1277541666666662</v>
      </c>
      <c r="R295" s="15">
        <v>0</v>
      </c>
      <c r="S295" s="15">
        <v>0</v>
      </c>
      <c r="T295" s="160">
        <f t="shared" si="27"/>
        <v>8482.4692999999988</v>
      </c>
      <c r="V295" s="289">
        <f>'Varmepumpeberegning VP1'!W283</f>
        <v>3.1186336937333676</v>
      </c>
      <c r="W295" s="289">
        <f>'Varmepumpeberegning VP1'!X283</f>
        <v>9.4116110583807178</v>
      </c>
      <c r="X295" s="289">
        <f t="shared" si="28"/>
        <v>46.283096463675768</v>
      </c>
      <c r="Y295" s="15">
        <f>MAX(0,MIN('Potentiel produktion'!C282*$D$3,N295))</f>
        <v>0</v>
      </c>
      <c r="Z295" s="15">
        <f t="shared" si="29"/>
        <v>3.1277541666666662</v>
      </c>
      <c r="AA295" s="16">
        <f t="shared" si="30"/>
        <v>0</v>
      </c>
      <c r="AB295" s="16">
        <v>0</v>
      </c>
      <c r="AC295" s="16">
        <v>0</v>
      </c>
      <c r="AD295" s="145">
        <f>(Y295*$H$3+Z295*'Varmepumpeberegning VP1'!Z283+AA295*$H$5+AB295*$H$6+AC295*$H$7)*24</f>
        <v>3474.2915474519314</v>
      </c>
      <c r="AF295" s="16">
        <f>Z295*'Varmepumpeberegning VP1'!Z283*24</f>
        <v>3474.2915474519314</v>
      </c>
      <c r="AG295" s="20">
        <f>(Z295/'Varmepumpeberegning VP1'!W283)*24</f>
        <v>24.070188220834979</v>
      </c>
      <c r="AH295" s="17">
        <f t="shared" si="31"/>
        <v>46.283096463675776</v>
      </c>
      <c r="AI295" s="15">
        <f>'Varmepumpeberegning VP1'!X283-'Systemberegning VP1'!Z295</f>
        <v>6.283856891714052</v>
      </c>
    </row>
    <row r="296" spans="10:35" x14ac:dyDescent="0.25">
      <c r="J296" s="13"/>
      <c r="K296">
        <v>10</v>
      </c>
      <c r="L296">
        <v>281</v>
      </c>
      <c r="M296" s="310">
        <v>0.33114999999999989</v>
      </c>
      <c r="N296" s="15">
        <v>2.1202499999999991</v>
      </c>
      <c r="P296" s="15">
        <f>MAX(0,MIN('Potentiel produktion'!C283*$D$3,N296))</f>
        <v>0</v>
      </c>
      <c r="Q296" s="15">
        <f t="shared" si="26"/>
        <v>2.1202499999999991</v>
      </c>
      <c r="R296" s="15">
        <v>0</v>
      </c>
      <c r="S296" s="15">
        <v>0</v>
      </c>
      <c r="T296" s="160">
        <f t="shared" si="27"/>
        <v>5750.1179999999977</v>
      </c>
      <c r="V296" s="289">
        <f>'Varmepumpeberegning VP1'!W284</f>
        <v>3.2930492366901718</v>
      </c>
      <c r="W296" s="289">
        <f>'Varmepumpeberegning VP1'!X284</f>
        <v>9.8312960343314195</v>
      </c>
      <c r="X296" s="289">
        <f t="shared" si="28"/>
        <v>43.924113311887368</v>
      </c>
      <c r="Y296" s="15">
        <f>MAX(0,MIN('Potentiel produktion'!C283*$D$3,N296))</f>
        <v>0</v>
      </c>
      <c r="Z296" s="15">
        <f t="shared" si="29"/>
        <v>2.1202499999999991</v>
      </c>
      <c r="AA296" s="16">
        <f t="shared" si="30"/>
        <v>0</v>
      </c>
      <c r="AB296" s="16">
        <v>0</v>
      </c>
      <c r="AC296" s="16">
        <v>0</v>
      </c>
      <c r="AD296" s="145">
        <f>(Y296*$H$3+Z296*'Varmepumpeberegning VP1'!Z284+AA296*$H$5+AB296*$H$6+AC296*$H$7)*24</f>
        <v>2235.1224299886994</v>
      </c>
      <c r="AF296" s="16">
        <f>Z296*'Varmepumpeberegning VP1'!Z284*24</f>
        <v>2235.1224299886994</v>
      </c>
      <c r="AG296" s="20">
        <f>(Z296/'Varmepumpeberegning VP1'!W284)*24</f>
        <v>15.452547575980145</v>
      </c>
      <c r="AH296" s="17">
        <f t="shared" si="31"/>
        <v>43.924113311887368</v>
      </c>
      <c r="AI296" s="15">
        <f>'Varmepumpeberegning VP1'!X284-'Systemberegning VP1'!Z296</f>
        <v>7.7110460343314209</v>
      </c>
    </row>
    <row r="297" spans="10:35" x14ac:dyDescent="0.25">
      <c r="J297" s="13"/>
      <c r="K297">
        <v>10</v>
      </c>
      <c r="L297">
        <v>282</v>
      </c>
      <c r="M297" s="310">
        <v>0.28674999999999995</v>
      </c>
      <c r="N297" s="15">
        <v>2.8353708333333327</v>
      </c>
      <c r="P297" s="15">
        <f>MAX(0,MIN('Potentiel produktion'!C284*$D$3,N297))</f>
        <v>0</v>
      </c>
      <c r="Q297" s="15">
        <f t="shared" si="26"/>
        <v>2.8353708333333327</v>
      </c>
      <c r="R297" s="15">
        <v>0</v>
      </c>
      <c r="S297" s="15">
        <v>0</v>
      </c>
      <c r="T297" s="160">
        <f t="shared" si="27"/>
        <v>7689.5256999999983</v>
      </c>
      <c r="V297" s="289">
        <f>'Varmepumpeberegning VP1'!W285</f>
        <v>3.3372461519597025</v>
      </c>
      <c r="W297" s="289">
        <f>'Varmepumpeberegning VP1'!X285</f>
        <v>9.936217278319095</v>
      </c>
      <c r="X297" s="289">
        <f t="shared" si="28"/>
        <v>43.365504555254446</v>
      </c>
      <c r="Y297" s="15">
        <f>MAX(0,MIN('Potentiel produktion'!C284*$D$3,N297))</f>
        <v>0</v>
      </c>
      <c r="Z297" s="15">
        <f t="shared" si="29"/>
        <v>2.8353708333333327</v>
      </c>
      <c r="AA297" s="16">
        <f t="shared" si="30"/>
        <v>0</v>
      </c>
      <c r="AB297" s="16">
        <v>0</v>
      </c>
      <c r="AC297" s="16">
        <v>0</v>
      </c>
      <c r="AD297" s="145">
        <f>(Y297*$H$3+Z297*'Varmepumpeberegning VP1'!Z285+AA297*$H$5+AB297*$H$6+AC297*$H$7)*24</f>
        <v>2950.9748829300538</v>
      </c>
      <c r="AF297" s="16">
        <f>Z297*'Varmepumpeberegning VP1'!Z285*24</f>
        <v>2950.9748829300538</v>
      </c>
      <c r="AG297" s="20">
        <f>(Z297/'Varmepumpeberegning VP1'!W285)*24</f>
        <v>20.390734426359352</v>
      </c>
      <c r="AH297" s="17">
        <f t="shared" si="31"/>
        <v>43.365504555254454</v>
      </c>
      <c r="AI297" s="15">
        <f>'Varmepumpeberegning VP1'!X285-'Systemberegning VP1'!Z297</f>
        <v>7.1008464449857627</v>
      </c>
    </row>
    <row r="298" spans="10:35" x14ac:dyDescent="0.25">
      <c r="J298" s="13"/>
      <c r="K298">
        <v>10</v>
      </c>
      <c r="L298">
        <v>283</v>
      </c>
      <c r="M298" s="310">
        <v>0.38731250000000017</v>
      </c>
      <c r="N298" s="15">
        <v>4.8080999999999996</v>
      </c>
      <c r="P298" s="15">
        <f>MAX(0,MIN('Potentiel produktion'!C285*$D$3,N298))</f>
        <v>0</v>
      </c>
      <c r="Q298" s="15">
        <f t="shared" si="26"/>
        <v>4.8080999999999996</v>
      </c>
      <c r="R298" s="15">
        <v>0</v>
      </c>
      <c r="S298" s="15">
        <v>0</v>
      </c>
      <c r="T298" s="160">
        <f t="shared" si="27"/>
        <v>13039.5672</v>
      </c>
      <c r="V298" s="289">
        <f>'Varmepumpeberegning VP1'!W286</f>
        <v>3.2930492366901718</v>
      </c>
      <c r="W298" s="289">
        <f>'Varmepumpeberegning VP1'!X286</f>
        <v>9.8312960343314195</v>
      </c>
      <c r="X298" s="289">
        <f t="shared" si="28"/>
        <v>43.924113311887368</v>
      </c>
      <c r="Y298" s="15">
        <f>MAX(0,MIN('Potentiel produktion'!C285*$D$3,N298))</f>
        <v>0</v>
      </c>
      <c r="Z298" s="15">
        <f t="shared" si="29"/>
        <v>4.8080999999999996</v>
      </c>
      <c r="AA298" s="16">
        <f t="shared" si="30"/>
        <v>0</v>
      </c>
      <c r="AB298" s="16">
        <v>0</v>
      </c>
      <c r="AC298" s="16">
        <v>0</v>
      </c>
      <c r="AD298" s="145">
        <f>(Y298*$H$3+Z298*'Varmepumpeberegning VP1'!Z286+AA298*$H$5+AB298*$H$6+AC298*$H$7)*24</f>
        <v>5068.5967011572557</v>
      </c>
      <c r="AF298" s="16">
        <f>Z298*'Varmepumpeberegning VP1'!Z286*24</f>
        <v>5068.5967011572557</v>
      </c>
      <c r="AG298" s="20">
        <f>(Z298/'Varmepumpeberegning VP1'!W286)*24</f>
        <v>35.041808277358875</v>
      </c>
      <c r="AH298" s="17">
        <f t="shared" si="31"/>
        <v>43.924113311887368</v>
      </c>
      <c r="AI298" s="15">
        <f>'Varmepumpeberegning VP1'!X286-'Systemberegning VP1'!Z298</f>
        <v>5.0231960343314199</v>
      </c>
    </row>
    <row r="299" spans="10:35" x14ac:dyDescent="0.25">
      <c r="J299" s="13"/>
      <c r="K299">
        <v>10</v>
      </c>
      <c r="L299">
        <v>284</v>
      </c>
      <c r="M299" s="310">
        <v>0.31393750000000009</v>
      </c>
      <c r="N299" s="15">
        <v>7.298704166666667</v>
      </c>
      <c r="P299" s="15">
        <f>MAX(0,MIN('Potentiel produktion'!C286*$D$3,N299))</f>
        <v>0</v>
      </c>
      <c r="Q299" s="15">
        <f t="shared" si="26"/>
        <v>7.298704166666667</v>
      </c>
      <c r="R299" s="15">
        <v>0</v>
      </c>
      <c r="S299" s="15">
        <v>0</v>
      </c>
      <c r="T299" s="160">
        <f t="shared" si="27"/>
        <v>19794.0857</v>
      </c>
      <c r="V299" s="289">
        <f>'Varmepumpeberegning VP1'!W287</f>
        <v>3.2053708816573461</v>
      </c>
      <c r="W299" s="289">
        <f>'Varmepumpeberegning VP1'!X287</f>
        <v>9.6214535463560686</v>
      </c>
      <c r="X299" s="289">
        <f t="shared" si="28"/>
        <v>45.077880349837372</v>
      </c>
      <c r="Y299" s="15">
        <f>MAX(0,MIN('Potentiel produktion'!C286*$D$3,N299))</f>
        <v>0</v>
      </c>
      <c r="Z299" s="15">
        <f t="shared" si="29"/>
        <v>7.298704166666667</v>
      </c>
      <c r="AA299" s="16">
        <f t="shared" si="30"/>
        <v>0</v>
      </c>
      <c r="AB299" s="16">
        <v>0</v>
      </c>
      <c r="AC299" s="16">
        <v>0</v>
      </c>
      <c r="AD299" s="145">
        <f>(Y299*$H$3+Z299*'Varmepumpeberegning VP1'!Z287+AA299*$H$5+AB299*$H$6+AC299*$H$7)*24</f>
        <v>7896.2427152126274</v>
      </c>
      <c r="AF299" s="16">
        <f>Z299*'Varmepumpeberegning VP1'!Z287*24</f>
        <v>7896.2427152126274</v>
      </c>
      <c r="AG299" s="20">
        <f>(Z299/'Varmepumpeberegning VP1'!W287)*24</f>
        <v>54.64855908013628</v>
      </c>
      <c r="AH299" s="17">
        <f t="shared" si="31"/>
        <v>45.077880349837365</v>
      </c>
      <c r="AI299" s="15">
        <f>'Varmepumpeberegning VP1'!X287-'Systemberegning VP1'!Z299</f>
        <v>2.3227493796894016</v>
      </c>
    </row>
    <row r="300" spans="10:35" x14ac:dyDescent="0.25">
      <c r="J300" s="13"/>
      <c r="K300">
        <v>10</v>
      </c>
      <c r="L300">
        <v>285</v>
      </c>
      <c r="M300" s="310">
        <v>0.40438749999999996</v>
      </c>
      <c r="N300" s="15">
        <v>7.7179208333333342</v>
      </c>
      <c r="P300" s="15">
        <f>MAX(0,MIN('Potentiel produktion'!C287*$D$3,N300))</f>
        <v>0</v>
      </c>
      <c r="Q300" s="15">
        <f t="shared" si="26"/>
        <v>7.7179208333333342</v>
      </c>
      <c r="R300" s="15">
        <v>0</v>
      </c>
      <c r="S300" s="15">
        <v>0</v>
      </c>
      <c r="T300" s="160">
        <f t="shared" si="27"/>
        <v>20931.001300000004</v>
      </c>
      <c r="V300" s="289">
        <f>'Varmepumpeberegning VP1'!W288</f>
        <v>3.0756133144315161</v>
      </c>
      <c r="W300" s="289">
        <f>'Varmepumpeberegning VP1'!X288</f>
        <v>9.3066898143930423</v>
      </c>
      <c r="X300" s="289">
        <f t="shared" si="28"/>
        <v>46.906085468567859</v>
      </c>
      <c r="Y300" s="15">
        <f>MAX(0,MIN('Potentiel produktion'!C287*$D$3,N300))</f>
        <v>0</v>
      </c>
      <c r="Z300" s="15">
        <f t="shared" si="29"/>
        <v>7.7179208333333342</v>
      </c>
      <c r="AA300" s="16">
        <f t="shared" si="30"/>
        <v>0</v>
      </c>
      <c r="AB300" s="16">
        <v>0</v>
      </c>
      <c r="AC300" s="16">
        <v>0</v>
      </c>
      <c r="AD300" s="145">
        <f>(Y300*$H$3+Z300*'Varmepumpeberegning VP1'!Z288+AA300*$H$5+AB300*$H$6+AC300*$H$7)*24</f>
        <v>8688.4189019513724</v>
      </c>
      <c r="AF300" s="16">
        <f>Z300*'Varmepumpeberegning VP1'!Z288*24</f>
        <v>8688.4189019513724</v>
      </c>
      <c r="AG300" s="20">
        <f>(Z300/'Varmepumpeberegning VP1'!W288)*24</f>
        <v>60.225418823249306</v>
      </c>
      <c r="AH300" s="17">
        <f t="shared" si="31"/>
        <v>46.906085468567859</v>
      </c>
      <c r="AI300" s="15">
        <f>'Varmepumpeberegning VP1'!X288-'Systemberegning VP1'!Z300</f>
        <v>1.5887689810597081</v>
      </c>
    </row>
    <row r="301" spans="10:35" x14ac:dyDescent="0.25">
      <c r="J301" s="13"/>
      <c r="K301">
        <v>10</v>
      </c>
      <c r="L301">
        <v>286</v>
      </c>
      <c r="M301" s="310">
        <v>0.39873749999999991</v>
      </c>
      <c r="N301" s="15">
        <v>5.9248250000000011</v>
      </c>
      <c r="P301" s="15">
        <f>MAX(0,MIN('Potentiel produktion'!C288*$D$3,N301))</f>
        <v>0</v>
      </c>
      <c r="Q301" s="15">
        <f t="shared" si="26"/>
        <v>5.9248250000000011</v>
      </c>
      <c r="R301" s="15">
        <v>0</v>
      </c>
      <c r="S301" s="15">
        <v>0</v>
      </c>
      <c r="T301" s="160">
        <f t="shared" si="27"/>
        <v>16068.125400000003</v>
      </c>
      <c r="V301" s="289">
        <f>'Varmepumpeberegning VP1'!W289</f>
        <v>3.0328225996421248</v>
      </c>
      <c r="W301" s="289">
        <f>'Varmepumpeberegning VP1'!X289</f>
        <v>9.2017685704053669</v>
      </c>
      <c r="X301" s="289">
        <f t="shared" si="28"/>
        <v>47.54328147744701</v>
      </c>
      <c r="Y301" s="15">
        <f>MAX(0,MIN('Potentiel produktion'!C288*$D$3,N301))</f>
        <v>0</v>
      </c>
      <c r="Z301" s="15">
        <f t="shared" si="29"/>
        <v>5.9248250000000011</v>
      </c>
      <c r="AA301" s="16">
        <f t="shared" si="30"/>
        <v>0</v>
      </c>
      <c r="AB301" s="16">
        <v>0</v>
      </c>
      <c r="AC301" s="16">
        <v>0</v>
      </c>
      <c r="AD301" s="145">
        <f>(Y301*$H$3+Z301*'Varmepumpeberegning VP1'!Z289+AA301*$H$5+AB301*$H$6+AC301*$H$7)*24</f>
        <v>6760.4549443107608</v>
      </c>
      <c r="AF301" s="16">
        <f>Z301*'Varmepumpeberegning VP1'!Z289*24</f>
        <v>6760.4549443107608</v>
      </c>
      <c r="AG301" s="20">
        <f>(Z301/'Varmepumpeberegning VP1'!W289)*24</f>
        <v>46.885630572912255</v>
      </c>
      <c r="AH301" s="17">
        <f t="shared" si="31"/>
        <v>47.54328147744701</v>
      </c>
      <c r="AI301" s="15">
        <f>'Varmepumpeberegning VP1'!X289-'Systemberegning VP1'!Z301</f>
        <v>3.2769435704053658</v>
      </c>
    </row>
    <row r="302" spans="10:35" x14ac:dyDescent="0.25">
      <c r="J302" s="13"/>
      <c r="K302">
        <v>10</v>
      </c>
      <c r="L302">
        <v>287</v>
      </c>
      <c r="M302" s="310">
        <v>0.476275</v>
      </c>
      <c r="N302" s="15">
        <v>7.8200750000000001</v>
      </c>
      <c r="P302" s="15">
        <f>MAX(0,MIN('Potentiel produktion'!C289*$D$3,N302))</f>
        <v>0</v>
      </c>
      <c r="Q302" s="15">
        <f t="shared" si="26"/>
        <v>7.8200750000000001</v>
      </c>
      <c r="R302" s="15">
        <v>0</v>
      </c>
      <c r="S302" s="15">
        <v>0</v>
      </c>
      <c r="T302" s="160">
        <f t="shared" si="27"/>
        <v>21208.043400000002</v>
      </c>
      <c r="V302" s="289">
        <f>'Varmepumpeberegning VP1'!W290</f>
        <v>3.1186336937333676</v>
      </c>
      <c r="W302" s="289">
        <f>'Varmepumpeberegning VP1'!X290</f>
        <v>9.4116110583807178</v>
      </c>
      <c r="X302" s="289">
        <f t="shared" si="28"/>
        <v>46.283096463675768</v>
      </c>
      <c r="Y302" s="15">
        <f>MAX(0,MIN('Potentiel produktion'!C289*$D$3,N302))</f>
        <v>0</v>
      </c>
      <c r="Z302" s="15">
        <f t="shared" si="29"/>
        <v>7.8200750000000001</v>
      </c>
      <c r="AA302" s="16">
        <f t="shared" si="30"/>
        <v>0</v>
      </c>
      <c r="AB302" s="16">
        <v>0</v>
      </c>
      <c r="AC302" s="16">
        <v>0</v>
      </c>
      <c r="AD302" s="145">
        <f>(Y302*$H$3+Z302*'Varmepumpeberegning VP1'!Z290+AA302*$H$5+AB302*$H$6+AC302*$H$7)*24</f>
        <v>8686.4948538763019</v>
      </c>
      <c r="AF302" s="16">
        <f>Z302*'Varmepumpeberegning VP1'!Z290*24</f>
        <v>8686.4948538763019</v>
      </c>
      <c r="AG302" s="20">
        <f>(Z302/'Varmepumpeberegning VP1'!W290)*24</f>
        <v>60.180777363218645</v>
      </c>
      <c r="AH302" s="17">
        <f t="shared" si="31"/>
        <v>46.283096463675768</v>
      </c>
      <c r="AI302" s="15">
        <f>'Varmepumpeberegning VP1'!X290-'Systemberegning VP1'!Z302</f>
        <v>1.5915360583807177</v>
      </c>
    </row>
    <row r="303" spans="10:35" x14ac:dyDescent="0.25">
      <c r="J303" s="13"/>
      <c r="K303">
        <v>10</v>
      </c>
      <c r="L303">
        <v>288</v>
      </c>
      <c r="M303" s="310">
        <v>0.48321249999999988</v>
      </c>
      <c r="N303" s="15">
        <v>8.2040666666666642</v>
      </c>
      <c r="P303" s="15">
        <f>MAX(0,MIN('Potentiel produktion'!C290*$D$3,N303))</f>
        <v>0</v>
      </c>
      <c r="Q303" s="15">
        <f t="shared" si="26"/>
        <v>8.2040666666666642</v>
      </c>
      <c r="R303" s="15">
        <v>0</v>
      </c>
      <c r="S303" s="15">
        <v>0</v>
      </c>
      <c r="T303" s="160">
        <f t="shared" si="27"/>
        <v>22249.428799999994</v>
      </c>
      <c r="V303" s="289">
        <f>'Varmepumpeberegning VP1'!W291</f>
        <v>3.0328225996421248</v>
      </c>
      <c r="W303" s="289">
        <f>'Varmepumpeberegning VP1'!X291</f>
        <v>9.2017685704053669</v>
      </c>
      <c r="X303" s="289">
        <f t="shared" si="28"/>
        <v>47.54328147744701</v>
      </c>
      <c r="Y303" s="15">
        <f>MAX(0,MIN('Potentiel produktion'!C290*$D$3,N303))</f>
        <v>0</v>
      </c>
      <c r="Z303" s="15">
        <f t="shared" si="29"/>
        <v>8.2040666666666642</v>
      </c>
      <c r="AA303" s="16">
        <f t="shared" si="30"/>
        <v>0</v>
      </c>
      <c r="AB303" s="16">
        <v>0</v>
      </c>
      <c r="AC303" s="16">
        <v>0</v>
      </c>
      <c r="AD303" s="145">
        <f>(Y303*$H$3+Z303*'Varmepumpeberegning VP1'!Z291+AA303*$H$5+AB303*$H$6+AC303*$H$7)*24</f>
        <v>9361.1580190337663</v>
      </c>
      <c r="AF303" s="16">
        <f>Z303*'Varmepumpeberegning VP1'!Z291*24</f>
        <v>9361.1580190337663</v>
      </c>
      <c r="AG303" s="20">
        <f>(Z303/'Varmepumpeberegning VP1'!W291)*24</f>
        <v>64.922227901900357</v>
      </c>
      <c r="AH303" s="17">
        <f t="shared" si="31"/>
        <v>47.543281477447003</v>
      </c>
      <c r="AI303" s="15">
        <f>'Varmepumpeberegning VP1'!X291-'Systemberegning VP1'!Z303</f>
        <v>0.99770190373870271</v>
      </c>
    </row>
    <row r="304" spans="10:35" x14ac:dyDescent="0.25">
      <c r="J304" s="13"/>
      <c r="K304">
        <v>10</v>
      </c>
      <c r="L304">
        <v>289</v>
      </c>
      <c r="M304" s="310">
        <v>0.47128749999999991</v>
      </c>
      <c r="N304" s="15">
        <v>4.1246999999999989</v>
      </c>
      <c r="P304" s="15">
        <f>MAX(0,MIN('Potentiel produktion'!C291*$D$3,N304))</f>
        <v>0</v>
      </c>
      <c r="Q304" s="15">
        <f t="shared" si="26"/>
        <v>4.1246999999999989</v>
      </c>
      <c r="R304" s="15">
        <v>0</v>
      </c>
      <c r="S304" s="15">
        <v>0</v>
      </c>
      <c r="T304" s="160">
        <f t="shared" si="27"/>
        <v>11186.186399999997</v>
      </c>
      <c r="V304" s="289">
        <f>'Varmepumpeberegning VP1'!W292</f>
        <v>3.0328225996421248</v>
      </c>
      <c r="W304" s="289">
        <f>'Varmepumpeberegning VP1'!X292</f>
        <v>9.2017685704053669</v>
      </c>
      <c r="X304" s="289">
        <f t="shared" si="28"/>
        <v>47.54328147744701</v>
      </c>
      <c r="Y304" s="15">
        <f>MAX(0,MIN('Potentiel produktion'!C291*$D$3,N304))</f>
        <v>0</v>
      </c>
      <c r="Z304" s="15">
        <f t="shared" si="29"/>
        <v>4.1246999999999989</v>
      </c>
      <c r="AA304" s="16">
        <f t="shared" si="30"/>
        <v>0</v>
      </c>
      <c r="AB304" s="16">
        <v>0</v>
      </c>
      <c r="AC304" s="16">
        <v>0</v>
      </c>
      <c r="AD304" s="145">
        <f>(Y304*$H$3+Z304*'Varmepumpeberegning VP1'!Z292+AA304*$H$5+AB304*$H$6+AC304*$H$7)*24</f>
        <v>4706.4425546406146</v>
      </c>
      <c r="AF304" s="16">
        <f>Z304*'Varmepumpeberegning VP1'!Z292*24</f>
        <v>4706.4425546406146</v>
      </c>
      <c r="AG304" s="20">
        <f>(Z304/'Varmepumpeberegning VP1'!W292)*24</f>
        <v>32.640484811634281</v>
      </c>
      <c r="AH304" s="17">
        <f t="shared" si="31"/>
        <v>47.543281477447003</v>
      </c>
      <c r="AI304" s="15">
        <f>'Varmepumpeberegning VP1'!X292-'Systemberegning VP1'!Z304</f>
        <v>5.077068570405368</v>
      </c>
    </row>
    <row r="305" spans="10:35" x14ac:dyDescent="0.25">
      <c r="J305" s="13"/>
      <c r="K305">
        <v>10</v>
      </c>
      <c r="L305">
        <v>290</v>
      </c>
      <c r="M305" s="310">
        <v>0.42447499999999999</v>
      </c>
      <c r="N305" s="15">
        <v>1.9441041666666665</v>
      </c>
      <c r="P305" s="15">
        <f>MAX(0,MIN('Potentiel produktion'!C292*$D$3,N305))</f>
        <v>0</v>
      </c>
      <c r="Q305" s="15">
        <f t="shared" si="26"/>
        <v>1.9441041666666665</v>
      </c>
      <c r="R305" s="15">
        <v>0</v>
      </c>
      <c r="S305" s="15">
        <v>0</v>
      </c>
      <c r="T305" s="160">
        <f t="shared" si="27"/>
        <v>5272.4105</v>
      </c>
      <c r="V305" s="289">
        <f>'Varmepumpeberegning VP1'!W293</f>
        <v>3.2490914584620767</v>
      </c>
      <c r="W305" s="289">
        <f>'Varmepumpeberegning VP1'!X293</f>
        <v>9.7263747903437441</v>
      </c>
      <c r="X305" s="289">
        <f t="shared" si="28"/>
        <v>44.494773819951156</v>
      </c>
      <c r="Y305" s="15">
        <f>MAX(0,MIN('Potentiel produktion'!C292*$D$3,N305))</f>
        <v>0</v>
      </c>
      <c r="Z305" s="15">
        <f t="shared" si="29"/>
        <v>1.9441041666666665</v>
      </c>
      <c r="AA305" s="16">
        <f t="shared" si="30"/>
        <v>0</v>
      </c>
      <c r="AB305" s="16">
        <v>0</v>
      </c>
      <c r="AC305" s="16">
        <v>0</v>
      </c>
      <c r="AD305" s="145">
        <f>(Y305*$H$3+Z305*'Varmepumpeberegning VP1'!Z293+AA305*$H$5+AB305*$H$6+AC305*$H$7)*24</f>
        <v>2076.0594042781909</v>
      </c>
      <c r="AF305" s="16">
        <f>Z305*'Varmepumpeberegning VP1'!Z293*24</f>
        <v>2076.0594042781909</v>
      </c>
      <c r="AG305" s="20">
        <f>(Z305/'Varmepumpeberegning VP1'!W293)*24</f>
        <v>14.36047602737699</v>
      </c>
      <c r="AH305" s="17">
        <f t="shared" si="31"/>
        <v>44.494773819951156</v>
      </c>
      <c r="AI305" s="15">
        <f>'Varmepumpeberegning VP1'!X293-'Systemberegning VP1'!Z305</f>
        <v>7.7822706236770776</v>
      </c>
    </row>
    <row r="306" spans="10:35" x14ac:dyDescent="0.25">
      <c r="J306" s="13"/>
      <c r="K306">
        <v>10</v>
      </c>
      <c r="L306">
        <v>291</v>
      </c>
      <c r="M306" s="310">
        <v>0.34984999999999994</v>
      </c>
      <c r="N306" s="15">
        <v>2.0321874999999991</v>
      </c>
      <c r="P306" s="15">
        <f>MAX(0,MIN('Potentiel produktion'!C293*$D$3,N306))</f>
        <v>0</v>
      </c>
      <c r="Q306" s="15">
        <f t="shared" si="26"/>
        <v>2.0321874999999991</v>
      </c>
      <c r="R306" s="15">
        <v>0</v>
      </c>
      <c r="S306" s="15">
        <v>0</v>
      </c>
      <c r="T306" s="160">
        <f t="shared" si="27"/>
        <v>5511.2924999999977</v>
      </c>
      <c r="V306" s="289">
        <f>'Varmepumpeberegning VP1'!W294</f>
        <v>3.3372461519597025</v>
      </c>
      <c r="W306" s="289">
        <f>'Varmepumpeberegning VP1'!X294</f>
        <v>9.936217278319095</v>
      </c>
      <c r="X306" s="289">
        <f t="shared" si="28"/>
        <v>43.365504555254446</v>
      </c>
      <c r="Y306" s="15">
        <f>MAX(0,MIN('Potentiel produktion'!C293*$D$3,N306))</f>
        <v>0</v>
      </c>
      <c r="Z306" s="15">
        <f t="shared" si="29"/>
        <v>2.0321874999999991</v>
      </c>
      <c r="AA306" s="16">
        <f t="shared" si="30"/>
        <v>0</v>
      </c>
      <c r="AB306" s="16">
        <v>0</v>
      </c>
      <c r="AC306" s="16">
        <v>0</v>
      </c>
      <c r="AD306" s="145">
        <f>(Y306*$H$3+Z306*'Varmepumpeberegning VP1'!Z294+AA306*$H$5+AB306*$H$6+AC306*$H$7)*24</f>
        <v>2115.0440709211466</v>
      </c>
      <c r="AF306" s="16">
        <f>Z306*'Varmepumpeberegning VP1'!Z294*24</f>
        <v>2115.0440709211466</v>
      </c>
      <c r="AG306" s="20">
        <f>(Z306/'Varmepumpeberegning VP1'!W294)*24</f>
        <v>14.614594722465922</v>
      </c>
      <c r="AH306" s="17">
        <f t="shared" si="31"/>
        <v>43.365504555254454</v>
      </c>
      <c r="AI306" s="15">
        <f>'Varmepumpeberegning VP1'!X294-'Systemberegning VP1'!Z306</f>
        <v>7.9040297783190958</v>
      </c>
    </row>
    <row r="307" spans="10:35" x14ac:dyDescent="0.25">
      <c r="J307" s="13"/>
      <c r="K307">
        <v>10</v>
      </c>
      <c r="L307">
        <v>292</v>
      </c>
      <c r="M307" s="310">
        <v>0.43973749999999989</v>
      </c>
      <c r="N307" s="15">
        <v>3.5680916666666671</v>
      </c>
      <c r="P307" s="15">
        <f>MAX(0,MIN('Potentiel produktion'!C294*$D$3,N307))</f>
        <v>0</v>
      </c>
      <c r="Q307" s="15">
        <f t="shared" si="26"/>
        <v>3.5680916666666671</v>
      </c>
      <c r="R307" s="15">
        <v>0</v>
      </c>
      <c r="S307" s="15">
        <v>0</v>
      </c>
      <c r="T307" s="160">
        <f t="shared" si="27"/>
        <v>9676.6646000000001</v>
      </c>
      <c r="V307" s="289">
        <f>'Varmepumpeberegning VP1'!W295</f>
        <v>3.3372461519597025</v>
      </c>
      <c r="W307" s="289">
        <f>'Varmepumpeberegning VP1'!X295</f>
        <v>9.936217278319095</v>
      </c>
      <c r="X307" s="289">
        <f t="shared" si="28"/>
        <v>43.365504555254446</v>
      </c>
      <c r="Y307" s="15">
        <f>MAX(0,MIN('Potentiel produktion'!C294*$D$3,N307))</f>
        <v>0</v>
      </c>
      <c r="Z307" s="15">
        <f t="shared" si="29"/>
        <v>3.5680916666666671</v>
      </c>
      <c r="AA307" s="16">
        <f t="shared" si="30"/>
        <v>0</v>
      </c>
      <c r="AB307" s="16">
        <v>0</v>
      </c>
      <c r="AC307" s="16">
        <v>0</v>
      </c>
      <c r="AD307" s="145">
        <f>(Y307*$H$3+Z307*'Varmepumpeberegning VP1'!Z295+AA307*$H$5+AB307*$H$6+AC307*$H$7)*24</f>
        <v>3713.5702901855707</v>
      </c>
      <c r="AF307" s="16">
        <f>Z307*'Varmepumpeberegning VP1'!Z295*24</f>
        <v>3713.5702901855707</v>
      </c>
      <c r="AG307" s="20">
        <f>(Z307/'Varmepumpeberegning VP1'!W295)*24</f>
        <v>25.660138959097686</v>
      </c>
      <c r="AH307" s="17">
        <f t="shared" si="31"/>
        <v>43.365504555254439</v>
      </c>
      <c r="AI307" s="15">
        <f>'Varmepumpeberegning VP1'!X295-'Systemberegning VP1'!Z307</f>
        <v>6.3681256116524274</v>
      </c>
    </row>
    <row r="308" spans="10:35" x14ac:dyDescent="0.25">
      <c r="J308" s="13"/>
      <c r="K308">
        <v>10</v>
      </c>
      <c r="L308">
        <v>293</v>
      </c>
      <c r="M308" s="310">
        <v>0.50782499999999986</v>
      </c>
      <c r="N308" s="15">
        <v>2.3386583333333331</v>
      </c>
      <c r="P308" s="15">
        <f>MAX(0,MIN('Potentiel produktion'!C295*$D$3,N308))</f>
        <v>0</v>
      </c>
      <c r="Q308" s="15">
        <f t="shared" si="26"/>
        <v>2.3386583333333331</v>
      </c>
      <c r="R308" s="15">
        <v>0</v>
      </c>
      <c r="S308" s="15">
        <v>0</v>
      </c>
      <c r="T308" s="160">
        <f t="shared" si="27"/>
        <v>6342.4413999999988</v>
      </c>
      <c r="V308" s="289">
        <f>'Varmepumpeberegning VP1'!W296</f>
        <v>3.2490914584620767</v>
      </c>
      <c r="W308" s="289">
        <f>'Varmepumpeberegning VP1'!X296</f>
        <v>9.7263747903437441</v>
      </c>
      <c r="X308" s="289">
        <f t="shared" si="28"/>
        <v>44.494773819951156</v>
      </c>
      <c r="Y308" s="15">
        <f>MAX(0,MIN('Potentiel produktion'!C295*$D$3,N308))</f>
        <v>0</v>
      </c>
      <c r="Z308" s="15">
        <f t="shared" si="29"/>
        <v>2.3386583333333331</v>
      </c>
      <c r="AA308" s="16">
        <f t="shared" si="30"/>
        <v>0</v>
      </c>
      <c r="AB308" s="16">
        <v>0</v>
      </c>
      <c r="AC308" s="16">
        <v>0</v>
      </c>
      <c r="AD308" s="145">
        <f>(Y308*$H$3+Z308*'Varmepumpeberegning VP1'!Z296+AA308*$H$5+AB308*$H$6+AC308*$H$7)*24</f>
        <v>2497.3937660114543</v>
      </c>
      <c r="AF308" s="16">
        <f>Z308*'Varmepumpeberegning VP1'!Z296*24</f>
        <v>2497.3937660114543</v>
      </c>
      <c r="AG308" s="20">
        <f>(Z308/'Varmepumpeberegning VP1'!W296)*24</f>
        <v>17.274921533470007</v>
      </c>
      <c r="AH308" s="17">
        <f t="shared" si="31"/>
        <v>44.494773819951156</v>
      </c>
      <c r="AI308" s="15">
        <f>'Varmepumpeberegning VP1'!X296-'Systemberegning VP1'!Z308</f>
        <v>7.387716457010411</v>
      </c>
    </row>
    <row r="309" spans="10:35" x14ac:dyDescent="0.25">
      <c r="J309" s="13"/>
      <c r="K309">
        <v>10</v>
      </c>
      <c r="L309">
        <v>294</v>
      </c>
      <c r="M309" s="310">
        <v>0.47380000000000005</v>
      </c>
      <c r="N309" s="15">
        <v>2.7895624999999993</v>
      </c>
      <c r="P309" s="15">
        <f>MAX(0,MIN('Potentiel produktion'!C296*$D$3,N309))</f>
        <v>0</v>
      </c>
      <c r="Q309" s="15">
        <f t="shared" si="26"/>
        <v>2.7895624999999993</v>
      </c>
      <c r="R309" s="15">
        <v>0</v>
      </c>
      <c r="S309" s="15">
        <v>0</v>
      </c>
      <c r="T309" s="160">
        <f t="shared" si="27"/>
        <v>7565.2934999999979</v>
      </c>
      <c r="V309" s="289">
        <f>'Varmepumpeberegning VP1'!W297</f>
        <v>3.3372461519597025</v>
      </c>
      <c r="W309" s="289">
        <f>'Varmepumpeberegning VP1'!X297</f>
        <v>9.936217278319095</v>
      </c>
      <c r="X309" s="289">
        <f t="shared" si="28"/>
        <v>43.365504555254446</v>
      </c>
      <c r="Y309" s="15">
        <f>MAX(0,MIN('Potentiel produktion'!C296*$D$3,N309))</f>
        <v>0</v>
      </c>
      <c r="Z309" s="15">
        <f t="shared" si="29"/>
        <v>2.7895624999999993</v>
      </c>
      <c r="AA309" s="16">
        <f t="shared" si="30"/>
        <v>0</v>
      </c>
      <c r="AB309" s="16">
        <v>0</v>
      </c>
      <c r="AC309" s="16">
        <v>0</v>
      </c>
      <c r="AD309" s="145">
        <f>(Y309*$H$3+Z309*'Varmepumpeberegning VP1'!Z297+AA309*$H$5+AB309*$H$6+AC309*$H$7)*24</f>
        <v>2903.2988472220068</v>
      </c>
      <c r="AF309" s="16">
        <f>Z309*'Varmepumpeberegning VP1'!Z297*24</f>
        <v>2903.2988472220068</v>
      </c>
      <c r="AG309" s="20">
        <f>(Z309/'Varmepumpeberegning VP1'!W297)*24</f>
        <v>20.061301130180585</v>
      </c>
      <c r="AH309" s="17">
        <f t="shared" si="31"/>
        <v>43.365504555254439</v>
      </c>
      <c r="AI309" s="15">
        <f>'Varmepumpeberegning VP1'!X297-'Systemberegning VP1'!Z309</f>
        <v>7.1466547783190961</v>
      </c>
    </row>
    <row r="310" spans="10:35" x14ac:dyDescent="0.25">
      <c r="J310" s="13"/>
      <c r="K310">
        <v>10</v>
      </c>
      <c r="L310">
        <v>295</v>
      </c>
      <c r="M310" s="310">
        <v>0.41172499999999995</v>
      </c>
      <c r="N310" s="15">
        <v>4.6636833333333341</v>
      </c>
      <c r="P310" s="15">
        <f>MAX(0,MIN('Potentiel produktion'!C297*$D$3,N310))</f>
        <v>0</v>
      </c>
      <c r="Q310" s="15">
        <f t="shared" si="26"/>
        <v>4.6636833333333341</v>
      </c>
      <c r="R310" s="15">
        <v>0</v>
      </c>
      <c r="S310" s="15">
        <v>0</v>
      </c>
      <c r="T310" s="160">
        <f t="shared" si="27"/>
        <v>12647.909200000002</v>
      </c>
      <c r="V310" s="289">
        <f>'Varmepumpeberegning VP1'!W298</f>
        <v>3.2930492366901718</v>
      </c>
      <c r="W310" s="289">
        <f>'Varmepumpeberegning VP1'!X298</f>
        <v>9.8312960343314195</v>
      </c>
      <c r="X310" s="289">
        <f t="shared" si="28"/>
        <v>43.924113311887368</v>
      </c>
      <c r="Y310" s="15">
        <f>MAX(0,MIN('Potentiel produktion'!C297*$D$3,N310))</f>
        <v>0</v>
      </c>
      <c r="Z310" s="15">
        <f t="shared" si="29"/>
        <v>4.6636833333333341</v>
      </c>
      <c r="AA310" s="16">
        <f t="shared" si="30"/>
        <v>0</v>
      </c>
      <c r="AB310" s="16">
        <v>0</v>
      </c>
      <c r="AC310" s="16">
        <v>0</v>
      </c>
      <c r="AD310" s="145">
        <f>(Y310*$H$3+Z310*'Varmepumpeberegning VP1'!Z298+AA310*$H$5+AB310*$H$6+AC310*$H$7)*24</f>
        <v>4916.3557244182548</v>
      </c>
      <c r="AF310" s="16">
        <f>Z310*'Varmepumpeberegning VP1'!Z298*24</f>
        <v>4916.3557244182548</v>
      </c>
      <c r="AG310" s="20">
        <f>(Z310/'Varmepumpeberegning VP1'!W298)*24</f>
        <v>33.989288332809352</v>
      </c>
      <c r="AH310" s="17">
        <f t="shared" si="31"/>
        <v>43.924113311887368</v>
      </c>
      <c r="AI310" s="15">
        <f>'Varmepumpeberegning VP1'!X298-'Systemberegning VP1'!Z310</f>
        <v>5.1676127009980855</v>
      </c>
    </row>
    <row r="311" spans="10:35" x14ac:dyDescent="0.25">
      <c r="J311" s="13"/>
      <c r="K311">
        <v>10</v>
      </c>
      <c r="L311">
        <v>296</v>
      </c>
      <c r="M311" s="310">
        <v>0.4659000000000002</v>
      </c>
      <c r="N311" s="15">
        <v>5.8156083333333326</v>
      </c>
      <c r="P311" s="15">
        <f>MAX(0,MIN('Potentiel produktion'!C298*$D$3,N311))</f>
        <v>0</v>
      </c>
      <c r="Q311" s="15">
        <f t="shared" si="26"/>
        <v>5.8156083333333326</v>
      </c>
      <c r="R311" s="15">
        <v>0</v>
      </c>
      <c r="S311" s="15">
        <v>0</v>
      </c>
      <c r="T311" s="160">
        <f t="shared" si="27"/>
        <v>15771.929799999998</v>
      </c>
      <c r="V311" s="289">
        <f>'Varmepumpeberegning VP1'!W299</f>
        <v>3.2053708816573461</v>
      </c>
      <c r="W311" s="289">
        <f>'Varmepumpeberegning VP1'!X299</f>
        <v>9.6214535463560686</v>
      </c>
      <c r="X311" s="289">
        <f t="shared" si="28"/>
        <v>45.077880349837372</v>
      </c>
      <c r="Y311" s="15">
        <f>MAX(0,MIN('Potentiel produktion'!C298*$D$3,N311))</f>
        <v>0</v>
      </c>
      <c r="Z311" s="15">
        <f t="shared" si="29"/>
        <v>5.8156083333333326</v>
      </c>
      <c r="AA311" s="16">
        <f t="shared" si="30"/>
        <v>0</v>
      </c>
      <c r="AB311" s="16">
        <v>0</v>
      </c>
      <c r="AC311" s="16">
        <v>0</v>
      </c>
      <c r="AD311" s="145">
        <f>(Y311*$H$3+Z311*'Varmepumpeberegning VP1'!Z299+AA311*$H$5+AB311*$H$6+AC311*$H$7)*24</f>
        <v>6291.7271186764101</v>
      </c>
      <c r="AF311" s="16">
        <f>Z311*'Varmepumpeberegning VP1'!Z299*24</f>
        <v>6291.7271186764101</v>
      </c>
      <c r="AG311" s="20">
        <f>(Z311/'Varmepumpeberegning VP1'!W299)*24</f>
        <v>43.543978264328814</v>
      </c>
      <c r="AH311" s="17">
        <f t="shared" si="31"/>
        <v>45.077880349837365</v>
      </c>
      <c r="AI311" s="15">
        <f>'Varmepumpeberegning VP1'!X299-'Systemberegning VP1'!Z311</f>
        <v>3.805845213022736</v>
      </c>
    </row>
    <row r="312" spans="10:35" x14ac:dyDescent="0.25">
      <c r="J312" s="13"/>
      <c r="K312">
        <v>10</v>
      </c>
      <c r="L312">
        <v>297</v>
      </c>
      <c r="M312" s="310">
        <v>0.40330000000000005</v>
      </c>
      <c r="N312" s="15">
        <v>6.4145000000000003</v>
      </c>
      <c r="P312" s="15">
        <f>MAX(0,MIN('Potentiel produktion'!C299*$D$3,N312))</f>
        <v>0</v>
      </c>
      <c r="Q312" s="15">
        <f t="shared" si="26"/>
        <v>6.4145000000000003</v>
      </c>
      <c r="R312" s="15">
        <v>0</v>
      </c>
      <c r="S312" s="15">
        <v>0</v>
      </c>
      <c r="T312" s="160">
        <f t="shared" si="27"/>
        <v>17396.124000000003</v>
      </c>
      <c r="V312" s="289">
        <f>'Varmepumpeberegning VP1'!W300</f>
        <v>3.1186336937333676</v>
      </c>
      <c r="W312" s="289">
        <f>'Varmepumpeberegning VP1'!X300</f>
        <v>9.4116110583807178</v>
      </c>
      <c r="X312" s="289">
        <f t="shared" si="28"/>
        <v>46.283096463675768</v>
      </c>
      <c r="Y312" s="15">
        <f>MAX(0,MIN('Potentiel produktion'!C299*$D$3,N312))</f>
        <v>0</v>
      </c>
      <c r="Z312" s="15">
        <f t="shared" si="29"/>
        <v>6.4145000000000003</v>
      </c>
      <c r="AA312" s="16">
        <f t="shared" si="30"/>
        <v>0</v>
      </c>
      <c r="AB312" s="16">
        <v>0</v>
      </c>
      <c r="AC312" s="16">
        <v>0</v>
      </c>
      <c r="AD312" s="145">
        <f>(Y312*$H$3+Z312*'Varmepumpeberegning VP1'!Z300+AA312*$H$5+AB312*$H$6+AC312*$H$7)*24</f>
        <v>7125.1901343899572</v>
      </c>
      <c r="AF312" s="16">
        <f>Z312*'Varmepumpeberegning VP1'!Z300*24</f>
        <v>7125.1901343899572</v>
      </c>
      <c r="AG312" s="20">
        <f>(Z312/'Varmepumpeberegning VP1'!W300)*24</f>
        <v>49.363925076980209</v>
      </c>
      <c r="AH312" s="17">
        <f t="shared" si="31"/>
        <v>46.283096463675768</v>
      </c>
      <c r="AI312" s="15">
        <f>'Varmepumpeberegning VP1'!X300-'Systemberegning VP1'!Z312</f>
        <v>2.9971110583807175</v>
      </c>
    </row>
    <row r="313" spans="10:35" x14ac:dyDescent="0.25">
      <c r="J313" s="13"/>
      <c r="K313">
        <v>10</v>
      </c>
      <c r="L313">
        <v>298</v>
      </c>
      <c r="M313" s="310">
        <v>0.52292499999999997</v>
      </c>
      <c r="N313" s="15">
        <v>4.1880999999999995</v>
      </c>
      <c r="P313" s="15">
        <f>MAX(0,MIN('Potentiel produktion'!C300*$D$3,N313))</f>
        <v>0</v>
      </c>
      <c r="Q313" s="15">
        <f t="shared" si="26"/>
        <v>4.1880999999999995</v>
      </c>
      <c r="R313" s="15">
        <v>0</v>
      </c>
      <c r="S313" s="15">
        <v>0</v>
      </c>
      <c r="T313" s="160">
        <f t="shared" si="27"/>
        <v>11358.127199999999</v>
      </c>
      <c r="V313" s="289">
        <f>'Varmepumpeberegning VP1'!W301</f>
        <v>3.1186336937333676</v>
      </c>
      <c r="W313" s="289">
        <f>'Varmepumpeberegning VP1'!X301</f>
        <v>9.4116110583807178</v>
      </c>
      <c r="X313" s="289">
        <f t="shared" si="28"/>
        <v>46.283096463675768</v>
      </c>
      <c r="Y313" s="15">
        <f>MAX(0,MIN('Potentiel produktion'!C300*$D$3,N313))</f>
        <v>0</v>
      </c>
      <c r="Z313" s="15">
        <f t="shared" si="29"/>
        <v>4.1880999999999995</v>
      </c>
      <c r="AA313" s="16">
        <f t="shared" si="30"/>
        <v>0</v>
      </c>
      <c r="AB313" s="16">
        <v>0</v>
      </c>
      <c r="AC313" s="16">
        <v>0</v>
      </c>
      <c r="AD313" s="145">
        <f>(Y313*$H$3+Z313*'Varmepumpeberegning VP1'!Z301+AA313*$H$5+AB313*$H$6+AC313*$H$7)*24</f>
        <v>4652.1176711884909</v>
      </c>
      <c r="AF313" s="16">
        <f>Z313*'Varmepumpeberegning VP1'!Z301*24</f>
        <v>4652.1176711884909</v>
      </c>
      <c r="AG313" s="20">
        <f>(Z313/'Varmepumpeberegning VP1'!W301)*24</f>
        <v>32.230268082453939</v>
      </c>
      <c r="AH313" s="17">
        <f t="shared" si="31"/>
        <v>46.283096463675768</v>
      </c>
      <c r="AI313" s="15">
        <f>'Varmepumpeberegning VP1'!X301-'Systemberegning VP1'!Z313</f>
        <v>5.2235110583807183</v>
      </c>
    </row>
    <row r="314" spans="10:35" x14ac:dyDescent="0.25">
      <c r="J314" s="13"/>
      <c r="K314">
        <v>10</v>
      </c>
      <c r="L314">
        <v>299</v>
      </c>
      <c r="M314" s="310">
        <v>0.57468749999999991</v>
      </c>
      <c r="N314" s="15">
        <v>3.8041249999999986</v>
      </c>
      <c r="P314" s="15">
        <f>MAX(0,MIN('Potentiel produktion'!C301*$D$3,N314))</f>
        <v>0</v>
      </c>
      <c r="Q314" s="15">
        <f t="shared" si="26"/>
        <v>3.8041249999999986</v>
      </c>
      <c r="R314" s="15">
        <v>0</v>
      </c>
      <c r="S314" s="15">
        <v>0</v>
      </c>
      <c r="T314" s="160">
        <f t="shared" si="27"/>
        <v>10316.786999999997</v>
      </c>
      <c r="V314" s="289">
        <f>'Varmepumpeberegning VP1'!W302</f>
        <v>3.2053708816573461</v>
      </c>
      <c r="W314" s="289">
        <f>'Varmepumpeberegning VP1'!X302</f>
        <v>9.6214535463560686</v>
      </c>
      <c r="X314" s="289">
        <f t="shared" si="28"/>
        <v>45.077880349837372</v>
      </c>
      <c r="Y314" s="15">
        <f>MAX(0,MIN('Potentiel produktion'!C301*$D$3,N314))</f>
        <v>0</v>
      </c>
      <c r="Z314" s="15">
        <f t="shared" si="29"/>
        <v>3.8041249999999986</v>
      </c>
      <c r="AA314" s="16">
        <f t="shared" si="30"/>
        <v>0</v>
      </c>
      <c r="AB314" s="16">
        <v>0</v>
      </c>
      <c r="AC314" s="16">
        <v>0</v>
      </c>
      <c r="AD314" s="145">
        <f>(Y314*$H$3+Z314*'Varmepumpeberegning VP1'!Z302+AA314*$H$5+AB314*$H$6+AC314*$H$7)*24</f>
        <v>4115.5653980598008</v>
      </c>
      <c r="AF314" s="16">
        <f>Z314*'Varmepumpeberegning VP1'!Z302*24</f>
        <v>4115.5653980598008</v>
      </c>
      <c r="AG314" s="20">
        <f>(Z314/'Varmepumpeberegning VP1'!W302)*24</f>
        <v>28.483131397510409</v>
      </c>
      <c r="AH314" s="17">
        <f t="shared" si="31"/>
        <v>45.077880349837379</v>
      </c>
      <c r="AI314" s="15">
        <f>'Varmepumpeberegning VP1'!X302-'Systemberegning VP1'!Z314</f>
        <v>5.8173285463560696</v>
      </c>
    </row>
    <row r="315" spans="10:35" x14ac:dyDescent="0.25">
      <c r="J315" s="13"/>
      <c r="K315">
        <v>10</v>
      </c>
      <c r="L315">
        <v>300</v>
      </c>
      <c r="M315" s="310">
        <v>0.61703749999999979</v>
      </c>
      <c r="N315" s="15">
        <v>4.4311708333333337</v>
      </c>
      <c r="P315" s="15">
        <f>MAX(0,MIN('Potentiel produktion'!C302*$D$3,N315))</f>
        <v>0</v>
      </c>
      <c r="Q315" s="15">
        <f t="shared" si="26"/>
        <v>4.4311708333333337</v>
      </c>
      <c r="R315" s="15">
        <v>0</v>
      </c>
      <c r="S315" s="15">
        <v>0</v>
      </c>
      <c r="T315" s="160">
        <f t="shared" si="27"/>
        <v>12017.335300000002</v>
      </c>
      <c r="V315" s="289">
        <f>'Varmepumpeberegning VP1'!W303</f>
        <v>3.2490914584620767</v>
      </c>
      <c r="W315" s="289">
        <f>'Varmepumpeberegning VP1'!X303</f>
        <v>9.7263747903437441</v>
      </c>
      <c r="X315" s="289">
        <f t="shared" si="28"/>
        <v>44.494773819951156</v>
      </c>
      <c r="Y315" s="15">
        <f>MAX(0,MIN('Potentiel produktion'!C302*$D$3,N315))</f>
        <v>0</v>
      </c>
      <c r="Z315" s="15">
        <f t="shared" si="29"/>
        <v>4.4311708333333337</v>
      </c>
      <c r="AA315" s="16">
        <f t="shared" si="30"/>
        <v>0</v>
      </c>
      <c r="AB315" s="16">
        <v>0</v>
      </c>
      <c r="AC315" s="16">
        <v>0</v>
      </c>
      <c r="AD315" s="145">
        <f>(Y315*$H$3+Z315*'Varmepumpeberegning VP1'!Z303+AA315*$H$5+AB315*$H$6+AC315*$H$7)*24</f>
        <v>4731.9346556815481</v>
      </c>
      <c r="AF315" s="16">
        <f>Z315*'Varmepumpeberegning VP1'!Z303*24</f>
        <v>4731.9346556815481</v>
      </c>
      <c r="AG315" s="20">
        <f>(Z315/'Varmepumpeberegning VP1'!W303)*24</f>
        <v>32.731642479014354</v>
      </c>
      <c r="AH315" s="17">
        <f t="shared" si="31"/>
        <v>44.494773819951156</v>
      </c>
      <c r="AI315" s="15">
        <f>'Varmepumpeberegning VP1'!X303-'Systemberegning VP1'!Z315</f>
        <v>5.2952039570104104</v>
      </c>
    </row>
    <row r="316" spans="10:35" x14ac:dyDescent="0.25">
      <c r="J316" s="13"/>
      <c r="K316">
        <v>10</v>
      </c>
      <c r="L316">
        <v>301</v>
      </c>
      <c r="M316" s="310">
        <v>0.65120000000000022</v>
      </c>
      <c r="N316" s="15">
        <v>4.6777583333333341</v>
      </c>
      <c r="P316" s="15">
        <f>MAX(0,MIN('Potentiel produktion'!C303*$D$3,N316))</f>
        <v>0</v>
      </c>
      <c r="Q316" s="15">
        <f t="shared" si="26"/>
        <v>4.6777583333333341</v>
      </c>
      <c r="R316" s="15">
        <v>0</v>
      </c>
      <c r="S316" s="15">
        <v>0</v>
      </c>
      <c r="T316" s="160">
        <f t="shared" si="27"/>
        <v>12686.080600000001</v>
      </c>
      <c r="V316" s="289">
        <f>'Varmepumpeberegning VP1'!W304</f>
        <v>3.2053708816573461</v>
      </c>
      <c r="W316" s="289">
        <f>'Varmepumpeberegning VP1'!X304</f>
        <v>9.6214535463560686</v>
      </c>
      <c r="X316" s="289">
        <f t="shared" si="28"/>
        <v>45.077880349837372</v>
      </c>
      <c r="Y316" s="15">
        <f>MAX(0,MIN('Potentiel produktion'!C303*$D$3,N316))</f>
        <v>0</v>
      </c>
      <c r="Z316" s="15">
        <f t="shared" si="29"/>
        <v>4.6777583333333341</v>
      </c>
      <c r="AA316" s="16">
        <f t="shared" si="30"/>
        <v>0</v>
      </c>
      <c r="AB316" s="16">
        <v>0</v>
      </c>
      <c r="AC316" s="16">
        <v>0</v>
      </c>
      <c r="AD316" s="145">
        <f>(Y316*$H$3+Z316*'Varmepumpeberegning VP1'!Z304+AA316*$H$5+AB316*$H$6+AC316*$H$7)*24</f>
        <v>5060.7223309309129</v>
      </c>
      <c r="AF316" s="16">
        <f>Z316*'Varmepumpeberegning VP1'!Z304*24</f>
        <v>5060.7223309309129</v>
      </c>
      <c r="AG316" s="20">
        <f>(Z316/'Varmepumpeberegning VP1'!W304)*24</f>
        <v>35.024402524662747</v>
      </c>
      <c r="AH316" s="17">
        <f t="shared" si="31"/>
        <v>45.077880349837365</v>
      </c>
      <c r="AI316" s="15">
        <f>'Varmepumpeberegning VP1'!X304-'Systemberegning VP1'!Z316</f>
        <v>4.9436952130227345</v>
      </c>
    </row>
    <row r="317" spans="10:35" x14ac:dyDescent="0.25">
      <c r="J317" s="13"/>
      <c r="K317">
        <v>10</v>
      </c>
      <c r="L317">
        <v>302</v>
      </c>
      <c r="M317" s="310">
        <v>0.69956249999999975</v>
      </c>
      <c r="N317" s="15">
        <v>3.0044458333333339</v>
      </c>
      <c r="P317" s="15">
        <f>MAX(0,MIN('Potentiel produktion'!C304*$D$3,N317))</f>
        <v>0</v>
      </c>
      <c r="Q317" s="15">
        <f t="shared" si="26"/>
        <v>3.0044458333333339</v>
      </c>
      <c r="R317" s="15">
        <v>0</v>
      </c>
      <c r="S317" s="15">
        <v>0</v>
      </c>
      <c r="T317" s="160">
        <f t="shared" si="27"/>
        <v>8148.0571000000018</v>
      </c>
      <c r="V317" s="289">
        <f>'Varmepumpeberegning VP1'!W305</f>
        <v>3.2053708816573461</v>
      </c>
      <c r="W317" s="289">
        <f>'Varmepumpeberegning VP1'!X305</f>
        <v>9.6214535463560686</v>
      </c>
      <c r="X317" s="289">
        <f t="shared" si="28"/>
        <v>45.077880349837372</v>
      </c>
      <c r="Y317" s="15">
        <f>MAX(0,MIN('Potentiel produktion'!C304*$D$3,N317))</f>
        <v>0</v>
      </c>
      <c r="Z317" s="15">
        <f t="shared" si="29"/>
        <v>3.0044458333333339</v>
      </c>
      <c r="AA317" s="16">
        <f t="shared" si="30"/>
        <v>0</v>
      </c>
      <c r="AB317" s="16">
        <v>0</v>
      </c>
      <c r="AC317" s="16">
        <v>0</v>
      </c>
      <c r="AD317" s="145">
        <f>(Y317*$H$3+Z317*'Varmepumpeberegning VP1'!Z305+AA317*$H$5+AB317*$H$6+AC317*$H$7)*24</f>
        <v>3250.4171950216191</v>
      </c>
      <c r="AF317" s="16">
        <f>Z317*'Varmepumpeberegning VP1'!Z305*24</f>
        <v>3250.4171950216191</v>
      </c>
      <c r="AG317" s="20">
        <f>(Z317/'Varmepumpeberegning VP1'!W305)*24</f>
        <v>22.4955871448851</v>
      </c>
      <c r="AH317" s="17">
        <f t="shared" si="31"/>
        <v>45.077880349837379</v>
      </c>
      <c r="AI317" s="15">
        <f>'Varmepumpeberegning VP1'!X305-'Systemberegning VP1'!Z317</f>
        <v>6.6170077130227352</v>
      </c>
    </row>
    <row r="318" spans="10:35" x14ac:dyDescent="0.25">
      <c r="J318" s="13"/>
      <c r="K318">
        <v>10</v>
      </c>
      <c r="L318">
        <v>303</v>
      </c>
      <c r="M318" s="310">
        <v>0.52463749999999976</v>
      </c>
      <c r="N318" s="15">
        <v>3.9203666666666677</v>
      </c>
      <c r="P318" s="15">
        <f>MAX(0,MIN('Potentiel produktion'!C305*$D$3,N318))</f>
        <v>0</v>
      </c>
      <c r="Q318" s="15">
        <f t="shared" si="26"/>
        <v>3.9203666666666677</v>
      </c>
      <c r="R318" s="15">
        <v>0</v>
      </c>
      <c r="S318" s="15">
        <v>0</v>
      </c>
      <c r="T318" s="160">
        <f t="shared" si="27"/>
        <v>10632.034400000004</v>
      </c>
      <c r="V318" s="289">
        <f>'Varmepumpeberegning VP1'!W306</f>
        <v>3.2930492366901718</v>
      </c>
      <c r="W318" s="289">
        <f>'Varmepumpeberegning VP1'!X306</f>
        <v>9.8312960343314195</v>
      </c>
      <c r="X318" s="289">
        <f t="shared" si="28"/>
        <v>43.924113311887368</v>
      </c>
      <c r="Y318" s="15">
        <f>MAX(0,MIN('Potentiel produktion'!C305*$D$3,N318))</f>
        <v>0</v>
      </c>
      <c r="Z318" s="15">
        <f t="shared" si="29"/>
        <v>3.9203666666666677</v>
      </c>
      <c r="AA318" s="16">
        <f t="shared" si="30"/>
        <v>0</v>
      </c>
      <c r="AB318" s="16">
        <v>0</v>
      </c>
      <c r="AC318" s="16">
        <v>0</v>
      </c>
      <c r="AD318" s="145">
        <f>(Y318*$H$3+Z318*'Varmepumpeberegning VP1'!Z306+AA318*$H$5+AB318*$H$6+AC318*$H$7)*24</f>
        <v>4132.7671125795096</v>
      </c>
      <c r="AF318" s="16">
        <f>Z318*'Varmepumpeberegning VP1'!Z306*24</f>
        <v>4132.7671125795096</v>
      </c>
      <c r="AG318" s="20">
        <f>(Z318/'Varmepumpeberegning VP1'!W306)*24</f>
        <v>28.571938418560737</v>
      </c>
      <c r="AH318" s="17">
        <f t="shared" si="31"/>
        <v>43.924113311887368</v>
      </c>
      <c r="AI318" s="15">
        <f>'Varmepumpeberegning VP1'!X306-'Systemberegning VP1'!Z318</f>
        <v>5.9109293676647514</v>
      </c>
    </row>
    <row r="319" spans="10:35" x14ac:dyDescent="0.25">
      <c r="J319" s="13"/>
      <c r="K319">
        <v>10</v>
      </c>
      <c r="L319">
        <v>304</v>
      </c>
      <c r="M319" s="310">
        <v>0.45932500000000004</v>
      </c>
      <c r="N319" s="15">
        <v>4.0789083333333336</v>
      </c>
      <c r="P319" s="15">
        <f>MAX(0,MIN('Potentiel produktion'!C306*$D$3,N319))</f>
        <v>0</v>
      </c>
      <c r="Q319" s="15">
        <f t="shared" si="26"/>
        <v>4.0789083333333336</v>
      </c>
      <c r="R319" s="15">
        <v>0</v>
      </c>
      <c r="S319" s="15">
        <v>0</v>
      </c>
      <c r="T319" s="160">
        <f t="shared" si="27"/>
        <v>11061.999400000001</v>
      </c>
      <c r="V319" s="289">
        <f>'Varmepumpeberegning VP1'!W307</f>
        <v>3.2490914584620767</v>
      </c>
      <c r="W319" s="289">
        <f>'Varmepumpeberegning VP1'!X307</f>
        <v>9.7263747903437441</v>
      </c>
      <c r="X319" s="289">
        <f t="shared" si="28"/>
        <v>44.494773819951156</v>
      </c>
      <c r="Y319" s="15">
        <f>MAX(0,MIN('Potentiel produktion'!C306*$D$3,N319))</f>
        <v>0</v>
      </c>
      <c r="Z319" s="15">
        <f t="shared" si="29"/>
        <v>4.0789083333333336</v>
      </c>
      <c r="AA319" s="16">
        <f t="shared" si="30"/>
        <v>0</v>
      </c>
      <c r="AB319" s="16">
        <v>0</v>
      </c>
      <c r="AC319" s="16">
        <v>0</v>
      </c>
      <c r="AD319" s="145">
        <f>(Y319*$H$3+Z319*'Varmepumpeberegning VP1'!Z307+AA319*$H$5+AB319*$H$6+AC319*$H$7)*24</f>
        <v>4355.7624893755346</v>
      </c>
      <c r="AF319" s="16">
        <f>Z319*'Varmepumpeberegning VP1'!Z307*24</f>
        <v>4355.7624893755346</v>
      </c>
      <c r="AG319" s="20">
        <f>(Z319/'Varmepumpeberegning VP1'!W307)*24</f>
        <v>30.129591995645761</v>
      </c>
      <c r="AH319" s="17">
        <f t="shared" si="31"/>
        <v>44.494773819951156</v>
      </c>
      <c r="AI319" s="15">
        <f>'Varmepumpeberegning VP1'!X307-'Systemberegning VP1'!Z319</f>
        <v>5.6474664570104105</v>
      </c>
    </row>
    <row r="320" spans="10:35" x14ac:dyDescent="0.25">
      <c r="J320" s="13"/>
      <c r="K320">
        <v>11</v>
      </c>
      <c r="L320">
        <v>305</v>
      </c>
      <c r="M320" s="310">
        <v>0.45186250000000011</v>
      </c>
      <c r="N320" s="15">
        <v>4.4628750000000004</v>
      </c>
      <c r="P320" s="15">
        <f>MAX(0,MIN('Potentiel produktion'!C307*$D$3,N320))</f>
        <v>0</v>
      </c>
      <c r="Q320" s="15">
        <f t="shared" si="26"/>
        <v>4.4628750000000004</v>
      </c>
      <c r="R320" s="15">
        <v>0</v>
      </c>
      <c r="S320" s="15">
        <v>0</v>
      </c>
      <c r="T320" s="160">
        <f t="shared" si="27"/>
        <v>12103.317000000001</v>
      </c>
      <c r="V320" s="289">
        <f>'Varmepumpeberegning VP1'!W308</f>
        <v>3.2053708816573461</v>
      </c>
      <c r="W320" s="289">
        <f>'Varmepumpeberegning VP1'!X308</f>
        <v>9.6214535463560686</v>
      </c>
      <c r="X320" s="289">
        <f t="shared" si="28"/>
        <v>45.077880349837372</v>
      </c>
      <c r="Y320" s="15">
        <f>MAX(0,MIN('Potentiel produktion'!C307*$D$3,N320))</f>
        <v>0</v>
      </c>
      <c r="Z320" s="15">
        <f t="shared" si="29"/>
        <v>4.4628750000000004</v>
      </c>
      <c r="AA320" s="16">
        <f t="shared" si="30"/>
        <v>0</v>
      </c>
      <c r="AB320" s="16">
        <v>0</v>
      </c>
      <c r="AC320" s="16">
        <v>0</v>
      </c>
      <c r="AD320" s="145">
        <f>(Y320*$H$3+Z320*'Varmepumpeberegning VP1'!Z308+AA320*$H$5+AB320*$H$6+AC320*$H$7)*24</f>
        <v>4828.2466863907321</v>
      </c>
      <c r="AF320" s="16">
        <f>Z320*'Varmepumpeberegning VP1'!Z308*24</f>
        <v>4828.2466863907321</v>
      </c>
      <c r="AG320" s="20">
        <f>(Z320/'Varmepumpeberegning VP1'!W308)*24</f>
        <v>33.415477944511373</v>
      </c>
      <c r="AH320" s="17">
        <f t="shared" si="31"/>
        <v>45.077880349837379</v>
      </c>
      <c r="AI320" s="15">
        <f>'Varmepumpeberegning VP1'!X308-'Systemberegning VP1'!Z320</f>
        <v>5.1585785463560683</v>
      </c>
    </row>
    <row r="321" spans="10:35" x14ac:dyDescent="0.25">
      <c r="J321" s="13"/>
      <c r="K321">
        <v>11</v>
      </c>
      <c r="L321">
        <v>306</v>
      </c>
      <c r="M321" s="310">
        <v>0.47231250000000008</v>
      </c>
      <c r="N321" s="15">
        <v>6.9605250000000005</v>
      </c>
      <c r="P321" s="15">
        <f>MAX(0,MIN('Potentiel produktion'!C308*$D$3,N321))</f>
        <v>0</v>
      </c>
      <c r="Q321" s="15">
        <f t="shared" si="26"/>
        <v>6.9605250000000005</v>
      </c>
      <c r="R321" s="15">
        <v>0</v>
      </c>
      <c r="S321" s="15">
        <v>0</v>
      </c>
      <c r="T321" s="160">
        <f t="shared" si="27"/>
        <v>18876.943800000001</v>
      </c>
      <c r="V321" s="289">
        <f>'Varmepumpeberegning VP1'!W309</f>
        <v>3.2053708816573461</v>
      </c>
      <c r="W321" s="289">
        <f>'Varmepumpeberegning VP1'!X309</f>
        <v>9.6214535463560686</v>
      </c>
      <c r="X321" s="289">
        <f t="shared" si="28"/>
        <v>45.077880349837372</v>
      </c>
      <c r="Y321" s="15">
        <f>MAX(0,MIN('Potentiel produktion'!C308*$D$3,N321))</f>
        <v>0</v>
      </c>
      <c r="Z321" s="15">
        <f t="shared" si="29"/>
        <v>6.9605250000000005</v>
      </c>
      <c r="AA321" s="16">
        <f t="shared" si="30"/>
        <v>0</v>
      </c>
      <c r="AB321" s="16">
        <v>0</v>
      </c>
      <c r="AC321" s="16">
        <v>0</v>
      </c>
      <c r="AD321" s="145">
        <f>(Y321*$H$3+Z321*'Varmepumpeberegning VP1'!Z309+AA321*$H$5+AB321*$H$6+AC321*$H$7)*24</f>
        <v>7530.3771149292434</v>
      </c>
      <c r="AF321" s="16">
        <f>Z321*'Varmepumpeberegning VP1'!Z309*24</f>
        <v>7530.3771149292434</v>
      </c>
      <c r="AG321" s="20">
        <f>(Z321/'Varmepumpeberegning VP1'!W309)*24</f>
        <v>52.116465197819785</v>
      </c>
      <c r="AH321" s="17">
        <f t="shared" si="31"/>
        <v>45.077880349837379</v>
      </c>
      <c r="AI321" s="15">
        <f>'Varmepumpeberegning VP1'!X309-'Systemberegning VP1'!Z321</f>
        <v>2.6609285463560681</v>
      </c>
    </row>
    <row r="322" spans="10:35" x14ac:dyDescent="0.25">
      <c r="J322" s="13"/>
      <c r="K322">
        <v>11</v>
      </c>
      <c r="L322">
        <v>307</v>
      </c>
      <c r="M322" s="310">
        <v>0.4562874999999999</v>
      </c>
      <c r="N322" s="15">
        <v>11.194895833333334</v>
      </c>
      <c r="P322" s="15">
        <f>MAX(0,MIN('Potentiel produktion'!C309*$D$3,N322))</f>
        <v>0</v>
      </c>
      <c r="Q322" s="15">
        <f t="shared" si="26"/>
        <v>11.194895833333334</v>
      </c>
      <c r="R322" s="15">
        <v>0</v>
      </c>
      <c r="S322" s="15">
        <v>0</v>
      </c>
      <c r="T322" s="160">
        <f t="shared" si="27"/>
        <v>30360.557499999999</v>
      </c>
      <c r="V322" s="289">
        <f>'Varmepumpeberegning VP1'!W310</f>
        <v>3.0756133144315161</v>
      </c>
      <c r="W322" s="289">
        <f>'Varmepumpeberegning VP1'!X310</f>
        <v>9.3066898143930423</v>
      </c>
      <c r="X322" s="289">
        <f t="shared" si="28"/>
        <v>46.906085468567859</v>
      </c>
      <c r="Y322" s="15">
        <f>MAX(0,MIN('Potentiel produktion'!C309*$D$3,N322))</f>
        <v>0</v>
      </c>
      <c r="Z322" s="15">
        <f t="shared" si="29"/>
        <v>9.3066898143930423</v>
      </c>
      <c r="AA322" s="16">
        <f t="shared" si="30"/>
        <v>1.8882060189402914</v>
      </c>
      <c r="AB322" s="16">
        <v>0</v>
      </c>
      <c r="AC322" s="16">
        <v>0</v>
      </c>
      <c r="AD322" s="145">
        <f>(Y322*$H$3+Z322*'Varmepumpeberegning VP1'!Z310+AA322*$H$5+AB322*$H$6+AC322*$H$7)*24</f>
        <v>15597.784032086951</v>
      </c>
      <c r="AF322" s="16">
        <f>Z322*'Varmepumpeberegning VP1'!Z310*24</f>
        <v>10476.96930872088</v>
      </c>
      <c r="AG322" s="20">
        <f>(Z322/'Varmepumpeberegning VP1'!W310)*24</f>
        <v>72.623094228839392</v>
      </c>
      <c r="AH322" s="17">
        <f t="shared" si="31"/>
        <v>46.906085468567859</v>
      </c>
      <c r="AI322" s="15">
        <f>'Varmepumpeberegning VP1'!X310-'Systemberegning VP1'!Z322</f>
        <v>0</v>
      </c>
    </row>
    <row r="323" spans="10:35" x14ac:dyDescent="0.25">
      <c r="J323" s="13"/>
      <c r="K323">
        <v>11</v>
      </c>
      <c r="L323">
        <v>308</v>
      </c>
      <c r="M323" s="310">
        <v>0.59467500000000029</v>
      </c>
      <c r="N323" s="15">
        <v>9.3489625000000007</v>
      </c>
      <c r="P323" s="15">
        <f>MAX(0,MIN('Potentiel produktion'!C310*$D$3,N323))</f>
        <v>0</v>
      </c>
      <c r="Q323" s="15">
        <f t="shared" si="26"/>
        <v>9.3489625000000007</v>
      </c>
      <c r="R323" s="15">
        <v>0</v>
      </c>
      <c r="S323" s="15">
        <v>0</v>
      </c>
      <c r="T323" s="160">
        <f t="shared" si="27"/>
        <v>25354.386300000002</v>
      </c>
      <c r="V323" s="289">
        <f>'Varmepumpeberegning VP1'!W311</f>
        <v>2.8746445419591673</v>
      </c>
      <c r="W323" s="289">
        <f>'Varmepumpeberegning VP1'!X311</f>
        <v>8.8308088762170591</v>
      </c>
      <c r="X323" s="289">
        <f t="shared" si="28"/>
        <v>50.063378875196641</v>
      </c>
      <c r="Y323" s="15">
        <f>MAX(0,MIN('Potentiel produktion'!C310*$D$3,N323))</f>
        <v>0</v>
      </c>
      <c r="Z323" s="15">
        <f t="shared" si="29"/>
        <v>8.8308088762170591</v>
      </c>
      <c r="AA323" s="16">
        <f t="shared" si="30"/>
        <v>0.51815362378294161</v>
      </c>
      <c r="AB323" s="16">
        <v>0</v>
      </c>
      <c r="AC323" s="16">
        <v>0</v>
      </c>
      <c r="AD323" s="145">
        <f>(Y323*$H$3+Z323*'Varmepumpeberegning VP1'!Z311+AA323*$H$5+AB323*$H$6+AC323*$H$7)*24</f>
        <v>12015.635760767436</v>
      </c>
      <c r="AF323" s="16">
        <f>Z323*'Varmepumpeberegning VP1'!Z311*24</f>
        <v>10610.403133068099</v>
      </c>
      <c r="AG323" s="20">
        <f>(Z323/'Varmepumpeberegning VP1'!W311)*24</f>
        <v>73.727172154914697</v>
      </c>
      <c r="AH323" s="17">
        <f t="shared" si="31"/>
        <v>50.063378875196641</v>
      </c>
      <c r="AI323" s="15">
        <f>'Varmepumpeberegning VP1'!X311-'Systemberegning VP1'!Z323</f>
        <v>0</v>
      </c>
    </row>
    <row r="324" spans="10:35" x14ac:dyDescent="0.25">
      <c r="J324" s="13"/>
      <c r="K324">
        <v>11</v>
      </c>
      <c r="L324">
        <v>309</v>
      </c>
      <c r="M324" s="310">
        <v>0.71888750000000023</v>
      </c>
      <c r="N324" s="15">
        <v>10.074658333333334</v>
      </c>
      <c r="P324" s="15">
        <f>MAX(0,MIN('Potentiel produktion'!C311*$D$3,N324))</f>
        <v>0</v>
      </c>
      <c r="Q324" s="15">
        <f t="shared" si="26"/>
        <v>10.074658333333334</v>
      </c>
      <c r="R324" s="15">
        <v>0</v>
      </c>
      <c r="S324" s="15">
        <v>0</v>
      </c>
      <c r="T324" s="160">
        <f t="shared" si="27"/>
        <v>27322.473399999999</v>
      </c>
      <c r="V324" s="289">
        <f>'Varmepumpeberegning VP1'!W312</f>
        <v>2.9514704207300451</v>
      </c>
      <c r="W324" s="289">
        <f>'Varmepumpeberegning VP1'!X312</f>
        <v>9.0081678430174801</v>
      </c>
      <c r="X324" s="289">
        <f t="shared" si="28"/>
        <v>48.805649522192738</v>
      </c>
      <c r="Y324" s="15">
        <f>MAX(0,MIN('Potentiel produktion'!C311*$D$3,N324))</f>
        <v>0</v>
      </c>
      <c r="Z324" s="15">
        <f t="shared" si="29"/>
        <v>9.0081678430174801</v>
      </c>
      <c r="AA324" s="16">
        <f t="shared" si="30"/>
        <v>1.0664904903158536</v>
      </c>
      <c r="AB324" s="16">
        <v>0</v>
      </c>
      <c r="AC324" s="16">
        <v>0</v>
      </c>
      <c r="AD324" s="145">
        <f>(Y324*$H$3+Z324*'Varmepumpeberegning VP1'!Z312+AA324*$H$5+AB324*$H$6+AC324*$H$7)*24</f>
        <v>13443.909791738148</v>
      </c>
      <c r="AF324" s="16">
        <f>Z324*'Varmepumpeberegning VP1'!Z312*24</f>
        <v>10551.587582001554</v>
      </c>
      <c r="AG324" s="20">
        <f>(Z324/'Varmepumpeberegning VP1'!W312)*24</f>
        <v>73.250277798462065</v>
      </c>
      <c r="AH324" s="17">
        <f t="shared" si="31"/>
        <v>48.805649522192738</v>
      </c>
      <c r="AI324" s="15">
        <f>'Varmepumpeberegning VP1'!X312-'Systemberegning VP1'!Z324</f>
        <v>0</v>
      </c>
    </row>
    <row r="325" spans="10:35" x14ac:dyDescent="0.25">
      <c r="J325" s="13"/>
      <c r="K325">
        <v>11</v>
      </c>
      <c r="L325">
        <v>310</v>
      </c>
      <c r="M325" s="310">
        <v>0.71584999999999976</v>
      </c>
      <c r="N325" s="15">
        <v>8.6127124999999989</v>
      </c>
      <c r="P325" s="15">
        <f>MAX(0,MIN('Potentiel produktion'!C312*$D$3,N325))</f>
        <v>0</v>
      </c>
      <c r="Q325" s="15">
        <f t="shared" si="26"/>
        <v>8.6127124999999989</v>
      </c>
      <c r="R325" s="15">
        <v>0</v>
      </c>
      <c r="S325" s="15">
        <v>0</v>
      </c>
      <c r="T325" s="160">
        <f t="shared" si="27"/>
        <v>23357.676299999999</v>
      </c>
      <c r="V325" s="289">
        <f>'Varmepumpeberegning VP1'!W313</f>
        <v>2.9129328437623547</v>
      </c>
      <c r="W325" s="289">
        <f>'Varmepumpeberegning VP1'!X313</f>
        <v>8.9194883596172705</v>
      </c>
      <c r="X325" s="289">
        <f t="shared" si="28"/>
        <v>49.428261889997998</v>
      </c>
      <c r="Y325" s="15">
        <f>MAX(0,MIN('Potentiel produktion'!C312*$D$3,N325))</f>
        <v>0</v>
      </c>
      <c r="Z325" s="15">
        <f t="shared" si="29"/>
        <v>8.6127124999999989</v>
      </c>
      <c r="AA325" s="16">
        <f t="shared" si="30"/>
        <v>0</v>
      </c>
      <c r="AB325" s="16">
        <v>0</v>
      </c>
      <c r="AC325" s="16">
        <v>0</v>
      </c>
      <c r="AD325" s="145">
        <f>(Y325*$H$3+Z325*'Varmepumpeberegning VP1'!Z313+AA325*$H$5+AB325*$H$6+AC325*$H$7)*24</f>
        <v>10217.073816798224</v>
      </c>
      <c r="AF325" s="16">
        <f>Z325*'Varmepumpeberegning VP1'!Z313*24</f>
        <v>10217.073816798224</v>
      </c>
      <c r="AG325" s="20">
        <f>(Z325/'Varmepumpeberegning VP1'!W313)*24</f>
        <v>70.961162198651621</v>
      </c>
      <c r="AH325" s="17">
        <f t="shared" si="31"/>
        <v>49.428261889997998</v>
      </c>
      <c r="AI325" s="15">
        <f>'Varmepumpeberegning VP1'!X313-'Systemberegning VP1'!Z325</f>
        <v>0.30677585961727161</v>
      </c>
    </row>
    <row r="326" spans="10:35" x14ac:dyDescent="0.25">
      <c r="J326" s="13"/>
      <c r="K326">
        <v>11</v>
      </c>
      <c r="L326">
        <v>311</v>
      </c>
      <c r="M326" s="310">
        <v>0.67746250000000019</v>
      </c>
      <c r="N326" s="15">
        <v>9.9689791666666672</v>
      </c>
      <c r="P326" s="15">
        <f>MAX(0,MIN('Potentiel produktion'!C313*$D$3,N326))</f>
        <v>0</v>
      </c>
      <c r="Q326" s="15">
        <f t="shared" si="26"/>
        <v>9.9689791666666672</v>
      </c>
      <c r="R326" s="15">
        <v>0</v>
      </c>
      <c r="S326" s="15">
        <v>0</v>
      </c>
      <c r="T326" s="160">
        <f t="shared" si="27"/>
        <v>27035.871500000001</v>
      </c>
      <c r="V326" s="289">
        <f>'Varmepumpeberegning VP1'!W314</f>
        <v>2.9902597151633996</v>
      </c>
      <c r="W326" s="289">
        <f>'Varmepumpeberegning VP1'!X314</f>
        <v>9.0968473264176914</v>
      </c>
      <c r="X326" s="289">
        <f t="shared" si="28"/>
        <v>48.195176072664189</v>
      </c>
      <c r="Y326" s="15">
        <f>MAX(0,MIN('Potentiel produktion'!C313*$D$3,N326))</f>
        <v>0</v>
      </c>
      <c r="Z326" s="15">
        <f t="shared" si="29"/>
        <v>9.0968473264176914</v>
      </c>
      <c r="AA326" s="16">
        <f t="shared" si="30"/>
        <v>0.87213184024897572</v>
      </c>
      <c r="AB326" s="16">
        <v>0</v>
      </c>
      <c r="AC326" s="16">
        <v>0</v>
      </c>
      <c r="AD326" s="145">
        <f>(Y326*$H$3+Z326*'Varmepumpeberegning VP1'!Z314+AA326*$H$5+AB326*$H$6+AC326*$H$7)*24</f>
        <v>12887.401357223505</v>
      </c>
      <c r="AF326" s="16">
        <f>Z326*'Varmepumpeberegning VP1'!Z314*24</f>
        <v>10522.179806468283</v>
      </c>
      <c r="AG326" s="20">
        <f>(Z326/'Varmepumpeberegning VP1'!W314)*24</f>
        <v>73.01183062023577</v>
      </c>
      <c r="AH326" s="17">
        <f t="shared" si="31"/>
        <v>48.195176072664189</v>
      </c>
      <c r="AI326" s="15">
        <f>'Varmepumpeberegning VP1'!X314-'Systemberegning VP1'!Z326</f>
        <v>0</v>
      </c>
    </row>
    <row r="327" spans="10:35" x14ac:dyDescent="0.25">
      <c r="J327" s="13"/>
      <c r="K327">
        <v>11</v>
      </c>
      <c r="L327">
        <v>312</v>
      </c>
      <c r="M327" s="310">
        <v>0.69626250000000034</v>
      </c>
      <c r="N327" s="15">
        <v>11.110345833333334</v>
      </c>
      <c r="P327" s="15">
        <f>MAX(0,MIN('Potentiel produktion'!C314*$D$3,N327))</f>
        <v>0</v>
      </c>
      <c r="Q327" s="15">
        <f t="shared" si="26"/>
        <v>11.110345833333334</v>
      </c>
      <c r="R327" s="15">
        <v>0</v>
      </c>
      <c r="S327" s="15">
        <v>0</v>
      </c>
      <c r="T327" s="160">
        <f t="shared" si="27"/>
        <v>30131.257900000001</v>
      </c>
      <c r="V327" s="289">
        <f>'Varmepumpeberegning VP1'!W315</f>
        <v>2.9129328437623547</v>
      </c>
      <c r="W327" s="289">
        <f>'Varmepumpeberegning VP1'!X315</f>
        <v>8.9194883596172705</v>
      </c>
      <c r="X327" s="289">
        <f t="shared" si="28"/>
        <v>49.428261889997998</v>
      </c>
      <c r="Y327" s="15">
        <f>MAX(0,MIN('Potentiel produktion'!C314*$D$3,N327))</f>
        <v>0</v>
      </c>
      <c r="Z327" s="15">
        <f t="shared" si="29"/>
        <v>8.9194883596172705</v>
      </c>
      <c r="AA327" s="16">
        <f t="shared" si="30"/>
        <v>2.1908574737160631</v>
      </c>
      <c r="AB327" s="16">
        <v>0</v>
      </c>
      <c r="AC327" s="16">
        <v>0</v>
      </c>
      <c r="AD327" s="145">
        <f>(Y327*$H$3+Z327*'Varmepumpeberegning VP1'!Z315+AA327*$H$5+AB327*$H$6+AC327*$H$7)*24</f>
        <v>16522.60082625279</v>
      </c>
      <c r="AF327" s="16">
        <f>Z327*'Varmepumpeberegning VP1'!Z315*24</f>
        <v>10580.995357534826</v>
      </c>
      <c r="AG327" s="20">
        <f>(Z327/'Varmepumpeberegning VP1'!W315)*24</f>
        <v>73.488724976688388</v>
      </c>
      <c r="AH327" s="17">
        <f t="shared" si="31"/>
        <v>49.428261889997998</v>
      </c>
      <c r="AI327" s="15">
        <f>'Varmepumpeberegning VP1'!X315-'Systemberegning VP1'!Z327</f>
        <v>0</v>
      </c>
    </row>
    <row r="328" spans="10:35" x14ac:dyDescent="0.25">
      <c r="J328" s="13"/>
      <c r="K328">
        <v>11</v>
      </c>
      <c r="L328">
        <v>313</v>
      </c>
      <c r="M328" s="310">
        <v>0.64502500000000007</v>
      </c>
      <c r="N328" s="15">
        <v>9.6906624999999966</v>
      </c>
      <c r="P328" s="15">
        <f>MAX(0,MIN('Potentiel produktion'!C315*$D$3,N328))</f>
        <v>0</v>
      </c>
      <c r="Q328" s="15">
        <f t="shared" si="26"/>
        <v>9.6906624999999966</v>
      </c>
      <c r="R328" s="15">
        <v>0</v>
      </c>
      <c r="S328" s="15">
        <v>0</v>
      </c>
      <c r="T328" s="160">
        <f t="shared" si="27"/>
        <v>26281.076699999991</v>
      </c>
      <c r="V328" s="289">
        <f>'Varmepumpeberegning VP1'!W316</f>
        <v>2.8746445419591673</v>
      </c>
      <c r="W328" s="289">
        <f>'Varmepumpeberegning VP1'!X316</f>
        <v>8.8308088762170591</v>
      </c>
      <c r="X328" s="289">
        <f t="shared" si="28"/>
        <v>50.063378875196641</v>
      </c>
      <c r="Y328" s="15">
        <f>MAX(0,MIN('Potentiel produktion'!C315*$D$3,N328))</f>
        <v>0</v>
      </c>
      <c r="Z328" s="15">
        <f t="shared" si="29"/>
        <v>8.8308088762170591</v>
      </c>
      <c r="AA328" s="16">
        <f t="shared" si="30"/>
        <v>0.8598536237829375</v>
      </c>
      <c r="AB328" s="16">
        <v>0</v>
      </c>
      <c r="AC328" s="16">
        <v>0</v>
      </c>
      <c r="AD328" s="145">
        <f>(Y328*$H$3+Z328*'Varmepumpeberegning VP1'!Z316+AA328*$H$5+AB328*$H$6+AC328*$H$7)*24</f>
        <v>12942.326160767425</v>
      </c>
      <c r="AF328" s="16">
        <f>Z328*'Varmepumpeberegning VP1'!Z316*24</f>
        <v>10610.403133068099</v>
      </c>
      <c r="AG328" s="20">
        <f>(Z328/'Varmepumpeberegning VP1'!W316)*24</f>
        <v>73.727172154914697</v>
      </c>
      <c r="AH328" s="17">
        <f t="shared" si="31"/>
        <v>50.063378875196641</v>
      </c>
      <c r="AI328" s="15">
        <f>'Varmepumpeberegning VP1'!X316-'Systemberegning VP1'!Z328</f>
        <v>0</v>
      </c>
    </row>
    <row r="329" spans="10:35" x14ac:dyDescent="0.25">
      <c r="J329" s="13"/>
      <c r="K329">
        <v>11</v>
      </c>
      <c r="L329">
        <v>314</v>
      </c>
      <c r="M329" s="310">
        <v>0.4978499999999999</v>
      </c>
      <c r="N329" s="15">
        <v>7.9574750000000014</v>
      </c>
      <c r="P329" s="15">
        <f>MAX(0,MIN('Potentiel produktion'!C316*$D$3,N329))</f>
        <v>0</v>
      </c>
      <c r="Q329" s="15">
        <f t="shared" si="26"/>
        <v>7.9574750000000014</v>
      </c>
      <c r="R329" s="15">
        <v>0</v>
      </c>
      <c r="S329" s="15">
        <v>0</v>
      </c>
      <c r="T329" s="160">
        <f t="shared" si="27"/>
        <v>21580.672200000005</v>
      </c>
      <c r="V329" s="289">
        <f>'Varmepumpeberegning VP1'!W317</f>
        <v>2.9514704207300451</v>
      </c>
      <c r="W329" s="289">
        <f>'Varmepumpeberegning VP1'!X317</f>
        <v>9.0081678430174801</v>
      </c>
      <c r="X329" s="289">
        <f t="shared" si="28"/>
        <v>48.805649522192738</v>
      </c>
      <c r="Y329" s="15">
        <f>MAX(0,MIN('Potentiel produktion'!C316*$D$3,N329))</f>
        <v>0</v>
      </c>
      <c r="Z329" s="15">
        <f t="shared" si="29"/>
        <v>7.9574750000000014</v>
      </c>
      <c r="AA329" s="16">
        <f t="shared" si="30"/>
        <v>0</v>
      </c>
      <c r="AB329" s="16">
        <v>0</v>
      </c>
      <c r="AC329" s="16">
        <v>0</v>
      </c>
      <c r="AD329" s="145">
        <f>(Y329*$H$3+Z329*'Varmepumpeberegning VP1'!Z317+AA329*$H$5+AB329*$H$6+AC329*$H$7)*24</f>
        <v>9320.8736623586574</v>
      </c>
      <c r="AF329" s="16">
        <f>Z329*'Varmepumpeberegning VP1'!Z317*24</f>
        <v>9320.8736623586574</v>
      </c>
      <c r="AG329" s="20">
        <f>(Z329/'Varmepumpeberegning VP1'!W317)*24</f>
        <v>64.70652684120796</v>
      </c>
      <c r="AH329" s="17">
        <f t="shared" si="31"/>
        <v>48.805649522192738</v>
      </c>
      <c r="AI329" s="15">
        <f>'Varmepumpeberegning VP1'!X317-'Systemberegning VP1'!Z329</f>
        <v>1.0506928430174787</v>
      </c>
    </row>
    <row r="330" spans="10:35" x14ac:dyDescent="0.25">
      <c r="J330" s="13"/>
      <c r="K330">
        <v>11</v>
      </c>
      <c r="L330">
        <v>315</v>
      </c>
      <c r="M330" s="310">
        <v>0.49415000000000014</v>
      </c>
      <c r="N330" s="15">
        <v>6.2066458333333339</v>
      </c>
      <c r="P330" s="15">
        <f>MAX(0,MIN('Potentiel produktion'!C317*$D$3,N330))</f>
        <v>0</v>
      </c>
      <c r="Q330" s="15">
        <f t="shared" si="26"/>
        <v>6.2066458333333339</v>
      </c>
      <c r="R330" s="15">
        <v>0</v>
      </c>
      <c r="S330" s="15">
        <v>0</v>
      </c>
      <c r="T330" s="160">
        <f t="shared" si="27"/>
        <v>16832.423500000004</v>
      </c>
      <c r="V330" s="289">
        <f>'Varmepumpeberegning VP1'!W318</f>
        <v>3.0328225996421248</v>
      </c>
      <c r="W330" s="289">
        <f>'Varmepumpeberegning VP1'!X318</f>
        <v>9.2017685704053669</v>
      </c>
      <c r="X330" s="289">
        <f t="shared" si="28"/>
        <v>47.54328147744701</v>
      </c>
      <c r="Y330" s="15">
        <f>MAX(0,MIN('Potentiel produktion'!C317*$D$3,N330))</f>
        <v>0</v>
      </c>
      <c r="Z330" s="15">
        <f t="shared" si="29"/>
        <v>6.2066458333333339</v>
      </c>
      <c r="AA330" s="16">
        <f t="shared" si="30"/>
        <v>0</v>
      </c>
      <c r="AB330" s="16">
        <v>0</v>
      </c>
      <c r="AC330" s="16">
        <v>0</v>
      </c>
      <c r="AD330" s="145">
        <f>(Y330*$H$3+Z330*'Varmepumpeberegning VP1'!Z318+AA330*$H$5+AB330*$H$6+AC330*$H$7)*24</f>
        <v>7082.023437239769</v>
      </c>
      <c r="AF330" s="16">
        <f>Z330*'Varmepumpeberegning VP1'!Z318*24</f>
        <v>7082.023437239769</v>
      </c>
      <c r="AG330" s="20">
        <f>(Z330/'Varmepumpeberegning VP1'!W318)*24</f>
        <v>49.115797283223017</v>
      </c>
      <c r="AH330" s="17">
        <f t="shared" si="31"/>
        <v>47.54328147744701</v>
      </c>
      <c r="AI330" s="15">
        <f>'Varmepumpeberegning VP1'!X318-'Systemberegning VP1'!Z330</f>
        <v>2.995122737072033</v>
      </c>
    </row>
    <row r="331" spans="10:35" x14ac:dyDescent="0.25">
      <c r="J331" s="13"/>
      <c r="K331">
        <v>11</v>
      </c>
      <c r="L331">
        <v>316</v>
      </c>
      <c r="M331" s="310">
        <v>0.55906249999999991</v>
      </c>
      <c r="N331" s="15">
        <v>7.8764458333333343</v>
      </c>
      <c r="P331" s="15">
        <f>MAX(0,MIN('Potentiel produktion'!C318*$D$3,N331))</f>
        <v>0</v>
      </c>
      <c r="Q331" s="15">
        <f t="shared" si="26"/>
        <v>7.8764458333333343</v>
      </c>
      <c r="R331" s="15">
        <v>0</v>
      </c>
      <c r="S331" s="15">
        <v>0</v>
      </c>
      <c r="T331" s="160">
        <f t="shared" si="27"/>
        <v>21360.921100000003</v>
      </c>
      <c r="V331" s="289">
        <f>'Varmepumpeberegning VP1'!W319</f>
        <v>3.1186336937333676</v>
      </c>
      <c r="W331" s="289">
        <f>'Varmepumpeberegning VP1'!X319</f>
        <v>9.4116110583807178</v>
      </c>
      <c r="X331" s="289">
        <f t="shared" si="28"/>
        <v>46.283096463675768</v>
      </c>
      <c r="Y331" s="15">
        <f>MAX(0,MIN('Potentiel produktion'!C318*$D$3,N331))</f>
        <v>0</v>
      </c>
      <c r="Z331" s="15">
        <f t="shared" si="29"/>
        <v>7.8764458333333343</v>
      </c>
      <c r="AA331" s="16">
        <f t="shared" si="30"/>
        <v>0</v>
      </c>
      <c r="AB331" s="16">
        <v>0</v>
      </c>
      <c r="AC331" s="16">
        <v>0</v>
      </c>
      <c r="AD331" s="145">
        <f>(Y331*$H$3+Z331*'Varmepumpeberegning VP1'!Z319+AA331*$H$5+AB331*$H$6+AC331*$H$7)*24</f>
        <v>8749.1112550820108</v>
      </c>
      <c r="AF331" s="16">
        <f>Z331*'Varmepumpeberegning VP1'!Z319*24</f>
        <v>8749.1112550820108</v>
      </c>
      <c r="AG331" s="20">
        <f>(Z331/'Varmepumpeberegning VP1'!W319)*24</f>
        <v>60.61458913236568</v>
      </c>
      <c r="AH331" s="17">
        <f t="shared" si="31"/>
        <v>46.283096463675768</v>
      </c>
      <c r="AI331" s="15">
        <f>'Varmepumpeberegning VP1'!X319-'Systemberegning VP1'!Z331</f>
        <v>1.5351652250473835</v>
      </c>
    </row>
    <row r="332" spans="10:35" x14ac:dyDescent="0.25">
      <c r="J332" s="13"/>
      <c r="K332">
        <v>11</v>
      </c>
      <c r="L332">
        <v>317</v>
      </c>
      <c r="M332" s="310">
        <v>0.58614999999999984</v>
      </c>
      <c r="N332" s="15">
        <v>6.8795000000000002</v>
      </c>
      <c r="P332" s="15">
        <f>MAX(0,MIN('Potentiel produktion'!C319*$D$3,N332))</f>
        <v>0</v>
      </c>
      <c r="Q332" s="15">
        <f t="shared" si="26"/>
        <v>6.8795000000000002</v>
      </c>
      <c r="R332" s="15">
        <v>0</v>
      </c>
      <c r="S332" s="15">
        <v>0</v>
      </c>
      <c r="T332" s="160">
        <f t="shared" si="27"/>
        <v>18657.204000000002</v>
      </c>
      <c r="V332" s="289">
        <f>'Varmepumpeberegning VP1'!W320</f>
        <v>3.0328225996421248</v>
      </c>
      <c r="W332" s="289">
        <f>'Varmepumpeberegning VP1'!X320</f>
        <v>9.2017685704053669</v>
      </c>
      <c r="X332" s="289">
        <f t="shared" si="28"/>
        <v>47.54328147744701</v>
      </c>
      <c r="Y332" s="15">
        <f>MAX(0,MIN('Potentiel produktion'!C319*$D$3,N332))</f>
        <v>0</v>
      </c>
      <c r="Z332" s="15">
        <f t="shared" si="29"/>
        <v>6.8795000000000002</v>
      </c>
      <c r="AA332" s="16">
        <f t="shared" si="30"/>
        <v>0</v>
      </c>
      <c r="AB332" s="16">
        <v>0</v>
      </c>
      <c r="AC332" s="16">
        <v>0</v>
      </c>
      <c r="AD332" s="145">
        <f>(Y332*$H$3+Z332*'Varmepumpeberegning VP1'!Z320+AA332*$H$5+AB332*$H$6+AC332*$H$7)*24</f>
        <v>7849.7761181783208</v>
      </c>
      <c r="AF332" s="16">
        <f>Z332*'Varmepumpeberegning VP1'!Z320*24</f>
        <v>7849.7761181783208</v>
      </c>
      <c r="AG332" s="20">
        <f>(Z332/'Varmepumpeberegning VP1'!W320)*24</f>
        <v>54.440375121011975</v>
      </c>
      <c r="AH332" s="17">
        <f t="shared" si="31"/>
        <v>47.54328147744701</v>
      </c>
      <c r="AI332" s="15">
        <f>'Varmepumpeberegning VP1'!X320-'Systemberegning VP1'!Z332</f>
        <v>2.3222685704053667</v>
      </c>
    </row>
    <row r="333" spans="10:35" x14ac:dyDescent="0.25">
      <c r="J333" s="13"/>
      <c r="K333">
        <v>11</v>
      </c>
      <c r="L333">
        <v>318</v>
      </c>
      <c r="M333" s="310">
        <v>0.71353750000000005</v>
      </c>
      <c r="N333" s="15">
        <v>6.2735791666666669</v>
      </c>
      <c r="P333" s="15">
        <f>MAX(0,MIN('Potentiel produktion'!C320*$D$3,N333))</f>
        <v>0</v>
      </c>
      <c r="Q333" s="15">
        <f t="shared" si="26"/>
        <v>6.2735791666666669</v>
      </c>
      <c r="R333" s="15">
        <v>0</v>
      </c>
      <c r="S333" s="15">
        <v>0</v>
      </c>
      <c r="T333" s="160">
        <f t="shared" si="27"/>
        <v>17013.9467</v>
      </c>
      <c r="V333" s="289">
        <f>'Varmepumpeberegning VP1'!W321</f>
        <v>3.0756133144315161</v>
      </c>
      <c r="W333" s="289">
        <f>'Varmepumpeberegning VP1'!X321</f>
        <v>9.3066898143930423</v>
      </c>
      <c r="X333" s="289">
        <f t="shared" si="28"/>
        <v>46.906085468567859</v>
      </c>
      <c r="Y333" s="15">
        <f>MAX(0,MIN('Potentiel produktion'!C320*$D$3,N333))</f>
        <v>0</v>
      </c>
      <c r="Z333" s="15">
        <f t="shared" si="29"/>
        <v>6.2735791666666669</v>
      </c>
      <c r="AA333" s="16">
        <f t="shared" si="30"/>
        <v>0</v>
      </c>
      <c r="AB333" s="16">
        <v>0</v>
      </c>
      <c r="AC333" s="16">
        <v>0</v>
      </c>
      <c r="AD333" s="145">
        <f>(Y333*$H$3+Z333*'Varmepumpeberegning VP1'!Z321+AA333*$H$5+AB333*$H$6+AC333*$H$7)*24</f>
        <v>7062.4569740518418</v>
      </c>
      <c r="AF333" s="16">
        <f>Z333*'Varmepumpeberegning VP1'!Z321*24</f>
        <v>7062.4569740518418</v>
      </c>
      <c r="AG333" s="20">
        <f>(Z333/'Varmepumpeberegning VP1'!W321)*24</f>
        <v>48.954756208626314</v>
      </c>
      <c r="AH333" s="17">
        <f t="shared" si="31"/>
        <v>46.906085468567859</v>
      </c>
      <c r="AI333" s="15">
        <f>'Varmepumpeberegning VP1'!X321-'Systemberegning VP1'!Z333</f>
        <v>3.0331106477263754</v>
      </c>
    </row>
    <row r="334" spans="10:35" x14ac:dyDescent="0.25">
      <c r="J334" s="13"/>
      <c r="K334">
        <v>11</v>
      </c>
      <c r="L334">
        <v>319</v>
      </c>
      <c r="M334" s="310">
        <v>0.66774999999999995</v>
      </c>
      <c r="N334" s="15">
        <v>6.8724458333333311</v>
      </c>
      <c r="P334" s="15">
        <f>MAX(0,MIN('Potentiel produktion'!C321*$D$3,N334))</f>
        <v>0</v>
      </c>
      <c r="Q334" s="15">
        <f t="shared" si="26"/>
        <v>6.8724458333333311</v>
      </c>
      <c r="R334" s="15">
        <v>0</v>
      </c>
      <c r="S334" s="15">
        <v>0</v>
      </c>
      <c r="T334" s="160">
        <f t="shared" si="27"/>
        <v>18638.073099999994</v>
      </c>
      <c r="V334" s="289">
        <f>'Varmepumpeberegning VP1'!W322</f>
        <v>3.1186336937333676</v>
      </c>
      <c r="W334" s="289">
        <f>'Varmepumpeberegning VP1'!X322</f>
        <v>9.4116110583807178</v>
      </c>
      <c r="X334" s="289">
        <f t="shared" si="28"/>
        <v>46.283096463675768</v>
      </c>
      <c r="Y334" s="15">
        <f>MAX(0,MIN('Potentiel produktion'!C321*$D$3,N334))</f>
        <v>0</v>
      </c>
      <c r="Z334" s="15">
        <f t="shared" si="29"/>
        <v>6.8724458333333311</v>
      </c>
      <c r="AA334" s="16">
        <f t="shared" si="30"/>
        <v>0</v>
      </c>
      <c r="AB334" s="16">
        <v>0</v>
      </c>
      <c r="AC334" s="16">
        <v>0</v>
      </c>
      <c r="AD334" s="145">
        <f>(Y334*$H$3+Z334*'Varmepumpeberegning VP1'!Z322+AA334*$H$5+AB334*$H$6+AC334*$H$7)*24</f>
        <v>7633.8737626932761</v>
      </c>
      <c r="AF334" s="16">
        <f>Z334*'Varmepumpeberegning VP1'!Z322*24</f>
        <v>7633.8737626932761</v>
      </c>
      <c r="AG334" s="20">
        <f>(Z334/'Varmepumpeberegning VP1'!W322)*24</f>
        <v>52.888128647949387</v>
      </c>
      <c r="AH334" s="17">
        <f t="shared" si="31"/>
        <v>46.283096463675768</v>
      </c>
      <c r="AI334" s="15">
        <f>'Varmepumpeberegning VP1'!X322-'Systemberegning VP1'!Z334</f>
        <v>2.5391652250473866</v>
      </c>
    </row>
    <row r="335" spans="10:35" x14ac:dyDescent="0.25">
      <c r="J335" s="13"/>
      <c r="K335">
        <v>11</v>
      </c>
      <c r="L335">
        <v>320</v>
      </c>
      <c r="M335" s="310">
        <v>0.64082499999999998</v>
      </c>
      <c r="N335" s="15">
        <v>6.8055208333333335</v>
      </c>
      <c r="P335" s="15">
        <f>MAX(0,MIN('Potentiel produktion'!C322*$D$3,N335))</f>
        <v>0</v>
      </c>
      <c r="Q335" s="15">
        <f t="shared" si="26"/>
        <v>6.8055208333333335</v>
      </c>
      <c r="R335" s="15">
        <v>0</v>
      </c>
      <c r="S335" s="15">
        <v>0</v>
      </c>
      <c r="T335" s="160">
        <f t="shared" si="27"/>
        <v>18456.572499999998</v>
      </c>
      <c r="V335" s="289">
        <f>'Varmepumpeberegning VP1'!W323</f>
        <v>3.0756133144315161</v>
      </c>
      <c r="W335" s="289">
        <f>'Varmepumpeberegning VP1'!X323</f>
        <v>9.3066898143930423</v>
      </c>
      <c r="X335" s="289">
        <f t="shared" si="28"/>
        <v>46.906085468567859</v>
      </c>
      <c r="Y335" s="15">
        <f>MAX(0,MIN('Potentiel produktion'!C322*$D$3,N335))</f>
        <v>0</v>
      </c>
      <c r="Z335" s="15">
        <f t="shared" si="29"/>
        <v>6.8055208333333335</v>
      </c>
      <c r="AA335" s="16">
        <f t="shared" si="30"/>
        <v>0</v>
      </c>
      <c r="AB335" s="16">
        <v>0</v>
      </c>
      <c r="AC335" s="16">
        <v>0</v>
      </c>
      <c r="AD335" s="145">
        <f>(Y335*$H$3+Z335*'Varmepumpeberegning VP1'!Z323+AA335*$H$5+AB335*$H$6+AC335*$H$7)*24</f>
        <v>7661.2882047948597</v>
      </c>
      <c r="AF335" s="16">
        <f>Z335*'Varmepumpeberegning VP1'!Z323*24</f>
        <v>7661.2882047948597</v>
      </c>
      <c r="AG335" s="20">
        <f>(Z335/'Varmepumpeberegning VP1'!W323)*24</f>
        <v>53.105668138970756</v>
      </c>
      <c r="AH335" s="17">
        <f t="shared" si="31"/>
        <v>46.906085468567859</v>
      </c>
      <c r="AI335" s="15">
        <f>'Varmepumpeberegning VP1'!X323-'Systemberegning VP1'!Z335</f>
        <v>2.5011689810597089</v>
      </c>
    </row>
    <row r="336" spans="10:35" x14ac:dyDescent="0.25">
      <c r="J336" s="13"/>
      <c r="K336">
        <v>11</v>
      </c>
      <c r="L336">
        <v>321</v>
      </c>
      <c r="M336" s="310">
        <v>0.68707500000000044</v>
      </c>
      <c r="N336" s="15">
        <v>8.7289458333333325</v>
      </c>
      <c r="P336" s="15">
        <f>MAX(0,MIN('Potentiel produktion'!C323*$D$3,N336))</f>
        <v>0</v>
      </c>
      <c r="Q336" s="15">
        <f t="shared" si="26"/>
        <v>8.7289458333333325</v>
      </c>
      <c r="R336" s="15">
        <v>0</v>
      </c>
      <c r="S336" s="15">
        <v>0</v>
      </c>
      <c r="T336" s="160">
        <f t="shared" si="27"/>
        <v>23672.901099999995</v>
      </c>
      <c r="V336" s="289">
        <f>'Varmepumpeberegning VP1'!W324</f>
        <v>3.0756133144315161</v>
      </c>
      <c r="W336" s="289">
        <f>'Varmepumpeberegning VP1'!X324</f>
        <v>9.3066898143930423</v>
      </c>
      <c r="X336" s="289">
        <f t="shared" si="28"/>
        <v>46.906085468567859</v>
      </c>
      <c r="Y336" s="15">
        <f>MAX(0,MIN('Potentiel produktion'!C323*$D$3,N336))</f>
        <v>0</v>
      </c>
      <c r="Z336" s="15">
        <f t="shared" si="29"/>
        <v>8.7289458333333325</v>
      </c>
      <c r="AA336" s="16">
        <f t="shared" si="30"/>
        <v>0</v>
      </c>
      <c r="AB336" s="16">
        <v>0</v>
      </c>
      <c r="AC336" s="16">
        <v>0</v>
      </c>
      <c r="AD336" s="145">
        <f>(Y336*$H$3+Z336*'Varmepumpeberegning VP1'!Z324+AA336*$H$5+AB336*$H$6+AC336*$H$7)*24</f>
        <v>9826.5763034119827</v>
      </c>
      <c r="AF336" s="16">
        <f>Z336*'Varmepumpeberegning VP1'!Z324*24</f>
        <v>9826.5763034119827</v>
      </c>
      <c r="AG336" s="20">
        <f>(Z336/'Varmepumpeberegning VP1'!W324)*24</f>
        <v>68.114772106428518</v>
      </c>
      <c r="AH336" s="17">
        <f t="shared" si="31"/>
        <v>46.906085468567859</v>
      </c>
      <c r="AI336" s="15">
        <f>'Varmepumpeberegning VP1'!X324-'Systemberegning VP1'!Z336</f>
        <v>0.57774398105970981</v>
      </c>
    </row>
    <row r="337" spans="10:35" x14ac:dyDescent="0.25">
      <c r="J337" s="13"/>
      <c r="K337">
        <v>11</v>
      </c>
      <c r="L337">
        <v>322</v>
      </c>
      <c r="M337" s="310">
        <v>0.71327500000000021</v>
      </c>
      <c r="N337" s="15">
        <v>10.388183333333332</v>
      </c>
      <c r="P337" s="15">
        <f>MAX(0,MIN('Potentiel produktion'!C324*$D$3,N337))</f>
        <v>0</v>
      </c>
      <c r="Q337" s="15">
        <f t="shared" ref="Q337:Q380" si="32">MAX(0,MIN($C$5*$D$5,N337-SUM(P337)))</f>
        <v>10.388183333333332</v>
      </c>
      <c r="R337" s="15">
        <v>0</v>
      </c>
      <c r="S337" s="15">
        <v>0</v>
      </c>
      <c r="T337" s="160">
        <f t="shared" ref="T337:T380" si="33">(P337*$H$3+Q337*$H$5+R337*$H$6+S337*$H$7)*24</f>
        <v>28172.753199999996</v>
      </c>
      <c r="V337" s="289">
        <f>'Varmepumpeberegning VP1'!W325</f>
        <v>2.9902597151633996</v>
      </c>
      <c r="W337" s="289">
        <f>'Varmepumpeberegning VP1'!X325</f>
        <v>9.0968473264176914</v>
      </c>
      <c r="X337" s="289">
        <f t="shared" ref="X337:X380" si="34">($G$4+$F$4)/V337+$E$4</f>
        <v>48.195176072664189</v>
      </c>
      <c r="Y337" s="15">
        <f>MAX(0,MIN('Potentiel produktion'!C324*$D$3,N337))</f>
        <v>0</v>
      </c>
      <c r="Z337" s="15">
        <f t="shared" ref="Z337:Z380" si="35">IF(X337&lt;=$H$5,MAX(0,MIN(W337,N337-SUM(Y337))),MAX(0,MIN(W337,N337-Y337-30)))</f>
        <v>9.0968473264176914</v>
      </c>
      <c r="AA337" s="16">
        <f t="shared" ref="AA337:AA380" si="36">MAX(0,MIN($C$5*$D$5,N337-SUM(Y337:Z337)))</f>
        <v>1.2913360069156408</v>
      </c>
      <c r="AB337" s="16">
        <v>0</v>
      </c>
      <c r="AC337" s="16">
        <v>0</v>
      </c>
      <c r="AD337" s="145">
        <f>(Y337*$H$3+Z337*'Varmepumpeberegning VP1'!Z325+AA337*$H$5+AB337*$H$6+AC337*$H$7)*24</f>
        <v>14024.2830572235</v>
      </c>
      <c r="AF337" s="16">
        <f>Z337*'Varmepumpeberegning VP1'!Z325*24</f>
        <v>10522.179806468283</v>
      </c>
      <c r="AG337" s="20">
        <f>(Z337/'Varmepumpeberegning VP1'!W325)*24</f>
        <v>73.01183062023577</v>
      </c>
      <c r="AH337" s="17">
        <f t="shared" si="31"/>
        <v>48.195176072664189</v>
      </c>
      <c r="AI337" s="15">
        <f>'Varmepumpeberegning VP1'!X325-'Systemberegning VP1'!Z337</f>
        <v>0</v>
      </c>
    </row>
    <row r="338" spans="10:35" x14ac:dyDescent="0.25">
      <c r="J338" s="13"/>
      <c r="K338">
        <v>11</v>
      </c>
      <c r="L338">
        <v>323</v>
      </c>
      <c r="M338" s="310">
        <v>0.6350125000000002</v>
      </c>
      <c r="N338" s="15">
        <v>11.941716666666665</v>
      </c>
      <c r="P338" s="15">
        <f>MAX(0,MIN('Potentiel produktion'!C325*$D$3,N338))</f>
        <v>0</v>
      </c>
      <c r="Q338" s="15">
        <f t="shared" si="32"/>
        <v>11.941716666666665</v>
      </c>
      <c r="R338" s="15">
        <v>0</v>
      </c>
      <c r="S338" s="15">
        <v>0</v>
      </c>
      <c r="T338" s="160">
        <f t="shared" si="33"/>
        <v>32385.935599999997</v>
      </c>
      <c r="V338" s="289">
        <f>'Varmepumpeberegning VP1'!W326</f>
        <v>2.9129328437623547</v>
      </c>
      <c r="W338" s="289">
        <f>'Varmepumpeberegning VP1'!X326</f>
        <v>8.9194883596172705</v>
      </c>
      <c r="X338" s="289">
        <f t="shared" si="34"/>
        <v>49.428261889997998</v>
      </c>
      <c r="Y338" s="15">
        <f>MAX(0,MIN('Potentiel produktion'!C325*$D$3,N338))</f>
        <v>0</v>
      </c>
      <c r="Z338" s="15">
        <f t="shared" si="35"/>
        <v>8.9194883596172705</v>
      </c>
      <c r="AA338" s="16">
        <f t="shared" si="36"/>
        <v>3.022228307049394</v>
      </c>
      <c r="AB338" s="16">
        <v>0</v>
      </c>
      <c r="AC338" s="16">
        <v>0</v>
      </c>
      <c r="AD338" s="145">
        <f>(Y338*$H$3+Z338*'Varmepumpeberegning VP1'!Z326+AA338*$H$5+AB338*$H$6+AC338*$H$7)*24</f>
        <v>18777.278526252783</v>
      </c>
      <c r="AF338" s="16">
        <f>Z338*'Varmepumpeberegning VP1'!Z326*24</f>
        <v>10580.995357534826</v>
      </c>
      <c r="AG338" s="20">
        <f>(Z338/'Varmepumpeberegning VP1'!W326)*24</f>
        <v>73.488724976688388</v>
      </c>
      <c r="AH338" s="17">
        <f t="shared" si="31"/>
        <v>49.428261889997998</v>
      </c>
      <c r="AI338" s="15">
        <f>'Varmepumpeberegning VP1'!X326-'Systemberegning VP1'!Z338</f>
        <v>0</v>
      </c>
    </row>
    <row r="339" spans="10:35" x14ac:dyDescent="0.25">
      <c r="J339" s="13"/>
      <c r="K339">
        <v>11</v>
      </c>
      <c r="L339">
        <v>324</v>
      </c>
      <c r="M339" s="310">
        <v>0.67273749999999977</v>
      </c>
      <c r="N339" s="15">
        <v>12.1072875</v>
      </c>
      <c r="P339" s="15">
        <f>MAX(0,MIN('Potentiel produktion'!C326*$D$3,N339))</f>
        <v>0</v>
      </c>
      <c r="Q339" s="15">
        <f t="shared" si="32"/>
        <v>12.1072875</v>
      </c>
      <c r="R339" s="15">
        <v>0</v>
      </c>
      <c r="S339" s="15">
        <v>0</v>
      </c>
      <c r="T339" s="160">
        <f t="shared" si="33"/>
        <v>32834.9637</v>
      </c>
      <c r="V339" s="289">
        <f>'Varmepumpeberegning VP1'!W327</f>
        <v>2.8271800941026166</v>
      </c>
      <c r="W339" s="289">
        <f>'Varmepumpeberegning VP1'!X327</f>
        <v>8.7281360986779148</v>
      </c>
      <c r="X339" s="289">
        <f t="shared" si="34"/>
        <v>50.874588423736348</v>
      </c>
      <c r="Y339" s="15">
        <f>MAX(0,MIN('Potentiel produktion'!C326*$D$3,N339))</f>
        <v>0</v>
      </c>
      <c r="Z339" s="15">
        <f t="shared" si="35"/>
        <v>8.7281360986779148</v>
      </c>
      <c r="AA339" s="16">
        <f t="shared" si="36"/>
        <v>3.3791514013220851</v>
      </c>
      <c r="AB339" s="16">
        <v>0</v>
      </c>
      <c r="AC339" s="16">
        <v>0</v>
      </c>
      <c r="AD339" s="145">
        <f>(Y339*$H$3+Z339*'Varmepumpeberegning VP1'!Z327+AA339*$H$5+AB339*$H$6+AC339*$H$7)*24</f>
        <v>19821.226561823769</v>
      </c>
      <c r="AF339" s="16">
        <f>Z339*'Varmepumpeberegning VP1'!Z327*24</f>
        <v>10656.967961438275</v>
      </c>
      <c r="AG339" s="20">
        <f>(Z339/'Varmepumpeberegning VP1'!W327)*24</f>
        <v>74.093357832147632</v>
      </c>
      <c r="AH339" s="17">
        <f t="shared" si="31"/>
        <v>50.874588423736348</v>
      </c>
      <c r="AI339" s="15">
        <f>'Varmepumpeberegning VP1'!X327-'Systemberegning VP1'!Z339</f>
        <v>0</v>
      </c>
    </row>
    <row r="340" spans="10:35" x14ac:dyDescent="0.25">
      <c r="J340" s="13"/>
      <c r="K340">
        <v>11</v>
      </c>
      <c r="L340">
        <v>325</v>
      </c>
      <c r="M340" s="310">
        <v>0.74082500000000007</v>
      </c>
      <c r="N340" s="15">
        <v>12.998562499999998</v>
      </c>
      <c r="P340" s="15">
        <f>MAX(0,MIN('Potentiel produktion'!C327*$D$3,N340))</f>
        <v>0</v>
      </c>
      <c r="Q340" s="15">
        <f t="shared" si="32"/>
        <v>12.998562499999998</v>
      </c>
      <c r="R340" s="15">
        <v>0</v>
      </c>
      <c r="S340" s="15">
        <v>0</v>
      </c>
      <c r="T340" s="160">
        <f t="shared" si="33"/>
        <v>35252.101499999997</v>
      </c>
      <c r="V340" s="289">
        <f>'Varmepumpeberegning VP1'!W328</f>
        <v>2.8271800941026166</v>
      </c>
      <c r="W340" s="289">
        <f>'Varmepumpeberegning VP1'!X328</f>
        <v>8.7281360986779148</v>
      </c>
      <c r="X340" s="289">
        <f t="shared" si="34"/>
        <v>50.874588423736348</v>
      </c>
      <c r="Y340" s="15">
        <f>MAX(0,MIN('Potentiel produktion'!C327*$D$3,N340))</f>
        <v>0</v>
      </c>
      <c r="Z340" s="15">
        <f t="shared" si="35"/>
        <v>8.7281360986779148</v>
      </c>
      <c r="AA340" s="16">
        <f t="shared" si="36"/>
        <v>4.2704264013220836</v>
      </c>
      <c r="AB340" s="16">
        <v>0</v>
      </c>
      <c r="AC340" s="16">
        <v>0</v>
      </c>
      <c r="AD340" s="145">
        <f>(Y340*$H$3+Z340*'Varmepumpeberegning VP1'!Z328+AA340*$H$5+AB340*$H$6+AC340*$H$7)*24</f>
        <v>22238.364361823766</v>
      </c>
      <c r="AF340" s="16">
        <f>Z340*'Varmepumpeberegning VP1'!Z328*24</f>
        <v>10656.967961438275</v>
      </c>
      <c r="AG340" s="20">
        <f>(Z340/'Varmepumpeberegning VP1'!W328)*24</f>
        <v>74.093357832147632</v>
      </c>
      <c r="AH340" s="17">
        <f t="shared" si="31"/>
        <v>50.874588423736348</v>
      </c>
      <c r="AI340" s="15">
        <f>'Varmepumpeberegning VP1'!X328-'Systemberegning VP1'!Z340</f>
        <v>0</v>
      </c>
    </row>
    <row r="341" spans="10:35" x14ac:dyDescent="0.25">
      <c r="J341" s="13"/>
      <c r="K341">
        <v>11</v>
      </c>
      <c r="L341">
        <v>326</v>
      </c>
      <c r="M341" s="310">
        <v>0.81902500000000034</v>
      </c>
      <c r="N341" s="15">
        <v>12.061504166666667</v>
      </c>
      <c r="P341" s="15">
        <f>MAX(0,MIN('Potentiel produktion'!C328*$D$3,N341))</f>
        <v>0</v>
      </c>
      <c r="Q341" s="15">
        <f t="shared" si="32"/>
        <v>12.061504166666667</v>
      </c>
      <c r="R341" s="15">
        <v>0</v>
      </c>
      <c r="S341" s="15">
        <v>0</v>
      </c>
      <c r="T341" s="160">
        <f t="shared" si="33"/>
        <v>32710.799300000006</v>
      </c>
      <c r="V341" s="289">
        <f>'Varmepumpeberegning VP1'!W329</f>
        <v>2.7801824984496553</v>
      </c>
      <c r="W341" s="289">
        <f>'Varmepumpeberegning VP1'!X329</f>
        <v>8.6254633211387688</v>
      </c>
      <c r="X341" s="289">
        <f t="shared" si="34"/>
        <v>51.705110358037601</v>
      </c>
      <c r="Y341" s="15">
        <f>MAX(0,MIN('Potentiel produktion'!C328*$D$3,N341))</f>
        <v>0</v>
      </c>
      <c r="Z341" s="15">
        <f t="shared" si="35"/>
        <v>8.6254633211387688</v>
      </c>
      <c r="AA341" s="16">
        <f t="shared" si="36"/>
        <v>3.4360408455278986</v>
      </c>
      <c r="AB341" s="16">
        <v>0</v>
      </c>
      <c r="AC341" s="16">
        <v>0</v>
      </c>
      <c r="AD341" s="145">
        <f>(Y341*$H$3+Z341*'Varmepumpeberegning VP1'!Z329+AA341*$H$5+AB341*$H$6+AC341*$H$7)*24</f>
        <v>20022.075562880113</v>
      </c>
      <c r="AF341" s="16">
        <f>Z341*'Varmepumpeberegning VP1'!Z329*24</f>
        <v>10703.532789808454</v>
      </c>
      <c r="AG341" s="20">
        <f>(Z341/'Varmepumpeberegning VP1'!W329)*24</f>
        <v>74.459543509380566</v>
      </c>
      <c r="AH341" s="17">
        <f t="shared" ref="AH341:AH380" si="37">AF341/Z341/24</f>
        <v>51.705110358037608</v>
      </c>
      <c r="AI341" s="15">
        <f>'Varmepumpeberegning VP1'!X329-'Systemberegning VP1'!Z341</f>
        <v>0</v>
      </c>
    </row>
    <row r="342" spans="10:35" x14ac:dyDescent="0.25">
      <c r="J342" s="13"/>
      <c r="K342">
        <v>11</v>
      </c>
      <c r="L342">
        <v>327</v>
      </c>
      <c r="M342" s="310">
        <v>0.8338875</v>
      </c>
      <c r="N342" s="15">
        <v>11.187858333333333</v>
      </c>
      <c r="P342" s="15">
        <f>MAX(0,MIN('Potentiel produktion'!C329*$D$3,N342))</f>
        <v>0</v>
      </c>
      <c r="Q342" s="15">
        <f t="shared" si="32"/>
        <v>11.187858333333333</v>
      </c>
      <c r="R342" s="15">
        <v>0</v>
      </c>
      <c r="S342" s="15">
        <v>0</v>
      </c>
      <c r="T342" s="160">
        <f t="shared" si="33"/>
        <v>30341.471799999999</v>
      </c>
      <c r="V342" s="289">
        <f>'Varmepumpeberegning VP1'!W330</f>
        <v>2.8271800941026166</v>
      </c>
      <c r="W342" s="289">
        <f>'Varmepumpeberegning VP1'!X330</f>
        <v>8.7281360986779148</v>
      </c>
      <c r="X342" s="289">
        <f t="shared" si="34"/>
        <v>50.874588423736348</v>
      </c>
      <c r="Y342" s="15">
        <f>MAX(0,MIN('Potentiel produktion'!C329*$D$3,N342))</f>
        <v>0</v>
      </c>
      <c r="Z342" s="15">
        <f t="shared" si="35"/>
        <v>8.7281360986779148</v>
      </c>
      <c r="AA342" s="16">
        <f t="shared" si="36"/>
        <v>2.4597222346554179</v>
      </c>
      <c r="AB342" s="16">
        <v>0</v>
      </c>
      <c r="AC342" s="16">
        <v>0</v>
      </c>
      <c r="AD342" s="145">
        <f>(Y342*$H$3+Z342*'Varmepumpeberegning VP1'!Z330+AA342*$H$5+AB342*$H$6+AC342*$H$7)*24</f>
        <v>17327.734661823768</v>
      </c>
      <c r="AF342" s="16">
        <f>Z342*'Varmepumpeberegning VP1'!Z330*24</f>
        <v>10656.967961438275</v>
      </c>
      <c r="AG342" s="20">
        <f>(Z342/'Varmepumpeberegning VP1'!W330)*24</f>
        <v>74.093357832147632</v>
      </c>
      <c r="AH342" s="17">
        <f t="shared" si="37"/>
        <v>50.874588423736348</v>
      </c>
      <c r="AI342" s="15">
        <f>'Varmepumpeberegning VP1'!X330-'Systemberegning VP1'!Z342</f>
        <v>0</v>
      </c>
    </row>
    <row r="343" spans="10:35" x14ac:dyDescent="0.25">
      <c r="J343" s="13"/>
      <c r="K343">
        <v>11</v>
      </c>
      <c r="L343">
        <v>328</v>
      </c>
      <c r="M343" s="310">
        <v>0.90233750000000013</v>
      </c>
      <c r="N343" s="15">
        <v>3.7618333333333323</v>
      </c>
      <c r="P343" s="15">
        <f>MAX(0,MIN('Potentiel produktion'!C330*$D$3,N343))</f>
        <v>0</v>
      </c>
      <c r="Q343" s="15">
        <f t="shared" si="32"/>
        <v>3.7618333333333323</v>
      </c>
      <c r="R343" s="15">
        <v>0</v>
      </c>
      <c r="S343" s="15">
        <v>0</v>
      </c>
      <c r="T343" s="160">
        <f t="shared" si="33"/>
        <v>10202.091999999997</v>
      </c>
      <c r="V343" s="289">
        <f>'Varmepumpeberegning VP1'!W331</f>
        <v>2.8746445419591673</v>
      </c>
      <c r="W343" s="289">
        <f>'Varmepumpeberegning VP1'!X331</f>
        <v>8.8308088762170591</v>
      </c>
      <c r="X343" s="289">
        <f t="shared" si="34"/>
        <v>50.063378875196641</v>
      </c>
      <c r="Y343" s="15">
        <f>MAX(0,MIN('Potentiel produktion'!C330*$D$3,N343))</f>
        <v>0</v>
      </c>
      <c r="Z343" s="15">
        <f t="shared" si="35"/>
        <v>3.7618333333333323</v>
      </c>
      <c r="AA343" s="16">
        <f t="shared" si="36"/>
        <v>0</v>
      </c>
      <c r="AB343" s="16">
        <v>0</v>
      </c>
      <c r="AC343" s="16">
        <v>0</v>
      </c>
      <c r="AD343" s="145">
        <f>(Y343*$H$3+Z343*'Varmepumpeberegning VP1'!Z331+AA343*$H$5+AB343*$H$6+AC343*$H$7)*24</f>
        <v>4519.9220983682526</v>
      </c>
      <c r="AF343" s="16">
        <f>Z343*'Varmepumpeberegning VP1'!Z331*24</f>
        <v>4519.9220983682526</v>
      </c>
      <c r="AG343" s="20">
        <f>(Z343/'Varmepumpeberegning VP1'!W331)*24</f>
        <v>31.407013521911264</v>
      </c>
      <c r="AH343" s="17">
        <f t="shared" si="37"/>
        <v>50.063378875196641</v>
      </c>
      <c r="AI343" s="15">
        <f>'Varmepumpeberegning VP1'!X331-'Systemberegning VP1'!Z343</f>
        <v>5.0689755428837273</v>
      </c>
    </row>
    <row r="344" spans="10:35" x14ac:dyDescent="0.25">
      <c r="J344" s="13"/>
      <c r="K344">
        <v>11</v>
      </c>
      <c r="L344">
        <v>329</v>
      </c>
      <c r="M344" s="310">
        <v>0.83877500000000038</v>
      </c>
      <c r="N344" s="15">
        <v>4.4769749999999995</v>
      </c>
      <c r="P344" s="15">
        <f>MAX(0,MIN('Potentiel produktion'!C331*$D$3,N344))</f>
        <v>0</v>
      </c>
      <c r="Q344" s="15">
        <f t="shared" si="32"/>
        <v>4.4769749999999995</v>
      </c>
      <c r="R344" s="15">
        <v>0</v>
      </c>
      <c r="S344" s="15">
        <v>0</v>
      </c>
      <c r="T344" s="160">
        <f t="shared" si="33"/>
        <v>12141.556199999999</v>
      </c>
      <c r="V344" s="289">
        <f>'Varmepumpeberegning VP1'!W332</f>
        <v>3.2490914584620767</v>
      </c>
      <c r="W344" s="289">
        <f>'Varmepumpeberegning VP1'!X332</f>
        <v>9.7263747903437441</v>
      </c>
      <c r="X344" s="289">
        <f t="shared" si="34"/>
        <v>44.494773819951156</v>
      </c>
      <c r="Y344" s="15">
        <f>MAX(0,MIN('Potentiel produktion'!C331*$D$3,N344))</f>
        <v>0</v>
      </c>
      <c r="Z344" s="15">
        <f t="shared" si="35"/>
        <v>4.4769749999999995</v>
      </c>
      <c r="AA344" s="16">
        <f t="shared" si="36"/>
        <v>0</v>
      </c>
      <c r="AB344" s="16">
        <v>0</v>
      </c>
      <c r="AC344" s="16">
        <v>0</v>
      </c>
      <c r="AD344" s="145">
        <f>(Y344*$H$3+Z344*'Varmepumpeberegning VP1'!Z332+AA344*$H$5+AB344*$H$6+AC344*$H$7)*24</f>
        <v>4780.8477605418193</v>
      </c>
      <c r="AF344" s="16">
        <f>Z344*'Varmepumpeberegning VP1'!Z332*24</f>
        <v>4780.8477605418193</v>
      </c>
      <c r="AG344" s="20">
        <f>(Z344/'Varmepumpeberegning VP1'!W332)*24</f>
        <v>33.069983216434011</v>
      </c>
      <c r="AH344" s="17">
        <f t="shared" si="37"/>
        <v>44.494773819951156</v>
      </c>
      <c r="AI344" s="15">
        <f>'Varmepumpeberegning VP1'!X332-'Systemberegning VP1'!Z344</f>
        <v>5.2493997903437446</v>
      </c>
    </row>
    <row r="345" spans="10:35" x14ac:dyDescent="0.25">
      <c r="J345" s="13"/>
      <c r="K345">
        <v>11</v>
      </c>
      <c r="L345">
        <v>330</v>
      </c>
      <c r="M345" s="310">
        <v>0.85146250000000012</v>
      </c>
      <c r="N345" s="15">
        <v>8.6162291666666668</v>
      </c>
      <c r="P345" s="15">
        <f>MAX(0,MIN('Potentiel produktion'!C332*$D$3,N345))</f>
        <v>0</v>
      </c>
      <c r="Q345" s="15">
        <f t="shared" si="32"/>
        <v>8.6162291666666668</v>
      </c>
      <c r="R345" s="15">
        <v>0</v>
      </c>
      <c r="S345" s="15">
        <v>0</v>
      </c>
      <c r="T345" s="160">
        <f t="shared" si="33"/>
        <v>23367.213499999998</v>
      </c>
      <c r="V345" s="289">
        <f>'Varmepumpeberegning VP1'!W333</f>
        <v>3.2053708816573461</v>
      </c>
      <c r="W345" s="289">
        <f>'Varmepumpeberegning VP1'!X333</f>
        <v>9.6214535463560686</v>
      </c>
      <c r="X345" s="289">
        <f t="shared" si="34"/>
        <v>45.077880349837372</v>
      </c>
      <c r="Y345" s="15">
        <f>MAX(0,MIN('Potentiel produktion'!C332*$D$3,N345))</f>
        <v>0</v>
      </c>
      <c r="Z345" s="15">
        <f t="shared" si="35"/>
        <v>8.6162291666666668</v>
      </c>
      <c r="AA345" s="16">
        <f t="shared" si="36"/>
        <v>0</v>
      </c>
      <c r="AB345" s="16">
        <v>0</v>
      </c>
      <c r="AC345" s="16">
        <v>0</v>
      </c>
      <c r="AD345" s="145">
        <f>(Y345*$H$3+Z345*'Varmepumpeberegning VP1'!Z333+AA345*$H$5+AB345*$H$6+AC345*$H$7)*24</f>
        <v>9321.6323386026961</v>
      </c>
      <c r="AF345" s="16">
        <f>Z345*'Varmepumpeberegning VP1'!Z333*24</f>
        <v>9321.6323386026961</v>
      </c>
      <c r="AG345" s="20">
        <f>(Z345/'Varmepumpeberegning VP1'!W333)*24</f>
        <v>64.513439359965389</v>
      </c>
      <c r="AH345" s="17">
        <f t="shared" si="37"/>
        <v>45.077880349837379</v>
      </c>
      <c r="AI345" s="15">
        <f>'Varmepumpeberegning VP1'!X333-'Systemberegning VP1'!Z345</f>
        <v>1.0052243796894018</v>
      </c>
    </row>
    <row r="346" spans="10:35" x14ac:dyDescent="0.25">
      <c r="J346" s="13"/>
      <c r="K346">
        <v>11</v>
      </c>
      <c r="L346">
        <v>331</v>
      </c>
      <c r="M346" s="310">
        <v>0.83101249999999982</v>
      </c>
      <c r="N346" s="15">
        <v>9.2749958333333336</v>
      </c>
      <c r="P346" s="15">
        <f>MAX(0,MIN('Potentiel produktion'!C333*$D$3,N346))</f>
        <v>0</v>
      </c>
      <c r="Q346" s="15">
        <f t="shared" si="32"/>
        <v>9.2749958333333336</v>
      </c>
      <c r="R346" s="15">
        <v>0</v>
      </c>
      <c r="S346" s="15">
        <v>0</v>
      </c>
      <c r="T346" s="160">
        <f t="shared" si="33"/>
        <v>25153.788700000001</v>
      </c>
      <c r="V346" s="289">
        <f>'Varmepumpeberegning VP1'!W334</f>
        <v>2.9902597151633996</v>
      </c>
      <c r="W346" s="289">
        <f>'Varmepumpeberegning VP1'!X334</f>
        <v>9.0968473264176914</v>
      </c>
      <c r="X346" s="289">
        <f t="shared" si="34"/>
        <v>48.195176072664189</v>
      </c>
      <c r="Y346" s="15">
        <f>MAX(0,MIN('Potentiel produktion'!C333*$D$3,N346))</f>
        <v>0</v>
      </c>
      <c r="Z346" s="15">
        <f t="shared" si="35"/>
        <v>9.0968473264176914</v>
      </c>
      <c r="AA346" s="16">
        <f t="shared" si="36"/>
        <v>0.1781485069156421</v>
      </c>
      <c r="AB346" s="16">
        <v>0</v>
      </c>
      <c r="AC346" s="16">
        <v>0</v>
      </c>
      <c r="AD346" s="145">
        <f>(Y346*$H$3+Z346*'Varmepumpeberegning VP1'!Z334+AA346*$H$5+AB346*$H$6+AC346*$H$7)*24</f>
        <v>11005.318557223503</v>
      </c>
      <c r="AF346" s="16">
        <f>Z346*'Varmepumpeberegning VP1'!Z334*24</f>
        <v>10522.179806468283</v>
      </c>
      <c r="AG346" s="20">
        <f>(Z346/'Varmepumpeberegning VP1'!W334)*24</f>
        <v>73.01183062023577</v>
      </c>
      <c r="AH346" s="17">
        <f t="shared" si="37"/>
        <v>48.195176072664189</v>
      </c>
      <c r="AI346" s="15">
        <f>'Varmepumpeberegning VP1'!X334-'Systemberegning VP1'!Z346</f>
        <v>0</v>
      </c>
    </row>
    <row r="347" spans="10:35" x14ac:dyDescent="0.25">
      <c r="J347" s="13"/>
      <c r="K347">
        <v>11</v>
      </c>
      <c r="L347">
        <v>332</v>
      </c>
      <c r="M347" s="310">
        <v>0.97448749999999995</v>
      </c>
      <c r="N347" s="15">
        <v>8.6972500000000004</v>
      </c>
      <c r="P347" s="15">
        <f>MAX(0,MIN('Potentiel produktion'!C334*$D$3,N347))</f>
        <v>0</v>
      </c>
      <c r="Q347" s="15">
        <f t="shared" si="32"/>
        <v>8.6972500000000004</v>
      </c>
      <c r="R347" s="15">
        <v>0</v>
      </c>
      <c r="S347" s="15">
        <v>0</v>
      </c>
      <c r="T347" s="160">
        <f t="shared" si="33"/>
        <v>23586.942000000003</v>
      </c>
      <c r="V347" s="289">
        <f>'Varmepumpeberegning VP1'!W335</f>
        <v>2.9514704207300451</v>
      </c>
      <c r="W347" s="289">
        <f>'Varmepumpeberegning VP1'!X335</f>
        <v>9.0081678430174801</v>
      </c>
      <c r="X347" s="289">
        <f t="shared" si="34"/>
        <v>48.805649522192738</v>
      </c>
      <c r="Y347" s="15">
        <f>MAX(0,MIN('Potentiel produktion'!C334*$D$3,N347))</f>
        <v>0</v>
      </c>
      <c r="Z347" s="15">
        <f t="shared" si="35"/>
        <v>8.6972500000000004</v>
      </c>
      <c r="AA347" s="16">
        <f t="shared" si="36"/>
        <v>0</v>
      </c>
      <c r="AB347" s="16">
        <v>0</v>
      </c>
      <c r="AC347" s="16">
        <v>0</v>
      </c>
      <c r="AD347" s="145">
        <f>(Y347*$H$3+Z347*'Varmepumpeberegning VP1'!Z335+AA347*$H$5+AB347*$H$6+AC347*$H$7)*24</f>
        <v>10187.39844736538</v>
      </c>
      <c r="AF347" s="16">
        <f>Z347*'Varmepumpeberegning VP1'!Z335*24</f>
        <v>10187.39844736538</v>
      </c>
      <c r="AG347" s="20">
        <f>(Z347/'Varmepumpeberegning VP1'!W335)*24</f>
        <v>70.722036898601118</v>
      </c>
      <c r="AH347" s="17">
        <f t="shared" si="37"/>
        <v>48.805649522192738</v>
      </c>
      <c r="AI347" s="15">
        <f>'Varmepumpeberegning VP1'!X335-'Systemberegning VP1'!Z347</f>
        <v>0.31091784301747971</v>
      </c>
    </row>
    <row r="348" spans="10:35" x14ac:dyDescent="0.25">
      <c r="J348" s="13"/>
      <c r="K348">
        <v>11</v>
      </c>
      <c r="L348">
        <v>333</v>
      </c>
      <c r="M348" s="310">
        <v>0.78588750000000018</v>
      </c>
      <c r="N348" s="15">
        <v>10.331816666666667</v>
      </c>
      <c r="P348" s="15">
        <f>MAX(0,MIN('Potentiel produktion'!C335*$D$3,N348))</f>
        <v>0</v>
      </c>
      <c r="Q348" s="15">
        <f t="shared" si="32"/>
        <v>10.331816666666667</v>
      </c>
      <c r="R348" s="15">
        <v>0</v>
      </c>
      <c r="S348" s="15">
        <v>0</v>
      </c>
      <c r="T348" s="160">
        <f t="shared" si="33"/>
        <v>28019.8868</v>
      </c>
      <c r="V348" s="289">
        <f>'Varmepumpeberegning VP1'!W336</f>
        <v>2.9902597151633996</v>
      </c>
      <c r="W348" s="289">
        <f>'Varmepumpeberegning VP1'!X336</f>
        <v>9.0968473264176914</v>
      </c>
      <c r="X348" s="289">
        <f t="shared" si="34"/>
        <v>48.195176072664189</v>
      </c>
      <c r="Y348" s="15">
        <f>MAX(0,MIN('Potentiel produktion'!C335*$D$3,N348))</f>
        <v>0</v>
      </c>
      <c r="Z348" s="15">
        <f t="shared" si="35"/>
        <v>9.0968473264176914</v>
      </c>
      <c r="AA348" s="16">
        <f t="shared" si="36"/>
        <v>1.2349693402489752</v>
      </c>
      <c r="AB348" s="16">
        <v>0</v>
      </c>
      <c r="AC348" s="16">
        <v>0</v>
      </c>
      <c r="AD348" s="145">
        <f>(Y348*$H$3+Z348*'Varmepumpeberegning VP1'!Z336+AA348*$H$5+AB348*$H$6+AC348*$H$7)*24</f>
        <v>13871.416657223504</v>
      </c>
      <c r="AF348" s="16">
        <f>Z348*'Varmepumpeberegning VP1'!Z336*24</f>
        <v>10522.179806468283</v>
      </c>
      <c r="AG348" s="20">
        <f>(Z348/'Varmepumpeberegning VP1'!W336)*24</f>
        <v>73.01183062023577</v>
      </c>
      <c r="AH348" s="17">
        <f t="shared" si="37"/>
        <v>48.195176072664189</v>
      </c>
      <c r="AI348" s="15">
        <f>'Varmepumpeberegning VP1'!X336-'Systemberegning VP1'!Z348</f>
        <v>0</v>
      </c>
    </row>
    <row r="349" spans="10:35" x14ac:dyDescent="0.25">
      <c r="J349" s="13"/>
      <c r="K349">
        <v>11</v>
      </c>
      <c r="L349">
        <v>334</v>
      </c>
      <c r="M349" s="310">
        <v>0.8031625</v>
      </c>
      <c r="N349" s="15">
        <v>11.589450000000001</v>
      </c>
      <c r="P349" s="15">
        <f>MAX(0,MIN('Potentiel produktion'!C336*$D$3,N349))</f>
        <v>0</v>
      </c>
      <c r="Q349" s="15">
        <f t="shared" si="32"/>
        <v>11.589450000000001</v>
      </c>
      <c r="R349" s="15">
        <v>0</v>
      </c>
      <c r="S349" s="15">
        <v>0</v>
      </c>
      <c r="T349" s="160">
        <f t="shared" si="33"/>
        <v>31430.588400000001</v>
      </c>
      <c r="V349" s="289">
        <f>'Varmepumpeberegning VP1'!W337</f>
        <v>2.9129328437623547</v>
      </c>
      <c r="W349" s="289">
        <f>'Varmepumpeberegning VP1'!X337</f>
        <v>8.9194883596172705</v>
      </c>
      <c r="X349" s="289">
        <f t="shared" si="34"/>
        <v>49.428261889997998</v>
      </c>
      <c r="Y349" s="15">
        <f>MAX(0,MIN('Potentiel produktion'!C336*$D$3,N349))</f>
        <v>0</v>
      </c>
      <c r="Z349" s="15">
        <f t="shared" si="35"/>
        <v>8.9194883596172705</v>
      </c>
      <c r="AA349" s="16">
        <f t="shared" si="36"/>
        <v>2.6699616403827306</v>
      </c>
      <c r="AB349" s="16">
        <v>0</v>
      </c>
      <c r="AC349" s="16">
        <v>0</v>
      </c>
      <c r="AD349" s="145">
        <f>(Y349*$H$3+Z349*'Varmepumpeberegning VP1'!Z337+AA349*$H$5+AB349*$H$6+AC349*$H$7)*24</f>
        <v>17821.93132625279</v>
      </c>
      <c r="AF349" s="16">
        <f>Z349*'Varmepumpeberegning VP1'!Z337*24</f>
        <v>10580.995357534826</v>
      </c>
      <c r="AG349" s="20">
        <f>(Z349/'Varmepumpeberegning VP1'!W337)*24</f>
        <v>73.488724976688388</v>
      </c>
      <c r="AH349" s="17">
        <f t="shared" si="37"/>
        <v>49.428261889997998</v>
      </c>
      <c r="AI349" s="15">
        <f>'Varmepumpeberegning VP1'!X337-'Systemberegning VP1'!Z349</f>
        <v>0</v>
      </c>
    </row>
    <row r="350" spans="10:35" x14ac:dyDescent="0.25">
      <c r="J350" s="13"/>
      <c r="K350">
        <v>12</v>
      </c>
      <c r="L350">
        <v>335</v>
      </c>
      <c r="M350" s="310">
        <v>0.63795000000000013</v>
      </c>
      <c r="N350" s="15">
        <v>9.6413583333333346</v>
      </c>
      <c r="P350" s="15">
        <f>MAX(0,MIN('Potentiel produktion'!C337*$D$3,N350))</f>
        <v>0</v>
      </c>
      <c r="Q350" s="15">
        <f t="shared" si="32"/>
        <v>9.6413583333333346</v>
      </c>
      <c r="R350" s="15">
        <v>0</v>
      </c>
      <c r="S350" s="15">
        <v>0</v>
      </c>
      <c r="T350" s="160">
        <f t="shared" si="33"/>
        <v>26147.363800000006</v>
      </c>
      <c r="V350" s="289">
        <f>'Varmepumpeberegning VP1'!W338</f>
        <v>2.8746445419591673</v>
      </c>
      <c r="W350" s="289">
        <f>'Varmepumpeberegning VP1'!X338</f>
        <v>8.8308088762170591</v>
      </c>
      <c r="X350" s="289">
        <f t="shared" si="34"/>
        <v>50.063378875196641</v>
      </c>
      <c r="Y350" s="15">
        <f>MAX(0,MIN('Potentiel produktion'!C337*$D$3,N350))</f>
        <v>0</v>
      </c>
      <c r="Z350" s="15">
        <f t="shared" si="35"/>
        <v>8.8308088762170591</v>
      </c>
      <c r="AA350" s="16">
        <f t="shared" si="36"/>
        <v>0.81054945711627546</v>
      </c>
      <c r="AB350" s="16">
        <v>0</v>
      </c>
      <c r="AC350" s="16">
        <v>0</v>
      </c>
      <c r="AD350" s="145">
        <f>(Y350*$H$3+Z350*'Varmepumpeberegning VP1'!Z338+AA350*$H$5+AB350*$H$6+AC350*$H$7)*24</f>
        <v>12808.613260767437</v>
      </c>
      <c r="AF350" s="16">
        <f>Z350*'Varmepumpeberegning VP1'!Z338*24</f>
        <v>10610.403133068099</v>
      </c>
      <c r="AG350" s="20">
        <f>(Z350/'Varmepumpeberegning VP1'!W338)*24</f>
        <v>73.727172154914697</v>
      </c>
      <c r="AH350" s="17">
        <f t="shared" si="37"/>
        <v>50.063378875196641</v>
      </c>
      <c r="AI350" s="15">
        <f>'Varmepumpeberegning VP1'!X338-'Systemberegning VP1'!Z350</f>
        <v>0</v>
      </c>
    </row>
    <row r="351" spans="10:35" x14ac:dyDescent="0.25">
      <c r="J351" s="13"/>
      <c r="K351">
        <v>12</v>
      </c>
      <c r="L351">
        <v>336</v>
      </c>
      <c r="M351" s="310">
        <v>0.5553625000000002</v>
      </c>
      <c r="N351" s="15">
        <v>7.2775791666666683</v>
      </c>
      <c r="P351" s="15">
        <f>MAX(0,MIN('Potentiel produktion'!C338*$D$3,N351))</f>
        <v>0</v>
      </c>
      <c r="Q351" s="15">
        <f t="shared" si="32"/>
        <v>7.2775791666666683</v>
      </c>
      <c r="R351" s="15">
        <v>0</v>
      </c>
      <c r="S351" s="15">
        <v>0</v>
      </c>
      <c r="T351" s="160">
        <f t="shared" si="33"/>
        <v>19736.794700000006</v>
      </c>
      <c r="V351" s="289">
        <f>'Varmepumpeberegning VP1'!W339</f>
        <v>2.9514704207300451</v>
      </c>
      <c r="W351" s="289">
        <f>'Varmepumpeberegning VP1'!X339</f>
        <v>9.0081678430174801</v>
      </c>
      <c r="X351" s="289">
        <f t="shared" si="34"/>
        <v>48.805649522192738</v>
      </c>
      <c r="Y351" s="15">
        <f>MAX(0,MIN('Potentiel produktion'!C338*$D$3,N351))</f>
        <v>0</v>
      </c>
      <c r="Z351" s="15">
        <f t="shared" si="35"/>
        <v>7.2775791666666683</v>
      </c>
      <c r="AA351" s="16">
        <f t="shared" si="36"/>
        <v>0</v>
      </c>
      <c r="AB351" s="16">
        <v>0</v>
      </c>
      <c r="AC351" s="16">
        <v>0</v>
      </c>
      <c r="AD351" s="145">
        <f>(Y351*$H$3+Z351*'Varmepumpeberegning VP1'!Z339+AA351*$H$5+AB351*$H$6+AC351*$H$7)*24</f>
        <v>8524.4874762802774</v>
      </c>
      <c r="AF351" s="16">
        <f>Z351*'Varmepumpeberegning VP1'!Z339*24</f>
        <v>8524.4874762802774</v>
      </c>
      <c r="AG351" s="20">
        <f>(Z351/'Varmepumpeberegning VP1'!W339)*24</f>
        <v>59.177926627093719</v>
      </c>
      <c r="AH351" s="17">
        <f t="shared" si="37"/>
        <v>48.805649522192738</v>
      </c>
      <c r="AI351" s="15">
        <f>'Varmepumpeberegning VP1'!X339-'Systemberegning VP1'!Z351</f>
        <v>1.7305886763508118</v>
      </c>
    </row>
    <row r="352" spans="10:35" x14ac:dyDescent="0.25">
      <c r="J352" s="13"/>
      <c r="K352">
        <v>12</v>
      </c>
      <c r="L352">
        <v>337</v>
      </c>
      <c r="M352" s="310">
        <v>0.61902499999999994</v>
      </c>
      <c r="N352" s="15">
        <v>9.3877083333333342</v>
      </c>
      <c r="P352" s="15">
        <f>MAX(0,MIN('Potentiel produktion'!C339*$D$3,N352))</f>
        <v>0</v>
      </c>
      <c r="Q352" s="15">
        <f t="shared" si="32"/>
        <v>9.3877083333333342</v>
      </c>
      <c r="R352" s="15">
        <v>0</v>
      </c>
      <c r="S352" s="15">
        <v>0</v>
      </c>
      <c r="T352" s="160">
        <f t="shared" si="33"/>
        <v>25459.465000000004</v>
      </c>
      <c r="V352" s="289">
        <f>'Varmepumpeberegning VP1'!W340</f>
        <v>3.0756133144315161</v>
      </c>
      <c r="W352" s="289">
        <f>'Varmepumpeberegning VP1'!X340</f>
        <v>9.3066898143930423</v>
      </c>
      <c r="X352" s="289">
        <f t="shared" si="34"/>
        <v>46.906085468567859</v>
      </c>
      <c r="Y352" s="15">
        <f>MAX(0,MIN('Potentiel produktion'!C339*$D$3,N352))</f>
        <v>0</v>
      </c>
      <c r="Z352" s="15">
        <f t="shared" si="35"/>
        <v>9.3066898143930423</v>
      </c>
      <c r="AA352" s="16">
        <f t="shared" si="36"/>
        <v>8.1018518940291884E-2</v>
      </c>
      <c r="AB352" s="16">
        <v>0</v>
      </c>
      <c r="AC352" s="16">
        <v>0</v>
      </c>
      <c r="AD352" s="145">
        <f>(Y352*$H$3+Z352*'Varmepumpeberegning VP1'!Z340+AA352*$H$5+AB352*$H$6+AC352*$H$7)*24</f>
        <v>10696.69153208695</v>
      </c>
      <c r="AF352" s="16">
        <f>Z352*'Varmepumpeberegning VP1'!Z340*24</f>
        <v>10476.96930872088</v>
      </c>
      <c r="AG352" s="20">
        <f>(Z352/'Varmepumpeberegning VP1'!W340)*24</f>
        <v>72.623094228839392</v>
      </c>
      <c r="AH352" s="17">
        <f t="shared" si="37"/>
        <v>46.906085468567859</v>
      </c>
      <c r="AI352" s="15">
        <f>'Varmepumpeberegning VP1'!X340-'Systemberegning VP1'!Z352</f>
        <v>0</v>
      </c>
    </row>
    <row r="353" spans="10:35" x14ac:dyDescent="0.25">
      <c r="J353" s="13"/>
      <c r="K353">
        <v>12</v>
      </c>
      <c r="L353">
        <v>338</v>
      </c>
      <c r="M353" s="310">
        <v>0.54000000000000015</v>
      </c>
      <c r="N353" s="15">
        <v>11.064545833333334</v>
      </c>
      <c r="P353" s="15">
        <f>MAX(0,MIN('Potentiel produktion'!C340*$D$3,N353))</f>
        <v>0</v>
      </c>
      <c r="Q353" s="15">
        <f t="shared" si="32"/>
        <v>11.064545833333334</v>
      </c>
      <c r="R353" s="15">
        <v>0</v>
      </c>
      <c r="S353" s="15">
        <v>0</v>
      </c>
      <c r="T353" s="160">
        <f t="shared" si="33"/>
        <v>30007.048299999999</v>
      </c>
      <c r="V353" s="289">
        <f>'Varmepumpeberegning VP1'!W341</f>
        <v>2.9514704207300451</v>
      </c>
      <c r="W353" s="289">
        <f>'Varmepumpeberegning VP1'!X341</f>
        <v>9.0081678430174801</v>
      </c>
      <c r="X353" s="289">
        <f t="shared" si="34"/>
        <v>48.805649522192738</v>
      </c>
      <c r="Y353" s="15">
        <f>MAX(0,MIN('Potentiel produktion'!C340*$D$3,N353))</f>
        <v>0</v>
      </c>
      <c r="Z353" s="15">
        <f t="shared" si="35"/>
        <v>9.0081678430174801</v>
      </c>
      <c r="AA353" s="16">
        <f t="shared" si="36"/>
        <v>2.0563779903158537</v>
      </c>
      <c r="AB353" s="16">
        <v>0</v>
      </c>
      <c r="AC353" s="16">
        <v>0</v>
      </c>
      <c r="AD353" s="145">
        <f>(Y353*$H$3+Z353*'Varmepumpeberegning VP1'!Z341+AA353*$H$5+AB353*$H$6+AC353*$H$7)*24</f>
        <v>16128.484691738151</v>
      </c>
      <c r="AF353" s="16">
        <f>Z353*'Varmepumpeberegning VP1'!Z341*24</f>
        <v>10551.587582001554</v>
      </c>
      <c r="AG353" s="20">
        <f>(Z353/'Varmepumpeberegning VP1'!W341)*24</f>
        <v>73.250277798462065</v>
      </c>
      <c r="AH353" s="17">
        <f t="shared" si="37"/>
        <v>48.805649522192738</v>
      </c>
      <c r="AI353" s="15">
        <f>'Varmepumpeberegning VP1'!X341-'Systemberegning VP1'!Z353</f>
        <v>0</v>
      </c>
    </row>
    <row r="354" spans="10:35" x14ac:dyDescent="0.25">
      <c r="J354" s="13"/>
      <c r="K354">
        <v>12</v>
      </c>
      <c r="L354">
        <v>339</v>
      </c>
      <c r="M354" s="310">
        <v>0.5343874999999999</v>
      </c>
      <c r="N354" s="15">
        <v>9.8104416666666641</v>
      </c>
      <c r="P354" s="15">
        <f>MAX(0,MIN('Potentiel produktion'!C341*$D$3,N354))</f>
        <v>0</v>
      </c>
      <c r="Q354" s="15">
        <f t="shared" si="32"/>
        <v>9.8104416666666641</v>
      </c>
      <c r="R354" s="15">
        <v>0</v>
      </c>
      <c r="S354" s="15">
        <v>0</v>
      </c>
      <c r="T354" s="160">
        <f t="shared" si="33"/>
        <v>26605.917799999996</v>
      </c>
      <c r="V354" s="289">
        <f>'Varmepumpeberegning VP1'!W342</f>
        <v>2.8746445419591673</v>
      </c>
      <c r="W354" s="289">
        <f>'Varmepumpeberegning VP1'!X342</f>
        <v>8.8308088762170591</v>
      </c>
      <c r="X354" s="289">
        <f t="shared" si="34"/>
        <v>50.063378875196641</v>
      </c>
      <c r="Y354" s="15">
        <f>MAX(0,MIN('Potentiel produktion'!C341*$D$3,N354))</f>
        <v>0</v>
      </c>
      <c r="Z354" s="15">
        <f t="shared" si="35"/>
        <v>8.8308088762170591</v>
      </c>
      <c r="AA354" s="16">
        <f t="shared" si="36"/>
        <v>0.97963279044960494</v>
      </c>
      <c r="AB354" s="16">
        <v>0</v>
      </c>
      <c r="AC354" s="16">
        <v>0</v>
      </c>
      <c r="AD354" s="145">
        <f>(Y354*$H$3+Z354*'Varmepumpeberegning VP1'!Z342+AA354*$H$5+AB354*$H$6+AC354*$H$7)*24</f>
        <v>13267.167260767428</v>
      </c>
      <c r="AF354" s="16">
        <f>Z354*'Varmepumpeberegning VP1'!Z342*24</f>
        <v>10610.403133068099</v>
      </c>
      <c r="AG354" s="20">
        <f>(Z354/'Varmepumpeberegning VP1'!W342)*24</f>
        <v>73.727172154914697</v>
      </c>
      <c r="AH354" s="17">
        <f t="shared" si="37"/>
        <v>50.063378875196641</v>
      </c>
      <c r="AI354" s="15">
        <f>'Varmepumpeberegning VP1'!X342-'Systemberegning VP1'!Z354</f>
        <v>0</v>
      </c>
    </row>
    <row r="355" spans="10:35" x14ac:dyDescent="0.25">
      <c r="J355" s="13"/>
      <c r="K355">
        <v>12</v>
      </c>
      <c r="L355">
        <v>340</v>
      </c>
      <c r="M355" s="310">
        <v>0.5446249999999998</v>
      </c>
      <c r="N355" s="15">
        <v>7.6122500000000004</v>
      </c>
      <c r="P355" s="15">
        <f>MAX(0,MIN('Potentiel produktion'!C342*$D$3,N355))</f>
        <v>0</v>
      </c>
      <c r="Q355" s="15">
        <f t="shared" si="32"/>
        <v>7.6122500000000004</v>
      </c>
      <c r="R355" s="15">
        <v>0</v>
      </c>
      <c r="S355" s="15">
        <v>0</v>
      </c>
      <c r="T355" s="160">
        <f t="shared" si="33"/>
        <v>20644.421999999999</v>
      </c>
      <c r="V355" s="289">
        <f>'Varmepumpeberegning VP1'!W343</f>
        <v>2.9514704207300451</v>
      </c>
      <c r="W355" s="289">
        <f>'Varmepumpeberegning VP1'!X343</f>
        <v>9.0081678430174801</v>
      </c>
      <c r="X355" s="289">
        <f t="shared" si="34"/>
        <v>48.805649522192738</v>
      </c>
      <c r="Y355" s="15">
        <f>MAX(0,MIN('Potentiel produktion'!C342*$D$3,N355))</f>
        <v>0</v>
      </c>
      <c r="Z355" s="15">
        <f t="shared" si="35"/>
        <v>7.6122500000000004</v>
      </c>
      <c r="AA355" s="16">
        <f t="shared" si="36"/>
        <v>0</v>
      </c>
      <c r="AB355" s="16">
        <v>0</v>
      </c>
      <c r="AC355" s="16">
        <v>0</v>
      </c>
      <c r="AD355" s="145">
        <f>(Y355*$H$3+Z355*'Varmepumpeberegning VP1'!Z343+AA355*$H$5+AB355*$H$6+AC355*$H$7)*24</f>
        <v>8916.4993338074801</v>
      </c>
      <c r="AF355" s="16">
        <f>Z355*'Varmepumpeberegning VP1'!Z343*24</f>
        <v>8916.4993338074801</v>
      </c>
      <c r="AG355" s="20">
        <f>(Z355/'Varmepumpeberegning VP1'!W343)*24</f>
        <v>61.899315919558063</v>
      </c>
      <c r="AH355" s="17">
        <f t="shared" si="37"/>
        <v>48.805649522192738</v>
      </c>
      <c r="AI355" s="15">
        <f>'Varmepumpeberegning VP1'!X343-'Systemberegning VP1'!Z355</f>
        <v>1.3959178430174797</v>
      </c>
    </row>
    <row r="356" spans="10:35" x14ac:dyDescent="0.25">
      <c r="J356" s="13"/>
      <c r="K356">
        <v>12</v>
      </c>
      <c r="L356">
        <v>341</v>
      </c>
      <c r="M356" s="310">
        <v>0.55737500000000006</v>
      </c>
      <c r="N356" s="15">
        <v>8.475320833333333</v>
      </c>
      <c r="P356" s="15">
        <f>MAX(0,MIN('Potentiel produktion'!C343*$D$3,N356))</f>
        <v>0</v>
      </c>
      <c r="Q356" s="15">
        <f t="shared" si="32"/>
        <v>8.475320833333333</v>
      </c>
      <c r="R356" s="15">
        <v>0</v>
      </c>
      <c r="S356" s="15">
        <v>0</v>
      </c>
      <c r="T356" s="160">
        <f t="shared" si="33"/>
        <v>22985.070100000001</v>
      </c>
      <c r="V356" s="289">
        <f>'Varmepumpeberegning VP1'!W344</f>
        <v>3.0328225996421248</v>
      </c>
      <c r="W356" s="289">
        <f>'Varmepumpeberegning VP1'!X344</f>
        <v>9.2017685704053669</v>
      </c>
      <c r="X356" s="289">
        <f t="shared" si="34"/>
        <v>47.54328147744701</v>
      </c>
      <c r="Y356" s="15">
        <f>MAX(0,MIN('Potentiel produktion'!C343*$D$3,N356))</f>
        <v>0</v>
      </c>
      <c r="Z356" s="15">
        <f t="shared" si="35"/>
        <v>8.475320833333333</v>
      </c>
      <c r="AA356" s="16">
        <f t="shared" si="36"/>
        <v>0</v>
      </c>
      <c r="AB356" s="16">
        <v>0</v>
      </c>
      <c r="AC356" s="16">
        <v>0</v>
      </c>
      <c r="AD356" s="145">
        <f>(Y356*$H$3+Z356*'Varmepumpeberegning VP1'!Z344+AA356*$H$5+AB356*$H$6+AC356*$H$7)*24</f>
        <v>9670.6695357800982</v>
      </c>
      <c r="AF356" s="16">
        <f>Z356*'Varmepumpeberegning VP1'!Z344*24</f>
        <v>9670.6695357800982</v>
      </c>
      <c r="AG356" s="20">
        <f>(Z356/'Varmepumpeberegning VP1'!W344)*24</f>
        <v>67.068776137451053</v>
      </c>
      <c r="AH356" s="17">
        <f t="shared" si="37"/>
        <v>47.54328147744701</v>
      </c>
      <c r="AI356" s="15">
        <f>'Varmepumpeberegning VP1'!X344-'Systemberegning VP1'!Z356</f>
        <v>0.72644773707203392</v>
      </c>
    </row>
    <row r="357" spans="10:35" x14ac:dyDescent="0.25">
      <c r="J357" s="13"/>
      <c r="K357">
        <v>12</v>
      </c>
      <c r="L357">
        <v>342</v>
      </c>
      <c r="M357" s="310">
        <v>0.55212499999999975</v>
      </c>
      <c r="N357" s="15">
        <v>9.1939541666666678</v>
      </c>
      <c r="P357" s="15">
        <f>MAX(0,MIN('Potentiel produktion'!C344*$D$3,N357))</f>
        <v>0</v>
      </c>
      <c r="Q357" s="15">
        <f t="shared" si="32"/>
        <v>9.1939541666666678</v>
      </c>
      <c r="R357" s="15">
        <v>0</v>
      </c>
      <c r="S357" s="15">
        <v>0</v>
      </c>
      <c r="T357" s="160">
        <f t="shared" si="33"/>
        <v>24934.003700000005</v>
      </c>
      <c r="V357" s="289">
        <f>'Varmepumpeberegning VP1'!W345</f>
        <v>2.9902597151633996</v>
      </c>
      <c r="W357" s="289">
        <f>'Varmepumpeberegning VP1'!X345</f>
        <v>9.0968473264176914</v>
      </c>
      <c r="X357" s="289">
        <f t="shared" si="34"/>
        <v>48.195176072664189</v>
      </c>
      <c r="Y357" s="15">
        <f>MAX(0,MIN('Potentiel produktion'!C344*$D$3,N357))</f>
        <v>0</v>
      </c>
      <c r="Z357" s="15">
        <f t="shared" si="35"/>
        <v>9.0968473264176914</v>
      </c>
      <c r="AA357" s="16">
        <f t="shared" si="36"/>
        <v>9.7106840248976312E-2</v>
      </c>
      <c r="AB357" s="16">
        <v>0</v>
      </c>
      <c r="AC357" s="16">
        <v>0</v>
      </c>
      <c r="AD357" s="145">
        <f>(Y357*$H$3+Z357*'Varmepumpeberegning VP1'!Z345+AA357*$H$5+AB357*$H$6+AC357*$H$7)*24</f>
        <v>10785.533557223505</v>
      </c>
      <c r="AF357" s="16">
        <f>Z357*'Varmepumpeberegning VP1'!Z345*24</f>
        <v>10522.179806468283</v>
      </c>
      <c r="AG357" s="20">
        <f>(Z357/'Varmepumpeberegning VP1'!W345)*24</f>
        <v>73.01183062023577</v>
      </c>
      <c r="AH357" s="17">
        <f t="shared" si="37"/>
        <v>48.195176072664189</v>
      </c>
      <c r="AI357" s="15">
        <f>'Varmepumpeberegning VP1'!X345-'Systemberegning VP1'!Z357</f>
        <v>0</v>
      </c>
    </row>
    <row r="358" spans="10:35" x14ac:dyDescent="0.25">
      <c r="J358" s="13"/>
      <c r="K358">
        <v>12</v>
      </c>
      <c r="L358">
        <v>343</v>
      </c>
      <c r="M358" s="310">
        <v>0.61994999999999989</v>
      </c>
      <c r="N358" s="15">
        <v>9.5955625000000015</v>
      </c>
      <c r="P358" s="15">
        <f>MAX(0,MIN('Potentiel produktion'!C345*$D$3,N358))</f>
        <v>0</v>
      </c>
      <c r="Q358" s="15">
        <f t="shared" si="32"/>
        <v>9.5955625000000015</v>
      </c>
      <c r="R358" s="15">
        <v>0</v>
      </c>
      <c r="S358" s="15">
        <v>0</v>
      </c>
      <c r="T358" s="160">
        <f t="shared" si="33"/>
        <v>26023.165500000003</v>
      </c>
      <c r="V358" s="289">
        <f>'Varmepumpeberegning VP1'!W346</f>
        <v>2.9514704207300451</v>
      </c>
      <c r="W358" s="289">
        <f>'Varmepumpeberegning VP1'!X346</f>
        <v>9.0081678430174801</v>
      </c>
      <c r="X358" s="289">
        <f t="shared" si="34"/>
        <v>48.805649522192738</v>
      </c>
      <c r="Y358" s="15">
        <f>MAX(0,MIN('Potentiel produktion'!C345*$D$3,N358))</f>
        <v>0</v>
      </c>
      <c r="Z358" s="15">
        <f t="shared" si="35"/>
        <v>9.0081678430174801</v>
      </c>
      <c r="AA358" s="16">
        <f t="shared" si="36"/>
        <v>0.58739465698252147</v>
      </c>
      <c r="AB358" s="16">
        <v>0</v>
      </c>
      <c r="AC358" s="16">
        <v>0</v>
      </c>
      <c r="AD358" s="145">
        <f>(Y358*$H$3+Z358*'Varmepumpeberegning VP1'!Z346+AA358*$H$5+AB358*$H$6+AC358*$H$7)*24</f>
        <v>12144.601891738152</v>
      </c>
      <c r="AF358" s="16">
        <f>Z358*'Varmepumpeberegning VP1'!Z346*24</f>
        <v>10551.587582001554</v>
      </c>
      <c r="AG358" s="20">
        <f>(Z358/'Varmepumpeberegning VP1'!W346)*24</f>
        <v>73.250277798462065</v>
      </c>
      <c r="AH358" s="17">
        <f t="shared" si="37"/>
        <v>48.805649522192738</v>
      </c>
      <c r="AI358" s="15">
        <f>'Varmepumpeberegning VP1'!X346-'Systemberegning VP1'!Z358</f>
        <v>0</v>
      </c>
    </row>
    <row r="359" spans="10:35" x14ac:dyDescent="0.25">
      <c r="J359" s="13"/>
      <c r="K359">
        <v>12</v>
      </c>
      <c r="L359">
        <v>344</v>
      </c>
      <c r="M359" s="310">
        <v>0.68013750000000017</v>
      </c>
      <c r="N359" s="15">
        <v>10.588979166666666</v>
      </c>
      <c r="P359" s="15">
        <f>MAX(0,MIN('Potentiel produktion'!C346*$D$3,N359))</f>
        <v>0</v>
      </c>
      <c r="Q359" s="15">
        <f t="shared" si="32"/>
        <v>10.588979166666666</v>
      </c>
      <c r="R359" s="15">
        <v>0</v>
      </c>
      <c r="S359" s="15">
        <v>0</v>
      </c>
      <c r="T359" s="160">
        <f t="shared" si="33"/>
        <v>28717.3115</v>
      </c>
      <c r="V359" s="289">
        <f>'Varmepumpeberegning VP1'!W347</f>
        <v>2.9514704207300451</v>
      </c>
      <c r="W359" s="289">
        <f>'Varmepumpeberegning VP1'!X347</f>
        <v>9.0081678430174801</v>
      </c>
      <c r="X359" s="289">
        <f t="shared" si="34"/>
        <v>48.805649522192738</v>
      </c>
      <c r="Y359" s="15">
        <f>MAX(0,MIN('Potentiel produktion'!C346*$D$3,N359))</f>
        <v>0</v>
      </c>
      <c r="Z359" s="15">
        <f t="shared" si="35"/>
        <v>9.0081678430174801</v>
      </c>
      <c r="AA359" s="16">
        <f t="shared" si="36"/>
        <v>1.5808113236491863</v>
      </c>
      <c r="AB359" s="16">
        <v>0</v>
      </c>
      <c r="AC359" s="16">
        <v>0</v>
      </c>
      <c r="AD359" s="145">
        <f>(Y359*$H$3+Z359*'Varmepumpeberegning VP1'!Z347+AA359*$H$5+AB359*$H$6+AC359*$H$7)*24</f>
        <v>14838.747891738149</v>
      </c>
      <c r="AF359" s="16">
        <f>Z359*'Varmepumpeberegning VP1'!Z347*24</f>
        <v>10551.587582001554</v>
      </c>
      <c r="AG359" s="20">
        <f>(Z359/'Varmepumpeberegning VP1'!W347)*24</f>
        <v>73.250277798462065</v>
      </c>
      <c r="AH359" s="17">
        <f t="shared" si="37"/>
        <v>48.805649522192738</v>
      </c>
      <c r="AI359" s="15">
        <f>'Varmepumpeberegning VP1'!X347-'Systemberegning VP1'!Z359</f>
        <v>0</v>
      </c>
    </row>
    <row r="360" spans="10:35" x14ac:dyDescent="0.25">
      <c r="J360" s="13"/>
      <c r="K360">
        <v>12</v>
      </c>
      <c r="L360">
        <v>345</v>
      </c>
      <c r="M360" s="310">
        <v>0.73322500000000002</v>
      </c>
      <c r="N360" s="15">
        <v>11.374549999999999</v>
      </c>
      <c r="P360" s="15">
        <f>MAX(0,MIN('Potentiel produktion'!C347*$D$3,N360))</f>
        <v>0</v>
      </c>
      <c r="Q360" s="15">
        <f t="shared" si="32"/>
        <v>11.374549999999999</v>
      </c>
      <c r="R360" s="15">
        <v>0</v>
      </c>
      <c r="S360" s="15">
        <v>0</v>
      </c>
      <c r="T360" s="160">
        <f t="shared" si="33"/>
        <v>30847.779599999998</v>
      </c>
      <c r="V360" s="289">
        <f>'Varmepumpeberegning VP1'!W348</f>
        <v>2.9129328437623547</v>
      </c>
      <c r="W360" s="289">
        <f>'Varmepumpeberegning VP1'!X348</f>
        <v>8.9194883596172705</v>
      </c>
      <c r="X360" s="289">
        <f t="shared" si="34"/>
        <v>49.428261889997998</v>
      </c>
      <c r="Y360" s="15">
        <f>MAX(0,MIN('Potentiel produktion'!C347*$D$3,N360))</f>
        <v>0</v>
      </c>
      <c r="Z360" s="15">
        <f t="shared" si="35"/>
        <v>8.9194883596172705</v>
      </c>
      <c r="AA360" s="16">
        <f t="shared" si="36"/>
        <v>2.4550616403827288</v>
      </c>
      <c r="AB360" s="16">
        <v>0</v>
      </c>
      <c r="AC360" s="16">
        <v>0</v>
      </c>
      <c r="AD360" s="145">
        <f>(Y360*$H$3+Z360*'Varmepumpeberegning VP1'!Z348+AA360*$H$5+AB360*$H$6+AC360*$H$7)*24</f>
        <v>17239.122526252788</v>
      </c>
      <c r="AF360" s="16">
        <f>Z360*'Varmepumpeberegning VP1'!Z348*24</f>
        <v>10580.995357534826</v>
      </c>
      <c r="AG360" s="20">
        <f>(Z360/'Varmepumpeberegning VP1'!W348)*24</f>
        <v>73.488724976688388</v>
      </c>
      <c r="AH360" s="17">
        <f t="shared" si="37"/>
        <v>49.428261889997998</v>
      </c>
      <c r="AI360" s="15">
        <f>'Varmepumpeberegning VP1'!X348-'Systemberegning VP1'!Z360</f>
        <v>0</v>
      </c>
    </row>
    <row r="361" spans="10:35" x14ac:dyDescent="0.25">
      <c r="J361" s="13"/>
      <c r="K361">
        <v>12</v>
      </c>
      <c r="L361">
        <v>346</v>
      </c>
      <c r="M361" s="310">
        <v>0.7843374999999998</v>
      </c>
      <c r="N361" s="15">
        <v>10.793300000000002</v>
      </c>
      <c r="P361" s="15">
        <f>MAX(0,MIN('Potentiel produktion'!C348*$D$3,N361))</f>
        <v>0</v>
      </c>
      <c r="Q361" s="15">
        <f t="shared" si="32"/>
        <v>10.793300000000002</v>
      </c>
      <c r="R361" s="15">
        <v>0</v>
      </c>
      <c r="S361" s="15">
        <v>0</v>
      </c>
      <c r="T361" s="160">
        <f t="shared" si="33"/>
        <v>29271.429600000007</v>
      </c>
      <c r="V361" s="289">
        <f>'Varmepumpeberegning VP1'!W349</f>
        <v>2.8746445419591673</v>
      </c>
      <c r="W361" s="289">
        <f>'Varmepumpeberegning VP1'!X349</f>
        <v>8.8308088762170591</v>
      </c>
      <c r="X361" s="289">
        <f t="shared" si="34"/>
        <v>50.063378875196641</v>
      </c>
      <c r="Y361" s="15">
        <f>MAX(0,MIN('Potentiel produktion'!C348*$D$3,N361))</f>
        <v>0</v>
      </c>
      <c r="Z361" s="15">
        <f t="shared" si="35"/>
        <v>8.8308088762170591</v>
      </c>
      <c r="AA361" s="16">
        <f t="shared" si="36"/>
        <v>1.962491123782943</v>
      </c>
      <c r="AB361" s="16">
        <v>0</v>
      </c>
      <c r="AC361" s="16">
        <v>0</v>
      </c>
      <c r="AD361" s="145">
        <f>(Y361*$H$3+Z361*'Varmepumpeberegning VP1'!Z349+AA361*$H$5+AB361*$H$6+AC361*$H$7)*24</f>
        <v>15932.679060767439</v>
      </c>
      <c r="AF361" s="16">
        <f>Z361*'Varmepumpeberegning VP1'!Z349*24</f>
        <v>10610.403133068099</v>
      </c>
      <c r="AG361" s="20">
        <f>(Z361/'Varmepumpeberegning VP1'!W349)*24</f>
        <v>73.727172154914697</v>
      </c>
      <c r="AH361" s="17">
        <f t="shared" si="37"/>
        <v>50.063378875196641</v>
      </c>
      <c r="AI361" s="15">
        <f>'Varmepumpeberegning VP1'!X349-'Systemberegning VP1'!Z361</f>
        <v>0</v>
      </c>
    </row>
    <row r="362" spans="10:35" x14ac:dyDescent="0.25">
      <c r="J362" s="13"/>
      <c r="K362">
        <v>12</v>
      </c>
      <c r="L362">
        <v>347</v>
      </c>
      <c r="M362" s="310">
        <v>0.68264999999999976</v>
      </c>
      <c r="N362" s="15">
        <v>12.621620833333333</v>
      </c>
      <c r="P362" s="15">
        <f>MAX(0,MIN('Potentiel produktion'!C349*$D$3,N362))</f>
        <v>0</v>
      </c>
      <c r="Q362" s="15">
        <f t="shared" si="32"/>
        <v>12.621620833333333</v>
      </c>
      <c r="R362" s="15">
        <v>0</v>
      </c>
      <c r="S362" s="15">
        <v>0</v>
      </c>
      <c r="T362" s="160">
        <f t="shared" si="33"/>
        <v>34229.835700000003</v>
      </c>
      <c r="V362" s="289">
        <f>'Varmepumpeberegning VP1'!W350</f>
        <v>2.9129328437623547</v>
      </c>
      <c r="W362" s="289">
        <f>'Varmepumpeberegning VP1'!X350</f>
        <v>8.9194883596172705</v>
      </c>
      <c r="X362" s="289">
        <f t="shared" si="34"/>
        <v>49.428261889997998</v>
      </c>
      <c r="Y362" s="15">
        <f>MAX(0,MIN('Potentiel produktion'!C349*$D$3,N362))</f>
        <v>0</v>
      </c>
      <c r="Z362" s="15">
        <f t="shared" si="35"/>
        <v>8.9194883596172705</v>
      </c>
      <c r="AA362" s="16">
        <f t="shared" si="36"/>
        <v>3.7021324737160626</v>
      </c>
      <c r="AB362" s="16">
        <v>0</v>
      </c>
      <c r="AC362" s="16">
        <v>0</v>
      </c>
      <c r="AD362" s="145">
        <f>(Y362*$H$3+Z362*'Varmepumpeberegning VP1'!Z350+AA362*$H$5+AB362*$H$6+AC362*$H$7)*24</f>
        <v>20621.178626252789</v>
      </c>
      <c r="AF362" s="16">
        <f>Z362*'Varmepumpeberegning VP1'!Z350*24</f>
        <v>10580.995357534826</v>
      </c>
      <c r="AG362" s="20">
        <f>(Z362/'Varmepumpeberegning VP1'!W350)*24</f>
        <v>73.488724976688388</v>
      </c>
      <c r="AH362" s="17">
        <f t="shared" si="37"/>
        <v>49.428261889997998</v>
      </c>
      <c r="AI362" s="15">
        <f>'Varmepumpeberegning VP1'!X350-'Systemberegning VP1'!Z362</f>
        <v>0</v>
      </c>
    </row>
    <row r="363" spans="10:35" x14ac:dyDescent="0.25">
      <c r="J363" s="13"/>
      <c r="K363">
        <v>12</v>
      </c>
      <c r="L363">
        <v>348</v>
      </c>
      <c r="M363" s="310">
        <v>0.77514999999999989</v>
      </c>
      <c r="N363" s="15">
        <v>11.275925000000001</v>
      </c>
      <c r="P363" s="15">
        <f>MAX(0,MIN('Potentiel produktion'!C350*$D$3,N363))</f>
        <v>0</v>
      </c>
      <c r="Q363" s="15">
        <f t="shared" si="32"/>
        <v>11.275925000000001</v>
      </c>
      <c r="R363" s="15">
        <v>0</v>
      </c>
      <c r="S363" s="15">
        <v>0</v>
      </c>
      <c r="T363" s="160">
        <f t="shared" si="33"/>
        <v>30580.3086</v>
      </c>
      <c r="V363" s="289">
        <f>'Varmepumpeberegning VP1'!W351</f>
        <v>2.7801824984496553</v>
      </c>
      <c r="W363" s="289">
        <f>'Varmepumpeberegning VP1'!X351</f>
        <v>8.6254633211387688</v>
      </c>
      <c r="X363" s="289">
        <f t="shared" si="34"/>
        <v>51.705110358037601</v>
      </c>
      <c r="Y363" s="15">
        <f>MAX(0,MIN('Potentiel produktion'!C350*$D$3,N363))</f>
        <v>0</v>
      </c>
      <c r="Z363" s="15">
        <f t="shared" si="35"/>
        <v>8.6254633211387688</v>
      </c>
      <c r="AA363" s="16">
        <f t="shared" si="36"/>
        <v>2.6504616788612321</v>
      </c>
      <c r="AB363" s="16">
        <v>0</v>
      </c>
      <c r="AC363" s="16">
        <v>0</v>
      </c>
      <c r="AD363" s="145">
        <f>(Y363*$H$3+Z363*'Varmepumpeberegning VP1'!Z351+AA363*$H$5+AB363*$H$6+AC363*$H$7)*24</f>
        <v>17891.584862880118</v>
      </c>
      <c r="AF363" s="16">
        <f>Z363*'Varmepumpeberegning VP1'!Z351*24</f>
        <v>10703.532789808454</v>
      </c>
      <c r="AG363" s="20">
        <f>(Z363/'Varmepumpeberegning VP1'!W351)*24</f>
        <v>74.459543509380566</v>
      </c>
      <c r="AH363" s="17">
        <f t="shared" si="37"/>
        <v>51.705110358037608</v>
      </c>
      <c r="AI363" s="15">
        <f>'Varmepumpeberegning VP1'!X351-'Systemberegning VP1'!Z363</f>
        <v>0</v>
      </c>
    </row>
    <row r="364" spans="10:35" x14ac:dyDescent="0.25">
      <c r="J364" s="13"/>
      <c r="K364">
        <v>12</v>
      </c>
      <c r="L364">
        <v>349</v>
      </c>
      <c r="M364" s="310">
        <v>0.85255000000000003</v>
      </c>
      <c r="N364" s="15">
        <v>8.0948583333333346</v>
      </c>
      <c r="P364" s="15">
        <f>MAX(0,MIN('Potentiel produktion'!C351*$D$3,N364))</f>
        <v>0</v>
      </c>
      <c r="Q364" s="15">
        <f t="shared" si="32"/>
        <v>8.0948583333333346</v>
      </c>
      <c r="R364" s="15">
        <v>0</v>
      </c>
      <c r="S364" s="15">
        <v>0</v>
      </c>
      <c r="T364" s="160">
        <f t="shared" si="33"/>
        <v>21953.255800000006</v>
      </c>
      <c r="V364" s="289">
        <f>'Varmepumpeberegning VP1'!W352</f>
        <v>2.8746445419591673</v>
      </c>
      <c r="W364" s="289">
        <f>'Varmepumpeberegning VP1'!X352</f>
        <v>8.8308088762170591</v>
      </c>
      <c r="X364" s="289">
        <f t="shared" si="34"/>
        <v>50.063378875196641</v>
      </c>
      <c r="Y364" s="15">
        <f>MAX(0,MIN('Potentiel produktion'!C351*$D$3,N364))</f>
        <v>0</v>
      </c>
      <c r="Z364" s="15">
        <f t="shared" si="35"/>
        <v>8.0948583333333346</v>
      </c>
      <c r="AA364" s="16">
        <f t="shared" si="36"/>
        <v>0</v>
      </c>
      <c r="AB364" s="16">
        <v>0</v>
      </c>
      <c r="AC364" s="16">
        <v>0</v>
      </c>
      <c r="AD364" s="145">
        <f>(Y364*$H$3+Z364*'Varmepumpeberegning VP1'!Z352+AA364*$H$5+AB364*$H$6+AC364*$H$7)*24</f>
        <v>9726.1430323850291</v>
      </c>
      <c r="AF364" s="16">
        <f>Z364*'Varmepumpeberegning VP1'!Z352*24</f>
        <v>9726.1430323850291</v>
      </c>
      <c r="AG364" s="20">
        <f>(Z364/'Varmepumpeberegning VP1'!W352)*24</f>
        <v>67.582825342153086</v>
      </c>
      <c r="AH364" s="17">
        <f t="shared" si="37"/>
        <v>50.063378875196641</v>
      </c>
      <c r="AI364" s="15">
        <f>'Varmepumpeberegning VP1'!X352-'Systemberegning VP1'!Z364</f>
        <v>0.73595054288372452</v>
      </c>
    </row>
    <row r="365" spans="10:35" x14ac:dyDescent="0.25">
      <c r="J365" s="13"/>
      <c r="K365">
        <v>12</v>
      </c>
      <c r="L365">
        <v>350</v>
      </c>
      <c r="M365" s="310">
        <v>0.87541250000000037</v>
      </c>
      <c r="N365" s="15">
        <v>6.3510750000000007</v>
      </c>
      <c r="P365" s="15">
        <f>MAX(0,MIN('Potentiel produktion'!C352*$D$3,N365))</f>
        <v>0</v>
      </c>
      <c r="Q365" s="15">
        <f t="shared" si="32"/>
        <v>6.3510750000000007</v>
      </c>
      <c r="R365" s="15">
        <v>0</v>
      </c>
      <c r="S365" s="15">
        <v>0</v>
      </c>
      <c r="T365" s="160">
        <f t="shared" si="33"/>
        <v>17224.115400000002</v>
      </c>
      <c r="V365" s="289">
        <f>'Varmepumpeberegning VP1'!W353</f>
        <v>3.0328225996421248</v>
      </c>
      <c r="W365" s="289">
        <f>'Varmepumpeberegning VP1'!X353</f>
        <v>9.2017685704053669</v>
      </c>
      <c r="X365" s="289">
        <f t="shared" si="34"/>
        <v>47.54328147744701</v>
      </c>
      <c r="Y365" s="15">
        <f>MAX(0,MIN('Potentiel produktion'!C352*$D$3,N365))</f>
        <v>0</v>
      </c>
      <c r="Z365" s="15">
        <f t="shared" si="35"/>
        <v>6.3510750000000007</v>
      </c>
      <c r="AA365" s="16">
        <f t="shared" si="36"/>
        <v>0</v>
      </c>
      <c r="AB365" s="16">
        <v>0</v>
      </c>
      <c r="AC365" s="16">
        <v>0</v>
      </c>
      <c r="AD365" s="145">
        <f>(Y365*$H$3+Z365*'Varmepumpeberegning VP1'!Z353+AA365*$H$5+AB365*$H$6+AC365*$H$7)*24</f>
        <v>7246.8227138250431</v>
      </c>
      <c r="AF365" s="16">
        <f>Z365*'Varmepumpeberegning VP1'!Z353*24</f>
        <v>7246.8227138250431</v>
      </c>
      <c r="AG365" s="20">
        <f>(Z365/'Varmepumpeberegning VP1'!W353)*24</f>
        <v>50.258725986144512</v>
      </c>
      <c r="AH365" s="17">
        <f t="shared" si="37"/>
        <v>47.54328147744701</v>
      </c>
      <c r="AI365" s="15">
        <f>'Varmepumpeberegning VP1'!X353-'Systemberegning VP1'!Z365</f>
        <v>2.8506935704053662</v>
      </c>
    </row>
    <row r="366" spans="10:35" x14ac:dyDescent="0.25">
      <c r="J366" s="13"/>
      <c r="K366">
        <v>12</v>
      </c>
      <c r="L366">
        <v>351</v>
      </c>
      <c r="M366" s="310">
        <v>1.0364625000000001</v>
      </c>
      <c r="N366" s="15">
        <v>7.6298583333333339</v>
      </c>
      <c r="P366" s="15">
        <f>MAX(0,MIN('Potentiel produktion'!C353*$D$3,N366))</f>
        <v>0</v>
      </c>
      <c r="Q366" s="15">
        <f t="shared" si="32"/>
        <v>7.6298583333333339</v>
      </c>
      <c r="R366" s="15">
        <v>0</v>
      </c>
      <c r="S366" s="15">
        <v>0</v>
      </c>
      <c r="T366" s="160">
        <f t="shared" si="33"/>
        <v>20692.175800000005</v>
      </c>
      <c r="V366" s="289">
        <f>'Varmepumpeberegning VP1'!W354</f>
        <v>3.1186336937333676</v>
      </c>
      <c r="W366" s="289">
        <f>'Varmepumpeberegning VP1'!X354</f>
        <v>9.4116110583807178</v>
      </c>
      <c r="X366" s="289">
        <f t="shared" si="34"/>
        <v>46.283096463675768</v>
      </c>
      <c r="Y366" s="15">
        <f>MAX(0,MIN('Potentiel produktion'!C353*$D$3,N366))</f>
        <v>0</v>
      </c>
      <c r="Z366" s="15">
        <f t="shared" si="35"/>
        <v>7.6298583333333339</v>
      </c>
      <c r="AA366" s="16">
        <f t="shared" si="36"/>
        <v>0</v>
      </c>
      <c r="AB366" s="16">
        <v>0</v>
      </c>
      <c r="AC366" s="16">
        <v>0</v>
      </c>
      <c r="AD366" s="145">
        <f>(Y366*$H$3+Z366*'Varmepumpeberegning VP1'!Z354+AA366*$H$5+AB366*$H$6+AC366*$H$7)*24</f>
        <v>8475.2032619003294</v>
      </c>
      <c r="AF366" s="16">
        <f>Z366*'Varmepumpeberegning VP1'!Z354*24</f>
        <v>8475.2032619003294</v>
      </c>
      <c r="AG366" s="20">
        <f>(Z366/'Varmepumpeberegning VP1'!W354)*24</f>
        <v>58.716931189436394</v>
      </c>
      <c r="AH366" s="17">
        <f t="shared" si="37"/>
        <v>46.283096463675754</v>
      </c>
      <c r="AI366" s="15">
        <f>'Varmepumpeberegning VP1'!X354-'Systemberegning VP1'!Z366</f>
        <v>1.7817527250473839</v>
      </c>
    </row>
    <row r="367" spans="10:35" x14ac:dyDescent="0.25">
      <c r="J367" s="13"/>
      <c r="K367">
        <v>12</v>
      </c>
      <c r="L367">
        <v>352</v>
      </c>
      <c r="M367" s="310">
        <v>0.87042500000000012</v>
      </c>
      <c r="N367" s="15">
        <v>6.506079166666666</v>
      </c>
      <c r="P367" s="15">
        <f>MAX(0,MIN('Potentiel produktion'!C354*$D$3,N367))</f>
        <v>0</v>
      </c>
      <c r="Q367" s="15">
        <f t="shared" si="32"/>
        <v>6.506079166666666</v>
      </c>
      <c r="R367" s="15">
        <v>0</v>
      </c>
      <c r="S367" s="15">
        <v>0</v>
      </c>
      <c r="T367" s="160">
        <f t="shared" si="33"/>
        <v>17644.486700000001</v>
      </c>
      <c r="V367" s="289">
        <f>'Varmepumpeberegning VP1'!W355</f>
        <v>3.0328225996421248</v>
      </c>
      <c r="W367" s="289">
        <f>'Varmepumpeberegning VP1'!X355</f>
        <v>9.2017685704053669</v>
      </c>
      <c r="X367" s="289">
        <f t="shared" si="34"/>
        <v>47.54328147744701</v>
      </c>
      <c r="Y367" s="15">
        <f>MAX(0,MIN('Potentiel produktion'!C354*$D$3,N367))</f>
        <v>0</v>
      </c>
      <c r="Z367" s="15">
        <f t="shared" si="35"/>
        <v>6.506079166666666</v>
      </c>
      <c r="AA367" s="16">
        <f t="shared" si="36"/>
        <v>0</v>
      </c>
      <c r="AB367" s="16">
        <v>0</v>
      </c>
      <c r="AC367" s="16">
        <v>0</v>
      </c>
      <c r="AD367" s="145">
        <f>(Y367*$H$3+Z367*'Varmepumpeberegning VP1'!Z355+AA367*$H$5+AB367*$H$6+AC367*$H$7)*24</f>
        <v>7423.6884752492915</v>
      </c>
      <c r="AF367" s="16">
        <f>Z367*'Varmepumpeberegning VP1'!Z355*24</f>
        <v>7423.6884752492915</v>
      </c>
      <c r="AG367" s="20">
        <f>(Z367/'Varmepumpeberegning VP1'!W355)*24</f>
        <v>51.485339108995461</v>
      </c>
      <c r="AH367" s="17">
        <f t="shared" si="37"/>
        <v>47.543281477447003</v>
      </c>
      <c r="AI367" s="15">
        <f>'Varmepumpeberegning VP1'!X355-'Systemberegning VP1'!Z367</f>
        <v>2.6956894037387009</v>
      </c>
    </row>
    <row r="368" spans="10:35" x14ac:dyDescent="0.25">
      <c r="J368" s="13"/>
      <c r="K368">
        <v>12</v>
      </c>
      <c r="L368">
        <v>353</v>
      </c>
      <c r="M368" s="310">
        <v>0.88645000000000007</v>
      </c>
      <c r="N368" s="15">
        <v>7.6474583333333355</v>
      </c>
      <c r="P368" s="15">
        <f>MAX(0,MIN('Potentiel produktion'!C355*$D$3,N368))</f>
        <v>0</v>
      </c>
      <c r="Q368" s="15">
        <f t="shared" si="32"/>
        <v>7.6474583333333355</v>
      </c>
      <c r="R368" s="15">
        <v>0</v>
      </c>
      <c r="S368" s="15">
        <v>0</v>
      </c>
      <c r="T368" s="160">
        <f t="shared" si="33"/>
        <v>20739.907000000007</v>
      </c>
      <c r="V368" s="289">
        <f>'Varmepumpeberegning VP1'!W356</f>
        <v>3.1186336937333676</v>
      </c>
      <c r="W368" s="289">
        <f>'Varmepumpeberegning VP1'!X356</f>
        <v>9.4116110583807178</v>
      </c>
      <c r="X368" s="289">
        <f t="shared" si="34"/>
        <v>46.283096463675768</v>
      </c>
      <c r="Y368" s="15">
        <f>MAX(0,MIN('Potentiel produktion'!C355*$D$3,N368))</f>
        <v>0</v>
      </c>
      <c r="Z368" s="15">
        <f t="shared" si="35"/>
        <v>7.6474583333333355</v>
      </c>
      <c r="AA368" s="16">
        <f t="shared" si="36"/>
        <v>0</v>
      </c>
      <c r="AB368" s="16">
        <v>0</v>
      </c>
      <c r="AC368" s="16">
        <v>0</v>
      </c>
      <c r="AD368" s="145">
        <f>(Y368*$H$3+Z368*'Varmepumpeberegning VP1'!Z356+AA368*$H$5+AB368*$H$6+AC368*$H$7)*24</f>
        <v>8494.7532418465889</v>
      </c>
      <c r="AF368" s="16">
        <f>Z368*'Varmepumpeberegning VP1'!Z356*24</f>
        <v>8494.7532418465889</v>
      </c>
      <c r="AG368" s="20">
        <f>(Z368/'Varmepumpeberegning VP1'!W356)*24</f>
        <v>58.85237511824689</v>
      </c>
      <c r="AH368" s="17">
        <f t="shared" si="37"/>
        <v>46.283096463675768</v>
      </c>
      <c r="AI368" s="15">
        <f>'Varmepumpeberegning VP1'!X356-'Systemberegning VP1'!Z368</f>
        <v>1.7641527250473823</v>
      </c>
    </row>
    <row r="369" spans="10:35" x14ac:dyDescent="0.25">
      <c r="J369" s="13"/>
      <c r="K369">
        <v>12</v>
      </c>
      <c r="L369">
        <v>354</v>
      </c>
      <c r="M369" s="310">
        <v>0.76266250000000035</v>
      </c>
      <c r="N369" s="15">
        <v>9.5603250000000006</v>
      </c>
      <c r="P369" s="15">
        <f>MAX(0,MIN('Potentiel produktion'!C356*$D$3,N369))</f>
        <v>0</v>
      </c>
      <c r="Q369" s="15">
        <f t="shared" si="32"/>
        <v>9.5603250000000006</v>
      </c>
      <c r="R369" s="15">
        <v>0</v>
      </c>
      <c r="S369" s="15">
        <v>0</v>
      </c>
      <c r="T369" s="160">
        <f t="shared" si="33"/>
        <v>25927.601400000003</v>
      </c>
      <c r="V369" s="289">
        <f>'Varmepumpeberegning VP1'!W357</f>
        <v>3.0328225996421248</v>
      </c>
      <c r="W369" s="289">
        <f>'Varmepumpeberegning VP1'!X357</f>
        <v>9.2017685704053669</v>
      </c>
      <c r="X369" s="289">
        <f t="shared" si="34"/>
        <v>47.54328147744701</v>
      </c>
      <c r="Y369" s="15">
        <f>MAX(0,MIN('Potentiel produktion'!C356*$D$3,N369))</f>
        <v>0</v>
      </c>
      <c r="Z369" s="15">
        <f t="shared" si="35"/>
        <v>9.2017685704053669</v>
      </c>
      <c r="AA369" s="16">
        <f t="shared" si="36"/>
        <v>0.35855642959463374</v>
      </c>
      <c r="AB369" s="16">
        <v>0</v>
      </c>
      <c r="AC369" s="16">
        <v>0</v>
      </c>
      <c r="AD369" s="145">
        <f>(Y369*$H$3+Z369*'Varmepumpeberegning VP1'!Z357+AA369*$H$5+AB369*$H$6+AC369*$H$7)*24</f>
        <v>11471.979594655228</v>
      </c>
      <c r="AF369" s="16">
        <f>Z369*'Varmepumpeberegning VP1'!Z357*24</f>
        <v>10499.57455759458</v>
      </c>
      <c r="AG369" s="20">
        <f>(Z369/'Varmepumpeberegning VP1'!W357)*24</f>
        <v>72.817462424537581</v>
      </c>
      <c r="AH369" s="17">
        <f t="shared" si="37"/>
        <v>47.54328147744701</v>
      </c>
      <c r="AI369" s="15">
        <f>'Varmepumpeberegning VP1'!X357-'Systemberegning VP1'!Z369</f>
        <v>0</v>
      </c>
    </row>
    <row r="370" spans="10:35" x14ac:dyDescent="0.25">
      <c r="J370" s="13"/>
      <c r="K370">
        <v>12</v>
      </c>
      <c r="L370">
        <v>355</v>
      </c>
      <c r="M370" s="310">
        <v>0.72586250000000041</v>
      </c>
      <c r="N370" s="15">
        <v>8.0455374999999982</v>
      </c>
      <c r="P370" s="15">
        <f>MAX(0,MIN('Potentiel produktion'!C357*$D$3,N370))</f>
        <v>0</v>
      </c>
      <c r="Q370" s="15">
        <f t="shared" si="32"/>
        <v>8.0455374999999982</v>
      </c>
      <c r="R370" s="15">
        <v>0</v>
      </c>
      <c r="S370" s="15">
        <v>0</v>
      </c>
      <c r="T370" s="160">
        <f t="shared" si="33"/>
        <v>21819.497699999993</v>
      </c>
      <c r="V370" s="289">
        <f>'Varmepumpeberegning VP1'!W358</f>
        <v>2.9514704207300451</v>
      </c>
      <c r="W370" s="289">
        <f>'Varmepumpeberegning VP1'!X358</f>
        <v>9.0081678430174801</v>
      </c>
      <c r="X370" s="289">
        <f t="shared" si="34"/>
        <v>48.805649522192738</v>
      </c>
      <c r="Y370" s="15">
        <f>MAX(0,MIN('Potentiel produktion'!C357*$D$3,N370))</f>
        <v>0</v>
      </c>
      <c r="Z370" s="15">
        <f t="shared" si="35"/>
        <v>8.0455374999999982</v>
      </c>
      <c r="AA370" s="16">
        <f t="shared" si="36"/>
        <v>0</v>
      </c>
      <c r="AB370" s="16">
        <v>0</v>
      </c>
      <c r="AC370" s="16">
        <v>0</v>
      </c>
      <c r="AD370" s="145">
        <f>(Y370*$H$3+Z370*'Varmepumpeberegning VP1'!Z358+AA370*$H$5+AB370*$H$6+AC370*$H$7)*24</f>
        <v>9424.024402623807</v>
      </c>
      <c r="AF370" s="16">
        <f>Z370*'Varmepumpeberegning VP1'!Z358*24</f>
        <v>9424.024402623807</v>
      </c>
      <c r="AG370" s="20">
        <f>(Z370/'Varmepumpeberegning VP1'!W358)*24</f>
        <v>65.422610588873354</v>
      </c>
      <c r="AH370" s="17">
        <f t="shared" si="37"/>
        <v>48.805649522192731</v>
      </c>
      <c r="AI370" s="15">
        <f>'Varmepumpeberegning VP1'!X358-'Systemberegning VP1'!Z370</f>
        <v>0.96263034301748185</v>
      </c>
    </row>
    <row r="371" spans="10:35" x14ac:dyDescent="0.25">
      <c r="J371" s="13"/>
      <c r="K371">
        <v>12</v>
      </c>
      <c r="L371">
        <v>356</v>
      </c>
      <c r="M371" s="310">
        <v>0.73296250000000029</v>
      </c>
      <c r="N371" s="15">
        <v>9.7928250000000006</v>
      </c>
      <c r="P371" s="15">
        <f>MAX(0,MIN('Potentiel produktion'!C358*$D$3,N371))</f>
        <v>0</v>
      </c>
      <c r="Q371" s="15">
        <f t="shared" si="32"/>
        <v>9.7928250000000006</v>
      </c>
      <c r="R371" s="15">
        <v>0</v>
      </c>
      <c r="S371" s="15">
        <v>0</v>
      </c>
      <c r="T371" s="160">
        <f t="shared" si="33"/>
        <v>26558.141400000004</v>
      </c>
      <c r="V371" s="289">
        <f>'Varmepumpeberegning VP1'!W359</f>
        <v>3.0328225996421248</v>
      </c>
      <c r="W371" s="289">
        <f>'Varmepumpeberegning VP1'!X359</f>
        <v>9.2017685704053669</v>
      </c>
      <c r="X371" s="289">
        <f t="shared" si="34"/>
        <v>47.54328147744701</v>
      </c>
      <c r="Y371" s="15">
        <f>MAX(0,MIN('Potentiel produktion'!C358*$D$3,N371))</f>
        <v>0</v>
      </c>
      <c r="Z371" s="15">
        <f t="shared" si="35"/>
        <v>9.2017685704053669</v>
      </c>
      <c r="AA371" s="16">
        <f t="shared" si="36"/>
        <v>0.59105642959463367</v>
      </c>
      <c r="AB371" s="16">
        <v>0</v>
      </c>
      <c r="AC371" s="16">
        <v>0</v>
      </c>
      <c r="AD371" s="145">
        <f>(Y371*$H$3+Z371*'Varmepumpeberegning VP1'!Z359+AA371*$H$5+AB371*$H$6+AC371*$H$7)*24</f>
        <v>12102.519594655227</v>
      </c>
      <c r="AF371" s="16">
        <f>Z371*'Varmepumpeberegning VP1'!Z359*24</f>
        <v>10499.57455759458</v>
      </c>
      <c r="AG371" s="20">
        <f>(Z371/'Varmepumpeberegning VP1'!W359)*24</f>
        <v>72.817462424537581</v>
      </c>
      <c r="AH371" s="17">
        <f t="shared" si="37"/>
        <v>47.54328147744701</v>
      </c>
      <c r="AI371" s="15">
        <f>'Varmepumpeberegning VP1'!X359-'Systemberegning VP1'!Z371</f>
        <v>0</v>
      </c>
    </row>
    <row r="372" spans="10:35" x14ac:dyDescent="0.25">
      <c r="J372" s="13"/>
      <c r="K372">
        <v>12</v>
      </c>
      <c r="L372">
        <v>357</v>
      </c>
      <c r="M372" s="310">
        <v>0.70983750000000023</v>
      </c>
      <c r="N372" s="15">
        <v>9.6307916666666689</v>
      </c>
      <c r="P372" s="15">
        <f>MAX(0,MIN('Potentiel produktion'!C359*$D$3,N372))</f>
        <v>0</v>
      </c>
      <c r="Q372" s="15">
        <f t="shared" si="32"/>
        <v>9.6307916666666689</v>
      </c>
      <c r="R372" s="15">
        <v>0</v>
      </c>
      <c r="S372" s="15">
        <v>0</v>
      </c>
      <c r="T372" s="160">
        <f t="shared" si="33"/>
        <v>26118.707000000009</v>
      </c>
      <c r="V372" s="289">
        <f>'Varmepumpeberegning VP1'!W360</f>
        <v>2.9514704207300451</v>
      </c>
      <c r="W372" s="289">
        <f>'Varmepumpeberegning VP1'!X360</f>
        <v>9.0081678430174801</v>
      </c>
      <c r="X372" s="289">
        <f t="shared" si="34"/>
        <v>48.805649522192738</v>
      </c>
      <c r="Y372" s="15">
        <f>MAX(0,MIN('Potentiel produktion'!C359*$D$3,N372))</f>
        <v>0</v>
      </c>
      <c r="Z372" s="15">
        <f t="shared" si="35"/>
        <v>9.0081678430174801</v>
      </c>
      <c r="AA372" s="16">
        <f t="shared" si="36"/>
        <v>0.62262382364918878</v>
      </c>
      <c r="AB372" s="16">
        <v>0</v>
      </c>
      <c r="AC372" s="16">
        <v>0</v>
      </c>
      <c r="AD372" s="145">
        <f>(Y372*$H$3+Z372*'Varmepumpeberegning VP1'!Z360+AA372*$H$5+AB372*$H$6+AC372*$H$7)*24</f>
        <v>12240.143391738155</v>
      </c>
      <c r="AF372" s="16">
        <f>Z372*'Varmepumpeberegning VP1'!Z360*24</f>
        <v>10551.587582001554</v>
      </c>
      <c r="AG372" s="20">
        <f>(Z372/'Varmepumpeberegning VP1'!W360)*24</f>
        <v>73.250277798462065</v>
      </c>
      <c r="AH372" s="17">
        <f t="shared" si="37"/>
        <v>48.805649522192738</v>
      </c>
      <c r="AI372" s="15">
        <f>'Varmepumpeberegning VP1'!X360-'Systemberegning VP1'!Z372</f>
        <v>0</v>
      </c>
    </row>
    <row r="373" spans="10:35" x14ac:dyDescent="0.25">
      <c r="J373" s="13"/>
      <c r="K373">
        <v>12</v>
      </c>
      <c r="L373">
        <v>358</v>
      </c>
      <c r="M373" s="310">
        <v>0.68932500000000019</v>
      </c>
      <c r="N373" s="15">
        <v>10.197958333333334</v>
      </c>
      <c r="P373" s="15">
        <f>MAX(0,MIN('Potentiel produktion'!C360*$D$3,N373))</f>
        <v>0</v>
      </c>
      <c r="Q373" s="15">
        <f t="shared" si="32"/>
        <v>10.197958333333334</v>
      </c>
      <c r="R373" s="15">
        <v>0</v>
      </c>
      <c r="S373" s="15">
        <v>0</v>
      </c>
      <c r="T373" s="160">
        <f t="shared" si="33"/>
        <v>27656.863000000005</v>
      </c>
      <c r="V373" s="289">
        <f>'Varmepumpeberegning VP1'!W361</f>
        <v>2.9514704207300451</v>
      </c>
      <c r="W373" s="289">
        <f>'Varmepumpeberegning VP1'!X361</f>
        <v>9.0081678430174801</v>
      </c>
      <c r="X373" s="289">
        <f t="shared" si="34"/>
        <v>48.805649522192738</v>
      </c>
      <c r="Y373" s="15">
        <f>MAX(0,MIN('Potentiel produktion'!C360*$D$3,N373))</f>
        <v>0</v>
      </c>
      <c r="Z373" s="15">
        <f t="shared" si="35"/>
        <v>9.0081678430174801</v>
      </c>
      <c r="AA373" s="16">
        <f t="shared" si="36"/>
        <v>1.189790490315854</v>
      </c>
      <c r="AB373" s="16">
        <v>0</v>
      </c>
      <c r="AC373" s="16">
        <v>0</v>
      </c>
      <c r="AD373" s="145">
        <f>(Y373*$H$3+Z373*'Varmepumpeberegning VP1'!Z361+AA373*$H$5+AB373*$H$6+AC373*$H$7)*24</f>
        <v>13778.29939173815</v>
      </c>
      <c r="AF373" s="16">
        <f>Z373*'Varmepumpeberegning VP1'!Z361*24</f>
        <v>10551.587582001554</v>
      </c>
      <c r="AG373" s="20">
        <f>(Z373/'Varmepumpeberegning VP1'!W361)*24</f>
        <v>73.250277798462065</v>
      </c>
      <c r="AH373" s="17">
        <f t="shared" si="37"/>
        <v>48.805649522192738</v>
      </c>
      <c r="AI373" s="15">
        <f>'Varmepumpeberegning VP1'!X361-'Systemberegning VP1'!Z373</f>
        <v>0</v>
      </c>
    </row>
    <row r="374" spans="10:35" x14ac:dyDescent="0.25">
      <c r="J374" s="13"/>
      <c r="K374">
        <v>12</v>
      </c>
      <c r="L374">
        <v>359</v>
      </c>
      <c r="M374" s="310">
        <v>0.66200000000000003</v>
      </c>
      <c r="N374" s="15">
        <v>7.4818875</v>
      </c>
      <c r="P374" s="15">
        <f>MAX(0,MIN('Potentiel produktion'!C361*$D$3,N374))</f>
        <v>0</v>
      </c>
      <c r="Q374" s="15">
        <f t="shared" si="32"/>
        <v>7.4818875</v>
      </c>
      <c r="R374" s="15">
        <v>0</v>
      </c>
      <c r="S374" s="15">
        <v>0</v>
      </c>
      <c r="T374" s="160">
        <f t="shared" si="33"/>
        <v>20290.8789</v>
      </c>
      <c r="V374" s="289">
        <f>'Varmepumpeberegning VP1'!W362</f>
        <v>2.9129328437623547</v>
      </c>
      <c r="W374" s="289">
        <f>'Varmepumpeberegning VP1'!X362</f>
        <v>8.9194883596172705</v>
      </c>
      <c r="X374" s="289">
        <f t="shared" si="34"/>
        <v>49.428261889997998</v>
      </c>
      <c r="Y374" s="15">
        <f>MAX(0,MIN('Potentiel produktion'!C361*$D$3,N374))</f>
        <v>0</v>
      </c>
      <c r="Z374" s="15">
        <f t="shared" si="35"/>
        <v>7.4818875</v>
      </c>
      <c r="AA374" s="16">
        <f t="shared" si="36"/>
        <v>0</v>
      </c>
      <c r="AB374" s="16">
        <v>0</v>
      </c>
      <c r="AC374" s="16">
        <v>0</v>
      </c>
      <c r="AD374" s="145">
        <f>(Y374*$H$3+Z374*'Varmepumpeberegning VP1'!Z362+AA374*$H$5+AB374*$H$6+AC374*$H$7)*24</f>
        <v>8875.6006747560568</v>
      </c>
      <c r="AF374" s="16">
        <f>Z374*'Varmepumpeberegning VP1'!Z362*24</f>
        <v>8875.6006747560568</v>
      </c>
      <c r="AG374" s="20">
        <f>(Z374/'Varmepumpeberegning VP1'!W362)*24</f>
        <v>61.644160586988605</v>
      </c>
      <c r="AH374" s="17">
        <f t="shared" si="37"/>
        <v>49.428261889997998</v>
      </c>
      <c r="AI374" s="15">
        <f>'Varmepumpeberegning VP1'!X362-'Systemberegning VP1'!Z374</f>
        <v>1.4376008596172705</v>
      </c>
    </row>
    <row r="375" spans="10:35" x14ac:dyDescent="0.25">
      <c r="J375" s="13"/>
      <c r="K375">
        <v>12</v>
      </c>
      <c r="L375">
        <v>360</v>
      </c>
      <c r="M375" s="310">
        <v>0.73507500000000026</v>
      </c>
      <c r="N375" s="15">
        <v>8.8769249999999982</v>
      </c>
      <c r="P375" s="15">
        <f>MAX(0,MIN('Potentiel produktion'!C362*$D$3,N375))</f>
        <v>0</v>
      </c>
      <c r="Q375" s="15">
        <f t="shared" si="32"/>
        <v>8.8769249999999982</v>
      </c>
      <c r="R375" s="15">
        <v>0</v>
      </c>
      <c r="S375" s="15">
        <v>0</v>
      </c>
      <c r="T375" s="160">
        <f t="shared" si="33"/>
        <v>24074.220599999993</v>
      </c>
      <c r="V375" s="289">
        <f>'Varmepumpeberegning VP1'!W363</f>
        <v>3.0328225996421248</v>
      </c>
      <c r="W375" s="289">
        <f>'Varmepumpeberegning VP1'!X363</f>
        <v>9.2017685704053669</v>
      </c>
      <c r="X375" s="289">
        <f t="shared" si="34"/>
        <v>47.54328147744701</v>
      </c>
      <c r="Y375" s="15">
        <f>MAX(0,MIN('Potentiel produktion'!C362*$D$3,N375))</f>
        <v>0</v>
      </c>
      <c r="Z375" s="15">
        <f t="shared" si="35"/>
        <v>8.8769249999999982</v>
      </c>
      <c r="AA375" s="16">
        <f t="shared" si="36"/>
        <v>0</v>
      </c>
      <c r="AB375" s="16">
        <v>0</v>
      </c>
      <c r="AC375" s="16">
        <v>0</v>
      </c>
      <c r="AD375" s="145">
        <f>(Y375*$H$3+Z375*'Varmepumpeberegning VP1'!Z363+AA375*$H$5+AB375*$H$6+AC375*$H$7)*24</f>
        <v>10128.91545430047</v>
      </c>
      <c r="AF375" s="16">
        <f>Z375*'Varmepumpeberegning VP1'!Z363*24</f>
        <v>10128.91545430047</v>
      </c>
      <c r="AG375" s="20">
        <f>(Z375/'Varmepumpeberegning VP1'!W363)*24</f>
        <v>70.246838712274027</v>
      </c>
      <c r="AH375" s="17">
        <f t="shared" si="37"/>
        <v>47.54328147744701</v>
      </c>
      <c r="AI375" s="15">
        <f>'Varmepumpeberegning VP1'!X363-'Systemberegning VP1'!Z375</f>
        <v>0.32484357040536871</v>
      </c>
    </row>
    <row r="376" spans="10:35" x14ac:dyDescent="0.25">
      <c r="J376" s="13"/>
      <c r="K376">
        <v>12</v>
      </c>
      <c r="L376">
        <v>361</v>
      </c>
      <c r="M376" s="310">
        <v>0.75387499999999985</v>
      </c>
      <c r="N376" s="15">
        <v>11.614112499999999</v>
      </c>
      <c r="P376" s="15">
        <f>MAX(0,MIN('Potentiel produktion'!C363*$D$3,N376))</f>
        <v>0</v>
      </c>
      <c r="Q376" s="15">
        <f t="shared" si="32"/>
        <v>11.614112499999999</v>
      </c>
      <c r="R376" s="15">
        <v>0</v>
      </c>
      <c r="S376" s="15">
        <v>0</v>
      </c>
      <c r="T376" s="160">
        <f t="shared" si="33"/>
        <v>31497.473099999999</v>
      </c>
      <c r="V376" s="289">
        <f>'Varmepumpeberegning VP1'!W364</f>
        <v>2.9902597151633996</v>
      </c>
      <c r="W376" s="289">
        <f>'Varmepumpeberegning VP1'!X364</f>
        <v>9.0968473264176914</v>
      </c>
      <c r="X376" s="289">
        <f t="shared" si="34"/>
        <v>48.195176072664189</v>
      </c>
      <c r="Y376" s="15">
        <f>MAX(0,MIN('Potentiel produktion'!C363*$D$3,N376))</f>
        <v>0</v>
      </c>
      <c r="Z376" s="15">
        <f t="shared" si="35"/>
        <v>9.0968473264176914</v>
      </c>
      <c r="AA376" s="16">
        <f t="shared" si="36"/>
        <v>2.5172651735823077</v>
      </c>
      <c r="AB376" s="16">
        <v>0</v>
      </c>
      <c r="AC376" s="16">
        <v>0</v>
      </c>
      <c r="AD376" s="145">
        <f>(Y376*$H$3+Z376*'Varmepumpeberegning VP1'!Z364+AA376*$H$5+AB376*$H$6+AC376*$H$7)*24</f>
        <v>17349.002957223503</v>
      </c>
      <c r="AF376" s="16">
        <f>Z376*'Varmepumpeberegning VP1'!Z364*24</f>
        <v>10522.179806468283</v>
      </c>
      <c r="AG376" s="20">
        <f>(Z376/'Varmepumpeberegning VP1'!W364)*24</f>
        <v>73.01183062023577</v>
      </c>
      <c r="AH376" s="17">
        <f t="shared" si="37"/>
        <v>48.195176072664189</v>
      </c>
      <c r="AI376" s="15">
        <f>'Varmepumpeberegning VP1'!X364-'Systemberegning VP1'!Z376</f>
        <v>0</v>
      </c>
    </row>
    <row r="377" spans="10:35" x14ac:dyDescent="0.25">
      <c r="J377" s="13"/>
      <c r="K377">
        <v>12</v>
      </c>
      <c r="L377">
        <v>362</v>
      </c>
      <c r="M377" s="310">
        <v>0.81954999999999967</v>
      </c>
      <c r="N377" s="15">
        <v>13.829925000000003</v>
      </c>
      <c r="P377" s="15">
        <f>MAX(0,MIN('Potentiel produktion'!C364*$D$3,N377))</f>
        <v>0</v>
      </c>
      <c r="Q377" s="15">
        <f t="shared" si="32"/>
        <v>13.829925000000003</v>
      </c>
      <c r="R377" s="15">
        <v>0</v>
      </c>
      <c r="S377" s="15">
        <v>0</v>
      </c>
      <c r="T377" s="160">
        <f t="shared" si="33"/>
        <v>37506.756600000008</v>
      </c>
      <c r="V377" s="289">
        <f>'Varmepumpeberegning VP1'!W365</f>
        <v>2.8746445419591673</v>
      </c>
      <c r="W377" s="289">
        <f>'Varmepumpeberegning VP1'!X365</f>
        <v>8.8308088762170591</v>
      </c>
      <c r="X377" s="289">
        <f t="shared" si="34"/>
        <v>50.063378875196641</v>
      </c>
      <c r="Y377" s="15">
        <f>MAX(0,MIN('Potentiel produktion'!C364*$D$3,N377))</f>
        <v>0</v>
      </c>
      <c r="Z377" s="15">
        <f t="shared" si="35"/>
        <v>8.8308088762170591</v>
      </c>
      <c r="AA377" s="16">
        <f t="shared" si="36"/>
        <v>4.9991161237829438</v>
      </c>
      <c r="AB377" s="16">
        <v>0</v>
      </c>
      <c r="AC377" s="16">
        <v>0</v>
      </c>
      <c r="AD377" s="145">
        <f>(Y377*$H$3+Z377*'Varmepumpeberegning VP1'!Z365+AA377*$H$5+AB377*$H$6+AC377*$H$7)*24</f>
        <v>24168.006060767439</v>
      </c>
      <c r="AF377" s="16">
        <f>Z377*'Varmepumpeberegning VP1'!Z365*24</f>
        <v>10610.403133068099</v>
      </c>
      <c r="AG377" s="20">
        <f>(Z377/'Varmepumpeberegning VP1'!W365)*24</f>
        <v>73.727172154914697</v>
      </c>
      <c r="AH377" s="17">
        <f t="shared" si="37"/>
        <v>50.063378875196641</v>
      </c>
      <c r="AI377" s="15">
        <f>'Varmepumpeberegning VP1'!X365-'Systemberegning VP1'!Z377</f>
        <v>0</v>
      </c>
    </row>
    <row r="378" spans="10:35" x14ac:dyDescent="0.25">
      <c r="J378" s="13"/>
      <c r="K378">
        <v>12</v>
      </c>
      <c r="L378">
        <v>363</v>
      </c>
      <c r="M378" s="310">
        <v>1.0246</v>
      </c>
      <c r="N378" s="15">
        <v>10.536141666666667</v>
      </c>
      <c r="P378" s="15">
        <f>MAX(0,MIN('Potentiel produktion'!C365*$D$3,N378))</f>
        <v>0</v>
      </c>
      <c r="Q378" s="15">
        <f t="shared" si="32"/>
        <v>10.536141666666667</v>
      </c>
      <c r="R378" s="15">
        <v>0</v>
      </c>
      <c r="S378" s="15">
        <v>0</v>
      </c>
      <c r="T378" s="160">
        <f t="shared" si="33"/>
        <v>28574.016200000005</v>
      </c>
      <c r="V378" s="289">
        <f>'Varmepumpeberegning VP1'!W366</f>
        <v>2.7336449008903867</v>
      </c>
      <c r="W378" s="289">
        <f>'Varmepumpeberegning VP1'!X366</f>
        <v>8.5227905435996245</v>
      </c>
      <c r="X378" s="289">
        <f t="shared" si="34"/>
        <v>52.555642638331904</v>
      </c>
      <c r="Y378" s="15">
        <f>MAX(0,MIN('Potentiel produktion'!C365*$D$3,N378))</f>
        <v>0</v>
      </c>
      <c r="Z378" s="15">
        <f t="shared" si="35"/>
        <v>8.5227905435996245</v>
      </c>
      <c r="AA378" s="16">
        <f t="shared" si="36"/>
        <v>2.0133511230670429</v>
      </c>
      <c r="AB378" s="16">
        <v>0</v>
      </c>
      <c r="AC378" s="16">
        <v>0</v>
      </c>
      <c r="AD378" s="145">
        <f>(Y378*$H$3+Z378*'Varmepumpeberegning VP1'!Z366+AA378*$H$5+AB378*$H$6+AC378*$H$7)*24</f>
        <v>16210.305863936454</v>
      </c>
      <c r="AF378" s="16">
        <f>Z378*'Varmepumpeberegning VP1'!Z366*24</f>
        <v>10750.097618178632</v>
      </c>
      <c r="AG378" s="20">
        <f>(Z378/'Varmepumpeberegning VP1'!W366)*24</f>
        <v>74.825729186613501</v>
      </c>
      <c r="AH378" s="17">
        <f t="shared" si="37"/>
        <v>52.555642638331896</v>
      </c>
      <c r="AI378" s="15">
        <f>'Varmepumpeberegning VP1'!X366-'Systemberegning VP1'!Z378</f>
        <v>0</v>
      </c>
    </row>
    <row r="379" spans="10:35" x14ac:dyDescent="0.25">
      <c r="J379" s="13"/>
      <c r="K379">
        <v>12</v>
      </c>
      <c r="L379">
        <v>364</v>
      </c>
      <c r="M379" s="310">
        <v>0.58707500000000024</v>
      </c>
      <c r="N379" s="15">
        <v>8.5915708333333338</v>
      </c>
      <c r="P379" s="15">
        <f>MAX(0,MIN('Potentiel produktion'!C366*$D$3,N379))</f>
        <v>0</v>
      </c>
      <c r="Q379" s="15">
        <f t="shared" si="32"/>
        <v>8.5915708333333338</v>
      </c>
      <c r="R379" s="15">
        <v>0</v>
      </c>
      <c r="S379" s="15">
        <v>0</v>
      </c>
      <c r="T379" s="160">
        <f t="shared" si="33"/>
        <v>23300.340100000001</v>
      </c>
      <c r="V379" s="289">
        <f>'Varmepumpeberegning VP1'!W367</f>
        <v>2.9129328437623547</v>
      </c>
      <c r="W379" s="289">
        <f>'Varmepumpeberegning VP1'!X367</f>
        <v>8.9194883596172705</v>
      </c>
      <c r="X379" s="289">
        <f t="shared" si="34"/>
        <v>49.428261889997998</v>
      </c>
      <c r="Y379" s="15">
        <f>MAX(0,MIN('Potentiel produktion'!C366*$D$3,N379))</f>
        <v>0</v>
      </c>
      <c r="Z379" s="15">
        <f t="shared" si="35"/>
        <v>8.5915708333333338</v>
      </c>
      <c r="AA379" s="16">
        <f t="shared" si="36"/>
        <v>0</v>
      </c>
      <c r="AB379" s="16">
        <v>0</v>
      </c>
      <c r="AC379" s="16">
        <v>0</v>
      </c>
      <c r="AD379" s="145">
        <f>(Y379*$H$3+Z379*'Varmepumpeberegning VP1'!Z367+AA379*$H$5+AB379*$H$6+AC379*$H$7)*24</f>
        <v>10191.993916715241</v>
      </c>
      <c r="AF379" s="16">
        <f>Z379*'Varmepumpeberegning VP1'!Z367*24</f>
        <v>10191.993916715241</v>
      </c>
      <c r="AG379" s="20">
        <f>(Z379/'Varmepumpeberegning VP1'!W367)*24</f>
        <v>70.78697349358535</v>
      </c>
      <c r="AH379" s="17">
        <f t="shared" si="37"/>
        <v>49.428261889997998</v>
      </c>
      <c r="AI379" s="15">
        <f>'Varmepumpeberegning VP1'!X367-'Systemberegning VP1'!Z379</f>
        <v>0.32791752628393667</v>
      </c>
    </row>
    <row r="380" spans="10:35" x14ac:dyDescent="0.25">
      <c r="J380" s="13"/>
      <c r="K380">
        <v>12</v>
      </c>
      <c r="L380">
        <v>365</v>
      </c>
      <c r="M380" s="310">
        <v>0.64518749999999991</v>
      </c>
      <c r="N380" s="15">
        <v>9.701667999999998</v>
      </c>
      <c r="P380" s="15">
        <f>MAX(0,MIN('Potentiel produktion'!C367*$D$3,N380))</f>
        <v>0</v>
      </c>
      <c r="Q380" s="15">
        <f t="shared" si="32"/>
        <v>9.701667999999998</v>
      </c>
      <c r="R380" s="15">
        <v>0</v>
      </c>
      <c r="S380" s="15">
        <v>0</v>
      </c>
      <c r="T380" s="160">
        <f t="shared" si="33"/>
        <v>26310.923615999993</v>
      </c>
      <c r="V380" s="289">
        <f>'Varmepumpeberegning VP1'!W368</f>
        <v>2.9902597151633996</v>
      </c>
      <c r="W380" s="289">
        <f>'Varmepumpeberegning VP1'!X368</f>
        <v>9.0968473264176914</v>
      </c>
      <c r="X380" s="289">
        <f t="shared" si="34"/>
        <v>48.195176072664189</v>
      </c>
      <c r="Y380" s="15">
        <f>MAX(0,MIN('Potentiel produktion'!C367*$D$3,N380))</f>
        <v>0</v>
      </c>
      <c r="Z380" s="15">
        <f t="shared" si="35"/>
        <v>9.0968473264176914</v>
      </c>
      <c r="AA380" s="16">
        <f t="shared" si="36"/>
        <v>0.60482067358230651</v>
      </c>
      <c r="AB380" s="16">
        <v>0</v>
      </c>
      <c r="AC380" s="16">
        <v>0</v>
      </c>
      <c r="AD380" s="145">
        <f>(Y380*$H$3+Z380*'Varmepumpeberegning VP1'!Z368+AA380*$H$5+AB380*$H$6+AC380*$H$7)*24</f>
        <v>12162.453473223499</v>
      </c>
      <c r="AF380" s="16">
        <f>Z380*'Varmepumpeberegning VP1'!Z368*24</f>
        <v>10522.179806468283</v>
      </c>
      <c r="AG380" s="20">
        <f>(Z380/'Varmepumpeberegning VP1'!W368)*24</f>
        <v>73.01183062023577</v>
      </c>
      <c r="AH380" s="17">
        <f t="shared" si="37"/>
        <v>48.195176072664189</v>
      </c>
      <c r="AI380" s="15">
        <f>'Varmepumpeberegning VP1'!X368-'Systemberegning VP1'!Z380</f>
        <v>0</v>
      </c>
    </row>
    <row r="381" spans="10:35" x14ac:dyDescent="0.25">
      <c r="N381" s="15"/>
    </row>
    <row r="400" spans="5:14" x14ac:dyDescent="0.25">
      <c r="E400" s="17"/>
      <c r="F400" s="17"/>
      <c r="N400" s="17"/>
    </row>
    <row r="558" spans="2:6" ht="15.75" thickBot="1" x14ac:dyDescent="0.3"/>
    <row r="559" spans="2:6" ht="102.75" thickBot="1" x14ac:dyDescent="0.3">
      <c r="B559" s="120">
        <v>-700000</v>
      </c>
      <c r="C559" s="120" t="s">
        <v>295</v>
      </c>
      <c r="D559" s="121"/>
      <c r="F559" s="124">
        <f>B559-B560</f>
        <v>-712000</v>
      </c>
    </row>
    <row r="560" spans="2:6" ht="77.25" thickBot="1" x14ac:dyDescent="0.3">
      <c r="B560" s="120">
        <v>12000</v>
      </c>
      <c r="C560" s="120" t="s">
        <v>296</v>
      </c>
      <c r="D560" s="121"/>
    </row>
    <row r="561" spans="2:4" ht="77.25" thickBot="1" x14ac:dyDescent="0.3">
      <c r="B561" s="120">
        <v>12000</v>
      </c>
      <c r="C561" s="120" t="s">
        <v>297</v>
      </c>
      <c r="D561" s="121"/>
    </row>
    <row r="562" spans="2:4" ht="77.25" thickBot="1" x14ac:dyDescent="0.3">
      <c r="B562" s="120">
        <v>12000</v>
      </c>
      <c r="C562" s="120" t="s">
        <v>298</v>
      </c>
      <c r="D562" s="121"/>
    </row>
    <row r="563" spans="2:4" ht="77.25" thickBot="1" x14ac:dyDescent="0.3">
      <c r="B563" s="120">
        <v>12000</v>
      </c>
      <c r="C563" s="120" t="s">
        <v>299</v>
      </c>
      <c r="D563" s="121"/>
    </row>
    <row r="564" spans="2:4" ht="77.25" thickBot="1" x14ac:dyDescent="0.3">
      <c r="B564" s="120">
        <v>12000</v>
      </c>
      <c r="C564" s="120" t="s">
        <v>300</v>
      </c>
      <c r="D564" s="122"/>
    </row>
    <row r="570" spans="2:4" x14ac:dyDescent="0.25">
      <c r="C570" s="123">
        <f>IRR(B559:B564)</f>
        <v>-0.492605909958439</v>
      </c>
    </row>
  </sheetData>
  <mergeCells count="8">
    <mergeCell ref="A23:C23"/>
    <mergeCell ref="Y2:AB2"/>
    <mergeCell ref="Y6:AB6"/>
    <mergeCell ref="A1:H1"/>
    <mergeCell ref="P6:R6"/>
    <mergeCell ref="P1:T1"/>
    <mergeCell ref="P2:R2"/>
    <mergeCell ref="Y1:AD1"/>
  </mergeCells>
  <conditionalFormatting sqref="A56 A59">
    <cfRule type="expression" dxfId="0" priority="1">
      <formula>"$AP$85=$I$52"</formula>
    </cfRule>
  </conditionalFormatting>
  <pageMargins left="0.7" right="0.7" top="0.75" bottom="0.75" header="0.3" footer="0.3"/>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FC499-CE32-4C52-90CC-6DA7E48EF1E1}">
  <sheetPr>
    <tabColor rgb="FFFF0000"/>
  </sheetPr>
  <dimension ref="A1:AA48"/>
  <sheetViews>
    <sheetView zoomScale="85" zoomScaleNormal="85" workbookViewId="0">
      <selection activeCell="J50" sqref="J50"/>
    </sheetView>
  </sheetViews>
  <sheetFormatPr defaultRowHeight="15" x14ac:dyDescent="0.25"/>
  <sheetData>
    <row r="1" spans="1:27" x14ac:dyDescent="0.25">
      <c r="A1" s="290" t="s">
        <v>301</v>
      </c>
      <c r="B1" s="290"/>
      <c r="C1" s="290"/>
      <c r="D1" s="290"/>
      <c r="E1" s="290"/>
      <c r="F1" s="290"/>
      <c r="G1" s="290"/>
      <c r="H1" s="290"/>
      <c r="I1" s="290"/>
      <c r="J1" s="290"/>
      <c r="K1" s="290"/>
      <c r="L1" s="290"/>
      <c r="M1" s="290"/>
      <c r="N1" s="290"/>
      <c r="P1" s="293" t="s">
        <v>302</v>
      </c>
      <c r="Q1" s="293"/>
      <c r="R1" s="293"/>
      <c r="S1" s="293"/>
      <c r="T1" s="293"/>
      <c r="U1" s="293"/>
      <c r="V1" s="293"/>
      <c r="W1" s="293"/>
      <c r="X1" s="293"/>
      <c r="Y1" s="293"/>
      <c r="Z1" s="293"/>
      <c r="AA1" s="293"/>
    </row>
    <row r="2" spans="1:27" x14ac:dyDescent="0.25">
      <c r="A2" s="290" t="s">
        <v>303</v>
      </c>
      <c r="B2" s="290"/>
      <c r="C2" s="290"/>
      <c r="D2" s="290"/>
      <c r="E2" s="290"/>
      <c r="F2" s="290"/>
      <c r="G2" s="290"/>
      <c r="H2" s="290"/>
      <c r="I2" s="290"/>
      <c r="J2" s="290"/>
      <c r="K2" s="290"/>
      <c r="L2" s="290"/>
      <c r="M2" s="290"/>
      <c r="N2" s="290"/>
      <c r="P2" s="293" t="s">
        <v>304</v>
      </c>
      <c r="Q2" s="293"/>
      <c r="R2" s="293"/>
      <c r="S2" s="293"/>
      <c r="T2" s="293"/>
      <c r="U2" s="293"/>
      <c r="V2" s="293"/>
      <c r="W2" s="293"/>
      <c r="X2" s="293"/>
      <c r="Y2" s="293"/>
      <c r="Z2" s="293"/>
      <c r="AA2" s="293"/>
    </row>
    <row r="3" spans="1:27" x14ac:dyDescent="0.25">
      <c r="A3" s="290"/>
      <c r="B3" s="290"/>
      <c r="C3" s="290"/>
      <c r="D3" s="290"/>
      <c r="E3" s="290"/>
      <c r="F3" s="290"/>
      <c r="G3" s="290"/>
      <c r="H3" s="290"/>
      <c r="I3" s="290"/>
      <c r="J3" s="290"/>
      <c r="K3" s="290"/>
      <c r="L3" s="290"/>
      <c r="M3" s="290"/>
      <c r="N3" s="290"/>
      <c r="P3" s="293" t="s">
        <v>305</v>
      </c>
      <c r="Q3" s="293"/>
      <c r="R3" s="293"/>
      <c r="S3" s="293"/>
      <c r="T3" s="293"/>
      <c r="U3" s="293"/>
      <c r="V3" s="293"/>
      <c r="W3" s="293"/>
      <c r="X3" s="293"/>
      <c r="Y3" s="293"/>
      <c r="Z3" s="293"/>
      <c r="AA3" s="293"/>
    </row>
    <row r="4" spans="1:27" x14ac:dyDescent="0.25">
      <c r="A4" s="290"/>
      <c r="B4" s="290"/>
      <c r="C4" s="290"/>
      <c r="D4" s="290"/>
      <c r="E4" s="290"/>
      <c r="F4" s="290"/>
      <c r="G4" s="290"/>
      <c r="H4" s="290"/>
      <c r="I4" s="290"/>
      <c r="J4" s="290"/>
      <c r="K4" s="290"/>
      <c r="L4" s="290"/>
      <c r="M4" s="290"/>
      <c r="N4" s="290"/>
      <c r="P4" s="293" t="s">
        <v>306</v>
      </c>
      <c r="Q4" s="293"/>
      <c r="R4" s="293"/>
      <c r="S4" s="293"/>
      <c r="T4" s="293"/>
      <c r="U4" s="293"/>
      <c r="V4" s="293"/>
      <c r="W4" s="293"/>
      <c r="X4" s="293"/>
      <c r="Y4" s="293"/>
      <c r="Z4" s="293"/>
      <c r="AA4" s="293"/>
    </row>
    <row r="5" spans="1:27" x14ac:dyDescent="0.25">
      <c r="A5" s="290"/>
      <c r="B5" s="290"/>
      <c r="C5" s="290"/>
      <c r="D5" s="290"/>
      <c r="E5" s="290"/>
      <c r="F5" s="290"/>
      <c r="G5" s="290"/>
      <c r="H5" s="290"/>
      <c r="I5" s="290"/>
      <c r="J5" s="290"/>
      <c r="K5" s="290"/>
      <c r="L5" s="290"/>
      <c r="M5" s="290"/>
      <c r="N5" s="290"/>
      <c r="P5" s="293"/>
      <c r="Q5" s="293"/>
      <c r="R5" s="293"/>
      <c r="S5" s="293"/>
      <c r="T5" s="293"/>
      <c r="U5" s="293"/>
      <c r="V5" s="293"/>
      <c r="W5" s="293"/>
      <c r="X5" s="293"/>
      <c r="Y5" s="293"/>
      <c r="Z5" s="293"/>
      <c r="AA5" s="293"/>
    </row>
    <row r="6" spans="1:27" x14ac:dyDescent="0.25">
      <c r="A6" s="290"/>
      <c r="B6" s="290"/>
      <c r="C6" s="290"/>
      <c r="D6" s="290"/>
      <c r="E6" s="290"/>
      <c r="F6" s="290"/>
      <c r="G6" s="290"/>
      <c r="H6" s="290"/>
      <c r="I6" s="290"/>
      <c r="J6" s="290"/>
      <c r="K6" s="290"/>
      <c r="L6" s="290"/>
      <c r="M6" s="290"/>
      <c r="N6" s="290"/>
      <c r="P6" s="293"/>
      <c r="Q6" s="293"/>
      <c r="R6" s="293"/>
      <c r="S6" s="293"/>
      <c r="T6" s="293"/>
      <c r="U6" s="293"/>
      <c r="V6" s="293"/>
      <c r="W6" s="293"/>
      <c r="X6" s="293"/>
      <c r="Y6" s="293"/>
      <c r="Z6" s="293"/>
      <c r="AA6" s="293"/>
    </row>
    <row r="7" spans="1:27" x14ac:dyDescent="0.25">
      <c r="A7" s="290"/>
      <c r="B7" s="290"/>
      <c r="C7" s="290"/>
      <c r="D7" s="290"/>
      <c r="E7" s="290"/>
      <c r="F7" s="290"/>
      <c r="G7" s="290"/>
      <c r="H7" s="290"/>
      <c r="I7" s="290"/>
      <c r="J7" s="290"/>
      <c r="K7" s="290"/>
      <c r="L7" s="290"/>
      <c r="M7" s="290"/>
      <c r="N7" s="290"/>
      <c r="P7" s="293"/>
      <c r="Q7" s="293"/>
      <c r="R7" s="293"/>
      <c r="S7" s="293"/>
      <c r="T7" s="293"/>
      <c r="U7" s="293"/>
      <c r="V7" s="293"/>
      <c r="W7" s="293"/>
      <c r="X7" s="293"/>
      <c r="Y7" s="293"/>
      <c r="Z7" s="293"/>
      <c r="AA7" s="293"/>
    </row>
    <row r="8" spans="1:27" x14ac:dyDescent="0.25">
      <c r="A8" s="290"/>
      <c r="B8" s="290"/>
      <c r="C8" s="290"/>
      <c r="D8" s="290"/>
      <c r="E8" s="290"/>
      <c r="F8" s="290"/>
      <c r="G8" s="290"/>
      <c r="H8" s="290"/>
      <c r="I8" s="290"/>
      <c r="J8" s="290"/>
      <c r="K8" s="290"/>
      <c r="L8" s="290"/>
      <c r="M8" s="290"/>
      <c r="N8" s="290"/>
      <c r="P8" s="293"/>
      <c r="Q8" s="293"/>
      <c r="R8" s="293"/>
      <c r="S8" s="293"/>
      <c r="T8" s="293"/>
      <c r="U8" s="293"/>
      <c r="V8" s="293"/>
      <c r="W8" s="293"/>
      <c r="X8" s="293"/>
      <c r="Y8" s="293"/>
      <c r="Z8" s="293"/>
      <c r="AA8" s="293"/>
    </row>
    <row r="9" spans="1:27" x14ac:dyDescent="0.25">
      <c r="A9" s="290"/>
      <c r="B9" s="290"/>
      <c r="C9" s="290"/>
      <c r="D9" s="290"/>
      <c r="E9" s="290"/>
      <c r="F9" s="290"/>
      <c r="G9" s="290"/>
      <c r="H9" s="290"/>
      <c r="I9" s="290"/>
      <c r="J9" s="290"/>
      <c r="K9" s="290"/>
      <c r="L9" s="290"/>
      <c r="M9" s="290"/>
      <c r="N9" s="290"/>
      <c r="P9" s="293"/>
      <c r="Q9" s="293"/>
      <c r="R9" s="293"/>
      <c r="S9" s="293"/>
      <c r="T9" s="293"/>
      <c r="U9" s="293"/>
      <c r="V9" s="293"/>
      <c r="W9" s="293"/>
      <c r="X9" s="293"/>
      <c r="Y9" s="293"/>
      <c r="Z9" s="293"/>
      <c r="AA9" s="293"/>
    </row>
    <row r="10" spans="1:27" x14ac:dyDescent="0.25">
      <c r="A10" s="290"/>
      <c r="B10" s="290"/>
      <c r="C10" s="290"/>
      <c r="D10" s="290"/>
      <c r="E10" s="290"/>
      <c r="F10" s="290"/>
      <c r="G10" s="290"/>
      <c r="H10" s="290"/>
      <c r="I10" s="290"/>
      <c r="J10" s="290"/>
      <c r="K10" s="290"/>
      <c r="L10" s="290"/>
      <c r="M10" s="290"/>
      <c r="N10" s="290"/>
      <c r="P10" s="293"/>
      <c r="Q10" s="293"/>
      <c r="R10" s="293"/>
      <c r="S10" s="293"/>
      <c r="T10" s="293"/>
      <c r="U10" s="293"/>
      <c r="V10" s="293"/>
      <c r="W10" s="293"/>
      <c r="X10" s="293"/>
      <c r="Y10" s="293"/>
      <c r="Z10" s="293"/>
      <c r="AA10" s="293"/>
    </row>
    <row r="11" spans="1:27" x14ac:dyDescent="0.25">
      <c r="A11" s="290"/>
      <c r="B11" s="290"/>
      <c r="C11" s="290"/>
      <c r="D11" s="290"/>
      <c r="E11" s="290"/>
      <c r="F11" s="290"/>
      <c r="G11" s="290"/>
      <c r="H11" s="290"/>
      <c r="I11" s="290"/>
      <c r="J11" s="290"/>
      <c r="K11" s="290"/>
      <c r="L11" s="290"/>
      <c r="M11" s="290"/>
      <c r="N11" s="290"/>
      <c r="P11" s="293"/>
      <c r="Q11" s="293"/>
      <c r="R11" s="293"/>
      <c r="S11" s="293"/>
      <c r="T11" s="293"/>
      <c r="U11" s="293"/>
      <c r="V11" s="293"/>
      <c r="W11" s="293"/>
      <c r="X11" s="293"/>
      <c r="Y11" s="293"/>
      <c r="Z11" s="293"/>
      <c r="AA11" s="293"/>
    </row>
    <row r="12" spans="1:27" x14ac:dyDescent="0.25">
      <c r="A12" s="290"/>
      <c r="B12" s="290"/>
      <c r="C12" s="290"/>
      <c r="D12" s="290"/>
      <c r="E12" s="290"/>
      <c r="F12" s="290"/>
      <c r="G12" s="290"/>
      <c r="H12" s="290"/>
      <c r="I12" s="290"/>
      <c r="J12" s="290"/>
      <c r="K12" s="290"/>
      <c r="L12" s="290"/>
      <c r="M12" s="290"/>
      <c r="N12" s="290"/>
      <c r="P12" s="293"/>
      <c r="Q12" s="293"/>
      <c r="R12" s="293"/>
      <c r="S12" s="293"/>
      <c r="T12" s="293"/>
      <c r="U12" s="293"/>
      <c r="V12" s="293"/>
      <c r="W12" s="293"/>
      <c r="X12" s="293"/>
      <c r="Y12" s="293"/>
      <c r="Z12" s="293"/>
      <c r="AA12" s="293"/>
    </row>
    <row r="13" spans="1:27" x14ac:dyDescent="0.25">
      <c r="A13" s="290"/>
      <c r="B13" s="290"/>
      <c r="C13" s="290"/>
      <c r="D13" s="290"/>
      <c r="E13" s="290"/>
      <c r="F13" s="290"/>
      <c r="G13" s="290"/>
      <c r="H13" s="290"/>
      <c r="I13" s="290"/>
      <c r="J13" s="290"/>
      <c r="K13" s="290"/>
      <c r="L13" s="290"/>
      <c r="M13" s="290"/>
      <c r="N13" s="290"/>
      <c r="P13" s="293"/>
      <c r="Q13" s="293"/>
      <c r="R13" s="293"/>
      <c r="S13" s="293"/>
      <c r="T13" s="293"/>
      <c r="U13" s="293"/>
      <c r="V13" s="293"/>
      <c r="W13" s="293"/>
      <c r="X13" s="293"/>
      <c r="Y13" s="293"/>
      <c r="Z13" s="293"/>
      <c r="AA13" s="293"/>
    </row>
    <row r="14" spans="1:27" x14ac:dyDescent="0.25">
      <c r="A14" s="290"/>
      <c r="B14" s="290"/>
      <c r="C14" s="290"/>
      <c r="D14" s="290"/>
      <c r="E14" s="290"/>
      <c r="F14" s="290"/>
      <c r="G14" s="290"/>
      <c r="H14" s="290"/>
      <c r="I14" s="290"/>
      <c r="J14" s="290"/>
      <c r="K14" s="290"/>
      <c r="L14" s="290"/>
      <c r="M14" s="290"/>
      <c r="N14" s="290"/>
      <c r="P14" s="293"/>
      <c r="Q14" s="293"/>
      <c r="R14" s="293"/>
      <c r="S14" s="293"/>
      <c r="T14" s="293"/>
      <c r="U14" s="293"/>
      <c r="V14" s="293"/>
      <c r="W14" s="293"/>
      <c r="X14" s="293"/>
      <c r="Y14" s="293"/>
      <c r="Z14" s="293"/>
      <c r="AA14" s="293"/>
    </row>
    <row r="15" spans="1:27" x14ac:dyDescent="0.25">
      <c r="A15" s="290"/>
      <c r="B15" s="290"/>
      <c r="C15" s="290"/>
      <c r="D15" s="290"/>
      <c r="E15" s="290"/>
      <c r="F15" s="290"/>
      <c r="G15" s="290"/>
      <c r="H15" s="290"/>
      <c r="I15" s="290"/>
      <c r="J15" s="290"/>
      <c r="K15" s="290"/>
      <c r="L15" s="290"/>
      <c r="M15" s="290"/>
      <c r="N15" s="290"/>
      <c r="P15" s="293"/>
      <c r="Q15" s="293"/>
      <c r="R15" s="293"/>
      <c r="S15" s="293"/>
      <c r="T15" s="293"/>
      <c r="U15" s="293"/>
      <c r="V15" s="293"/>
      <c r="W15" s="293"/>
      <c r="X15" s="293"/>
      <c r="Y15" s="293"/>
      <c r="Z15" s="293"/>
      <c r="AA15" s="293"/>
    </row>
    <row r="16" spans="1:27" x14ac:dyDescent="0.25">
      <c r="A16" s="290"/>
      <c r="B16" s="290"/>
      <c r="C16" s="290"/>
      <c r="D16" s="290"/>
      <c r="E16" s="290"/>
      <c r="F16" s="290"/>
      <c r="G16" s="290"/>
      <c r="H16" s="290"/>
      <c r="I16" s="290"/>
      <c r="J16" s="290"/>
      <c r="K16" s="290"/>
      <c r="L16" s="290"/>
      <c r="M16" s="290"/>
      <c r="N16" s="290"/>
      <c r="P16" s="293"/>
      <c r="Q16" s="293"/>
      <c r="R16" s="293"/>
      <c r="S16" s="293"/>
      <c r="T16" s="293"/>
      <c r="U16" s="293"/>
      <c r="V16" s="293"/>
      <c r="W16" s="293"/>
      <c r="X16" s="293"/>
      <c r="Y16" s="293"/>
      <c r="Z16" s="293"/>
      <c r="AA16" s="293"/>
    </row>
    <row r="17" spans="1:27" x14ac:dyDescent="0.25">
      <c r="A17" s="290"/>
      <c r="B17" s="290"/>
      <c r="C17" s="290"/>
      <c r="D17" s="290"/>
      <c r="E17" s="290"/>
      <c r="F17" s="290"/>
      <c r="G17" s="290"/>
      <c r="H17" s="290"/>
      <c r="I17" s="290"/>
      <c r="J17" s="290"/>
      <c r="K17" s="290"/>
      <c r="L17" s="290"/>
      <c r="M17" s="290"/>
      <c r="N17" s="290"/>
      <c r="P17" s="293"/>
      <c r="Q17" s="293"/>
      <c r="R17" s="293"/>
      <c r="S17" s="293"/>
      <c r="T17" s="293"/>
      <c r="U17" s="293"/>
      <c r="V17" s="293"/>
      <c r="W17" s="293"/>
      <c r="X17" s="293"/>
      <c r="Y17" s="293"/>
      <c r="Z17" s="293"/>
      <c r="AA17" s="293"/>
    </row>
    <row r="18" spans="1:27" x14ac:dyDescent="0.25">
      <c r="A18" s="290"/>
      <c r="B18" s="290"/>
      <c r="C18" s="290"/>
      <c r="D18" s="290"/>
      <c r="E18" s="290"/>
      <c r="F18" s="290"/>
      <c r="G18" s="290"/>
      <c r="H18" s="290"/>
      <c r="I18" s="290"/>
      <c r="J18" s="290"/>
      <c r="K18" s="290"/>
      <c r="L18" s="290"/>
      <c r="M18" s="290"/>
      <c r="N18" s="290"/>
      <c r="P18" s="293"/>
      <c r="Q18" s="293"/>
      <c r="R18" s="293"/>
      <c r="S18" s="293"/>
      <c r="T18" s="293"/>
      <c r="U18" s="293"/>
      <c r="V18" s="293"/>
      <c r="W18" s="293"/>
      <c r="X18" s="293"/>
      <c r="Y18" s="293"/>
      <c r="Z18" s="293"/>
      <c r="AA18" s="293"/>
    </row>
    <row r="19" spans="1:27" x14ac:dyDescent="0.25">
      <c r="A19" s="290"/>
      <c r="B19" s="290"/>
      <c r="C19" s="290"/>
      <c r="D19" s="290"/>
      <c r="E19" s="290"/>
      <c r="F19" s="290"/>
      <c r="G19" s="290"/>
      <c r="H19" s="290"/>
      <c r="I19" s="290"/>
      <c r="J19" s="290"/>
      <c r="K19" s="290"/>
      <c r="L19" s="290"/>
      <c r="M19" s="290"/>
      <c r="N19" s="290"/>
      <c r="P19" s="293"/>
      <c r="Q19" s="293"/>
      <c r="R19" s="293"/>
      <c r="S19" s="293"/>
      <c r="T19" s="293"/>
      <c r="U19" s="293"/>
      <c r="V19" s="293"/>
      <c r="W19" s="293"/>
      <c r="X19" s="293"/>
      <c r="Y19" s="293"/>
      <c r="Z19" s="293"/>
      <c r="AA19" s="293"/>
    </row>
    <row r="20" spans="1:27" x14ac:dyDescent="0.25">
      <c r="A20" s="290"/>
      <c r="B20" s="290"/>
      <c r="C20" s="290"/>
      <c r="D20" s="290"/>
      <c r="E20" s="290"/>
      <c r="F20" s="290"/>
      <c r="G20" s="290"/>
      <c r="H20" s="290"/>
      <c r="I20" s="290"/>
      <c r="J20" s="290"/>
      <c r="K20" s="290"/>
      <c r="L20" s="290"/>
      <c r="M20" s="290"/>
      <c r="N20" s="290"/>
      <c r="P20" s="293"/>
      <c r="Q20" s="293"/>
      <c r="R20" s="293"/>
      <c r="S20" s="293"/>
      <c r="T20" s="293"/>
      <c r="U20" s="293"/>
      <c r="V20" s="293"/>
      <c r="W20" s="293"/>
      <c r="X20" s="293"/>
      <c r="Y20" s="293"/>
      <c r="Z20" s="293"/>
      <c r="AA20" s="293"/>
    </row>
    <row r="21" spans="1:27" x14ac:dyDescent="0.25">
      <c r="A21" s="290"/>
      <c r="B21" s="290"/>
      <c r="C21" s="290"/>
      <c r="D21" s="290"/>
      <c r="E21" s="290"/>
      <c r="F21" s="290"/>
      <c r="G21" s="290"/>
      <c r="H21" s="290"/>
      <c r="I21" s="290"/>
      <c r="J21" s="290"/>
      <c r="K21" s="290"/>
      <c r="L21" s="290"/>
      <c r="M21" s="290"/>
      <c r="N21" s="290"/>
      <c r="P21" s="293"/>
      <c r="Q21" s="293"/>
      <c r="R21" s="293"/>
      <c r="S21" s="293"/>
      <c r="T21" s="293"/>
      <c r="U21" s="293"/>
      <c r="V21" s="293"/>
      <c r="W21" s="293"/>
      <c r="X21" s="293"/>
      <c r="Y21" s="293"/>
      <c r="Z21" s="293"/>
      <c r="AA21" s="293"/>
    </row>
    <row r="22" spans="1:27" x14ac:dyDescent="0.25">
      <c r="A22" s="290"/>
      <c r="B22" s="290"/>
      <c r="C22" s="290"/>
      <c r="D22" s="290"/>
      <c r="E22" s="290"/>
      <c r="F22" s="290"/>
      <c r="G22" s="290"/>
      <c r="H22" s="290"/>
      <c r="I22" s="290"/>
      <c r="J22" s="290"/>
      <c r="K22" s="290"/>
      <c r="L22" s="290"/>
      <c r="M22" s="290"/>
      <c r="N22" s="290"/>
      <c r="P22" s="293"/>
      <c r="Q22" s="293"/>
      <c r="R22" s="293"/>
      <c r="S22" s="293"/>
      <c r="T22" s="293"/>
      <c r="U22" s="293"/>
      <c r="V22" s="293"/>
      <c r="W22" s="293"/>
      <c r="X22" s="293"/>
      <c r="Y22" s="293"/>
      <c r="Z22" s="293"/>
      <c r="AA22" s="293"/>
    </row>
    <row r="23" spans="1:27" x14ac:dyDescent="0.25">
      <c r="A23" s="290"/>
      <c r="B23" s="290"/>
      <c r="C23" s="290"/>
      <c r="D23" s="290"/>
      <c r="E23" s="290"/>
      <c r="F23" s="290"/>
      <c r="G23" s="290"/>
      <c r="H23" s="290"/>
      <c r="I23" s="290"/>
      <c r="J23" s="290"/>
      <c r="K23" s="290"/>
      <c r="L23" s="290"/>
      <c r="M23" s="290"/>
      <c r="N23" s="290"/>
      <c r="P23" s="293"/>
      <c r="Q23" s="293"/>
      <c r="R23" s="293"/>
      <c r="S23" s="293"/>
      <c r="T23" s="293"/>
      <c r="U23" s="293"/>
      <c r="V23" s="293"/>
      <c r="W23" s="293"/>
      <c r="X23" s="293"/>
      <c r="Y23" s="293"/>
      <c r="Z23" s="293"/>
      <c r="AA23" s="293"/>
    </row>
    <row r="24" spans="1:27" x14ac:dyDescent="0.25">
      <c r="A24" s="290"/>
      <c r="B24" s="290"/>
      <c r="C24" s="290"/>
      <c r="D24" s="290"/>
      <c r="E24" s="290"/>
      <c r="F24" s="290"/>
      <c r="G24" s="290"/>
      <c r="H24" s="290"/>
      <c r="I24" s="290"/>
      <c r="J24" s="290"/>
      <c r="K24" s="290"/>
      <c r="L24" s="290"/>
      <c r="M24" s="290"/>
      <c r="N24" s="290"/>
      <c r="P24" s="293"/>
      <c r="Q24" s="293"/>
      <c r="R24" s="293"/>
      <c r="S24" s="293"/>
      <c r="T24" s="293"/>
      <c r="U24" s="293"/>
      <c r="V24" s="293"/>
      <c r="W24" s="293"/>
      <c r="X24" s="293"/>
      <c r="Y24" s="293"/>
      <c r="Z24" s="293"/>
      <c r="AA24" s="293"/>
    </row>
    <row r="25" spans="1:27" x14ac:dyDescent="0.25">
      <c r="A25" s="290"/>
      <c r="B25" s="290"/>
      <c r="C25" s="290"/>
      <c r="D25" s="290"/>
      <c r="E25" s="290"/>
      <c r="F25" s="290"/>
      <c r="G25" s="290"/>
      <c r="H25" s="290"/>
      <c r="I25" s="290"/>
      <c r="J25" s="290"/>
      <c r="K25" s="290"/>
      <c r="L25" s="290"/>
      <c r="M25" s="290"/>
      <c r="N25" s="290"/>
      <c r="P25" s="293"/>
      <c r="Q25" s="293"/>
      <c r="R25" s="293"/>
      <c r="S25" s="293"/>
      <c r="T25" s="293"/>
      <c r="U25" s="293"/>
      <c r="V25" s="293"/>
      <c r="W25" s="293"/>
      <c r="X25" s="293"/>
      <c r="Y25" s="293"/>
      <c r="Z25" s="293"/>
      <c r="AA25" s="293"/>
    </row>
    <row r="26" spans="1:27" x14ac:dyDescent="0.25">
      <c r="A26" s="290"/>
      <c r="B26" s="290"/>
      <c r="C26" s="290"/>
      <c r="D26" s="290"/>
      <c r="E26" s="290"/>
      <c r="F26" s="290"/>
      <c r="G26" s="290"/>
      <c r="H26" s="290"/>
      <c r="I26" s="290"/>
      <c r="J26" s="290"/>
      <c r="K26" s="290"/>
      <c r="L26" s="290"/>
      <c r="M26" s="290"/>
      <c r="N26" s="290"/>
      <c r="P26" s="293"/>
      <c r="Q26" s="293"/>
      <c r="R26" s="293"/>
      <c r="S26" s="293"/>
      <c r="T26" s="293"/>
      <c r="U26" s="293"/>
      <c r="V26" s="293"/>
      <c r="W26" s="293"/>
      <c r="X26" s="293"/>
      <c r="Y26" s="293"/>
      <c r="Z26" s="293"/>
      <c r="AA26" s="293"/>
    </row>
    <row r="27" spans="1:27" x14ac:dyDescent="0.25">
      <c r="A27" s="290"/>
      <c r="B27" s="290"/>
      <c r="C27" s="290"/>
      <c r="D27" s="290"/>
      <c r="E27" s="290"/>
      <c r="F27" s="290"/>
      <c r="G27" s="290"/>
      <c r="H27" s="290"/>
      <c r="I27" s="290"/>
      <c r="J27" s="290"/>
      <c r="K27" s="290"/>
      <c r="L27" s="290"/>
      <c r="M27" s="290"/>
      <c r="N27" s="290"/>
      <c r="P27" s="293"/>
      <c r="Q27" s="293"/>
      <c r="R27" s="293"/>
      <c r="S27" s="293"/>
      <c r="T27" s="293"/>
      <c r="U27" s="293"/>
      <c r="V27" s="293"/>
      <c r="W27" s="293"/>
      <c r="X27" s="293"/>
      <c r="Y27" s="293"/>
      <c r="Z27" s="293"/>
      <c r="AA27" s="293"/>
    </row>
    <row r="28" spans="1:27" x14ac:dyDescent="0.25">
      <c r="A28" s="290"/>
      <c r="B28" s="290"/>
      <c r="C28" s="290"/>
      <c r="D28" s="290"/>
      <c r="E28" s="290"/>
      <c r="F28" s="290"/>
      <c r="G28" s="290"/>
      <c r="H28" s="290"/>
      <c r="I28" s="290"/>
      <c r="J28" s="290"/>
      <c r="K28" s="290"/>
      <c r="L28" s="290"/>
      <c r="M28" s="290"/>
      <c r="N28" s="290"/>
      <c r="P28" s="293"/>
      <c r="Q28" s="293"/>
      <c r="R28" s="293"/>
      <c r="S28" s="293"/>
      <c r="T28" s="293"/>
      <c r="U28" s="293"/>
      <c r="V28" s="293"/>
      <c r="W28" s="293"/>
      <c r="X28" s="293"/>
      <c r="Y28" s="293"/>
      <c r="Z28" s="293"/>
      <c r="AA28" s="293"/>
    </row>
    <row r="29" spans="1:27" x14ac:dyDescent="0.25">
      <c r="A29" s="290"/>
      <c r="B29" s="290"/>
      <c r="C29" s="290"/>
      <c r="D29" s="290"/>
      <c r="E29" s="290"/>
      <c r="F29" s="290"/>
      <c r="G29" s="290"/>
      <c r="H29" s="290"/>
      <c r="I29" s="290"/>
      <c r="J29" s="290"/>
      <c r="K29" s="290"/>
      <c r="L29" s="290"/>
      <c r="M29" s="290"/>
      <c r="N29" s="290"/>
      <c r="P29" s="293"/>
      <c r="Q29" s="293"/>
      <c r="R29" s="293"/>
      <c r="S29" s="293"/>
      <c r="T29" s="293"/>
      <c r="U29" s="293"/>
      <c r="V29" s="293"/>
      <c r="W29" s="293"/>
      <c r="X29" s="293"/>
      <c r="Y29" s="293"/>
      <c r="Z29" s="293"/>
      <c r="AA29" s="293"/>
    </row>
    <row r="30" spans="1:27" x14ac:dyDescent="0.25">
      <c r="A30" s="290"/>
      <c r="B30" s="290"/>
      <c r="C30" s="290"/>
      <c r="D30" s="290"/>
      <c r="E30" s="290"/>
      <c r="F30" s="290"/>
      <c r="G30" s="290"/>
      <c r="H30" s="290"/>
      <c r="I30" s="290"/>
      <c r="J30" s="290"/>
      <c r="K30" s="290"/>
      <c r="L30" s="290"/>
      <c r="M30" s="290"/>
      <c r="N30" s="290"/>
      <c r="P30" s="293"/>
      <c r="Q30" s="293"/>
      <c r="R30" s="293"/>
      <c r="S30" s="293"/>
      <c r="T30" s="293"/>
      <c r="U30" s="293"/>
      <c r="V30" s="293"/>
      <c r="W30" s="293"/>
      <c r="X30" s="293"/>
      <c r="Y30" s="293"/>
      <c r="Z30" s="293"/>
      <c r="AA30" s="293"/>
    </row>
    <row r="31" spans="1:27" x14ac:dyDescent="0.25">
      <c r="A31" s="290"/>
      <c r="B31" s="290"/>
      <c r="C31" s="290"/>
      <c r="D31" s="290"/>
      <c r="E31" s="290"/>
      <c r="F31" s="290"/>
      <c r="G31" s="290"/>
      <c r="H31" s="290"/>
      <c r="I31" s="290"/>
      <c r="J31" s="290"/>
      <c r="K31" s="290"/>
      <c r="L31" s="290"/>
      <c r="M31" s="290"/>
      <c r="N31" s="290"/>
      <c r="P31" s="293"/>
      <c r="Q31" s="293"/>
      <c r="R31" s="293"/>
      <c r="S31" s="293"/>
      <c r="T31" s="293"/>
      <c r="U31" s="293"/>
      <c r="V31" s="293"/>
      <c r="W31" s="293"/>
      <c r="X31" s="293"/>
      <c r="Y31" s="293"/>
      <c r="Z31" s="293"/>
      <c r="AA31" s="293"/>
    </row>
    <row r="32" spans="1:27" x14ac:dyDescent="0.25">
      <c r="A32" s="290"/>
      <c r="B32" s="290"/>
      <c r="C32" s="290"/>
      <c r="D32" s="290"/>
      <c r="E32" s="290"/>
      <c r="F32" s="290"/>
      <c r="G32" s="290"/>
      <c r="H32" s="290"/>
      <c r="I32" s="290"/>
      <c r="J32" s="290"/>
      <c r="K32" s="290"/>
      <c r="L32" s="290"/>
      <c r="M32" s="290"/>
      <c r="N32" s="290"/>
      <c r="P32" s="293"/>
      <c r="Q32" s="293"/>
      <c r="R32" s="293"/>
      <c r="S32" s="293"/>
      <c r="T32" s="293"/>
      <c r="U32" s="293"/>
      <c r="V32" s="293"/>
      <c r="W32" s="293"/>
      <c r="X32" s="293"/>
      <c r="Y32" s="293"/>
      <c r="Z32" s="293"/>
      <c r="AA32" s="293"/>
    </row>
    <row r="33" spans="1:27" x14ac:dyDescent="0.25">
      <c r="A33" s="290"/>
      <c r="B33" s="290"/>
      <c r="C33" s="290"/>
      <c r="D33" s="290"/>
      <c r="E33" s="290"/>
      <c r="F33" s="290"/>
      <c r="G33" s="290"/>
      <c r="H33" s="290"/>
      <c r="I33" s="290"/>
      <c r="J33" s="290"/>
      <c r="K33" s="290"/>
      <c r="L33" s="290"/>
      <c r="M33" s="290"/>
      <c r="N33" s="290"/>
      <c r="P33" s="293"/>
      <c r="Q33" s="293"/>
      <c r="R33" s="293"/>
      <c r="S33" s="293"/>
      <c r="T33" s="293"/>
      <c r="U33" s="293"/>
      <c r="V33" s="293"/>
      <c r="W33" s="293"/>
      <c r="X33" s="293"/>
      <c r="Y33" s="293"/>
      <c r="Z33" s="293"/>
      <c r="AA33" s="293"/>
    </row>
    <row r="34" spans="1:27" x14ac:dyDescent="0.25">
      <c r="A34" s="290"/>
      <c r="B34" s="290"/>
      <c r="C34" s="290"/>
      <c r="D34" s="290"/>
      <c r="E34" s="290"/>
      <c r="F34" s="290"/>
      <c r="G34" s="290"/>
      <c r="H34" s="290"/>
      <c r="I34" s="290"/>
      <c r="J34" s="290"/>
      <c r="K34" s="290"/>
      <c r="L34" s="290"/>
      <c r="M34" s="290"/>
      <c r="N34" s="290"/>
      <c r="P34" s="293"/>
      <c r="Q34" s="293"/>
      <c r="R34" s="293"/>
      <c r="S34" s="293"/>
      <c r="T34" s="293"/>
      <c r="U34" s="293"/>
      <c r="V34" s="293"/>
      <c r="W34" s="293"/>
      <c r="X34" s="293"/>
      <c r="Y34" s="293"/>
      <c r="Z34" s="293"/>
      <c r="AA34" s="293"/>
    </row>
    <row r="35" spans="1:27" x14ac:dyDescent="0.25">
      <c r="A35" s="290"/>
      <c r="B35" s="290"/>
      <c r="C35" s="290"/>
      <c r="D35" s="290"/>
      <c r="E35" s="290"/>
      <c r="F35" s="290"/>
      <c r="G35" s="290"/>
      <c r="H35" s="290"/>
      <c r="I35" s="290"/>
      <c r="J35" s="290"/>
      <c r="K35" s="290"/>
      <c r="L35" s="290"/>
      <c r="M35" s="290"/>
      <c r="N35" s="290"/>
      <c r="P35" s="293"/>
      <c r="Q35" s="293"/>
      <c r="R35" s="293"/>
      <c r="S35" s="293"/>
      <c r="T35" s="293"/>
      <c r="U35" s="293"/>
      <c r="V35" s="293"/>
      <c r="W35" s="293"/>
      <c r="X35" s="293"/>
      <c r="Y35" s="293"/>
      <c r="Z35" s="293"/>
      <c r="AA35" s="293"/>
    </row>
    <row r="36" spans="1:27" x14ac:dyDescent="0.25">
      <c r="A36" s="290"/>
      <c r="B36" s="290"/>
      <c r="C36" s="290"/>
      <c r="D36" s="290"/>
      <c r="E36" s="290"/>
      <c r="F36" s="290"/>
      <c r="G36" s="290"/>
      <c r="H36" s="290"/>
      <c r="I36" s="290"/>
      <c r="J36" s="290"/>
      <c r="K36" s="290"/>
      <c r="L36" s="290"/>
      <c r="M36" s="290"/>
      <c r="N36" s="290"/>
      <c r="P36" s="293"/>
      <c r="Q36" s="293"/>
      <c r="R36" s="293"/>
      <c r="S36" s="293"/>
      <c r="T36" s="293"/>
      <c r="U36" s="293"/>
      <c r="V36" s="293"/>
      <c r="W36" s="293"/>
      <c r="X36" s="293"/>
      <c r="Y36" s="293"/>
      <c r="Z36" s="293"/>
      <c r="AA36" s="293"/>
    </row>
    <row r="37" spans="1:27" x14ac:dyDescent="0.25">
      <c r="A37" s="290"/>
      <c r="B37" s="290"/>
      <c r="C37" s="290"/>
      <c r="D37" s="290"/>
      <c r="E37" s="290"/>
      <c r="F37" s="290"/>
      <c r="G37" s="290"/>
      <c r="H37" s="290"/>
      <c r="I37" s="290"/>
      <c r="J37" s="290"/>
      <c r="K37" s="290"/>
      <c r="L37" s="290"/>
      <c r="M37" s="290"/>
      <c r="N37" s="290"/>
      <c r="P37" s="293"/>
      <c r="Q37" s="293"/>
      <c r="R37" s="293"/>
      <c r="S37" s="293"/>
      <c r="T37" s="293"/>
      <c r="U37" s="293"/>
      <c r="V37" s="293"/>
      <c r="W37" s="293"/>
      <c r="X37" s="293"/>
      <c r="Y37" s="293"/>
      <c r="Z37" s="293"/>
      <c r="AA37" s="293"/>
    </row>
    <row r="38" spans="1:27" x14ac:dyDescent="0.25">
      <c r="A38" s="290"/>
      <c r="B38" s="290"/>
      <c r="C38" s="290"/>
      <c r="D38" s="290"/>
      <c r="E38" s="290"/>
      <c r="F38" s="290"/>
      <c r="G38" s="290"/>
      <c r="H38" s="290"/>
      <c r="I38" s="290"/>
      <c r="J38" s="290"/>
      <c r="K38" s="290"/>
      <c r="L38" s="290"/>
      <c r="M38" s="290"/>
      <c r="N38" s="290"/>
      <c r="P38" s="293"/>
      <c r="Q38" s="293"/>
      <c r="R38" s="293"/>
      <c r="S38" s="293"/>
      <c r="T38" s="293"/>
      <c r="U38" s="293"/>
      <c r="V38" s="293"/>
      <c r="W38" s="293"/>
      <c r="X38" s="293"/>
      <c r="Y38" s="293"/>
      <c r="Z38" s="293"/>
      <c r="AA38" s="293"/>
    </row>
    <row r="39" spans="1:27" x14ac:dyDescent="0.25">
      <c r="A39" s="290"/>
      <c r="B39" s="290"/>
      <c r="C39" s="290"/>
      <c r="D39" s="290"/>
      <c r="E39" s="290"/>
      <c r="F39" s="290"/>
      <c r="G39" s="290"/>
      <c r="H39" s="290"/>
      <c r="I39" s="290"/>
      <c r="J39" s="290"/>
      <c r="K39" s="290"/>
      <c r="L39" s="290"/>
      <c r="M39" s="290"/>
      <c r="N39" s="290"/>
      <c r="P39" s="293"/>
      <c r="Q39" s="293"/>
      <c r="R39" s="293"/>
      <c r="S39" s="293"/>
      <c r="T39" s="293"/>
      <c r="U39" s="293"/>
      <c r="V39" s="293"/>
      <c r="W39" s="293"/>
      <c r="X39" s="293"/>
      <c r="Y39" s="293"/>
      <c r="Z39" s="293"/>
      <c r="AA39" s="293"/>
    </row>
    <row r="40" spans="1:27" x14ac:dyDescent="0.25">
      <c r="A40" s="290"/>
      <c r="B40" s="290"/>
      <c r="C40" s="290"/>
      <c r="D40" s="290"/>
      <c r="E40" s="290"/>
      <c r="F40" s="290"/>
      <c r="G40" s="290"/>
      <c r="H40" s="290"/>
      <c r="I40" s="290"/>
      <c r="J40" s="290"/>
      <c r="K40" s="290"/>
      <c r="L40" s="290"/>
      <c r="M40" s="290"/>
      <c r="N40" s="290"/>
      <c r="P40" s="293"/>
      <c r="Q40" s="293"/>
      <c r="R40" s="293"/>
      <c r="S40" s="293"/>
      <c r="T40" s="293"/>
      <c r="U40" s="293"/>
      <c r="V40" s="293"/>
      <c r="W40" s="293"/>
      <c r="X40" s="293"/>
      <c r="Y40" s="293"/>
      <c r="Z40" s="293"/>
      <c r="AA40" s="293"/>
    </row>
    <row r="41" spans="1:27" x14ac:dyDescent="0.25">
      <c r="A41" s="290"/>
      <c r="B41" s="290"/>
      <c r="C41" s="290"/>
      <c r="D41" s="290"/>
      <c r="E41" s="290"/>
      <c r="F41" s="290"/>
      <c r="G41" s="290"/>
      <c r="H41" s="290"/>
      <c r="I41" s="290"/>
      <c r="J41" s="290"/>
      <c r="K41" s="290"/>
      <c r="L41" s="290"/>
      <c r="M41" s="290"/>
      <c r="N41" s="290"/>
      <c r="P41" s="293"/>
      <c r="Q41" s="293"/>
      <c r="R41" s="293"/>
      <c r="S41" s="293"/>
      <c r="T41" s="293"/>
      <c r="U41" s="293"/>
      <c r="V41" s="293"/>
      <c r="W41" s="293"/>
      <c r="X41" s="293"/>
      <c r="Y41" s="293"/>
      <c r="Z41" s="293"/>
      <c r="AA41" s="293"/>
    </row>
    <row r="42" spans="1:27" x14ac:dyDescent="0.25">
      <c r="A42" s="290"/>
      <c r="B42" s="290"/>
      <c r="C42" s="290"/>
      <c r="D42" s="290"/>
      <c r="E42" s="290"/>
      <c r="F42" s="290"/>
      <c r="G42" s="290"/>
      <c r="H42" s="290"/>
      <c r="I42" s="290"/>
      <c r="J42" s="290"/>
      <c r="K42" s="290"/>
      <c r="L42" s="290"/>
      <c r="M42" s="290"/>
      <c r="N42" s="290"/>
      <c r="P42" s="293"/>
      <c r="Q42" s="293"/>
      <c r="R42" s="293"/>
      <c r="S42" s="293"/>
      <c r="T42" s="293"/>
      <c r="U42" s="293"/>
      <c r="V42" s="293"/>
      <c r="W42" s="293"/>
      <c r="X42" s="293"/>
      <c r="Y42" s="293"/>
      <c r="Z42" s="293"/>
      <c r="AA42" s="293"/>
    </row>
    <row r="43" spans="1:27" x14ac:dyDescent="0.25">
      <c r="A43" s="290"/>
      <c r="B43" s="290"/>
      <c r="C43" s="290"/>
      <c r="D43" s="290"/>
      <c r="E43" s="290"/>
      <c r="F43" s="290"/>
      <c r="G43" s="290"/>
      <c r="H43" s="290"/>
      <c r="I43" s="290"/>
      <c r="J43" s="290"/>
      <c r="K43" s="290"/>
      <c r="L43" s="290"/>
      <c r="M43" s="290"/>
      <c r="N43" s="290"/>
      <c r="P43" s="293"/>
      <c r="Q43" s="293"/>
      <c r="R43" s="293"/>
      <c r="S43" s="293"/>
      <c r="T43" s="293"/>
      <c r="U43" s="293"/>
      <c r="V43" s="293"/>
      <c r="W43" s="293"/>
      <c r="X43" s="293"/>
      <c r="Y43" s="293"/>
      <c r="Z43" s="293"/>
      <c r="AA43" s="293"/>
    </row>
    <row r="44" spans="1:27" x14ac:dyDescent="0.25">
      <c r="A44" s="290"/>
      <c r="B44" s="290"/>
      <c r="C44" s="290"/>
      <c r="D44" s="290"/>
      <c r="E44" s="290"/>
      <c r="F44" s="290"/>
      <c r="G44" s="290"/>
      <c r="H44" s="290"/>
      <c r="I44" s="290"/>
      <c r="J44" s="290"/>
      <c r="K44" s="290"/>
      <c r="L44" s="290"/>
      <c r="M44" s="290"/>
      <c r="N44" s="290"/>
      <c r="P44" s="293"/>
      <c r="Q44" s="293"/>
      <c r="R44" s="293"/>
      <c r="S44" s="293"/>
      <c r="T44" s="293"/>
      <c r="U44" s="293"/>
      <c r="V44" s="293"/>
      <c r="W44" s="293"/>
      <c r="X44" s="293"/>
      <c r="Y44" s="293"/>
      <c r="Z44" s="293"/>
      <c r="AA44" s="293"/>
    </row>
    <row r="45" spans="1:27" x14ac:dyDescent="0.25">
      <c r="A45" s="290"/>
      <c r="B45" s="290"/>
      <c r="C45" s="290"/>
      <c r="D45" s="290"/>
      <c r="E45" s="290"/>
      <c r="F45" s="290"/>
      <c r="G45" s="290"/>
      <c r="H45" s="290"/>
      <c r="I45" s="290"/>
      <c r="J45" s="290"/>
      <c r="K45" s="290"/>
      <c r="L45" s="290"/>
      <c r="M45" s="290"/>
      <c r="N45" s="290"/>
      <c r="P45" s="293"/>
      <c r="Q45" s="293"/>
      <c r="R45" s="293"/>
      <c r="S45" s="293"/>
      <c r="T45" s="293"/>
      <c r="U45" s="293"/>
      <c r="V45" s="293"/>
      <c r="W45" s="293"/>
      <c r="X45" s="293"/>
      <c r="Y45" s="293"/>
      <c r="Z45" s="293"/>
      <c r="AA45" s="293"/>
    </row>
    <row r="46" spans="1:27" x14ac:dyDescent="0.25">
      <c r="A46" s="290"/>
      <c r="B46" s="290"/>
      <c r="C46" s="290"/>
      <c r="D46" s="290"/>
      <c r="E46" s="290"/>
      <c r="F46" s="290"/>
      <c r="G46" s="290"/>
      <c r="H46" s="290"/>
      <c r="I46" s="290"/>
      <c r="J46" s="290"/>
      <c r="K46" s="290"/>
      <c r="L46" s="290"/>
      <c r="M46" s="290"/>
      <c r="N46" s="290"/>
      <c r="P46" s="293"/>
      <c r="Q46" s="293"/>
      <c r="R46" s="293"/>
      <c r="S46" s="293"/>
      <c r="T46" s="293"/>
      <c r="U46" s="293"/>
      <c r="V46" s="293"/>
      <c r="W46" s="293"/>
      <c r="X46" s="293"/>
      <c r="Y46" s="293"/>
      <c r="Z46" s="293"/>
      <c r="AA46" s="293"/>
    </row>
    <row r="47" spans="1:27" x14ac:dyDescent="0.25">
      <c r="A47" s="290"/>
      <c r="B47" s="290"/>
      <c r="C47" s="290"/>
      <c r="D47" s="290"/>
      <c r="E47" s="290"/>
      <c r="F47" s="290"/>
      <c r="G47" s="290"/>
      <c r="H47" s="290"/>
      <c r="I47" s="290"/>
      <c r="J47" s="290"/>
      <c r="K47" s="290"/>
      <c r="L47" s="290"/>
      <c r="M47" s="290"/>
      <c r="N47" s="290"/>
    </row>
    <row r="48" spans="1:27" x14ac:dyDescent="0.25">
      <c r="A48" s="290"/>
      <c r="B48" s="290"/>
      <c r="C48" s="290"/>
      <c r="D48" s="290"/>
      <c r="E48" s="290"/>
      <c r="F48" s="290"/>
      <c r="G48" s="290"/>
      <c r="H48" s="290"/>
      <c r="I48" s="290"/>
      <c r="J48" s="290"/>
      <c r="K48" s="290"/>
      <c r="L48" s="290"/>
      <c r="M48" s="290"/>
      <c r="N48" s="290"/>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3C8D1B-1214-491C-A9C2-A90ADDA32152}">
  <sheetPr codeName="Ark5">
    <tabColor theme="8" tint="0.39997558519241921"/>
  </sheetPr>
  <dimension ref="A1:Z378"/>
  <sheetViews>
    <sheetView zoomScaleNormal="100" workbookViewId="0">
      <selection activeCell="C14" sqref="C14"/>
    </sheetView>
  </sheetViews>
  <sheetFormatPr defaultRowHeight="15" x14ac:dyDescent="0.25"/>
  <cols>
    <col min="1" max="1" width="24.5703125" bestFit="1" customWidth="1"/>
    <col min="2" max="2" width="13.42578125" bestFit="1" customWidth="1"/>
    <col min="3" max="3" width="12.42578125" bestFit="1" customWidth="1"/>
    <col min="4" max="4" width="9" bestFit="1" customWidth="1"/>
    <col min="5" max="5" width="10.28515625" customWidth="1"/>
    <col min="6" max="7" width="9" bestFit="1" customWidth="1"/>
    <col min="8" max="8" width="10.28515625" customWidth="1"/>
    <col min="9" max="10" width="9" bestFit="1" customWidth="1"/>
    <col min="11" max="11" width="12.28515625" bestFit="1" customWidth="1"/>
    <col min="12" max="14" width="9" bestFit="1" customWidth="1"/>
    <col min="24" max="24" width="18.42578125" bestFit="1" customWidth="1"/>
    <col min="25" max="25" width="13.7109375" bestFit="1" customWidth="1"/>
    <col min="26" max="26" width="27.28515625" bestFit="1" customWidth="1"/>
  </cols>
  <sheetData>
    <row r="1" spans="1:26" ht="15.75" thickBot="1" x14ac:dyDescent="0.3">
      <c r="Z1" s="290"/>
    </row>
    <row r="2" spans="1:26" x14ac:dyDescent="0.25">
      <c r="A2" s="67" t="s">
        <v>307</v>
      </c>
      <c r="B2" s="68" t="s">
        <v>308</v>
      </c>
      <c r="C2" s="60">
        <f>'Driftsdata LUFT VP'!E21</f>
        <v>15</v>
      </c>
      <c r="D2" s="60">
        <f>'Driftsdata LUFT VP'!F21</f>
        <v>15</v>
      </c>
      <c r="E2" s="60"/>
      <c r="F2" s="60">
        <f>'Driftsdata LUFT VP'!G21</f>
        <v>7</v>
      </c>
      <c r="G2" s="60">
        <f>'Driftsdata LUFT VP'!H21</f>
        <v>7</v>
      </c>
      <c r="H2" s="60"/>
      <c r="I2" s="60">
        <f>'Driftsdata LUFT VP'!I21</f>
        <v>4</v>
      </c>
      <c r="J2" s="60">
        <f>'Driftsdata LUFT VP'!J21</f>
        <v>4</v>
      </c>
      <c r="K2" s="60">
        <f>'Driftsdata LUFT VP'!K21</f>
        <v>-1</v>
      </c>
      <c r="L2" s="60">
        <f>'Driftsdata LUFT VP'!L21</f>
        <v>-1</v>
      </c>
      <c r="M2" s="60">
        <f>'Driftsdata LUFT VP'!M21</f>
        <v>-4</v>
      </c>
      <c r="N2" s="69">
        <f>'Driftsdata LUFT VP'!N21</f>
        <v>-10</v>
      </c>
      <c r="Z2" s="290"/>
    </row>
    <row r="3" spans="1:26" x14ac:dyDescent="0.25">
      <c r="A3" s="113" t="s">
        <v>202</v>
      </c>
      <c r="B3" s="114" t="s">
        <v>213</v>
      </c>
      <c r="C3" s="111">
        <f>'Driftsdata LUFT VP'!E19</f>
        <v>1</v>
      </c>
      <c r="D3" s="111">
        <f>'Driftsdata LUFT VP'!F19</f>
        <v>1</v>
      </c>
      <c r="E3" s="111"/>
      <c r="F3" s="140">
        <f>'Driftsdata LUFT VP'!G19</f>
        <v>1</v>
      </c>
      <c r="G3" s="111">
        <f>'Driftsdata LUFT VP'!H19</f>
        <v>1</v>
      </c>
      <c r="H3" s="111"/>
      <c r="I3" s="111">
        <f>'Driftsdata LUFT VP'!I19</f>
        <v>1</v>
      </c>
      <c r="J3" s="111">
        <f>'Driftsdata LUFT VP'!J19</f>
        <v>1</v>
      </c>
      <c r="K3" s="111">
        <f>'Driftsdata LUFT VP'!K19</f>
        <v>1</v>
      </c>
      <c r="L3" s="111">
        <f>'Driftsdata LUFT VP'!L19</f>
        <v>1</v>
      </c>
      <c r="M3" s="111">
        <f>'Driftsdata LUFT VP'!M19</f>
        <v>1</v>
      </c>
      <c r="N3" s="112">
        <f>'Driftsdata LUFT VP'!N19</f>
        <v>1</v>
      </c>
      <c r="T3" s="8" t="s">
        <v>244</v>
      </c>
      <c r="U3" s="8" t="s">
        <v>245</v>
      </c>
      <c r="V3" s="8" t="s">
        <v>307</v>
      </c>
      <c r="W3" s="8" t="s">
        <v>309</v>
      </c>
      <c r="X3" s="8" t="s">
        <v>310</v>
      </c>
      <c r="Y3" s="8" t="s">
        <v>311</v>
      </c>
      <c r="Z3" s="288" t="s">
        <v>312</v>
      </c>
    </row>
    <row r="4" spans="1:26" x14ac:dyDescent="0.25">
      <c r="A4" s="32" t="s">
        <v>313</v>
      </c>
      <c r="B4" t="s">
        <v>257</v>
      </c>
      <c r="C4" s="70">
        <f>('Driftsdata LUFT VP'!E31/1000)*Størrelsesfaktor</f>
        <v>9.6223665686749502</v>
      </c>
      <c r="D4" s="70">
        <f>('Driftsdata LUFT VP'!F31/1000)*Størrelsesfaktor</f>
        <v>10.250067987963241</v>
      </c>
      <c r="E4" s="70"/>
      <c r="F4" s="70">
        <f>('Driftsdata LUFT VP'!G31/1000)*Størrelsesfaktor</f>
        <v>8.81768643986595</v>
      </c>
      <c r="G4" s="70">
        <f>('Driftsdata LUFT VP'!H31/1000)*Størrelsesfaktor</f>
        <v>9.3760082129694311</v>
      </c>
      <c r="H4" s="70"/>
      <c r="I4" s="70">
        <f>('Driftsdata LUFT VP'!I31/1000)*Størrelsesfaktor</f>
        <v>8.5628869150801794</v>
      </c>
      <c r="J4" s="70">
        <f>('Driftsdata LUFT VP'!J31/1000)*Størrelsesfaktor</f>
        <v>9.0987308373539406</v>
      </c>
      <c r="K4" s="70">
        <f>('Driftsdata LUFT VP'!K31/1000)*Størrelsesfaktor</f>
        <v>8.0717843501514306</v>
      </c>
      <c r="L4" s="70">
        <f>('Driftsdata LUFT VP'!L31/1000)*Størrelsesfaktor</f>
        <v>8.5631056268912396</v>
      </c>
      <c r="M4" s="70">
        <f>('Driftsdata LUFT VP'!M31/1000)*Størrelsesfaktor</f>
        <v>8.028731500601431</v>
      </c>
      <c r="N4" s="71">
        <f>('Driftsdata LUFT VP'!N31/1000)*Størrelsesfaktor</f>
        <v>7.0749025257856211</v>
      </c>
      <c r="T4">
        <v>1</v>
      </c>
      <c r="U4">
        <v>1</v>
      </c>
      <c r="V4" s="15">
        <v>7.2291666666666679</v>
      </c>
      <c r="W4" s="15">
        <f>VLOOKUP(ROUND(V4,0),$A$21:$D$56,2,FALSE)</f>
        <v>2.9902597151633996</v>
      </c>
      <c r="X4" s="20">
        <f>VLOOKUP(ROUND(V4,0),$A$21:$D$56,3,FALSE)</f>
        <v>9.0968473264176914</v>
      </c>
      <c r="Y4" s="20">
        <f>VLOOKUP(ROUND(V4,0),$A$21:$D$56,4,FALSE)</f>
        <v>3.0421596091764904</v>
      </c>
      <c r="Z4" s="289">
        <f>('Systemberegning VP1'!$G$4+'Systemberegning VP1'!$F$4)/'Varmepumpeberegning VP1'!W4+'Systemberegning VP1'!$E$4</f>
        <v>48.195176072664189</v>
      </c>
    </row>
    <row r="5" spans="1:26" x14ac:dyDescent="0.25">
      <c r="A5" s="32" t="s">
        <v>314</v>
      </c>
      <c r="B5" t="s">
        <v>257</v>
      </c>
      <c r="C5" s="70">
        <f>'Driftsdata LUFT VP'!E39/1000</f>
        <v>2.9759747971470309</v>
      </c>
      <c r="D5" s="70">
        <f>'Driftsdata LUFT VP'!F39/1000</f>
        <v>2.9787656240738225</v>
      </c>
      <c r="E5" s="70"/>
      <c r="F5" s="70">
        <f>'Driftsdata LUFT VP'!G39/1000</f>
        <v>3.0388752212152736</v>
      </c>
      <c r="G5" s="70">
        <f>'Driftsdata LUFT VP'!H39/1000</f>
        <v>3.0454439971377076</v>
      </c>
      <c r="H5" s="70"/>
      <c r="I5" s="70">
        <f>'Driftsdata LUFT VP'!I39/1000</f>
        <v>3.0678620156220564</v>
      </c>
      <c r="J5" s="70">
        <f>'Driftsdata LUFT VP'!J39/1000</f>
        <v>3.0760689972875008</v>
      </c>
      <c r="K5" s="70">
        <f>'Driftsdata LUFT VP'!K39/1000</f>
        <v>3.1421162411103474</v>
      </c>
      <c r="L5" s="70">
        <f>'Driftsdata LUFT VP'!L39/1000</f>
        <v>3.1543921373129336</v>
      </c>
      <c r="M5" s="70">
        <f>'Driftsdata LUFT VP'!M39/1000</f>
        <v>3.2037477211906382</v>
      </c>
      <c r="N5" s="71">
        <f>'Driftsdata LUFT VP'!N39/1000</f>
        <v>3.0836644703060054</v>
      </c>
      <c r="T5">
        <v>1</v>
      </c>
      <c r="U5">
        <v>2</v>
      </c>
      <c r="V5" s="15">
        <v>8.9375</v>
      </c>
      <c r="W5" s="15">
        <f t="shared" ref="W5:W68" si="0">VLOOKUP(ROUND(V5,0),$A$21:$D$56,2,FALSE)</f>
        <v>3.0756133144315161</v>
      </c>
      <c r="X5" s="20">
        <f t="shared" ref="X5:X68" si="1">VLOOKUP(ROUND(V5,0),$A$21:$D$56,3,FALSE)</f>
        <v>9.3066898143930423</v>
      </c>
      <c r="Y5" s="20">
        <f t="shared" ref="Y5:Y68" si="2">VLOOKUP(ROUND(V5,0),$A$21:$D$56,4,FALSE)</f>
        <v>3.0259622595349747</v>
      </c>
      <c r="Z5" s="289">
        <f>('Systemberegning VP1'!$G$4+'Systemberegning VP1'!$F$4)/'Varmepumpeberegning VP1'!W5+'Systemberegning VP1'!$E$4</f>
        <v>46.906085468567859</v>
      </c>
    </row>
    <row r="6" spans="1:26" ht="15.75" thickBot="1" x14ac:dyDescent="0.3">
      <c r="A6" s="33" t="s">
        <v>315</v>
      </c>
      <c r="B6" s="21" t="s">
        <v>211</v>
      </c>
      <c r="C6" s="72">
        <f>'Driftsdata LUFT VP'!E41</f>
        <v>3.233349481957843</v>
      </c>
      <c r="D6" s="72">
        <f>'Driftsdata LUFT VP'!F41</f>
        <v>3.4410454804245498</v>
      </c>
      <c r="E6" s="72"/>
      <c r="F6" s="72">
        <f>'Driftsdata LUFT VP'!G41</f>
        <v>2.9016283321891967</v>
      </c>
      <c r="G6" s="72">
        <f>'Driftsdata LUFT VP'!H41</f>
        <v>3.0786999274265328</v>
      </c>
      <c r="H6" s="72"/>
      <c r="I6" s="72">
        <f>'Driftsdata LUFT VP'!I41</f>
        <v>2.7911577742012375</v>
      </c>
      <c r="J6" s="72">
        <f>'Driftsdata LUFT VP'!J41</f>
        <v>2.957908566217879</v>
      </c>
      <c r="K6" s="72">
        <f>'Driftsdata LUFT VP'!K41</f>
        <v>2.5689006168973108</v>
      </c>
      <c r="L6" s="72">
        <f>'Driftsdata LUFT VP'!L41</f>
        <v>2.714661099233437</v>
      </c>
      <c r="M6" s="72">
        <f>'Driftsdata LUFT VP'!M41</f>
        <v>2.5060436087076292</v>
      </c>
      <c r="N6" s="73">
        <f>'Driftsdata LUFT VP'!N41</f>
        <v>2.294316581428701</v>
      </c>
      <c r="T6">
        <v>1</v>
      </c>
      <c r="U6">
        <v>3</v>
      </c>
      <c r="V6" s="15">
        <v>8.6416666666666675</v>
      </c>
      <c r="W6" s="15">
        <f t="shared" si="0"/>
        <v>3.0756133144315161</v>
      </c>
      <c r="X6" s="20">
        <f t="shared" si="1"/>
        <v>9.3066898143930423</v>
      </c>
      <c r="Y6" s="20">
        <f t="shared" si="2"/>
        <v>3.0259622595349747</v>
      </c>
      <c r="Z6" s="289">
        <f>('Systemberegning VP1'!$G$4+'Systemberegning VP1'!$F$4)/'Varmepumpeberegning VP1'!W6+'Systemberegning VP1'!$E$4</f>
        <v>46.906085468567859</v>
      </c>
    </row>
    <row r="7" spans="1:26" x14ac:dyDescent="0.25">
      <c r="C7" s="22"/>
      <c r="D7" s="22"/>
      <c r="E7" s="22"/>
      <c r="F7" s="22"/>
      <c r="G7" s="22"/>
      <c r="H7" s="22"/>
      <c r="I7" s="22"/>
      <c r="J7" s="22"/>
      <c r="K7" s="22"/>
      <c r="L7" s="22"/>
      <c r="M7" s="22"/>
      <c r="T7">
        <v>1</v>
      </c>
      <c r="U7">
        <v>4</v>
      </c>
      <c r="V7" s="15">
        <v>4.945833333333332</v>
      </c>
      <c r="W7" s="15">
        <f t="shared" si="0"/>
        <v>2.9129328437623547</v>
      </c>
      <c r="X7" s="20">
        <f t="shared" si="1"/>
        <v>8.9194883596172705</v>
      </c>
      <c r="Y7" s="20">
        <f t="shared" si="2"/>
        <v>3.062030207362016</v>
      </c>
      <c r="Z7" s="289">
        <f>('Systemberegning VP1'!$G$4+'Systemberegning VP1'!$F$4)/'Varmepumpeberegning VP1'!W7+'Systemberegning VP1'!$E$4</f>
        <v>49.428261889997998</v>
      </c>
    </row>
    <row r="8" spans="1:26" x14ac:dyDescent="0.25">
      <c r="A8" s="407" t="s">
        <v>316</v>
      </c>
      <c r="B8" s="407"/>
      <c r="C8" s="407" t="s">
        <v>317</v>
      </c>
      <c r="D8" s="407"/>
      <c r="E8" s="25" t="s">
        <v>318</v>
      </c>
      <c r="F8" s="407" t="s">
        <v>319</v>
      </c>
      <c r="G8" s="407"/>
      <c r="H8" s="76" t="s">
        <v>318</v>
      </c>
      <c r="I8" s="76" t="s">
        <v>309</v>
      </c>
      <c r="K8" s="78"/>
      <c r="T8">
        <v>1</v>
      </c>
      <c r="U8">
        <v>5</v>
      </c>
      <c r="V8" s="15">
        <v>4.6625000000000005</v>
      </c>
      <c r="W8" s="15">
        <f t="shared" si="0"/>
        <v>2.9129328437623547</v>
      </c>
      <c r="X8" s="20">
        <f t="shared" si="1"/>
        <v>8.9194883596172705</v>
      </c>
      <c r="Y8" s="20">
        <f t="shared" si="2"/>
        <v>3.062030207362016</v>
      </c>
      <c r="Z8" s="289">
        <f>('Systemberegning VP1'!$G$4+'Systemberegning VP1'!$F$4)/'Varmepumpeberegning VP1'!W8+'Systemberegning VP1'!$E$4</f>
        <v>49.428261889997998</v>
      </c>
    </row>
    <row r="9" spans="1:26" x14ac:dyDescent="0.25">
      <c r="A9" s="24" t="s">
        <v>320</v>
      </c>
      <c r="B9" s="24" t="s">
        <v>321</v>
      </c>
      <c r="C9" s="24" t="s">
        <v>320</v>
      </c>
      <c r="D9" s="24" t="s">
        <v>321</v>
      </c>
      <c r="E9" s="24" t="s">
        <v>322</v>
      </c>
      <c r="F9" s="24" t="s">
        <v>323</v>
      </c>
      <c r="G9" s="24" t="s">
        <v>321</v>
      </c>
      <c r="H9" s="77" t="s">
        <v>322</v>
      </c>
      <c r="I9" s="77" t="s">
        <v>211</v>
      </c>
      <c r="K9" s="22"/>
      <c r="T9">
        <v>1</v>
      </c>
      <c r="U9">
        <v>6</v>
      </c>
      <c r="V9" s="15">
        <v>1.5458333333333332</v>
      </c>
      <c r="W9" s="15">
        <f t="shared" si="0"/>
        <v>2.7801824984496553</v>
      </c>
      <c r="X9" s="20">
        <f t="shared" si="1"/>
        <v>8.6254633211387688</v>
      </c>
      <c r="Y9" s="20">
        <f t="shared" si="2"/>
        <v>3.1024809795575234</v>
      </c>
      <c r="Z9" s="289">
        <f>('Systemberegning VP1'!$G$4+'Systemberegning VP1'!$F$4)/'Varmepumpeberegning VP1'!W9+'Systemberegning VP1'!$E$4</f>
        <v>51.705110358037601</v>
      </c>
    </row>
    <row r="10" spans="1:26" x14ac:dyDescent="0.25">
      <c r="A10" s="18">
        <f>B10-2</f>
        <v>-12</v>
      </c>
      <c r="B10" s="18">
        <f>N2</f>
        <v>-10</v>
      </c>
      <c r="C10" s="62">
        <f>C11</f>
        <v>7.0749025257856211</v>
      </c>
      <c r="D10" s="62">
        <f>C11</f>
        <v>7.0749025257856211</v>
      </c>
      <c r="E10" s="65">
        <f t="shared" ref="E10:E16" si="3">(D10-C10)/(B10-A10)</f>
        <v>0</v>
      </c>
      <c r="F10" s="62">
        <f>F11</f>
        <v>3.0836644703060054</v>
      </c>
      <c r="G10" s="62">
        <f>F11</f>
        <v>3.0836644703060054</v>
      </c>
      <c r="H10" s="65">
        <f t="shared" ref="H10:H16" si="4">(G10-F10)/(B10-A10)</f>
        <v>0</v>
      </c>
      <c r="I10" s="64">
        <f t="shared" ref="I10:I16" si="5">D10/G10</f>
        <v>2.294316581428701</v>
      </c>
      <c r="K10" s="70"/>
      <c r="T10">
        <v>1</v>
      </c>
      <c r="U10">
        <v>7</v>
      </c>
      <c r="V10" s="15">
        <v>-0.42083333333333334</v>
      </c>
      <c r="W10" s="15">
        <f t="shared" si="0"/>
        <v>2.6875605808333574</v>
      </c>
      <c r="X10" s="20">
        <f t="shared" si="1"/>
        <v>8.4201177660604785</v>
      </c>
      <c r="Y10" s="20">
        <f t="shared" si="2"/>
        <v>3.1329964526602683</v>
      </c>
      <c r="Z10" s="289">
        <f>('Systemberegning VP1'!$G$4+'Systemberegning VP1'!$F$4)/'Varmepumpeberegning VP1'!W10+'Systemberegning VP1'!$E$4</f>
        <v>53.426917267849994</v>
      </c>
    </row>
    <row r="11" spans="1:26" x14ac:dyDescent="0.25">
      <c r="A11" s="18">
        <f>B10</f>
        <v>-10</v>
      </c>
      <c r="B11" s="18">
        <f>M2</f>
        <v>-4</v>
      </c>
      <c r="C11" s="63">
        <f>N4</f>
        <v>7.0749025257856211</v>
      </c>
      <c r="D11" s="63">
        <f>M4</f>
        <v>8.028731500601431</v>
      </c>
      <c r="E11" s="65">
        <f t="shared" si="3"/>
        <v>0.158971495802635</v>
      </c>
      <c r="F11" s="63">
        <f>N5</f>
        <v>3.0836644703060054</v>
      </c>
      <c r="G11" s="63">
        <f>M5</f>
        <v>3.2037477211906382</v>
      </c>
      <c r="H11" s="65">
        <f t="shared" si="4"/>
        <v>2.0013875147438798E-2</v>
      </c>
      <c r="I11" s="64">
        <f t="shared" si="5"/>
        <v>2.5060436087076292</v>
      </c>
      <c r="T11">
        <v>1</v>
      </c>
      <c r="U11">
        <v>8</v>
      </c>
      <c r="V11" s="15">
        <v>-1.4291666666666665</v>
      </c>
      <c r="W11" s="15">
        <f t="shared" si="0"/>
        <v>2.6419229479701314</v>
      </c>
      <c r="X11" s="20">
        <f t="shared" si="1"/>
        <v>8.3174449885213342</v>
      </c>
      <c r="Y11" s="20">
        <f t="shared" si="2"/>
        <v>3.1482541892116407</v>
      </c>
      <c r="Z11" s="289">
        <f>('Systemberegning VP1'!$G$4+'Systemberegning VP1'!$F$4)/'Varmepumpeberegning VP1'!W11+'Systemberegning VP1'!$E$4</f>
        <v>54.319702394001482</v>
      </c>
    </row>
    <row r="12" spans="1:26" x14ac:dyDescent="0.25">
      <c r="A12" s="18">
        <f>B11</f>
        <v>-4</v>
      </c>
      <c r="B12" s="18">
        <f>L2</f>
        <v>-1</v>
      </c>
      <c r="C12" s="62">
        <f>D11</f>
        <v>8.028731500601431</v>
      </c>
      <c r="D12" s="63">
        <f>AVERAGE(K4:L4)</f>
        <v>8.3174449885213342</v>
      </c>
      <c r="E12" s="65">
        <f t="shared" si="3"/>
        <v>9.6237829306634382E-2</v>
      </c>
      <c r="F12" s="62">
        <f>G11</f>
        <v>3.2037477211906382</v>
      </c>
      <c r="G12" s="63">
        <f>AVERAGE(K5:L5)</f>
        <v>3.1482541892116407</v>
      </c>
      <c r="H12" s="65">
        <f t="shared" si="4"/>
        <v>-1.8497843992999179E-2</v>
      </c>
      <c r="I12" s="64">
        <f t="shared" si="5"/>
        <v>2.6419229479701314</v>
      </c>
      <c r="T12">
        <v>1</v>
      </c>
      <c r="U12">
        <v>9</v>
      </c>
      <c r="V12" s="15">
        <v>-3.537500000000001</v>
      </c>
      <c r="W12" s="15">
        <f t="shared" si="0"/>
        <v>2.5060436087076292</v>
      </c>
      <c r="X12" s="20">
        <f t="shared" si="1"/>
        <v>8.028731500601431</v>
      </c>
      <c r="Y12" s="20">
        <f t="shared" si="2"/>
        <v>3.2037477211906382</v>
      </c>
      <c r="Z12" s="289">
        <f>('Systemberegning VP1'!$G$4+'Systemberegning VP1'!$F$4)/'Varmepumpeberegning VP1'!W12+'Systemberegning VP1'!$E$4</f>
        <v>57.170372102086262</v>
      </c>
    </row>
    <row r="13" spans="1:26" x14ac:dyDescent="0.25">
      <c r="A13" s="18">
        <f>B12</f>
        <v>-1</v>
      </c>
      <c r="B13" s="18">
        <f>J2</f>
        <v>4</v>
      </c>
      <c r="C13" s="62">
        <f>D12</f>
        <v>8.3174449885213342</v>
      </c>
      <c r="D13" s="63">
        <f>AVERAGE(I4:J4)</f>
        <v>8.8308088762170591</v>
      </c>
      <c r="E13" s="65">
        <f t="shared" si="3"/>
        <v>0.10267277753914499</v>
      </c>
      <c r="F13" s="62">
        <f>G12</f>
        <v>3.1482541892116407</v>
      </c>
      <c r="G13" s="63">
        <f>AVERAGE(I5:J5)</f>
        <v>3.0719655064547786</v>
      </c>
      <c r="H13" s="65">
        <f t="shared" si="4"/>
        <v>-1.5257736551372414E-2</v>
      </c>
      <c r="I13" s="64">
        <f t="shared" si="5"/>
        <v>2.8746445419591673</v>
      </c>
      <c r="K13" s="78"/>
      <c r="T13">
        <v>1</v>
      </c>
      <c r="U13">
        <v>10</v>
      </c>
      <c r="V13" s="15">
        <v>-3.7124999999999999</v>
      </c>
      <c r="W13" s="15">
        <f t="shared" si="0"/>
        <v>2.5060436087076292</v>
      </c>
      <c r="X13" s="20">
        <f t="shared" si="1"/>
        <v>8.028731500601431</v>
      </c>
      <c r="Y13" s="20">
        <f t="shared" si="2"/>
        <v>3.2037477211906382</v>
      </c>
      <c r="Z13" s="289">
        <f>('Systemberegning VP1'!$G$4+'Systemberegning VP1'!$F$4)/'Varmepumpeberegning VP1'!W13+'Systemberegning VP1'!$E$4</f>
        <v>57.170372102086262</v>
      </c>
    </row>
    <row r="14" spans="1:26" x14ac:dyDescent="0.25">
      <c r="A14" s="18">
        <f>B13</f>
        <v>4</v>
      </c>
      <c r="B14" s="18">
        <f>G2</f>
        <v>7</v>
      </c>
      <c r="C14" s="62">
        <f>D13</f>
        <v>8.8308088762170591</v>
      </c>
      <c r="D14" s="63">
        <f>AVERAGE(F4:G4)</f>
        <v>9.0968473264176914</v>
      </c>
      <c r="E14" s="65">
        <f t="shared" si="3"/>
        <v>8.8679483400210771E-2</v>
      </c>
      <c r="F14" s="62">
        <f>G13</f>
        <v>3.0719655064547786</v>
      </c>
      <c r="G14" s="63">
        <f>AVERAGE(F5:G5)</f>
        <v>3.0421596091764904</v>
      </c>
      <c r="H14" s="65">
        <f t="shared" si="4"/>
        <v>-9.9352990927627314E-3</v>
      </c>
      <c r="I14" s="64">
        <f>D14/G14</f>
        <v>2.9902597151633996</v>
      </c>
      <c r="K14" s="22"/>
      <c r="T14">
        <v>1</v>
      </c>
      <c r="U14">
        <v>11</v>
      </c>
      <c r="V14" s="15">
        <v>-1.2416666666666669</v>
      </c>
      <c r="W14" s="15">
        <f t="shared" si="0"/>
        <v>2.6419229479701314</v>
      </c>
      <c r="X14" s="20">
        <f t="shared" si="1"/>
        <v>8.3174449885213342</v>
      </c>
      <c r="Y14" s="20">
        <f t="shared" si="2"/>
        <v>3.1482541892116407</v>
      </c>
      <c r="Z14" s="289">
        <f>('Systemberegning VP1'!$G$4+'Systemberegning VP1'!$F$4)/'Varmepumpeberegning VP1'!W14+'Systemberegning VP1'!$E$4</f>
        <v>54.319702394001482</v>
      </c>
    </row>
    <row r="15" spans="1:26" x14ac:dyDescent="0.25">
      <c r="A15" s="18">
        <f>B14</f>
        <v>7</v>
      </c>
      <c r="B15" s="18">
        <f>D2</f>
        <v>15</v>
      </c>
      <c r="C15" s="62">
        <f>D14</f>
        <v>9.0968473264176914</v>
      </c>
      <c r="D15" s="63">
        <f>AVERAGE(C4:D4)</f>
        <v>9.936217278319095</v>
      </c>
      <c r="E15" s="65">
        <f t="shared" si="3"/>
        <v>0.10492124398767544</v>
      </c>
      <c r="F15" s="62">
        <f>G14</f>
        <v>3.0421596091764904</v>
      </c>
      <c r="G15" s="63">
        <f>AVERAGE(C5:D5)</f>
        <v>2.9773702106104265</v>
      </c>
      <c r="H15" s="65">
        <f t="shared" si="4"/>
        <v>-8.0986748207579895E-3</v>
      </c>
      <c r="I15" s="64">
        <f>D15/G15</f>
        <v>3.3372461519597025</v>
      </c>
      <c r="K15" s="70"/>
      <c r="T15">
        <v>1</v>
      </c>
      <c r="U15">
        <v>12</v>
      </c>
      <c r="V15" s="15">
        <v>3.0375000000000001</v>
      </c>
      <c r="W15" s="15">
        <f t="shared" si="0"/>
        <v>2.8271800941026166</v>
      </c>
      <c r="X15" s="20">
        <f t="shared" si="1"/>
        <v>8.7281360986779148</v>
      </c>
      <c r="Y15" s="20">
        <f t="shared" si="2"/>
        <v>3.087223243006151</v>
      </c>
      <c r="Z15" s="289">
        <f>('Systemberegning VP1'!$G$4+'Systemberegning VP1'!$F$4)/'Varmepumpeberegning VP1'!W15+'Systemberegning VP1'!$E$4</f>
        <v>50.874588423736348</v>
      </c>
    </row>
    <row r="16" spans="1:26" x14ac:dyDescent="0.25">
      <c r="A16" s="18">
        <v>15</v>
      </c>
      <c r="B16" s="18">
        <v>20</v>
      </c>
      <c r="C16" s="62">
        <f>D15</f>
        <v>9.936217278319095</v>
      </c>
      <c r="D16" s="62">
        <f>D15</f>
        <v>9.936217278319095</v>
      </c>
      <c r="E16" s="65">
        <f t="shared" si="3"/>
        <v>0</v>
      </c>
      <c r="F16" s="62">
        <f>G15</f>
        <v>2.9773702106104265</v>
      </c>
      <c r="G16" s="62">
        <f>G15</f>
        <v>2.9773702106104265</v>
      </c>
      <c r="H16" s="65">
        <f t="shared" si="4"/>
        <v>0</v>
      </c>
      <c r="I16" s="64">
        <f t="shared" si="5"/>
        <v>3.3372461519597025</v>
      </c>
      <c r="T16">
        <v>1</v>
      </c>
      <c r="U16">
        <v>13</v>
      </c>
      <c r="V16" s="15">
        <v>4.0166666666666666</v>
      </c>
      <c r="W16" s="15">
        <f t="shared" si="0"/>
        <v>2.8746445419591673</v>
      </c>
      <c r="X16" s="20">
        <f t="shared" si="1"/>
        <v>8.8308088762170591</v>
      </c>
      <c r="Y16" s="20">
        <f t="shared" si="2"/>
        <v>3.0719655064547786</v>
      </c>
      <c r="Z16" s="289">
        <f>('Systemberegning VP1'!$G$4+'Systemberegning VP1'!$F$4)/'Varmepumpeberegning VP1'!W16+'Systemberegning VP1'!$E$4</f>
        <v>50.063378875196641</v>
      </c>
    </row>
    <row r="17" spans="1:26" x14ac:dyDescent="0.25">
      <c r="T17">
        <v>1</v>
      </c>
      <c r="U17">
        <v>14</v>
      </c>
      <c r="V17" s="15">
        <v>3.5291666666666655</v>
      </c>
      <c r="W17" s="15">
        <f t="shared" si="0"/>
        <v>2.8746445419591673</v>
      </c>
      <c r="X17" s="20">
        <f t="shared" si="1"/>
        <v>8.8308088762170591</v>
      </c>
      <c r="Y17" s="20">
        <f t="shared" si="2"/>
        <v>3.0719655064547786</v>
      </c>
      <c r="Z17" s="289">
        <f>('Systemberegning VP1'!$G$4+'Systemberegning VP1'!$F$4)/'Varmepumpeberegning VP1'!W17+'Systemberegning VP1'!$E$4</f>
        <v>50.063378875196641</v>
      </c>
    </row>
    <row r="18" spans="1:26" x14ac:dyDescent="0.25">
      <c r="A18" s="26" t="s">
        <v>324</v>
      </c>
      <c r="B18" s="8" t="s">
        <v>309</v>
      </c>
      <c r="C18" s="8" t="s">
        <v>317</v>
      </c>
      <c r="D18" s="23" t="s">
        <v>319</v>
      </c>
      <c r="E18" s="8" t="s">
        <v>318</v>
      </c>
      <c r="T18">
        <v>1</v>
      </c>
      <c r="U18">
        <v>15</v>
      </c>
      <c r="V18" s="15">
        <v>2.1666666666666665</v>
      </c>
      <c r="W18" s="15">
        <f t="shared" si="0"/>
        <v>2.7801824984496553</v>
      </c>
      <c r="X18" s="20">
        <f t="shared" si="1"/>
        <v>8.6254633211387688</v>
      </c>
      <c r="Y18" s="20">
        <f t="shared" si="2"/>
        <v>3.1024809795575234</v>
      </c>
      <c r="Z18" s="289">
        <f>('Systemberegning VP1'!$G$4+'Systemberegning VP1'!$F$4)/'Varmepumpeberegning VP1'!W18+'Systemberegning VP1'!$E$4</f>
        <v>51.705110358037601</v>
      </c>
    </row>
    <row r="19" spans="1:26" x14ac:dyDescent="0.25">
      <c r="A19" s="74">
        <v>-12</v>
      </c>
      <c r="B19" s="15">
        <f t="shared" ref="B19:B24" si="6">IF(D19=0,0,C19/D19)</f>
        <v>2.294316581428701</v>
      </c>
      <c r="C19" s="20">
        <f>(VLOOKUP(A19,$A$10:$H$16,3)+VLOOKUP(A19,$A$10:$H$16,5)*E19)</f>
        <v>7.0749025257856211</v>
      </c>
      <c r="D19" s="20">
        <f>(VLOOKUP(A19,$A$10:$H$16,6)+VLOOKUP(A19,$A$10:$H$16,8)*E19)</f>
        <v>3.0836644703060054</v>
      </c>
      <c r="E19">
        <v>0</v>
      </c>
      <c r="G19">
        <f>(VLOOKUP(A19,$A$10:$H$16,8))</f>
        <v>0</v>
      </c>
      <c r="T19">
        <v>1</v>
      </c>
      <c r="U19">
        <v>16</v>
      </c>
      <c r="V19" s="15">
        <v>0.86250000000000027</v>
      </c>
      <c r="W19" s="15">
        <f t="shared" si="0"/>
        <v>2.7336449008903867</v>
      </c>
      <c r="X19" s="20">
        <f t="shared" si="1"/>
        <v>8.5227905435996245</v>
      </c>
      <c r="Y19" s="20">
        <f t="shared" si="2"/>
        <v>3.1177387161088959</v>
      </c>
      <c r="Z19" s="289">
        <f>('Systemberegning VP1'!$G$4+'Systemberegning VP1'!$F$4)/'Varmepumpeberegning VP1'!W19+'Systemberegning VP1'!$E$4</f>
        <v>52.555642638331904</v>
      </c>
    </row>
    <row r="20" spans="1:26" x14ac:dyDescent="0.25">
      <c r="A20" s="75">
        <v>-11</v>
      </c>
      <c r="B20" s="15">
        <f t="shared" si="6"/>
        <v>2.294316581428701</v>
      </c>
      <c r="C20" s="20">
        <f>(VLOOKUP(A20,$A$10:$H$16,3)+VLOOKUP(A20,$A$10:$H$16,5)*E20)</f>
        <v>7.0749025257856211</v>
      </c>
      <c r="D20" s="20">
        <f>(VLOOKUP(A20,$A$10:$H$16,6)+VLOOKUP(A20,$A$10:$H$16,8)*E20)</f>
        <v>3.0836644703060054</v>
      </c>
      <c r="E20">
        <v>0</v>
      </c>
      <c r="G20">
        <f t="shared" ref="G20:G54" si="7">(VLOOKUP(A20,$A$10:$H$16,8))</f>
        <v>0</v>
      </c>
      <c r="T20">
        <v>1</v>
      </c>
      <c r="U20">
        <v>17</v>
      </c>
      <c r="V20" s="15">
        <v>-0.66249999999999998</v>
      </c>
      <c r="W20" s="15">
        <f t="shared" si="0"/>
        <v>2.6419229479701314</v>
      </c>
      <c r="X20" s="20">
        <f t="shared" si="1"/>
        <v>8.3174449885213342</v>
      </c>
      <c r="Y20" s="20">
        <f t="shared" si="2"/>
        <v>3.1482541892116407</v>
      </c>
      <c r="Z20" s="289">
        <f>('Systemberegning VP1'!$G$4+'Systemberegning VP1'!$F$4)/'Varmepumpeberegning VP1'!W20+'Systemberegning VP1'!$E$4</f>
        <v>54.319702394001482</v>
      </c>
    </row>
    <row r="21" spans="1:26" x14ac:dyDescent="0.25">
      <c r="A21" s="133">
        <v>-10</v>
      </c>
      <c r="B21" s="15">
        <f t="shared" si="6"/>
        <v>2.294316581428701</v>
      </c>
      <c r="C21" s="20">
        <f>(VLOOKUP(A21,$A$10:$H$16,3)+VLOOKUP(A21,$A$10:$H$16,5)*E21)</f>
        <v>7.0749025257856211</v>
      </c>
      <c r="D21" s="20">
        <f>(VLOOKUP(A21,$A$10:$H$16,6)+VLOOKUP(A21,$A$10:$H$16,8)*E21)</f>
        <v>3.0836644703060054</v>
      </c>
      <c r="E21" s="134">
        <v>0</v>
      </c>
      <c r="F21" s="13" t="str">
        <f>IF(A21=N2,"OK")</f>
        <v>OK</v>
      </c>
      <c r="G21">
        <f>(VLOOKUP(A21,$A$10:$H$16,8))</f>
        <v>2.0013875147438798E-2</v>
      </c>
      <c r="T21">
        <v>1</v>
      </c>
      <c r="U21">
        <v>18</v>
      </c>
      <c r="V21" s="15">
        <v>-0.62083333333333368</v>
      </c>
      <c r="W21" s="15">
        <f t="shared" si="0"/>
        <v>2.6419229479701314</v>
      </c>
      <c r="X21" s="20">
        <f t="shared" si="1"/>
        <v>8.3174449885213342</v>
      </c>
      <c r="Y21" s="20">
        <f t="shared" si="2"/>
        <v>3.1482541892116407</v>
      </c>
      <c r="Z21" s="289">
        <f>('Systemberegning VP1'!$G$4+'Systemberegning VP1'!$F$4)/'Varmepumpeberegning VP1'!W21+'Systemberegning VP1'!$E$4</f>
        <v>54.319702394001482</v>
      </c>
    </row>
    <row r="22" spans="1:26" x14ac:dyDescent="0.25">
      <c r="A22" s="74">
        <v>-9</v>
      </c>
      <c r="B22" s="15">
        <f t="shared" si="6"/>
        <v>2.3307421763550678</v>
      </c>
      <c r="C22" s="20">
        <f t="shared" ref="C22:C53" si="8">(VLOOKUP(A22,$A$10:$H$16,3)+VLOOKUP(A22,$A$10:$H$16,5)*E22)</f>
        <v>7.2338740215882558</v>
      </c>
      <c r="D22" s="20">
        <f t="shared" ref="D22:D54" si="9">(VLOOKUP(A22,$A$10:$H$16,6)+VLOOKUP(A22,$A$10:$H$16,8)*E22)</f>
        <v>3.103678345453444</v>
      </c>
      <c r="E22" s="5">
        <v>1</v>
      </c>
      <c r="G22">
        <f t="shared" si="7"/>
        <v>2.0013875147438798E-2</v>
      </c>
      <c r="T22">
        <v>1</v>
      </c>
      <c r="U22">
        <v>19</v>
      </c>
      <c r="V22" s="15">
        <v>1.7666666666666668</v>
      </c>
      <c r="W22" s="15">
        <f t="shared" si="0"/>
        <v>2.7801824984496553</v>
      </c>
      <c r="X22" s="20">
        <f t="shared" si="1"/>
        <v>8.6254633211387688</v>
      </c>
      <c r="Y22" s="20">
        <f t="shared" si="2"/>
        <v>3.1024809795575234</v>
      </c>
      <c r="Z22" s="289">
        <f>('Systemberegning VP1'!$G$4+'Systemberegning VP1'!$F$4)/'Varmepumpeberegning VP1'!W22+'Systemberegning VP1'!$E$4</f>
        <v>51.705110358037601</v>
      </c>
    </row>
    <row r="23" spans="1:26" x14ac:dyDescent="0.25">
      <c r="A23" s="75">
        <v>-8</v>
      </c>
      <c r="B23" s="15">
        <f t="shared" si="6"/>
        <v>2.3667010048668562</v>
      </c>
      <c r="C23" s="20">
        <f t="shared" si="8"/>
        <v>7.3928455173908914</v>
      </c>
      <c r="D23" s="20">
        <f t="shared" si="9"/>
        <v>3.123692220600883</v>
      </c>
      <c r="E23">
        <v>2</v>
      </c>
      <c r="G23">
        <f t="shared" si="7"/>
        <v>2.0013875147438798E-2</v>
      </c>
      <c r="T23">
        <v>1</v>
      </c>
      <c r="U23">
        <v>20</v>
      </c>
      <c r="V23" s="15">
        <v>1.3541666666666663</v>
      </c>
      <c r="W23" s="15">
        <f t="shared" si="0"/>
        <v>2.7336449008903867</v>
      </c>
      <c r="X23" s="20">
        <f t="shared" si="1"/>
        <v>8.5227905435996245</v>
      </c>
      <c r="Y23" s="20">
        <f t="shared" si="2"/>
        <v>3.1177387161088959</v>
      </c>
      <c r="Z23" s="289">
        <f>('Systemberegning VP1'!$G$4+'Systemberegning VP1'!$F$4)/'Varmepumpeberegning VP1'!W23+'Systemberegning VP1'!$E$4</f>
        <v>52.555642638331904</v>
      </c>
    </row>
    <row r="24" spans="1:26" x14ac:dyDescent="0.25">
      <c r="A24" s="75">
        <v>-7</v>
      </c>
      <c r="B24" s="15">
        <f t="shared" si="6"/>
        <v>2.4022019817332527</v>
      </c>
      <c r="C24" s="20">
        <f t="shared" si="8"/>
        <v>7.5518170131935261</v>
      </c>
      <c r="D24" s="20">
        <f t="shared" si="9"/>
        <v>3.143706095748322</v>
      </c>
      <c r="E24">
        <v>3</v>
      </c>
      <c r="G24">
        <f t="shared" si="7"/>
        <v>2.0013875147438798E-2</v>
      </c>
      <c r="T24">
        <v>1</v>
      </c>
      <c r="U24">
        <v>21</v>
      </c>
      <c r="V24" s="15">
        <v>2.8708333333333336</v>
      </c>
      <c r="W24" s="15">
        <f t="shared" si="0"/>
        <v>2.8271800941026166</v>
      </c>
      <c r="X24" s="20">
        <f t="shared" si="1"/>
        <v>8.7281360986779148</v>
      </c>
      <c r="Y24" s="20">
        <f t="shared" si="2"/>
        <v>3.087223243006151</v>
      </c>
      <c r="Z24" s="289">
        <f>('Systemberegning VP1'!$G$4+'Systemberegning VP1'!$F$4)/'Varmepumpeberegning VP1'!W24+'Systemberegning VP1'!$E$4</f>
        <v>50.874588423736348</v>
      </c>
    </row>
    <row r="25" spans="1:26" x14ac:dyDescent="0.25">
      <c r="A25" s="75">
        <v>-6</v>
      </c>
      <c r="B25" s="15">
        <f t="shared" ref="B25:B53" si="10">IF(D25=0,0,C25/D25)</f>
        <v>2.4372537961420666</v>
      </c>
      <c r="C25" s="20">
        <f t="shared" si="8"/>
        <v>7.7107885089961608</v>
      </c>
      <c r="D25" s="20">
        <f t="shared" si="9"/>
        <v>3.1637199708957606</v>
      </c>
      <c r="E25">
        <v>4</v>
      </c>
      <c r="G25">
        <f t="shared" si="7"/>
        <v>2.0013875147438798E-2</v>
      </c>
      <c r="T25">
        <v>1</v>
      </c>
      <c r="U25">
        <v>22</v>
      </c>
      <c r="V25" s="15">
        <v>8.3083333333333318</v>
      </c>
      <c r="W25" s="15">
        <f t="shared" si="0"/>
        <v>3.0328225996421248</v>
      </c>
      <c r="X25" s="20">
        <f t="shared" si="1"/>
        <v>9.2017685704053669</v>
      </c>
      <c r="Y25" s="20">
        <f t="shared" si="2"/>
        <v>3.0340609343557325</v>
      </c>
      <c r="Z25" s="289">
        <f>('Systemberegning VP1'!$G$4+'Systemberegning VP1'!$F$4)/'Varmepumpeberegning VP1'!W25+'Systemberegning VP1'!$E$4</f>
        <v>47.54328147744701</v>
      </c>
    </row>
    <row r="26" spans="1:26" x14ac:dyDescent="0.25">
      <c r="A26" s="75">
        <v>-5</v>
      </c>
      <c r="B26" s="15">
        <f t="shared" si="10"/>
        <v>2.4718649187900783</v>
      </c>
      <c r="C26" s="20">
        <f t="shared" si="8"/>
        <v>7.8697600047987963</v>
      </c>
      <c r="D26" s="20">
        <f t="shared" si="9"/>
        <v>3.1837338460431992</v>
      </c>
      <c r="E26">
        <v>5</v>
      </c>
      <c r="G26">
        <f t="shared" si="7"/>
        <v>2.0013875147438798E-2</v>
      </c>
      <c r="T26">
        <v>1</v>
      </c>
      <c r="U26">
        <v>23</v>
      </c>
      <c r="V26" s="15">
        <v>7.25</v>
      </c>
      <c r="W26" s="15">
        <f t="shared" si="0"/>
        <v>2.9902597151633996</v>
      </c>
      <c r="X26" s="20">
        <f t="shared" si="1"/>
        <v>9.0968473264176914</v>
      </c>
      <c r="Y26" s="20">
        <f t="shared" si="2"/>
        <v>3.0421596091764904</v>
      </c>
      <c r="Z26" s="289">
        <f>('Systemberegning VP1'!$G$4+'Systemberegning VP1'!$F$4)/'Varmepumpeberegning VP1'!W26+'Systemberegning VP1'!$E$4</f>
        <v>48.195176072664189</v>
      </c>
    </row>
    <row r="27" spans="1:26" x14ac:dyDescent="0.25">
      <c r="A27" s="75">
        <v>-4</v>
      </c>
      <c r="B27" s="15">
        <f t="shared" si="10"/>
        <v>2.5060436087076292</v>
      </c>
      <c r="C27" s="20">
        <f t="shared" si="8"/>
        <v>8.028731500601431</v>
      </c>
      <c r="D27" s="20">
        <f t="shared" si="9"/>
        <v>3.2037477211906382</v>
      </c>
      <c r="E27">
        <v>0</v>
      </c>
      <c r="F27" s="13" t="str">
        <f>IF(A27=M$2,"OK","RET")</f>
        <v>OK</v>
      </c>
      <c r="G27">
        <f t="shared" si="7"/>
        <v>-1.8497843992999179E-2</v>
      </c>
      <c r="T27">
        <v>1</v>
      </c>
      <c r="U27">
        <v>24</v>
      </c>
      <c r="V27" s="15">
        <v>9.4291666666666654</v>
      </c>
      <c r="W27" s="15">
        <f t="shared" si="0"/>
        <v>3.0756133144315161</v>
      </c>
      <c r="X27" s="20">
        <f t="shared" si="1"/>
        <v>9.3066898143930423</v>
      </c>
      <c r="Y27" s="20">
        <f t="shared" si="2"/>
        <v>3.0259622595349747</v>
      </c>
      <c r="Z27" s="289">
        <f>('Systemberegning VP1'!$G$4+'Systemberegning VP1'!$F$4)/'Varmepumpeberegning VP1'!W27+'Systemberegning VP1'!$E$4</f>
        <v>46.906085468567859</v>
      </c>
    </row>
    <row r="28" spans="1:26" x14ac:dyDescent="0.25">
      <c r="A28" s="75">
        <v>-3</v>
      </c>
      <c r="B28" s="15">
        <f t="shared" si="10"/>
        <v>2.550810656354646</v>
      </c>
      <c r="C28" s="20">
        <f t="shared" si="8"/>
        <v>8.1249693299080654</v>
      </c>
      <c r="D28" s="20">
        <f t="shared" si="9"/>
        <v>3.1852498771976392</v>
      </c>
      <c r="E28">
        <v>1</v>
      </c>
      <c r="G28">
        <f t="shared" si="7"/>
        <v>-1.8497843992999179E-2</v>
      </c>
      <c r="T28">
        <v>1</v>
      </c>
      <c r="U28">
        <v>25</v>
      </c>
      <c r="V28" s="15">
        <v>6.4666666666666677</v>
      </c>
      <c r="W28" s="15">
        <f t="shared" si="0"/>
        <v>2.9514704207300451</v>
      </c>
      <c r="X28" s="20">
        <f t="shared" si="1"/>
        <v>9.0081678430174801</v>
      </c>
      <c r="Y28" s="20">
        <f t="shared" si="2"/>
        <v>3.052094908269253</v>
      </c>
      <c r="Z28" s="289">
        <f>('Systemberegning VP1'!$G$4+'Systemberegning VP1'!$F$4)/'Varmepumpeberegning VP1'!W28+'Systemberegning VP1'!$E$4</f>
        <v>48.805649522192738</v>
      </c>
    </row>
    <row r="29" spans="1:26" x14ac:dyDescent="0.25">
      <c r="A29" s="75">
        <v>-2</v>
      </c>
      <c r="B29" s="15">
        <f t="shared" si="10"/>
        <v>2.5961006965534756</v>
      </c>
      <c r="C29" s="20">
        <f t="shared" si="8"/>
        <v>8.2212071592146998</v>
      </c>
      <c r="D29" s="20">
        <f t="shared" si="9"/>
        <v>3.1667520332046397</v>
      </c>
      <c r="E29">
        <v>2</v>
      </c>
      <c r="G29">
        <f t="shared" si="7"/>
        <v>-1.8497843992999179E-2</v>
      </c>
      <c r="T29">
        <v>1</v>
      </c>
      <c r="U29">
        <v>26</v>
      </c>
      <c r="V29" s="15">
        <v>7.9041666666666659</v>
      </c>
      <c r="W29" s="15">
        <f t="shared" si="0"/>
        <v>3.0328225996421248</v>
      </c>
      <c r="X29" s="20">
        <f t="shared" si="1"/>
        <v>9.2017685704053669</v>
      </c>
      <c r="Y29" s="20">
        <f t="shared" si="2"/>
        <v>3.0340609343557325</v>
      </c>
      <c r="Z29" s="289">
        <f>('Systemberegning VP1'!$G$4+'Systemberegning VP1'!$F$4)/'Varmepumpeberegning VP1'!W29+'Systemberegning VP1'!$E$4</f>
        <v>47.54328147744701</v>
      </c>
    </row>
    <row r="30" spans="1:26" x14ac:dyDescent="0.25">
      <c r="A30" s="75">
        <v>-1</v>
      </c>
      <c r="B30" s="15">
        <f t="shared" si="10"/>
        <v>2.6419229479701314</v>
      </c>
      <c r="C30" s="20">
        <f>(VLOOKUP(A30,$A$10:$H$16,3)+VLOOKUP(A30,$A$10:$H$16,5)*E30)</f>
        <v>8.3174449885213342</v>
      </c>
      <c r="D30" s="20">
        <f t="shared" si="9"/>
        <v>3.1482541892116407</v>
      </c>
      <c r="E30">
        <v>0</v>
      </c>
      <c r="F30" s="13" t="str">
        <f>IF(A30=K$2,"OK","RET")</f>
        <v>OK</v>
      </c>
      <c r="G30">
        <f t="shared" si="7"/>
        <v>-1.5257736551372414E-2</v>
      </c>
      <c r="T30">
        <v>1</v>
      </c>
      <c r="U30">
        <v>27</v>
      </c>
      <c r="V30" s="15">
        <v>4.6124999999999998</v>
      </c>
      <c r="W30" s="15">
        <f t="shared" si="0"/>
        <v>2.9129328437623547</v>
      </c>
      <c r="X30" s="20">
        <f t="shared" si="1"/>
        <v>8.9194883596172705</v>
      </c>
      <c r="Y30" s="20">
        <f t="shared" si="2"/>
        <v>3.062030207362016</v>
      </c>
      <c r="Z30" s="289">
        <f>('Systemberegning VP1'!$G$4+'Systemberegning VP1'!$F$4)/'Varmepumpeberegning VP1'!W30+'Systemberegning VP1'!$E$4</f>
        <v>49.428261889997998</v>
      </c>
    </row>
    <row r="31" spans="1:26" x14ac:dyDescent="0.25">
      <c r="A31" s="75">
        <v>0</v>
      </c>
      <c r="B31" s="15">
        <f t="shared" si="10"/>
        <v>2.6875605808333574</v>
      </c>
      <c r="C31" s="20">
        <f t="shared" si="8"/>
        <v>8.4201177660604785</v>
      </c>
      <c r="D31" s="20">
        <f t="shared" si="9"/>
        <v>3.1329964526602683</v>
      </c>
      <c r="E31">
        <v>1</v>
      </c>
      <c r="G31">
        <f t="shared" si="7"/>
        <v>-1.5257736551372414E-2</v>
      </c>
      <c r="T31">
        <v>1</v>
      </c>
      <c r="U31">
        <v>28</v>
      </c>
      <c r="V31" s="15">
        <v>4.1208333333333327</v>
      </c>
      <c r="W31" s="15">
        <f t="shared" si="0"/>
        <v>2.8746445419591673</v>
      </c>
      <c r="X31" s="20">
        <f t="shared" si="1"/>
        <v>8.8308088762170591</v>
      </c>
      <c r="Y31" s="20">
        <f t="shared" si="2"/>
        <v>3.0719655064547786</v>
      </c>
      <c r="Z31" s="289">
        <f>('Systemberegning VP1'!$G$4+'Systemberegning VP1'!$F$4)/'Varmepumpeberegning VP1'!W31+'Systemberegning VP1'!$E$4</f>
        <v>50.063378875196641</v>
      </c>
    </row>
    <row r="32" spans="1:26" x14ac:dyDescent="0.25">
      <c r="A32" s="75">
        <v>1</v>
      </c>
      <c r="B32" s="15">
        <f t="shared" si="10"/>
        <v>2.7336449008903867</v>
      </c>
      <c r="C32" s="20">
        <f t="shared" si="8"/>
        <v>8.5227905435996245</v>
      </c>
      <c r="D32" s="20">
        <f t="shared" si="9"/>
        <v>3.1177387161088959</v>
      </c>
      <c r="E32">
        <v>2</v>
      </c>
      <c r="G32">
        <f t="shared" si="7"/>
        <v>-1.5257736551372414E-2</v>
      </c>
      <c r="T32">
        <v>1</v>
      </c>
      <c r="U32">
        <v>29</v>
      </c>
      <c r="V32" s="15">
        <v>6.1875</v>
      </c>
      <c r="W32" s="15">
        <f t="shared" si="0"/>
        <v>2.9514704207300451</v>
      </c>
      <c r="X32" s="20">
        <f t="shared" si="1"/>
        <v>9.0081678430174801</v>
      </c>
      <c r="Y32" s="20">
        <f t="shared" si="2"/>
        <v>3.052094908269253</v>
      </c>
      <c r="Z32" s="289">
        <f>('Systemberegning VP1'!$G$4+'Systemberegning VP1'!$F$4)/'Varmepumpeberegning VP1'!W32+'Systemberegning VP1'!$E$4</f>
        <v>48.805649522192738</v>
      </c>
    </row>
    <row r="33" spans="1:26" x14ac:dyDescent="0.25">
      <c r="A33" s="75">
        <v>2</v>
      </c>
      <c r="B33" s="15">
        <f t="shared" si="10"/>
        <v>2.7801824984496553</v>
      </c>
      <c r="C33" s="20">
        <f t="shared" si="8"/>
        <v>8.6254633211387688</v>
      </c>
      <c r="D33" s="20">
        <f t="shared" si="9"/>
        <v>3.1024809795575234</v>
      </c>
      <c r="E33">
        <v>3</v>
      </c>
      <c r="G33">
        <f t="shared" si="7"/>
        <v>-1.5257736551372414E-2</v>
      </c>
      <c r="T33">
        <v>1</v>
      </c>
      <c r="U33">
        <v>30</v>
      </c>
      <c r="V33" s="15">
        <v>7.3249999999999966</v>
      </c>
      <c r="W33" s="15">
        <f t="shared" si="0"/>
        <v>2.9902597151633996</v>
      </c>
      <c r="X33" s="20">
        <f t="shared" si="1"/>
        <v>9.0968473264176914</v>
      </c>
      <c r="Y33" s="20">
        <f t="shared" si="2"/>
        <v>3.0421596091764904</v>
      </c>
      <c r="Z33" s="289">
        <f>('Systemberegning VP1'!$G$4+'Systemberegning VP1'!$F$4)/'Varmepumpeberegning VP1'!W33+'Systemberegning VP1'!$E$4</f>
        <v>48.195176072664189</v>
      </c>
    </row>
    <row r="34" spans="1:26" x14ac:dyDescent="0.25">
      <c r="A34" s="75">
        <v>3</v>
      </c>
      <c r="B34" s="15">
        <f t="shared" si="10"/>
        <v>2.8271800941026166</v>
      </c>
      <c r="C34" s="20">
        <f t="shared" si="8"/>
        <v>8.7281360986779148</v>
      </c>
      <c r="D34" s="20">
        <f t="shared" si="9"/>
        <v>3.087223243006151</v>
      </c>
      <c r="E34">
        <v>4</v>
      </c>
      <c r="G34">
        <f t="shared" si="7"/>
        <v>-1.5257736551372414E-2</v>
      </c>
      <c r="T34">
        <v>1</v>
      </c>
      <c r="U34">
        <v>31</v>
      </c>
      <c r="V34" s="15">
        <v>5.75</v>
      </c>
      <c r="W34" s="15">
        <f t="shared" si="0"/>
        <v>2.9514704207300451</v>
      </c>
      <c r="X34" s="20">
        <f t="shared" si="1"/>
        <v>9.0081678430174801</v>
      </c>
      <c r="Y34" s="20">
        <f t="shared" si="2"/>
        <v>3.052094908269253</v>
      </c>
      <c r="Z34" s="289">
        <f>('Systemberegning VP1'!$G$4+'Systemberegning VP1'!$F$4)/'Varmepumpeberegning VP1'!W34+'Systemberegning VP1'!$E$4</f>
        <v>48.805649522192738</v>
      </c>
    </row>
    <row r="35" spans="1:26" x14ac:dyDescent="0.25">
      <c r="A35" s="75">
        <v>4</v>
      </c>
      <c r="B35" s="15">
        <f t="shared" si="10"/>
        <v>2.8746445419591673</v>
      </c>
      <c r="C35" s="20">
        <f t="shared" si="8"/>
        <v>8.8308088762170591</v>
      </c>
      <c r="D35" s="20">
        <f t="shared" si="9"/>
        <v>3.0719655064547786</v>
      </c>
      <c r="E35">
        <v>0</v>
      </c>
      <c r="F35" s="13" t="str">
        <f>IF(A35=J$2,"OK","RET")</f>
        <v>OK</v>
      </c>
      <c r="G35">
        <f t="shared" si="7"/>
        <v>-9.9352990927627314E-3</v>
      </c>
      <c r="T35">
        <v>2</v>
      </c>
      <c r="U35">
        <v>32</v>
      </c>
      <c r="V35" s="15">
        <v>6.0416666666666679</v>
      </c>
      <c r="W35" s="15">
        <f t="shared" si="0"/>
        <v>2.9514704207300451</v>
      </c>
      <c r="X35" s="20">
        <f t="shared" si="1"/>
        <v>9.0081678430174801</v>
      </c>
      <c r="Y35" s="20">
        <f t="shared" si="2"/>
        <v>3.052094908269253</v>
      </c>
      <c r="Z35" s="289">
        <f>('Systemberegning VP1'!$G$4+'Systemberegning VP1'!$F$4)/'Varmepumpeberegning VP1'!W35+'Systemberegning VP1'!$E$4</f>
        <v>48.805649522192738</v>
      </c>
    </row>
    <row r="36" spans="1:26" x14ac:dyDescent="0.25">
      <c r="A36" s="75">
        <v>5</v>
      </c>
      <c r="B36" s="15">
        <f t="shared" si="10"/>
        <v>2.9129328437623547</v>
      </c>
      <c r="C36" s="20">
        <f t="shared" si="8"/>
        <v>8.9194883596172705</v>
      </c>
      <c r="D36" s="20">
        <f t="shared" si="9"/>
        <v>3.062030207362016</v>
      </c>
      <c r="E36">
        <v>1</v>
      </c>
      <c r="G36">
        <f t="shared" si="7"/>
        <v>-9.9352990927627314E-3</v>
      </c>
      <c r="T36">
        <v>2</v>
      </c>
      <c r="U36">
        <v>33</v>
      </c>
      <c r="V36" s="15">
        <v>7.4291666666666663</v>
      </c>
      <c r="W36" s="15">
        <f t="shared" si="0"/>
        <v>2.9902597151633996</v>
      </c>
      <c r="X36" s="20">
        <f t="shared" si="1"/>
        <v>9.0968473264176914</v>
      </c>
      <c r="Y36" s="20">
        <f t="shared" si="2"/>
        <v>3.0421596091764904</v>
      </c>
      <c r="Z36" s="289">
        <f>('Systemberegning VP1'!$G$4+'Systemberegning VP1'!$F$4)/'Varmepumpeberegning VP1'!W36+'Systemberegning VP1'!$E$4</f>
        <v>48.195176072664189</v>
      </c>
    </row>
    <row r="37" spans="1:26" x14ac:dyDescent="0.25">
      <c r="A37" s="75">
        <v>6</v>
      </c>
      <c r="B37" s="15">
        <f t="shared" si="10"/>
        <v>2.9514704207300451</v>
      </c>
      <c r="C37" s="20">
        <f t="shared" si="8"/>
        <v>9.0081678430174801</v>
      </c>
      <c r="D37" s="20">
        <f t="shared" si="9"/>
        <v>3.052094908269253</v>
      </c>
      <c r="E37">
        <v>2</v>
      </c>
      <c r="G37">
        <f t="shared" si="7"/>
        <v>-9.9352990927627314E-3</v>
      </c>
      <c r="T37">
        <v>2</v>
      </c>
      <c r="U37">
        <v>34</v>
      </c>
      <c r="V37" s="15">
        <v>9.0625</v>
      </c>
      <c r="W37" s="15">
        <f t="shared" si="0"/>
        <v>3.0756133144315161</v>
      </c>
      <c r="X37" s="20">
        <f t="shared" si="1"/>
        <v>9.3066898143930423</v>
      </c>
      <c r="Y37" s="20">
        <f t="shared" si="2"/>
        <v>3.0259622595349747</v>
      </c>
      <c r="Z37" s="289">
        <f>('Systemberegning VP1'!$G$4+'Systemberegning VP1'!$F$4)/'Varmepumpeberegning VP1'!W37+'Systemberegning VP1'!$E$4</f>
        <v>46.906085468567859</v>
      </c>
    </row>
    <row r="38" spans="1:26" x14ac:dyDescent="0.25">
      <c r="A38" s="75">
        <v>7</v>
      </c>
      <c r="B38" s="15">
        <f t="shared" si="10"/>
        <v>2.9902597151633996</v>
      </c>
      <c r="C38" s="20">
        <f t="shared" si="8"/>
        <v>9.0968473264176914</v>
      </c>
      <c r="D38" s="20">
        <f t="shared" si="9"/>
        <v>3.0421596091764904</v>
      </c>
      <c r="E38">
        <v>0</v>
      </c>
      <c r="F38" s="13" t="str">
        <f>IF(A38=G$2,"OK","RET")</f>
        <v>OK</v>
      </c>
      <c r="G38">
        <f t="shared" si="7"/>
        <v>-8.0986748207579895E-3</v>
      </c>
      <c r="T38">
        <v>2</v>
      </c>
      <c r="U38">
        <v>35</v>
      </c>
      <c r="V38" s="15">
        <v>8.5250000000000004</v>
      </c>
      <c r="W38" s="15">
        <f t="shared" si="0"/>
        <v>3.0756133144315161</v>
      </c>
      <c r="X38" s="20">
        <f t="shared" si="1"/>
        <v>9.3066898143930423</v>
      </c>
      <c r="Y38" s="20">
        <f t="shared" si="2"/>
        <v>3.0259622595349747</v>
      </c>
      <c r="Z38" s="289">
        <f>('Systemberegning VP1'!$G$4+'Systemberegning VP1'!$F$4)/'Varmepumpeberegning VP1'!W38+'Systemberegning VP1'!$E$4</f>
        <v>46.906085468567859</v>
      </c>
    </row>
    <row r="39" spans="1:26" x14ac:dyDescent="0.25">
      <c r="A39" s="75">
        <v>8</v>
      </c>
      <c r="B39" s="15">
        <f t="shared" si="10"/>
        <v>3.0328225996421248</v>
      </c>
      <c r="C39" s="20">
        <f t="shared" si="8"/>
        <v>9.2017685704053669</v>
      </c>
      <c r="D39" s="20">
        <f t="shared" si="9"/>
        <v>3.0340609343557325</v>
      </c>
      <c r="E39">
        <v>1</v>
      </c>
      <c r="G39">
        <f t="shared" si="7"/>
        <v>-8.0986748207579895E-3</v>
      </c>
      <c r="T39">
        <v>2</v>
      </c>
      <c r="U39">
        <v>36</v>
      </c>
      <c r="V39" s="15">
        <v>9.0791666666666675</v>
      </c>
      <c r="W39" s="15">
        <f t="shared" si="0"/>
        <v>3.0756133144315161</v>
      </c>
      <c r="X39" s="20">
        <f t="shared" si="1"/>
        <v>9.3066898143930423</v>
      </c>
      <c r="Y39" s="20">
        <f t="shared" si="2"/>
        <v>3.0259622595349747</v>
      </c>
      <c r="Z39" s="289">
        <f>('Systemberegning VP1'!$G$4+'Systemberegning VP1'!$F$4)/'Varmepumpeberegning VP1'!W39+'Systemberegning VP1'!$E$4</f>
        <v>46.906085468567859</v>
      </c>
    </row>
    <row r="40" spans="1:26" x14ac:dyDescent="0.25">
      <c r="A40" s="75">
        <v>9</v>
      </c>
      <c r="B40" s="15">
        <f t="shared" si="10"/>
        <v>3.0756133144315161</v>
      </c>
      <c r="C40" s="20">
        <f t="shared" si="8"/>
        <v>9.3066898143930423</v>
      </c>
      <c r="D40" s="20">
        <f t="shared" si="9"/>
        <v>3.0259622595349747</v>
      </c>
      <c r="E40">
        <v>2</v>
      </c>
      <c r="G40">
        <f t="shared" si="7"/>
        <v>-8.0986748207579895E-3</v>
      </c>
      <c r="T40">
        <v>2</v>
      </c>
      <c r="U40">
        <v>37</v>
      </c>
      <c r="V40" s="15">
        <v>9.3583333333333325</v>
      </c>
      <c r="W40" s="15">
        <f t="shared" si="0"/>
        <v>3.0756133144315161</v>
      </c>
      <c r="X40" s="20">
        <f t="shared" si="1"/>
        <v>9.3066898143930423</v>
      </c>
      <c r="Y40" s="20">
        <f t="shared" si="2"/>
        <v>3.0259622595349747</v>
      </c>
      <c r="Z40" s="289">
        <f>('Systemberegning VP1'!$G$4+'Systemberegning VP1'!$F$4)/'Varmepumpeberegning VP1'!W40+'Systemberegning VP1'!$E$4</f>
        <v>46.906085468567859</v>
      </c>
    </row>
    <row r="41" spans="1:26" x14ac:dyDescent="0.25">
      <c r="A41" s="75">
        <v>10</v>
      </c>
      <c r="B41" s="15">
        <f t="shared" si="10"/>
        <v>3.1186336937333676</v>
      </c>
      <c r="C41" s="20">
        <f t="shared" si="8"/>
        <v>9.4116110583807178</v>
      </c>
      <c r="D41" s="20">
        <f t="shared" si="9"/>
        <v>3.0178635847142163</v>
      </c>
      <c r="E41">
        <v>3</v>
      </c>
      <c r="G41">
        <f>(VLOOKUP(A41,$A$10:$H$16,8))</f>
        <v>-8.0986748207579895E-3</v>
      </c>
      <c r="T41">
        <v>2</v>
      </c>
      <c r="U41">
        <v>38</v>
      </c>
      <c r="V41" s="15">
        <v>4.6333333333333337</v>
      </c>
      <c r="W41" s="15">
        <f t="shared" si="0"/>
        <v>2.9129328437623547</v>
      </c>
      <c r="X41" s="20">
        <f t="shared" si="1"/>
        <v>8.9194883596172705</v>
      </c>
      <c r="Y41" s="20">
        <f t="shared" si="2"/>
        <v>3.062030207362016</v>
      </c>
      <c r="Z41" s="289">
        <f>('Systemberegning VP1'!$G$4+'Systemberegning VP1'!$F$4)/'Varmepumpeberegning VP1'!W41+'Systemberegning VP1'!$E$4</f>
        <v>49.428261889997998</v>
      </c>
    </row>
    <row r="42" spans="1:26" x14ac:dyDescent="0.25">
      <c r="A42" s="75">
        <v>11</v>
      </c>
      <c r="B42" s="15">
        <f t="shared" si="10"/>
        <v>3.1618855914913517</v>
      </c>
      <c r="C42" s="20">
        <f t="shared" si="8"/>
        <v>9.5165323023683932</v>
      </c>
      <c r="D42" s="20">
        <f t="shared" si="9"/>
        <v>3.0097649098934585</v>
      </c>
      <c r="E42">
        <v>4</v>
      </c>
      <c r="G42">
        <f t="shared" si="7"/>
        <v>-8.0986748207579895E-3</v>
      </c>
      <c r="T42">
        <v>2</v>
      </c>
      <c r="U42">
        <v>39</v>
      </c>
      <c r="V42" s="15">
        <v>1.7375000000000005</v>
      </c>
      <c r="W42" s="15">
        <f t="shared" si="0"/>
        <v>2.7801824984496553</v>
      </c>
      <c r="X42" s="20">
        <f t="shared" si="1"/>
        <v>8.6254633211387688</v>
      </c>
      <c r="Y42" s="20">
        <f t="shared" si="2"/>
        <v>3.1024809795575234</v>
      </c>
      <c r="Z42" s="289">
        <f>('Systemberegning VP1'!$G$4+'Systemberegning VP1'!$F$4)/'Varmepumpeberegning VP1'!W42+'Systemberegning VP1'!$E$4</f>
        <v>51.705110358037601</v>
      </c>
    </row>
    <row r="43" spans="1:26" x14ac:dyDescent="0.25">
      <c r="A43" s="75">
        <v>12</v>
      </c>
      <c r="B43" s="15">
        <f t="shared" si="10"/>
        <v>3.2053708816573461</v>
      </c>
      <c r="C43" s="20">
        <f t="shared" si="8"/>
        <v>9.6214535463560686</v>
      </c>
      <c r="D43" s="20">
        <f t="shared" si="9"/>
        <v>3.0016662350727006</v>
      </c>
      <c r="E43">
        <v>5</v>
      </c>
      <c r="G43">
        <f t="shared" si="7"/>
        <v>-8.0986748207579895E-3</v>
      </c>
      <c r="T43">
        <v>2</v>
      </c>
      <c r="U43">
        <v>40</v>
      </c>
      <c r="V43" s="15">
        <v>7.1958333333333329</v>
      </c>
      <c r="W43" s="15">
        <f t="shared" si="0"/>
        <v>2.9902597151633996</v>
      </c>
      <c r="X43" s="20">
        <f t="shared" si="1"/>
        <v>9.0968473264176914</v>
      </c>
      <c r="Y43" s="20">
        <f t="shared" si="2"/>
        <v>3.0421596091764904</v>
      </c>
      <c r="Z43" s="289">
        <f>('Systemberegning VP1'!$G$4+'Systemberegning VP1'!$F$4)/'Varmepumpeberegning VP1'!W43+'Systemberegning VP1'!$E$4</f>
        <v>48.195176072664189</v>
      </c>
    </row>
    <row r="44" spans="1:26" x14ac:dyDescent="0.25">
      <c r="A44" s="75">
        <v>13</v>
      </c>
      <c r="B44" s="15">
        <f t="shared" si="10"/>
        <v>3.2490914584620767</v>
      </c>
      <c r="C44" s="20">
        <f t="shared" si="8"/>
        <v>9.7263747903437441</v>
      </c>
      <c r="D44" s="20">
        <f t="shared" si="9"/>
        <v>2.9935675602519423</v>
      </c>
      <c r="E44">
        <v>6</v>
      </c>
      <c r="G44">
        <f t="shared" si="7"/>
        <v>-8.0986748207579895E-3</v>
      </c>
      <c r="T44">
        <v>2</v>
      </c>
      <c r="U44">
        <v>41</v>
      </c>
      <c r="V44" s="15">
        <v>9.4833333333333343</v>
      </c>
      <c r="W44" s="15">
        <f t="shared" si="0"/>
        <v>3.0756133144315161</v>
      </c>
      <c r="X44" s="20">
        <f t="shared" si="1"/>
        <v>9.3066898143930423</v>
      </c>
      <c r="Y44" s="20">
        <f t="shared" si="2"/>
        <v>3.0259622595349747</v>
      </c>
      <c r="Z44" s="289">
        <f>('Systemberegning VP1'!$G$4+'Systemberegning VP1'!$F$4)/'Varmepumpeberegning VP1'!W44+'Systemberegning VP1'!$E$4</f>
        <v>46.906085468567859</v>
      </c>
    </row>
    <row r="45" spans="1:26" x14ac:dyDescent="0.25">
      <c r="A45" s="75">
        <v>14</v>
      </c>
      <c r="B45" s="15">
        <f t="shared" si="10"/>
        <v>3.2930492366901718</v>
      </c>
      <c r="C45" s="20">
        <f t="shared" si="8"/>
        <v>9.8312960343314195</v>
      </c>
      <c r="D45" s="20">
        <f t="shared" si="9"/>
        <v>2.9854688854311844</v>
      </c>
      <c r="E45">
        <v>7</v>
      </c>
      <c r="G45">
        <f>(VLOOKUP(A45,$A$10:$H$16,8))</f>
        <v>-8.0986748207579895E-3</v>
      </c>
      <c r="T45">
        <v>2</v>
      </c>
      <c r="U45">
        <v>42</v>
      </c>
      <c r="V45" s="15">
        <v>8.2625000000000011</v>
      </c>
      <c r="W45" s="15">
        <f t="shared" si="0"/>
        <v>3.0328225996421248</v>
      </c>
      <c r="X45" s="20">
        <f t="shared" si="1"/>
        <v>9.2017685704053669</v>
      </c>
      <c r="Y45" s="20">
        <f t="shared" si="2"/>
        <v>3.0340609343557325</v>
      </c>
      <c r="Z45" s="289">
        <f>('Systemberegning VP1'!$G$4+'Systemberegning VP1'!$F$4)/'Varmepumpeberegning VP1'!W45+'Systemberegning VP1'!$E$4</f>
        <v>47.54328147744701</v>
      </c>
    </row>
    <row r="46" spans="1:26" x14ac:dyDescent="0.25">
      <c r="A46" s="75">
        <v>15</v>
      </c>
      <c r="B46" s="15">
        <f t="shared" si="10"/>
        <v>3.3372461519597025</v>
      </c>
      <c r="C46" s="20">
        <f>(VLOOKUP(A46,$A$10:$H$16,3)+VLOOKUP(A46,$A$10:$H$16,5)*E46)</f>
        <v>9.936217278319095</v>
      </c>
      <c r="D46" s="20">
        <f t="shared" si="9"/>
        <v>2.9773702106104265</v>
      </c>
      <c r="E46" s="13">
        <v>0</v>
      </c>
      <c r="F46" s="13" t="str">
        <f>IF(A46=D2,"OK","RET")</f>
        <v>OK</v>
      </c>
      <c r="G46">
        <f>(VLOOKUP(A46,$A$10:$H$16,8))</f>
        <v>0</v>
      </c>
      <c r="T46">
        <v>2</v>
      </c>
      <c r="U46">
        <v>43</v>
      </c>
      <c r="V46" s="15">
        <v>6.9208333333333343</v>
      </c>
      <c r="W46" s="15">
        <f t="shared" si="0"/>
        <v>2.9902597151633996</v>
      </c>
      <c r="X46" s="20">
        <f t="shared" si="1"/>
        <v>9.0968473264176914</v>
      </c>
      <c r="Y46" s="20">
        <f t="shared" si="2"/>
        <v>3.0421596091764904</v>
      </c>
      <c r="Z46" s="289">
        <f>('Systemberegning VP1'!$G$4+'Systemberegning VP1'!$F$4)/'Varmepumpeberegning VP1'!W46+'Systemberegning VP1'!$E$4</f>
        <v>48.195176072664189</v>
      </c>
    </row>
    <row r="47" spans="1:26" x14ac:dyDescent="0.25">
      <c r="A47" s="75">
        <v>16</v>
      </c>
      <c r="B47" s="15">
        <f t="shared" si="10"/>
        <v>3.3372461519597025</v>
      </c>
      <c r="C47" s="20">
        <f t="shared" si="8"/>
        <v>9.936217278319095</v>
      </c>
      <c r="D47" s="20">
        <f t="shared" si="9"/>
        <v>2.9773702106104265</v>
      </c>
      <c r="E47">
        <v>1</v>
      </c>
      <c r="G47">
        <f t="shared" si="7"/>
        <v>0</v>
      </c>
      <c r="T47">
        <v>2</v>
      </c>
      <c r="U47">
        <v>44</v>
      </c>
      <c r="V47" s="15">
        <v>6.6541666666666659</v>
      </c>
      <c r="W47" s="15">
        <f t="shared" si="0"/>
        <v>2.9902597151633996</v>
      </c>
      <c r="X47" s="20">
        <f t="shared" si="1"/>
        <v>9.0968473264176914</v>
      </c>
      <c r="Y47" s="20">
        <f t="shared" si="2"/>
        <v>3.0421596091764904</v>
      </c>
      <c r="Z47" s="289">
        <f>('Systemberegning VP1'!$G$4+'Systemberegning VP1'!$F$4)/'Varmepumpeberegning VP1'!W47+'Systemberegning VP1'!$E$4</f>
        <v>48.195176072664189</v>
      </c>
    </row>
    <row r="48" spans="1:26" x14ac:dyDescent="0.25">
      <c r="A48" s="75">
        <v>17</v>
      </c>
      <c r="B48" s="15">
        <f t="shared" si="10"/>
        <v>3.3372461519597025</v>
      </c>
      <c r="C48" s="20">
        <f t="shared" si="8"/>
        <v>9.936217278319095</v>
      </c>
      <c r="D48" s="20">
        <f t="shared" si="9"/>
        <v>2.9773702106104265</v>
      </c>
      <c r="E48">
        <v>2</v>
      </c>
      <c r="G48">
        <f t="shared" si="7"/>
        <v>0</v>
      </c>
      <c r="T48">
        <v>2</v>
      </c>
      <c r="U48">
        <v>45</v>
      </c>
      <c r="V48" s="15">
        <v>9.6125000000000007</v>
      </c>
      <c r="W48" s="15">
        <f t="shared" si="0"/>
        <v>3.1186336937333676</v>
      </c>
      <c r="X48" s="20">
        <f t="shared" si="1"/>
        <v>9.4116110583807178</v>
      </c>
      <c r="Y48" s="20">
        <f t="shared" si="2"/>
        <v>3.0178635847142163</v>
      </c>
      <c r="Z48" s="289">
        <f>('Systemberegning VP1'!$G$4+'Systemberegning VP1'!$F$4)/'Varmepumpeberegning VP1'!W48+'Systemberegning VP1'!$E$4</f>
        <v>46.283096463675768</v>
      </c>
    </row>
    <row r="49" spans="1:26" x14ac:dyDescent="0.25">
      <c r="A49" s="75">
        <v>18</v>
      </c>
      <c r="B49" s="15">
        <f t="shared" si="10"/>
        <v>3.3372461519597025</v>
      </c>
      <c r="C49" s="20">
        <f t="shared" si="8"/>
        <v>9.936217278319095</v>
      </c>
      <c r="D49" s="20">
        <f t="shared" si="9"/>
        <v>2.9773702106104265</v>
      </c>
      <c r="E49">
        <v>3</v>
      </c>
      <c r="G49">
        <f>(VLOOKUP(A49,$A$10:$H$16,8))</f>
        <v>0</v>
      </c>
      <c r="T49">
        <v>2</v>
      </c>
      <c r="U49">
        <v>46</v>
      </c>
      <c r="V49" s="15">
        <v>11.674999999999999</v>
      </c>
      <c r="W49" s="15">
        <f t="shared" si="0"/>
        <v>3.2053708816573461</v>
      </c>
      <c r="X49" s="20">
        <f t="shared" si="1"/>
        <v>9.6214535463560686</v>
      </c>
      <c r="Y49" s="20">
        <f t="shared" si="2"/>
        <v>3.0016662350727006</v>
      </c>
      <c r="Z49" s="289">
        <f>('Systemberegning VP1'!$G$4+'Systemberegning VP1'!$F$4)/'Varmepumpeberegning VP1'!W49+'Systemberegning VP1'!$E$4</f>
        <v>45.077880349837372</v>
      </c>
    </row>
    <row r="50" spans="1:26" x14ac:dyDescent="0.25">
      <c r="A50" s="75">
        <v>19</v>
      </c>
      <c r="B50" s="15">
        <f t="shared" si="10"/>
        <v>3.3372461519597025</v>
      </c>
      <c r="C50" s="20">
        <f t="shared" si="8"/>
        <v>9.936217278319095</v>
      </c>
      <c r="D50" s="20">
        <f t="shared" si="9"/>
        <v>2.9773702106104265</v>
      </c>
      <c r="E50">
        <v>4</v>
      </c>
      <c r="G50">
        <f t="shared" si="7"/>
        <v>0</v>
      </c>
      <c r="T50">
        <v>2</v>
      </c>
      <c r="U50">
        <v>47</v>
      </c>
      <c r="V50" s="15">
        <v>10.137500000000001</v>
      </c>
      <c r="W50" s="15">
        <f t="shared" si="0"/>
        <v>3.1186336937333676</v>
      </c>
      <c r="X50" s="20">
        <f t="shared" si="1"/>
        <v>9.4116110583807178</v>
      </c>
      <c r="Y50" s="20">
        <f t="shared" si="2"/>
        <v>3.0178635847142163</v>
      </c>
      <c r="Z50" s="289">
        <f>('Systemberegning VP1'!$G$4+'Systemberegning VP1'!$F$4)/'Varmepumpeberegning VP1'!W50+'Systemberegning VP1'!$E$4</f>
        <v>46.283096463675768</v>
      </c>
    </row>
    <row r="51" spans="1:26" x14ac:dyDescent="0.25">
      <c r="A51" s="75">
        <v>20</v>
      </c>
      <c r="B51" s="15">
        <f t="shared" si="10"/>
        <v>3.3372461519597025</v>
      </c>
      <c r="C51" s="20">
        <f t="shared" si="8"/>
        <v>9.936217278319095</v>
      </c>
      <c r="D51" s="20">
        <f>(VLOOKUP(A51,$A$10:$H$16,6)+VLOOKUP(A51,$A$10:$H$16,8)*E51)</f>
        <v>2.9773702106104265</v>
      </c>
      <c r="E51">
        <v>0</v>
      </c>
      <c r="G51">
        <f t="shared" si="7"/>
        <v>0</v>
      </c>
      <c r="T51">
        <v>2</v>
      </c>
      <c r="U51">
        <v>48</v>
      </c>
      <c r="V51" s="15">
        <v>8.5666666666666647</v>
      </c>
      <c r="W51" s="15">
        <f t="shared" si="0"/>
        <v>3.0756133144315161</v>
      </c>
      <c r="X51" s="20">
        <f t="shared" si="1"/>
        <v>9.3066898143930423</v>
      </c>
      <c r="Y51" s="20">
        <f t="shared" si="2"/>
        <v>3.0259622595349747</v>
      </c>
      <c r="Z51" s="289">
        <f>('Systemberegning VP1'!$G$4+'Systemberegning VP1'!$F$4)/'Varmepumpeberegning VP1'!W51+'Systemberegning VP1'!$E$4</f>
        <v>46.906085468567859</v>
      </c>
    </row>
    <row r="52" spans="1:26" x14ac:dyDescent="0.25">
      <c r="A52" s="75">
        <v>21</v>
      </c>
      <c r="B52" s="15">
        <f t="shared" si="10"/>
        <v>3.3372461519597025</v>
      </c>
      <c r="C52" s="20">
        <f t="shared" si="8"/>
        <v>9.936217278319095</v>
      </c>
      <c r="D52" s="20">
        <f t="shared" si="9"/>
        <v>2.9773702106104265</v>
      </c>
      <c r="E52">
        <v>0</v>
      </c>
      <c r="G52">
        <f t="shared" si="7"/>
        <v>0</v>
      </c>
      <c r="T52">
        <v>2</v>
      </c>
      <c r="U52">
        <v>49</v>
      </c>
      <c r="V52" s="15">
        <v>9.0666666666666647</v>
      </c>
      <c r="W52" s="15">
        <f t="shared" si="0"/>
        <v>3.0756133144315161</v>
      </c>
      <c r="X52" s="20">
        <f t="shared" si="1"/>
        <v>9.3066898143930423</v>
      </c>
      <c r="Y52" s="20">
        <f t="shared" si="2"/>
        <v>3.0259622595349747</v>
      </c>
      <c r="Z52" s="289">
        <f>('Systemberegning VP1'!$G$4+'Systemberegning VP1'!$F$4)/'Varmepumpeberegning VP1'!W52+'Systemberegning VP1'!$E$4</f>
        <v>46.906085468567859</v>
      </c>
    </row>
    <row r="53" spans="1:26" x14ac:dyDescent="0.25">
      <c r="A53" s="75">
        <v>22</v>
      </c>
      <c r="B53" s="15">
        <f t="shared" si="10"/>
        <v>3.3372461519597025</v>
      </c>
      <c r="C53" s="20">
        <f t="shared" si="8"/>
        <v>9.936217278319095</v>
      </c>
      <c r="D53" s="20">
        <f t="shared" si="9"/>
        <v>2.9773702106104265</v>
      </c>
      <c r="E53">
        <v>0</v>
      </c>
      <c r="G53">
        <f t="shared" si="7"/>
        <v>0</v>
      </c>
      <c r="T53">
        <v>2</v>
      </c>
      <c r="U53">
        <v>50</v>
      </c>
      <c r="V53" s="15">
        <v>8.2791666666666668</v>
      </c>
      <c r="W53" s="15">
        <f t="shared" si="0"/>
        <v>3.0328225996421248</v>
      </c>
      <c r="X53" s="20">
        <f t="shared" si="1"/>
        <v>9.2017685704053669</v>
      </c>
      <c r="Y53" s="20">
        <f t="shared" si="2"/>
        <v>3.0340609343557325</v>
      </c>
      <c r="Z53" s="289">
        <f>('Systemberegning VP1'!$G$4+'Systemberegning VP1'!$F$4)/'Varmepumpeberegning VP1'!W53+'Systemberegning VP1'!$E$4</f>
        <v>47.54328147744701</v>
      </c>
    </row>
    <row r="54" spans="1:26" x14ac:dyDescent="0.25">
      <c r="A54" s="75">
        <v>23</v>
      </c>
      <c r="B54" s="15">
        <f>IF(D54=0,0,C54/D54)</f>
        <v>3.3372461519597025</v>
      </c>
      <c r="C54" s="20">
        <f>(VLOOKUP(A54,$A$10:$H$16,3)+VLOOKUP(A54,$A$10:$H$16,5)*E54)</f>
        <v>9.936217278319095</v>
      </c>
      <c r="D54" s="20">
        <f t="shared" si="9"/>
        <v>2.9773702106104265</v>
      </c>
      <c r="E54">
        <v>0</v>
      </c>
      <c r="G54">
        <f t="shared" si="7"/>
        <v>0</v>
      </c>
      <c r="T54">
        <v>2</v>
      </c>
      <c r="U54">
        <v>51</v>
      </c>
      <c r="V54" s="15">
        <v>7.8208333333333329</v>
      </c>
      <c r="W54" s="15">
        <f t="shared" si="0"/>
        <v>3.0328225996421248</v>
      </c>
      <c r="X54" s="20">
        <f t="shared" si="1"/>
        <v>9.2017685704053669</v>
      </c>
      <c r="Y54" s="20">
        <f t="shared" si="2"/>
        <v>3.0340609343557325</v>
      </c>
      <c r="Z54" s="289">
        <f>('Systemberegning VP1'!$G$4+'Systemberegning VP1'!$F$4)/'Varmepumpeberegning VP1'!W54+'Systemberegning VP1'!$E$4</f>
        <v>47.54328147744701</v>
      </c>
    </row>
    <row r="55" spans="1:26" x14ac:dyDescent="0.25">
      <c r="A55" s="75">
        <v>24</v>
      </c>
      <c r="B55" s="15">
        <f t="shared" ref="B55:B56" si="11">IF(D55=0,0,C55/D55)</f>
        <v>3.3372461519597025</v>
      </c>
      <c r="C55" s="20">
        <f t="shared" ref="C55:C56" si="12">(VLOOKUP(A55,$A$10:$H$16,3)+VLOOKUP(A55,$A$10:$H$16,5)*E55)</f>
        <v>9.936217278319095</v>
      </c>
      <c r="D55" s="20">
        <f t="shared" ref="D55:D56" si="13">(VLOOKUP(A55,$A$10:$H$16,6)+VLOOKUP(A55,$A$10:$H$16,8)*E55)</f>
        <v>2.9773702106104265</v>
      </c>
      <c r="E55">
        <v>0</v>
      </c>
      <c r="G55">
        <f t="shared" ref="G55:G56" si="14">(VLOOKUP(A55,$A$10:$H$16,8))</f>
        <v>0</v>
      </c>
      <c r="T55">
        <v>2</v>
      </c>
      <c r="U55">
        <v>52</v>
      </c>
      <c r="V55" s="15">
        <v>8.7708333333333339</v>
      </c>
      <c r="W55" s="15">
        <f t="shared" si="0"/>
        <v>3.0756133144315161</v>
      </c>
      <c r="X55" s="20">
        <f t="shared" si="1"/>
        <v>9.3066898143930423</v>
      </c>
      <c r="Y55" s="20">
        <f t="shared" si="2"/>
        <v>3.0259622595349747</v>
      </c>
      <c r="Z55" s="289">
        <f>('Systemberegning VP1'!$G$4+'Systemberegning VP1'!$F$4)/'Varmepumpeberegning VP1'!W55+'Systemberegning VP1'!$E$4</f>
        <v>46.906085468567859</v>
      </c>
    </row>
    <row r="56" spans="1:26" x14ac:dyDescent="0.25">
      <c r="A56" s="75">
        <v>25</v>
      </c>
      <c r="B56" s="15">
        <f t="shared" si="11"/>
        <v>3.3372461519597025</v>
      </c>
      <c r="C56" s="20">
        <f t="shared" si="12"/>
        <v>9.936217278319095</v>
      </c>
      <c r="D56" s="20">
        <f t="shared" si="13"/>
        <v>2.9773702106104265</v>
      </c>
      <c r="E56">
        <v>0</v>
      </c>
      <c r="G56">
        <f t="shared" si="14"/>
        <v>0</v>
      </c>
      <c r="T56">
        <v>2</v>
      </c>
      <c r="U56">
        <v>53</v>
      </c>
      <c r="V56" s="15">
        <v>9.6958333333333346</v>
      </c>
      <c r="W56" s="15">
        <f t="shared" si="0"/>
        <v>3.1186336937333676</v>
      </c>
      <c r="X56" s="20">
        <f t="shared" si="1"/>
        <v>9.4116110583807178</v>
      </c>
      <c r="Y56" s="20">
        <f t="shared" si="2"/>
        <v>3.0178635847142163</v>
      </c>
      <c r="Z56" s="289">
        <f>('Systemberegning VP1'!$G$4+'Systemberegning VP1'!$F$4)/'Varmepumpeberegning VP1'!W56+'Systemberegning VP1'!$E$4</f>
        <v>46.283096463675768</v>
      </c>
    </row>
    <row r="57" spans="1:26" x14ac:dyDescent="0.25">
      <c r="T57">
        <v>2</v>
      </c>
      <c r="U57">
        <v>54</v>
      </c>
      <c r="V57" s="15">
        <v>5.958333333333333</v>
      </c>
      <c r="W57" s="15">
        <f t="shared" si="0"/>
        <v>2.9514704207300451</v>
      </c>
      <c r="X57" s="20">
        <f t="shared" si="1"/>
        <v>9.0081678430174801</v>
      </c>
      <c r="Y57" s="20">
        <f t="shared" si="2"/>
        <v>3.052094908269253</v>
      </c>
      <c r="Z57" s="289">
        <f>('Systemberegning VP1'!$G$4+'Systemberegning VP1'!$F$4)/'Varmepumpeberegning VP1'!W57+'Systemberegning VP1'!$E$4</f>
        <v>48.805649522192738</v>
      </c>
    </row>
    <row r="58" spans="1:26" x14ac:dyDescent="0.25">
      <c r="T58">
        <v>2</v>
      </c>
      <c r="U58">
        <v>55</v>
      </c>
      <c r="V58" s="15">
        <v>4.9291666666666671</v>
      </c>
      <c r="W58" s="15">
        <f t="shared" si="0"/>
        <v>2.9129328437623547</v>
      </c>
      <c r="X58" s="20">
        <f t="shared" si="1"/>
        <v>8.9194883596172705</v>
      </c>
      <c r="Y58" s="20">
        <f t="shared" si="2"/>
        <v>3.062030207362016</v>
      </c>
      <c r="Z58" s="289">
        <f>('Systemberegning VP1'!$G$4+'Systemberegning VP1'!$F$4)/'Varmepumpeberegning VP1'!W58+'Systemberegning VP1'!$E$4</f>
        <v>49.428261889997998</v>
      </c>
    </row>
    <row r="59" spans="1:26" x14ac:dyDescent="0.25">
      <c r="T59">
        <v>2</v>
      </c>
      <c r="U59">
        <v>56</v>
      </c>
      <c r="V59" s="15">
        <v>5.4083333333333323</v>
      </c>
      <c r="W59" s="15">
        <f t="shared" si="0"/>
        <v>2.9129328437623547</v>
      </c>
      <c r="X59" s="20">
        <f t="shared" si="1"/>
        <v>8.9194883596172705</v>
      </c>
      <c r="Y59" s="20">
        <f t="shared" si="2"/>
        <v>3.062030207362016</v>
      </c>
      <c r="Z59" s="289">
        <f>('Systemberegning VP1'!$G$4+'Systemberegning VP1'!$F$4)/'Varmepumpeberegning VP1'!W59+'Systemberegning VP1'!$E$4</f>
        <v>49.428261889997998</v>
      </c>
    </row>
    <row r="60" spans="1:26" x14ac:dyDescent="0.25">
      <c r="T60">
        <v>2</v>
      </c>
      <c r="U60">
        <v>57</v>
      </c>
      <c r="V60" s="15">
        <v>4.3875000000000002</v>
      </c>
      <c r="W60" s="15">
        <f t="shared" si="0"/>
        <v>2.8746445419591673</v>
      </c>
      <c r="X60" s="20">
        <f t="shared" si="1"/>
        <v>8.8308088762170591</v>
      </c>
      <c r="Y60" s="20">
        <f t="shared" si="2"/>
        <v>3.0719655064547786</v>
      </c>
      <c r="Z60" s="289">
        <f>('Systemberegning VP1'!$G$4+'Systemberegning VP1'!$F$4)/'Varmepumpeberegning VP1'!W60+'Systemberegning VP1'!$E$4</f>
        <v>50.063378875196641</v>
      </c>
    </row>
    <row r="61" spans="1:26" x14ac:dyDescent="0.25">
      <c r="T61">
        <v>2</v>
      </c>
      <c r="U61">
        <v>58</v>
      </c>
      <c r="V61" s="15">
        <v>3.7583333333333324</v>
      </c>
      <c r="W61" s="15">
        <f t="shared" si="0"/>
        <v>2.8746445419591673</v>
      </c>
      <c r="X61" s="20">
        <f t="shared" si="1"/>
        <v>8.8308088762170591</v>
      </c>
      <c r="Y61" s="20">
        <f t="shared" si="2"/>
        <v>3.0719655064547786</v>
      </c>
      <c r="Z61" s="289">
        <f>('Systemberegning VP1'!$G$4+'Systemberegning VP1'!$F$4)/'Varmepumpeberegning VP1'!W61+'Systemberegning VP1'!$E$4</f>
        <v>50.063378875196641</v>
      </c>
    </row>
    <row r="62" spans="1:26" x14ac:dyDescent="0.25">
      <c r="T62">
        <v>2</v>
      </c>
      <c r="U62">
        <v>59</v>
      </c>
      <c r="V62" s="15">
        <v>5.7333333333333343</v>
      </c>
      <c r="W62" s="15">
        <f t="shared" si="0"/>
        <v>2.9514704207300451</v>
      </c>
      <c r="X62" s="20">
        <f t="shared" si="1"/>
        <v>9.0081678430174801</v>
      </c>
      <c r="Y62" s="20">
        <f t="shared" si="2"/>
        <v>3.052094908269253</v>
      </c>
      <c r="Z62" s="289">
        <f>('Systemberegning VP1'!$G$4+'Systemberegning VP1'!$F$4)/'Varmepumpeberegning VP1'!W62+'Systemberegning VP1'!$E$4</f>
        <v>48.805649522192738</v>
      </c>
    </row>
    <row r="63" spans="1:26" x14ac:dyDescent="0.25">
      <c r="T63">
        <v>3</v>
      </c>
      <c r="U63">
        <v>60</v>
      </c>
      <c r="V63" s="15">
        <v>7.9916666666666671</v>
      </c>
      <c r="W63" s="15">
        <f t="shared" si="0"/>
        <v>3.0328225996421248</v>
      </c>
      <c r="X63" s="20">
        <f t="shared" si="1"/>
        <v>9.2017685704053669</v>
      </c>
      <c r="Y63" s="20">
        <f t="shared" si="2"/>
        <v>3.0340609343557325</v>
      </c>
      <c r="Z63" s="289">
        <f>('Systemberegning VP1'!$G$4+'Systemberegning VP1'!$F$4)/'Varmepumpeberegning VP1'!W63+'Systemberegning VP1'!$E$4</f>
        <v>47.54328147744701</v>
      </c>
    </row>
    <row r="64" spans="1:26" x14ac:dyDescent="0.25">
      <c r="T64">
        <v>3</v>
      </c>
      <c r="U64">
        <v>61</v>
      </c>
      <c r="V64" s="15">
        <v>8.4041666666666686</v>
      </c>
      <c r="W64" s="15">
        <f t="shared" si="0"/>
        <v>3.0328225996421248</v>
      </c>
      <c r="X64" s="20">
        <f t="shared" si="1"/>
        <v>9.2017685704053669</v>
      </c>
      <c r="Y64" s="20">
        <f t="shared" si="2"/>
        <v>3.0340609343557325</v>
      </c>
      <c r="Z64" s="289">
        <f>('Systemberegning VP1'!$G$4+'Systemberegning VP1'!$F$4)/'Varmepumpeberegning VP1'!W64+'Systemberegning VP1'!$E$4</f>
        <v>47.54328147744701</v>
      </c>
    </row>
    <row r="65" spans="20:26" x14ac:dyDescent="0.25">
      <c r="T65">
        <v>3</v>
      </c>
      <c r="U65">
        <v>62</v>
      </c>
      <c r="V65" s="15">
        <v>9.5749999999999993</v>
      </c>
      <c r="W65" s="15">
        <f t="shared" si="0"/>
        <v>3.1186336937333676</v>
      </c>
      <c r="X65" s="20">
        <f t="shared" si="1"/>
        <v>9.4116110583807178</v>
      </c>
      <c r="Y65" s="20">
        <f t="shared" si="2"/>
        <v>3.0178635847142163</v>
      </c>
      <c r="Z65" s="289">
        <f>('Systemberegning VP1'!$G$4+'Systemberegning VP1'!$F$4)/'Varmepumpeberegning VP1'!W65+'Systemberegning VP1'!$E$4</f>
        <v>46.283096463675768</v>
      </c>
    </row>
    <row r="66" spans="20:26" x14ac:dyDescent="0.25">
      <c r="T66">
        <v>3</v>
      </c>
      <c r="U66">
        <v>63</v>
      </c>
      <c r="V66" s="15">
        <v>9.9</v>
      </c>
      <c r="W66" s="15">
        <f t="shared" si="0"/>
        <v>3.1186336937333676</v>
      </c>
      <c r="X66" s="20">
        <f t="shared" si="1"/>
        <v>9.4116110583807178</v>
      </c>
      <c r="Y66" s="20">
        <f t="shared" si="2"/>
        <v>3.0178635847142163</v>
      </c>
      <c r="Z66" s="289">
        <f>('Systemberegning VP1'!$G$4+'Systemberegning VP1'!$F$4)/'Varmepumpeberegning VP1'!W66+'Systemberegning VP1'!$E$4</f>
        <v>46.283096463675768</v>
      </c>
    </row>
    <row r="67" spans="20:26" x14ac:dyDescent="0.25">
      <c r="T67">
        <v>3</v>
      </c>
      <c r="U67">
        <v>64</v>
      </c>
      <c r="V67" s="15">
        <v>6.5208333333333321</v>
      </c>
      <c r="W67" s="15">
        <f t="shared" si="0"/>
        <v>2.9902597151633996</v>
      </c>
      <c r="X67" s="20">
        <f t="shared" si="1"/>
        <v>9.0968473264176914</v>
      </c>
      <c r="Y67" s="20">
        <f t="shared" si="2"/>
        <v>3.0421596091764904</v>
      </c>
      <c r="Z67" s="289">
        <f>('Systemberegning VP1'!$G$4+'Systemberegning VP1'!$F$4)/'Varmepumpeberegning VP1'!W67+'Systemberegning VP1'!$E$4</f>
        <v>48.195176072664189</v>
      </c>
    </row>
    <row r="68" spans="20:26" x14ac:dyDescent="0.25">
      <c r="T68">
        <v>3</v>
      </c>
      <c r="U68">
        <v>65</v>
      </c>
      <c r="V68" s="15">
        <v>6.9291666666666671</v>
      </c>
      <c r="W68" s="15">
        <f t="shared" si="0"/>
        <v>2.9902597151633996</v>
      </c>
      <c r="X68" s="20">
        <f t="shared" si="1"/>
        <v>9.0968473264176914</v>
      </c>
      <c r="Y68" s="20">
        <f t="shared" si="2"/>
        <v>3.0421596091764904</v>
      </c>
      <c r="Z68" s="289">
        <f>('Systemberegning VP1'!$G$4+'Systemberegning VP1'!$F$4)/'Varmepumpeberegning VP1'!W68+'Systemberegning VP1'!$E$4</f>
        <v>48.195176072664189</v>
      </c>
    </row>
    <row r="69" spans="20:26" x14ac:dyDescent="0.25">
      <c r="T69">
        <v>3</v>
      </c>
      <c r="U69">
        <v>66</v>
      </c>
      <c r="V69" s="15">
        <v>6.3666666666666671</v>
      </c>
      <c r="W69" s="15">
        <f t="shared" ref="W69:W132" si="15">VLOOKUP(ROUND(V69,0),$A$21:$D$56,2,FALSE)</f>
        <v>2.9514704207300451</v>
      </c>
      <c r="X69" s="20">
        <f t="shared" ref="X69:X132" si="16">VLOOKUP(ROUND(V69,0),$A$21:$D$56,3,FALSE)</f>
        <v>9.0081678430174801</v>
      </c>
      <c r="Y69" s="20">
        <f t="shared" ref="Y69:Y132" si="17">VLOOKUP(ROUND(V69,0),$A$21:$D$56,4,FALSE)</f>
        <v>3.052094908269253</v>
      </c>
      <c r="Z69" s="289">
        <f>('Systemberegning VP1'!$G$4+'Systemberegning VP1'!$F$4)/'Varmepumpeberegning VP1'!W69+'Systemberegning VP1'!$E$4</f>
        <v>48.805649522192738</v>
      </c>
    </row>
    <row r="70" spans="20:26" x14ac:dyDescent="0.25">
      <c r="T70">
        <v>3</v>
      </c>
      <c r="U70">
        <v>67</v>
      </c>
      <c r="V70" s="15">
        <v>4.0958333333333323</v>
      </c>
      <c r="W70" s="15">
        <f t="shared" si="15"/>
        <v>2.8746445419591673</v>
      </c>
      <c r="X70" s="20">
        <f t="shared" si="16"/>
        <v>8.8308088762170591</v>
      </c>
      <c r="Y70" s="20">
        <f t="shared" si="17"/>
        <v>3.0719655064547786</v>
      </c>
      <c r="Z70" s="289">
        <f>('Systemberegning VP1'!$G$4+'Systemberegning VP1'!$F$4)/'Varmepumpeberegning VP1'!W70+'Systemberegning VP1'!$E$4</f>
        <v>50.063378875196641</v>
      </c>
    </row>
    <row r="71" spans="20:26" x14ac:dyDescent="0.25">
      <c r="T71">
        <v>3</v>
      </c>
      <c r="U71">
        <v>68</v>
      </c>
      <c r="V71" s="15">
        <v>4.2250000000000005</v>
      </c>
      <c r="W71" s="15">
        <f t="shared" si="15"/>
        <v>2.8746445419591673</v>
      </c>
      <c r="X71" s="20">
        <f t="shared" si="16"/>
        <v>8.8308088762170591</v>
      </c>
      <c r="Y71" s="20">
        <f t="shared" si="17"/>
        <v>3.0719655064547786</v>
      </c>
      <c r="Z71" s="289">
        <f>('Systemberegning VP1'!$G$4+'Systemberegning VP1'!$F$4)/'Varmepumpeberegning VP1'!W71+'Systemberegning VP1'!$E$4</f>
        <v>50.063378875196641</v>
      </c>
    </row>
    <row r="72" spans="20:26" x14ac:dyDescent="0.25">
      <c r="T72">
        <v>3</v>
      </c>
      <c r="U72">
        <v>69</v>
      </c>
      <c r="V72" s="15">
        <v>5.8708333333333336</v>
      </c>
      <c r="W72" s="15">
        <f t="shared" si="15"/>
        <v>2.9514704207300451</v>
      </c>
      <c r="X72" s="20">
        <f t="shared" si="16"/>
        <v>9.0081678430174801</v>
      </c>
      <c r="Y72" s="20">
        <f t="shared" si="17"/>
        <v>3.052094908269253</v>
      </c>
      <c r="Z72" s="289">
        <f>('Systemberegning VP1'!$G$4+'Systemberegning VP1'!$F$4)/'Varmepumpeberegning VP1'!W72+'Systemberegning VP1'!$E$4</f>
        <v>48.805649522192738</v>
      </c>
    </row>
    <row r="73" spans="20:26" x14ac:dyDescent="0.25">
      <c r="T73">
        <v>3</v>
      </c>
      <c r="U73">
        <v>70</v>
      </c>
      <c r="V73" s="15">
        <v>7.1833333333333336</v>
      </c>
      <c r="W73" s="15">
        <f t="shared" si="15"/>
        <v>2.9902597151633996</v>
      </c>
      <c r="X73" s="20">
        <f t="shared" si="16"/>
        <v>9.0968473264176914</v>
      </c>
      <c r="Y73" s="20">
        <f t="shared" si="17"/>
        <v>3.0421596091764904</v>
      </c>
      <c r="Z73" s="289">
        <f>('Systemberegning VP1'!$G$4+'Systemberegning VP1'!$F$4)/'Varmepumpeberegning VP1'!W73+'Systemberegning VP1'!$E$4</f>
        <v>48.195176072664189</v>
      </c>
    </row>
    <row r="74" spans="20:26" x14ac:dyDescent="0.25">
      <c r="T74">
        <v>3</v>
      </c>
      <c r="U74">
        <v>71</v>
      </c>
      <c r="V74" s="15">
        <v>7.1541666666666659</v>
      </c>
      <c r="W74" s="15">
        <f t="shared" si="15"/>
        <v>2.9902597151633996</v>
      </c>
      <c r="X74" s="20">
        <f t="shared" si="16"/>
        <v>9.0968473264176914</v>
      </c>
      <c r="Y74" s="20">
        <f t="shared" si="17"/>
        <v>3.0421596091764904</v>
      </c>
      <c r="Z74" s="289">
        <f>('Systemberegning VP1'!$G$4+'Systemberegning VP1'!$F$4)/'Varmepumpeberegning VP1'!W74+'Systemberegning VP1'!$E$4</f>
        <v>48.195176072664189</v>
      </c>
    </row>
    <row r="75" spans="20:26" x14ac:dyDescent="0.25">
      <c r="T75">
        <v>3</v>
      </c>
      <c r="U75">
        <v>72</v>
      </c>
      <c r="V75" s="15">
        <v>6.8041666666666663</v>
      </c>
      <c r="W75" s="15">
        <f t="shared" si="15"/>
        <v>2.9902597151633996</v>
      </c>
      <c r="X75" s="20">
        <f t="shared" si="16"/>
        <v>9.0968473264176914</v>
      </c>
      <c r="Y75" s="20">
        <f t="shared" si="17"/>
        <v>3.0421596091764904</v>
      </c>
      <c r="Z75" s="289">
        <f>('Systemberegning VP1'!$G$4+'Systemberegning VP1'!$F$4)/'Varmepumpeberegning VP1'!W75+'Systemberegning VP1'!$E$4</f>
        <v>48.195176072664189</v>
      </c>
    </row>
    <row r="76" spans="20:26" x14ac:dyDescent="0.25">
      <c r="T76">
        <v>3</v>
      </c>
      <c r="U76">
        <v>73</v>
      </c>
      <c r="V76" s="15">
        <v>9.3541666666666661</v>
      </c>
      <c r="W76" s="15">
        <f t="shared" si="15"/>
        <v>3.0756133144315161</v>
      </c>
      <c r="X76" s="20">
        <f t="shared" si="16"/>
        <v>9.3066898143930423</v>
      </c>
      <c r="Y76" s="20">
        <f t="shared" si="17"/>
        <v>3.0259622595349747</v>
      </c>
      <c r="Z76" s="289">
        <f>('Systemberegning VP1'!$G$4+'Systemberegning VP1'!$F$4)/'Varmepumpeberegning VP1'!W76+'Systemberegning VP1'!$E$4</f>
        <v>46.906085468567859</v>
      </c>
    </row>
    <row r="77" spans="20:26" x14ac:dyDescent="0.25">
      <c r="T77">
        <v>3</v>
      </c>
      <c r="U77">
        <v>74</v>
      </c>
      <c r="V77" s="15">
        <v>11.854166666666666</v>
      </c>
      <c r="W77" s="15">
        <f t="shared" si="15"/>
        <v>3.2053708816573461</v>
      </c>
      <c r="X77" s="20">
        <f t="shared" si="16"/>
        <v>9.6214535463560686</v>
      </c>
      <c r="Y77" s="20">
        <f t="shared" si="17"/>
        <v>3.0016662350727006</v>
      </c>
      <c r="Z77" s="289">
        <f>('Systemberegning VP1'!$G$4+'Systemberegning VP1'!$F$4)/'Varmepumpeberegning VP1'!W77+'Systemberegning VP1'!$E$4</f>
        <v>45.077880349837372</v>
      </c>
    </row>
    <row r="78" spans="20:26" x14ac:dyDescent="0.25">
      <c r="T78">
        <v>3</v>
      </c>
      <c r="U78">
        <v>75</v>
      </c>
      <c r="V78" s="15">
        <v>12.116666666666665</v>
      </c>
      <c r="W78" s="15">
        <f t="shared" si="15"/>
        <v>3.2053708816573461</v>
      </c>
      <c r="X78" s="20">
        <f t="shared" si="16"/>
        <v>9.6214535463560686</v>
      </c>
      <c r="Y78" s="20">
        <f t="shared" si="17"/>
        <v>3.0016662350727006</v>
      </c>
      <c r="Z78" s="289">
        <f>('Systemberegning VP1'!$G$4+'Systemberegning VP1'!$F$4)/'Varmepumpeberegning VP1'!W78+'Systemberegning VP1'!$E$4</f>
        <v>45.077880349837372</v>
      </c>
    </row>
    <row r="79" spans="20:26" x14ac:dyDescent="0.25">
      <c r="T79">
        <v>3</v>
      </c>
      <c r="U79">
        <v>76</v>
      </c>
      <c r="V79" s="15">
        <v>7.7250000000000005</v>
      </c>
      <c r="W79" s="15">
        <f t="shared" si="15"/>
        <v>3.0328225996421248</v>
      </c>
      <c r="X79" s="20">
        <f t="shared" si="16"/>
        <v>9.2017685704053669</v>
      </c>
      <c r="Y79" s="20">
        <f t="shared" si="17"/>
        <v>3.0340609343557325</v>
      </c>
      <c r="Z79" s="289">
        <f>('Systemberegning VP1'!$G$4+'Systemberegning VP1'!$F$4)/'Varmepumpeberegning VP1'!W79+'Systemberegning VP1'!$E$4</f>
        <v>47.54328147744701</v>
      </c>
    </row>
    <row r="80" spans="20:26" x14ac:dyDescent="0.25">
      <c r="T80">
        <v>3</v>
      </c>
      <c r="U80">
        <v>77</v>
      </c>
      <c r="V80" s="15">
        <v>7.8833333333333337</v>
      </c>
      <c r="W80" s="15">
        <f t="shared" si="15"/>
        <v>3.0328225996421248</v>
      </c>
      <c r="X80" s="20">
        <f t="shared" si="16"/>
        <v>9.2017685704053669</v>
      </c>
      <c r="Y80" s="20">
        <f t="shared" si="17"/>
        <v>3.0340609343557325</v>
      </c>
      <c r="Z80" s="289">
        <f>('Systemberegning VP1'!$G$4+'Systemberegning VP1'!$F$4)/'Varmepumpeberegning VP1'!W80+'Systemberegning VP1'!$E$4</f>
        <v>47.54328147744701</v>
      </c>
    </row>
    <row r="81" spans="20:26" x14ac:dyDescent="0.25">
      <c r="T81">
        <v>3</v>
      </c>
      <c r="U81">
        <v>78</v>
      </c>
      <c r="V81" s="15">
        <v>9.7249999999999979</v>
      </c>
      <c r="W81" s="15">
        <f t="shared" si="15"/>
        <v>3.1186336937333676</v>
      </c>
      <c r="X81" s="20">
        <f t="shared" si="16"/>
        <v>9.4116110583807178</v>
      </c>
      <c r="Y81" s="20">
        <f t="shared" si="17"/>
        <v>3.0178635847142163</v>
      </c>
      <c r="Z81" s="289">
        <f>('Systemberegning VP1'!$G$4+'Systemberegning VP1'!$F$4)/'Varmepumpeberegning VP1'!W81+'Systemberegning VP1'!$E$4</f>
        <v>46.283096463675768</v>
      </c>
    </row>
    <row r="82" spans="20:26" x14ac:dyDescent="0.25">
      <c r="T82">
        <v>3</v>
      </c>
      <c r="U82">
        <v>79</v>
      </c>
      <c r="V82" s="15">
        <v>10.825000000000001</v>
      </c>
      <c r="W82" s="15">
        <f t="shared" si="15"/>
        <v>3.1618855914913517</v>
      </c>
      <c r="X82" s="20">
        <f t="shared" si="16"/>
        <v>9.5165323023683932</v>
      </c>
      <c r="Y82" s="20">
        <f t="shared" si="17"/>
        <v>3.0097649098934585</v>
      </c>
      <c r="Z82" s="289">
        <f>('Systemberegning VP1'!$G$4+'Systemberegning VP1'!$F$4)/'Varmepumpeberegning VP1'!W82+'Systemberegning VP1'!$E$4</f>
        <v>45.673844559506328</v>
      </c>
    </row>
    <row r="83" spans="20:26" x14ac:dyDescent="0.25">
      <c r="T83">
        <v>3</v>
      </c>
      <c r="U83">
        <v>80</v>
      </c>
      <c r="V83" s="15">
        <v>11.14583333333333</v>
      </c>
      <c r="W83" s="15">
        <f t="shared" si="15"/>
        <v>3.1618855914913517</v>
      </c>
      <c r="X83" s="20">
        <f t="shared" si="16"/>
        <v>9.5165323023683932</v>
      </c>
      <c r="Y83" s="20">
        <f t="shared" si="17"/>
        <v>3.0097649098934585</v>
      </c>
      <c r="Z83" s="289">
        <f>('Systemberegning VP1'!$G$4+'Systemberegning VP1'!$F$4)/'Varmepumpeberegning VP1'!W83+'Systemberegning VP1'!$E$4</f>
        <v>45.673844559506328</v>
      </c>
    </row>
    <row r="84" spans="20:26" x14ac:dyDescent="0.25">
      <c r="T84">
        <v>3</v>
      </c>
      <c r="U84">
        <v>81</v>
      </c>
      <c r="V84" s="15">
        <v>8.6458333333333339</v>
      </c>
      <c r="W84" s="15">
        <f t="shared" si="15"/>
        <v>3.0756133144315161</v>
      </c>
      <c r="X84" s="20">
        <f t="shared" si="16"/>
        <v>9.3066898143930423</v>
      </c>
      <c r="Y84" s="20">
        <f t="shared" si="17"/>
        <v>3.0259622595349747</v>
      </c>
      <c r="Z84" s="289">
        <f>('Systemberegning VP1'!$G$4+'Systemberegning VP1'!$F$4)/'Varmepumpeberegning VP1'!W84+'Systemberegning VP1'!$E$4</f>
        <v>46.906085468567859</v>
      </c>
    </row>
    <row r="85" spans="20:26" x14ac:dyDescent="0.25">
      <c r="T85">
        <v>3</v>
      </c>
      <c r="U85">
        <v>82</v>
      </c>
      <c r="V85" s="15">
        <v>9.4333333333333353</v>
      </c>
      <c r="W85" s="15">
        <f t="shared" si="15"/>
        <v>3.0756133144315161</v>
      </c>
      <c r="X85" s="20">
        <f t="shared" si="16"/>
        <v>9.3066898143930423</v>
      </c>
      <c r="Y85" s="20">
        <f t="shared" si="17"/>
        <v>3.0259622595349747</v>
      </c>
      <c r="Z85" s="289">
        <f>('Systemberegning VP1'!$G$4+'Systemberegning VP1'!$F$4)/'Varmepumpeberegning VP1'!W85+'Systemberegning VP1'!$E$4</f>
        <v>46.906085468567859</v>
      </c>
    </row>
    <row r="86" spans="20:26" x14ac:dyDescent="0.25">
      <c r="T86">
        <v>3</v>
      </c>
      <c r="U86">
        <v>83</v>
      </c>
      <c r="V86" s="15">
        <v>6.4083333333333341</v>
      </c>
      <c r="W86" s="15">
        <f t="shared" si="15"/>
        <v>2.9514704207300451</v>
      </c>
      <c r="X86" s="20">
        <f t="shared" si="16"/>
        <v>9.0081678430174801</v>
      </c>
      <c r="Y86" s="20">
        <f t="shared" si="17"/>
        <v>3.052094908269253</v>
      </c>
      <c r="Z86" s="289">
        <f>('Systemberegning VP1'!$G$4+'Systemberegning VP1'!$F$4)/'Varmepumpeberegning VP1'!W86+'Systemberegning VP1'!$E$4</f>
        <v>48.805649522192738</v>
      </c>
    </row>
    <row r="87" spans="20:26" x14ac:dyDescent="0.25">
      <c r="T87">
        <v>3</v>
      </c>
      <c r="U87">
        <v>84</v>
      </c>
      <c r="V87" s="15">
        <v>6.6249999999999973</v>
      </c>
      <c r="W87" s="15">
        <f t="shared" si="15"/>
        <v>2.9902597151633996</v>
      </c>
      <c r="X87" s="20">
        <f t="shared" si="16"/>
        <v>9.0968473264176914</v>
      </c>
      <c r="Y87" s="20">
        <f t="shared" si="17"/>
        <v>3.0421596091764904</v>
      </c>
      <c r="Z87" s="289">
        <f>('Systemberegning VP1'!$G$4+'Systemberegning VP1'!$F$4)/'Varmepumpeberegning VP1'!W87+'Systemberegning VP1'!$E$4</f>
        <v>48.195176072664189</v>
      </c>
    </row>
    <row r="88" spans="20:26" x14ac:dyDescent="0.25">
      <c r="T88">
        <v>3</v>
      </c>
      <c r="U88">
        <v>85</v>
      </c>
      <c r="V88" s="15">
        <v>6.8874999999999993</v>
      </c>
      <c r="W88" s="15">
        <f t="shared" si="15"/>
        <v>2.9902597151633996</v>
      </c>
      <c r="X88" s="20">
        <f t="shared" si="16"/>
        <v>9.0968473264176914</v>
      </c>
      <c r="Y88" s="20">
        <f t="shared" si="17"/>
        <v>3.0421596091764904</v>
      </c>
      <c r="Z88" s="289">
        <f>('Systemberegning VP1'!$G$4+'Systemberegning VP1'!$F$4)/'Varmepumpeberegning VP1'!W88+'Systemberegning VP1'!$E$4</f>
        <v>48.195176072664189</v>
      </c>
    </row>
    <row r="89" spans="20:26" x14ac:dyDescent="0.25">
      <c r="T89">
        <v>3</v>
      </c>
      <c r="U89">
        <v>86</v>
      </c>
      <c r="V89" s="15">
        <v>7.5208333333333321</v>
      </c>
      <c r="W89" s="15">
        <f t="shared" si="15"/>
        <v>3.0328225996421248</v>
      </c>
      <c r="X89" s="20">
        <f t="shared" si="16"/>
        <v>9.2017685704053669</v>
      </c>
      <c r="Y89" s="20">
        <f t="shared" si="17"/>
        <v>3.0340609343557325</v>
      </c>
      <c r="Z89" s="289">
        <f>('Systemberegning VP1'!$G$4+'Systemberegning VP1'!$F$4)/'Varmepumpeberegning VP1'!W89+'Systemberegning VP1'!$E$4</f>
        <v>47.54328147744701</v>
      </c>
    </row>
    <row r="90" spans="20:26" x14ac:dyDescent="0.25">
      <c r="T90">
        <v>3</v>
      </c>
      <c r="U90">
        <v>87</v>
      </c>
      <c r="V90" s="15">
        <v>9.2291666666666661</v>
      </c>
      <c r="W90" s="15">
        <f t="shared" si="15"/>
        <v>3.0756133144315161</v>
      </c>
      <c r="X90" s="20">
        <f t="shared" si="16"/>
        <v>9.3066898143930423</v>
      </c>
      <c r="Y90" s="20">
        <f t="shared" si="17"/>
        <v>3.0259622595349747</v>
      </c>
      <c r="Z90" s="289">
        <f>('Systemberegning VP1'!$G$4+'Systemberegning VP1'!$F$4)/'Varmepumpeberegning VP1'!W90+'Systemberegning VP1'!$E$4</f>
        <v>46.906085468567859</v>
      </c>
    </row>
    <row r="91" spans="20:26" x14ac:dyDescent="0.25">
      <c r="T91">
        <v>3</v>
      </c>
      <c r="U91">
        <v>88</v>
      </c>
      <c r="V91" s="15">
        <v>7.9958333333333327</v>
      </c>
      <c r="W91" s="15">
        <f t="shared" si="15"/>
        <v>3.0328225996421248</v>
      </c>
      <c r="X91" s="20">
        <f t="shared" si="16"/>
        <v>9.2017685704053669</v>
      </c>
      <c r="Y91" s="20">
        <f t="shared" si="17"/>
        <v>3.0340609343557325</v>
      </c>
      <c r="Z91" s="289">
        <f>('Systemberegning VP1'!$G$4+'Systemberegning VP1'!$F$4)/'Varmepumpeberegning VP1'!W91+'Systemberegning VP1'!$E$4</f>
        <v>47.54328147744701</v>
      </c>
    </row>
    <row r="92" spans="20:26" x14ac:dyDescent="0.25">
      <c r="T92">
        <v>3</v>
      </c>
      <c r="U92">
        <v>89</v>
      </c>
      <c r="V92" s="15">
        <v>10.320833333333335</v>
      </c>
      <c r="W92" s="15">
        <f t="shared" si="15"/>
        <v>3.1186336937333676</v>
      </c>
      <c r="X92" s="20">
        <f t="shared" si="16"/>
        <v>9.4116110583807178</v>
      </c>
      <c r="Y92" s="20">
        <f t="shared" si="17"/>
        <v>3.0178635847142163</v>
      </c>
      <c r="Z92" s="289">
        <f>('Systemberegning VP1'!$G$4+'Systemberegning VP1'!$F$4)/'Varmepumpeberegning VP1'!W92+'Systemberegning VP1'!$E$4</f>
        <v>46.283096463675768</v>
      </c>
    </row>
    <row r="93" spans="20:26" x14ac:dyDescent="0.25">
      <c r="T93">
        <v>3</v>
      </c>
      <c r="U93">
        <v>90</v>
      </c>
      <c r="V93" s="15">
        <v>9.375</v>
      </c>
      <c r="W93" s="15">
        <f t="shared" si="15"/>
        <v>3.0756133144315161</v>
      </c>
      <c r="X93" s="20">
        <f t="shared" si="16"/>
        <v>9.3066898143930423</v>
      </c>
      <c r="Y93" s="20">
        <f t="shared" si="17"/>
        <v>3.0259622595349747</v>
      </c>
      <c r="Z93" s="289">
        <f>('Systemberegning VP1'!$G$4+'Systemberegning VP1'!$F$4)/'Varmepumpeberegning VP1'!W93+'Systemberegning VP1'!$E$4</f>
        <v>46.906085468567859</v>
      </c>
    </row>
    <row r="94" spans="20:26" x14ac:dyDescent="0.25">
      <c r="T94">
        <v>4</v>
      </c>
      <c r="U94">
        <v>91</v>
      </c>
      <c r="V94" s="15">
        <v>9.3652173913043466</v>
      </c>
      <c r="W94" s="15">
        <f t="shared" si="15"/>
        <v>3.0756133144315161</v>
      </c>
      <c r="X94" s="20">
        <f t="shared" si="16"/>
        <v>9.3066898143930423</v>
      </c>
      <c r="Y94" s="20">
        <f t="shared" si="17"/>
        <v>3.0259622595349747</v>
      </c>
      <c r="Z94" s="289">
        <f>('Systemberegning VP1'!$G$4+'Systemberegning VP1'!$F$4)/'Varmepumpeberegning VP1'!W94+'Systemberegning VP1'!$E$4</f>
        <v>46.906085468567859</v>
      </c>
    </row>
    <row r="95" spans="20:26" x14ac:dyDescent="0.25">
      <c r="T95">
        <v>4</v>
      </c>
      <c r="U95">
        <v>92</v>
      </c>
      <c r="V95" s="15">
        <v>9.9374999999999982</v>
      </c>
      <c r="W95" s="15">
        <f t="shared" si="15"/>
        <v>3.1186336937333676</v>
      </c>
      <c r="X95" s="20">
        <f t="shared" si="16"/>
        <v>9.4116110583807178</v>
      </c>
      <c r="Y95" s="20">
        <f t="shared" si="17"/>
        <v>3.0178635847142163</v>
      </c>
      <c r="Z95" s="289">
        <f>('Systemberegning VP1'!$G$4+'Systemberegning VP1'!$F$4)/'Varmepumpeberegning VP1'!W95+'Systemberegning VP1'!$E$4</f>
        <v>46.283096463675768</v>
      </c>
    </row>
    <row r="96" spans="20:26" x14ac:dyDescent="0.25">
      <c r="T96">
        <v>4</v>
      </c>
      <c r="U96">
        <v>93</v>
      </c>
      <c r="V96" s="15">
        <v>9.4458333333333329</v>
      </c>
      <c r="W96" s="15">
        <f t="shared" si="15"/>
        <v>3.0756133144315161</v>
      </c>
      <c r="X96" s="20">
        <f t="shared" si="16"/>
        <v>9.3066898143930423</v>
      </c>
      <c r="Y96" s="20">
        <f t="shared" si="17"/>
        <v>3.0259622595349747</v>
      </c>
      <c r="Z96" s="289">
        <f>('Systemberegning VP1'!$G$4+'Systemberegning VP1'!$F$4)/'Varmepumpeberegning VP1'!W96+'Systemberegning VP1'!$E$4</f>
        <v>46.906085468567859</v>
      </c>
    </row>
    <row r="97" spans="20:26" x14ac:dyDescent="0.25">
      <c r="T97">
        <v>4</v>
      </c>
      <c r="U97">
        <v>94</v>
      </c>
      <c r="V97" s="15">
        <v>10.341666666666667</v>
      </c>
      <c r="W97" s="15">
        <f t="shared" si="15"/>
        <v>3.1186336937333676</v>
      </c>
      <c r="X97" s="20">
        <f t="shared" si="16"/>
        <v>9.4116110583807178</v>
      </c>
      <c r="Y97" s="20">
        <f t="shared" si="17"/>
        <v>3.0178635847142163</v>
      </c>
      <c r="Z97" s="289">
        <f>('Systemberegning VP1'!$G$4+'Systemberegning VP1'!$F$4)/'Varmepumpeberegning VP1'!W97+'Systemberegning VP1'!$E$4</f>
        <v>46.283096463675768</v>
      </c>
    </row>
    <row r="98" spans="20:26" x14ac:dyDescent="0.25">
      <c r="T98">
        <v>4</v>
      </c>
      <c r="U98">
        <v>95</v>
      </c>
      <c r="V98" s="15">
        <v>10.725000000000001</v>
      </c>
      <c r="W98" s="15">
        <f t="shared" si="15"/>
        <v>3.1618855914913517</v>
      </c>
      <c r="X98" s="20">
        <f t="shared" si="16"/>
        <v>9.5165323023683932</v>
      </c>
      <c r="Y98" s="20">
        <f t="shared" si="17"/>
        <v>3.0097649098934585</v>
      </c>
      <c r="Z98" s="289">
        <f>('Systemberegning VP1'!$G$4+'Systemberegning VP1'!$F$4)/'Varmepumpeberegning VP1'!W98+'Systemberegning VP1'!$E$4</f>
        <v>45.673844559506328</v>
      </c>
    </row>
    <row r="99" spans="20:26" x14ac:dyDescent="0.25">
      <c r="T99">
        <v>4</v>
      </c>
      <c r="U99">
        <v>96</v>
      </c>
      <c r="V99" s="15">
        <v>12.454166666666671</v>
      </c>
      <c r="W99" s="15">
        <f t="shared" si="15"/>
        <v>3.2053708816573461</v>
      </c>
      <c r="X99" s="20">
        <f t="shared" si="16"/>
        <v>9.6214535463560686</v>
      </c>
      <c r="Y99" s="20">
        <f t="shared" si="17"/>
        <v>3.0016662350727006</v>
      </c>
      <c r="Z99" s="289">
        <f>('Systemberegning VP1'!$G$4+'Systemberegning VP1'!$F$4)/'Varmepumpeberegning VP1'!W99+'Systemberegning VP1'!$E$4</f>
        <v>45.077880349837372</v>
      </c>
    </row>
    <row r="100" spans="20:26" x14ac:dyDescent="0.25">
      <c r="T100">
        <v>4</v>
      </c>
      <c r="U100">
        <v>97</v>
      </c>
      <c r="V100" s="15">
        <v>16.141666666666669</v>
      </c>
      <c r="W100" s="15">
        <f t="shared" si="15"/>
        <v>3.3372461519597025</v>
      </c>
      <c r="X100" s="20">
        <f t="shared" si="16"/>
        <v>9.936217278319095</v>
      </c>
      <c r="Y100" s="20">
        <f t="shared" si="17"/>
        <v>2.9773702106104265</v>
      </c>
      <c r="Z100" s="289">
        <f>('Systemberegning VP1'!$G$4+'Systemberegning VP1'!$F$4)/'Varmepumpeberegning VP1'!W100+'Systemberegning VP1'!$E$4</f>
        <v>43.365504555254446</v>
      </c>
    </row>
    <row r="101" spans="20:26" x14ac:dyDescent="0.25">
      <c r="T101">
        <v>4</v>
      </c>
      <c r="U101">
        <v>98</v>
      </c>
      <c r="V101" s="15">
        <v>15.425000000000002</v>
      </c>
      <c r="W101" s="15">
        <f t="shared" si="15"/>
        <v>3.3372461519597025</v>
      </c>
      <c r="X101" s="20">
        <f t="shared" si="16"/>
        <v>9.936217278319095</v>
      </c>
      <c r="Y101" s="20">
        <f t="shared" si="17"/>
        <v>2.9773702106104265</v>
      </c>
      <c r="Z101" s="289">
        <f>('Systemberegning VP1'!$G$4+'Systemberegning VP1'!$F$4)/'Varmepumpeberegning VP1'!W101+'Systemberegning VP1'!$E$4</f>
        <v>43.365504555254446</v>
      </c>
    </row>
    <row r="102" spans="20:26" x14ac:dyDescent="0.25">
      <c r="T102">
        <v>4</v>
      </c>
      <c r="U102">
        <v>99</v>
      </c>
      <c r="V102" s="15">
        <v>13.833333333333334</v>
      </c>
      <c r="W102" s="15">
        <f t="shared" si="15"/>
        <v>3.2930492366901718</v>
      </c>
      <c r="X102" s="20">
        <f t="shared" si="16"/>
        <v>9.8312960343314195</v>
      </c>
      <c r="Y102" s="20">
        <f t="shared" si="17"/>
        <v>2.9854688854311844</v>
      </c>
      <c r="Z102" s="289">
        <f>('Systemberegning VP1'!$G$4+'Systemberegning VP1'!$F$4)/'Varmepumpeberegning VP1'!W102+'Systemberegning VP1'!$E$4</f>
        <v>43.924113311887368</v>
      </c>
    </row>
    <row r="103" spans="20:26" x14ac:dyDescent="0.25">
      <c r="T103">
        <v>4</v>
      </c>
      <c r="U103">
        <v>100</v>
      </c>
      <c r="V103" s="15">
        <v>11.950000000000001</v>
      </c>
      <c r="W103" s="15">
        <f t="shared" si="15"/>
        <v>3.2053708816573461</v>
      </c>
      <c r="X103" s="20">
        <f t="shared" si="16"/>
        <v>9.6214535463560686</v>
      </c>
      <c r="Y103" s="20">
        <f t="shared" si="17"/>
        <v>3.0016662350727006</v>
      </c>
      <c r="Z103" s="289">
        <f>('Systemberegning VP1'!$G$4+'Systemberegning VP1'!$F$4)/'Varmepumpeberegning VP1'!W103+'Systemberegning VP1'!$E$4</f>
        <v>45.077880349837372</v>
      </c>
    </row>
    <row r="104" spans="20:26" x14ac:dyDescent="0.25">
      <c r="T104">
        <v>4</v>
      </c>
      <c r="U104">
        <v>101</v>
      </c>
      <c r="V104" s="15">
        <v>10.608333333333333</v>
      </c>
      <c r="W104" s="15">
        <f t="shared" si="15"/>
        <v>3.1618855914913517</v>
      </c>
      <c r="X104" s="20">
        <f t="shared" si="16"/>
        <v>9.5165323023683932</v>
      </c>
      <c r="Y104" s="20">
        <f t="shared" si="17"/>
        <v>3.0097649098934585</v>
      </c>
      <c r="Z104" s="289">
        <f>('Systemberegning VP1'!$G$4+'Systemberegning VP1'!$F$4)/'Varmepumpeberegning VP1'!W104+'Systemberegning VP1'!$E$4</f>
        <v>45.673844559506328</v>
      </c>
    </row>
    <row r="105" spans="20:26" x14ac:dyDescent="0.25">
      <c r="T105">
        <v>4</v>
      </c>
      <c r="U105">
        <v>102</v>
      </c>
      <c r="V105" s="15">
        <v>12.4125</v>
      </c>
      <c r="W105" s="15">
        <f t="shared" si="15"/>
        <v>3.2053708816573461</v>
      </c>
      <c r="X105" s="20">
        <f t="shared" si="16"/>
        <v>9.6214535463560686</v>
      </c>
      <c r="Y105" s="20">
        <f t="shared" si="17"/>
        <v>3.0016662350727006</v>
      </c>
      <c r="Z105" s="289">
        <f>('Systemberegning VP1'!$G$4+'Systemberegning VP1'!$F$4)/'Varmepumpeberegning VP1'!W105+'Systemberegning VP1'!$E$4</f>
        <v>45.077880349837372</v>
      </c>
    </row>
    <row r="106" spans="20:26" x14ac:dyDescent="0.25">
      <c r="T106">
        <v>4</v>
      </c>
      <c r="U106">
        <v>103</v>
      </c>
      <c r="V106" s="15">
        <v>13.629166666666668</v>
      </c>
      <c r="W106" s="15">
        <f t="shared" si="15"/>
        <v>3.2930492366901718</v>
      </c>
      <c r="X106" s="20">
        <f t="shared" si="16"/>
        <v>9.8312960343314195</v>
      </c>
      <c r="Y106" s="20">
        <f t="shared" si="17"/>
        <v>2.9854688854311844</v>
      </c>
      <c r="Z106" s="289">
        <f>('Systemberegning VP1'!$G$4+'Systemberegning VP1'!$F$4)/'Varmepumpeberegning VP1'!W106+'Systemberegning VP1'!$E$4</f>
        <v>43.924113311887368</v>
      </c>
    </row>
    <row r="107" spans="20:26" x14ac:dyDescent="0.25">
      <c r="T107">
        <v>4</v>
      </c>
      <c r="U107">
        <v>104</v>
      </c>
      <c r="V107" s="15">
        <v>14.85</v>
      </c>
      <c r="W107" s="15">
        <f t="shared" si="15"/>
        <v>3.3372461519597025</v>
      </c>
      <c r="X107" s="20">
        <f t="shared" si="16"/>
        <v>9.936217278319095</v>
      </c>
      <c r="Y107" s="20">
        <f t="shared" si="17"/>
        <v>2.9773702106104265</v>
      </c>
      <c r="Z107" s="289">
        <f>('Systemberegning VP1'!$G$4+'Systemberegning VP1'!$F$4)/'Varmepumpeberegning VP1'!W107+'Systemberegning VP1'!$E$4</f>
        <v>43.365504555254446</v>
      </c>
    </row>
    <row r="108" spans="20:26" x14ac:dyDescent="0.25">
      <c r="T108">
        <v>4</v>
      </c>
      <c r="U108">
        <v>105</v>
      </c>
      <c r="V108" s="15">
        <v>10.725000000000001</v>
      </c>
      <c r="W108" s="15">
        <f t="shared" si="15"/>
        <v>3.1618855914913517</v>
      </c>
      <c r="X108" s="20">
        <f t="shared" si="16"/>
        <v>9.5165323023683932</v>
      </c>
      <c r="Y108" s="20">
        <f t="shared" si="17"/>
        <v>3.0097649098934585</v>
      </c>
      <c r="Z108" s="289">
        <f>('Systemberegning VP1'!$G$4+'Systemberegning VP1'!$F$4)/'Varmepumpeberegning VP1'!W108+'Systemberegning VP1'!$E$4</f>
        <v>45.673844559506328</v>
      </c>
    </row>
    <row r="109" spans="20:26" x14ac:dyDescent="0.25">
      <c r="T109">
        <v>4</v>
      </c>
      <c r="U109">
        <v>106</v>
      </c>
      <c r="V109" s="15">
        <v>7.6625000000000005</v>
      </c>
      <c r="W109" s="15">
        <f t="shared" si="15"/>
        <v>3.0328225996421248</v>
      </c>
      <c r="X109" s="20">
        <f t="shared" si="16"/>
        <v>9.2017685704053669</v>
      </c>
      <c r="Y109" s="20">
        <f t="shared" si="17"/>
        <v>3.0340609343557325</v>
      </c>
      <c r="Z109" s="289">
        <f>('Systemberegning VP1'!$G$4+'Systemberegning VP1'!$F$4)/'Varmepumpeberegning VP1'!W109+'Systemberegning VP1'!$E$4</f>
        <v>47.54328147744701</v>
      </c>
    </row>
    <row r="110" spans="20:26" x14ac:dyDescent="0.25">
      <c r="T110">
        <v>4</v>
      </c>
      <c r="U110">
        <v>107</v>
      </c>
      <c r="V110" s="15">
        <v>7.5749999999999993</v>
      </c>
      <c r="W110" s="15">
        <f t="shared" si="15"/>
        <v>3.0328225996421248</v>
      </c>
      <c r="X110" s="20">
        <f t="shared" si="16"/>
        <v>9.2017685704053669</v>
      </c>
      <c r="Y110" s="20">
        <f t="shared" si="17"/>
        <v>3.0340609343557325</v>
      </c>
      <c r="Z110" s="289">
        <f>('Systemberegning VP1'!$G$4+'Systemberegning VP1'!$F$4)/'Varmepumpeberegning VP1'!W110+'Systemberegning VP1'!$E$4</f>
        <v>47.54328147744701</v>
      </c>
    </row>
    <row r="111" spans="20:26" x14ac:dyDescent="0.25">
      <c r="T111">
        <v>4</v>
      </c>
      <c r="U111">
        <v>108</v>
      </c>
      <c r="V111" s="15">
        <v>6.0624999999999991</v>
      </c>
      <c r="W111" s="15">
        <f t="shared" si="15"/>
        <v>2.9514704207300451</v>
      </c>
      <c r="X111" s="20">
        <f t="shared" si="16"/>
        <v>9.0081678430174801</v>
      </c>
      <c r="Y111" s="20">
        <f t="shared" si="17"/>
        <v>3.052094908269253</v>
      </c>
      <c r="Z111" s="289">
        <f>('Systemberegning VP1'!$G$4+'Systemberegning VP1'!$F$4)/'Varmepumpeberegning VP1'!W111+'Systemberegning VP1'!$E$4</f>
        <v>48.805649522192738</v>
      </c>
    </row>
    <row r="112" spans="20:26" x14ac:dyDescent="0.25">
      <c r="T112">
        <v>4</v>
      </c>
      <c r="U112">
        <v>109</v>
      </c>
      <c r="V112" s="15">
        <v>6.666666666666667</v>
      </c>
      <c r="W112" s="15">
        <f t="shared" si="15"/>
        <v>2.9902597151633996</v>
      </c>
      <c r="X112" s="20">
        <f t="shared" si="16"/>
        <v>9.0968473264176914</v>
      </c>
      <c r="Y112" s="20">
        <f t="shared" si="17"/>
        <v>3.0421596091764904</v>
      </c>
      <c r="Z112" s="289">
        <f>('Systemberegning VP1'!$G$4+'Systemberegning VP1'!$F$4)/'Varmepumpeberegning VP1'!W112+'Systemberegning VP1'!$E$4</f>
        <v>48.195176072664189</v>
      </c>
    </row>
    <row r="113" spans="20:26" x14ac:dyDescent="0.25">
      <c r="T113">
        <v>4</v>
      </c>
      <c r="U113">
        <v>110</v>
      </c>
      <c r="V113" s="15">
        <v>8.0958333333333332</v>
      </c>
      <c r="W113" s="15">
        <f t="shared" si="15"/>
        <v>3.0328225996421248</v>
      </c>
      <c r="X113" s="20">
        <f t="shared" si="16"/>
        <v>9.2017685704053669</v>
      </c>
      <c r="Y113" s="20">
        <f t="shared" si="17"/>
        <v>3.0340609343557325</v>
      </c>
      <c r="Z113" s="289">
        <f>('Systemberegning VP1'!$G$4+'Systemberegning VP1'!$F$4)/'Varmepumpeberegning VP1'!W113+'Systemberegning VP1'!$E$4</f>
        <v>47.54328147744701</v>
      </c>
    </row>
    <row r="114" spans="20:26" x14ac:dyDescent="0.25">
      <c r="T114">
        <v>4</v>
      </c>
      <c r="U114">
        <v>111</v>
      </c>
      <c r="V114" s="15">
        <v>6.8374999999999995</v>
      </c>
      <c r="W114" s="15">
        <f t="shared" si="15"/>
        <v>2.9902597151633996</v>
      </c>
      <c r="X114" s="20">
        <f t="shared" si="16"/>
        <v>9.0968473264176914</v>
      </c>
      <c r="Y114" s="20">
        <f t="shared" si="17"/>
        <v>3.0421596091764904</v>
      </c>
      <c r="Z114" s="289">
        <f>('Systemberegning VP1'!$G$4+'Systemberegning VP1'!$F$4)/'Varmepumpeberegning VP1'!W114+'Systemberegning VP1'!$E$4</f>
        <v>48.195176072664189</v>
      </c>
    </row>
    <row r="115" spans="20:26" x14ac:dyDescent="0.25">
      <c r="T115">
        <v>4</v>
      </c>
      <c r="U115">
        <v>112</v>
      </c>
      <c r="V115" s="15">
        <v>6.1625000000000005</v>
      </c>
      <c r="W115" s="15">
        <f t="shared" si="15"/>
        <v>2.9514704207300451</v>
      </c>
      <c r="X115" s="20">
        <f t="shared" si="16"/>
        <v>9.0081678430174801</v>
      </c>
      <c r="Y115" s="20">
        <f t="shared" si="17"/>
        <v>3.052094908269253</v>
      </c>
      <c r="Z115" s="289">
        <f>('Systemberegning VP1'!$G$4+'Systemberegning VP1'!$F$4)/'Varmepumpeberegning VP1'!W115+'Systemberegning VP1'!$E$4</f>
        <v>48.805649522192738</v>
      </c>
    </row>
    <row r="116" spans="20:26" x14ac:dyDescent="0.25">
      <c r="T116">
        <v>4</v>
      </c>
      <c r="U116">
        <v>113</v>
      </c>
      <c r="V116" s="15">
        <v>5.5333333333333341</v>
      </c>
      <c r="W116" s="15">
        <f t="shared" si="15"/>
        <v>2.9514704207300451</v>
      </c>
      <c r="X116" s="20">
        <f t="shared" si="16"/>
        <v>9.0081678430174801</v>
      </c>
      <c r="Y116" s="20">
        <f t="shared" si="17"/>
        <v>3.052094908269253</v>
      </c>
      <c r="Z116" s="289">
        <f>('Systemberegning VP1'!$G$4+'Systemberegning VP1'!$F$4)/'Varmepumpeberegning VP1'!W116+'Systemberegning VP1'!$E$4</f>
        <v>48.805649522192738</v>
      </c>
    </row>
    <row r="117" spans="20:26" x14ac:dyDescent="0.25">
      <c r="T117">
        <v>4</v>
      </c>
      <c r="U117">
        <v>114</v>
      </c>
      <c r="V117" s="15">
        <v>4.833333333333333</v>
      </c>
      <c r="W117" s="15">
        <f t="shared" si="15"/>
        <v>2.9129328437623547</v>
      </c>
      <c r="X117" s="20">
        <f t="shared" si="16"/>
        <v>8.9194883596172705</v>
      </c>
      <c r="Y117" s="20">
        <f t="shared" si="17"/>
        <v>3.062030207362016</v>
      </c>
      <c r="Z117" s="289">
        <f>('Systemberegning VP1'!$G$4+'Systemberegning VP1'!$F$4)/'Varmepumpeberegning VP1'!W117+'Systemberegning VP1'!$E$4</f>
        <v>49.428261889997998</v>
      </c>
    </row>
    <row r="118" spans="20:26" x14ac:dyDescent="0.25">
      <c r="T118">
        <v>4</v>
      </c>
      <c r="U118">
        <v>115</v>
      </c>
      <c r="V118" s="15">
        <v>6.1833333333333345</v>
      </c>
      <c r="W118" s="15">
        <f t="shared" si="15"/>
        <v>2.9514704207300451</v>
      </c>
      <c r="X118" s="20">
        <f t="shared" si="16"/>
        <v>9.0081678430174801</v>
      </c>
      <c r="Y118" s="20">
        <f t="shared" si="17"/>
        <v>3.052094908269253</v>
      </c>
      <c r="Z118" s="289">
        <f>('Systemberegning VP1'!$G$4+'Systemberegning VP1'!$F$4)/'Varmepumpeberegning VP1'!W118+'Systemberegning VP1'!$E$4</f>
        <v>48.805649522192738</v>
      </c>
    </row>
    <row r="119" spans="20:26" x14ac:dyDescent="0.25">
      <c r="T119">
        <v>4</v>
      </c>
      <c r="U119">
        <v>116</v>
      </c>
      <c r="V119" s="15">
        <v>5.9958333333333327</v>
      </c>
      <c r="W119" s="15">
        <f t="shared" si="15"/>
        <v>2.9514704207300451</v>
      </c>
      <c r="X119" s="20">
        <f t="shared" si="16"/>
        <v>9.0081678430174801</v>
      </c>
      <c r="Y119" s="20">
        <f t="shared" si="17"/>
        <v>3.052094908269253</v>
      </c>
      <c r="Z119" s="289">
        <f>('Systemberegning VP1'!$G$4+'Systemberegning VP1'!$F$4)/'Varmepumpeberegning VP1'!W119+'Systemberegning VP1'!$E$4</f>
        <v>48.805649522192738</v>
      </c>
    </row>
    <row r="120" spans="20:26" x14ac:dyDescent="0.25">
      <c r="T120">
        <v>4</v>
      </c>
      <c r="U120">
        <v>117</v>
      </c>
      <c r="V120" s="15">
        <v>7.1958333333333329</v>
      </c>
      <c r="W120" s="15">
        <f t="shared" si="15"/>
        <v>2.9902597151633996</v>
      </c>
      <c r="X120" s="20">
        <f t="shared" si="16"/>
        <v>9.0968473264176914</v>
      </c>
      <c r="Y120" s="20">
        <f t="shared" si="17"/>
        <v>3.0421596091764904</v>
      </c>
      <c r="Z120" s="289">
        <f>('Systemberegning VP1'!$G$4+'Systemberegning VP1'!$F$4)/'Varmepumpeberegning VP1'!W120+'Systemberegning VP1'!$E$4</f>
        <v>48.195176072664189</v>
      </c>
    </row>
    <row r="121" spans="20:26" x14ac:dyDescent="0.25">
      <c r="T121">
        <v>4</v>
      </c>
      <c r="U121">
        <v>118</v>
      </c>
      <c r="V121" s="15">
        <v>10.0625</v>
      </c>
      <c r="W121" s="15">
        <f t="shared" si="15"/>
        <v>3.1186336937333676</v>
      </c>
      <c r="X121" s="20">
        <f t="shared" si="16"/>
        <v>9.4116110583807178</v>
      </c>
      <c r="Y121" s="20">
        <f t="shared" si="17"/>
        <v>3.0178635847142163</v>
      </c>
      <c r="Z121" s="289">
        <f>('Systemberegning VP1'!$G$4+'Systemberegning VP1'!$F$4)/'Varmepumpeberegning VP1'!W121+'Systemberegning VP1'!$E$4</f>
        <v>46.283096463675768</v>
      </c>
    </row>
    <row r="122" spans="20:26" x14ac:dyDescent="0.25">
      <c r="T122">
        <v>4</v>
      </c>
      <c r="U122">
        <v>119</v>
      </c>
      <c r="V122" s="15">
        <v>13.429166666666665</v>
      </c>
      <c r="W122" s="15">
        <f t="shared" si="15"/>
        <v>3.2490914584620767</v>
      </c>
      <c r="X122" s="20">
        <f t="shared" si="16"/>
        <v>9.7263747903437441</v>
      </c>
      <c r="Y122" s="20">
        <f t="shared" si="17"/>
        <v>2.9935675602519423</v>
      </c>
      <c r="Z122" s="289">
        <f>('Systemberegning VP1'!$G$4+'Systemberegning VP1'!$F$4)/'Varmepumpeberegning VP1'!W122+'Systemberegning VP1'!$E$4</f>
        <v>44.494773819951156</v>
      </c>
    </row>
    <row r="123" spans="20:26" x14ac:dyDescent="0.25">
      <c r="T123">
        <v>4</v>
      </c>
      <c r="U123">
        <v>120</v>
      </c>
      <c r="V123" s="15">
        <v>12.391666666666666</v>
      </c>
      <c r="W123" s="15">
        <f t="shared" si="15"/>
        <v>3.2053708816573461</v>
      </c>
      <c r="X123" s="20">
        <f t="shared" si="16"/>
        <v>9.6214535463560686</v>
      </c>
      <c r="Y123" s="20">
        <f t="shared" si="17"/>
        <v>3.0016662350727006</v>
      </c>
      <c r="Z123" s="289">
        <f>('Systemberegning VP1'!$G$4+'Systemberegning VP1'!$F$4)/'Varmepumpeberegning VP1'!W123+'Systemberegning VP1'!$E$4</f>
        <v>45.077880349837372</v>
      </c>
    </row>
    <row r="124" spans="20:26" x14ac:dyDescent="0.25">
      <c r="T124">
        <v>5</v>
      </c>
      <c r="U124">
        <v>121</v>
      </c>
      <c r="V124" s="15">
        <v>16.045833333333334</v>
      </c>
      <c r="W124" s="15">
        <f t="shared" si="15"/>
        <v>3.3372461519597025</v>
      </c>
      <c r="X124" s="20">
        <f t="shared" si="16"/>
        <v>9.936217278319095</v>
      </c>
      <c r="Y124" s="20">
        <f t="shared" si="17"/>
        <v>2.9773702106104265</v>
      </c>
      <c r="Z124" s="289">
        <f>('Systemberegning VP1'!$G$4+'Systemberegning VP1'!$F$4)/'Varmepumpeberegning VP1'!W124+'Systemberegning VP1'!$E$4</f>
        <v>43.365504555254446</v>
      </c>
    </row>
    <row r="125" spans="20:26" x14ac:dyDescent="0.25">
      <c r="T125">
        <v>5</v>
      </c>
      <c r="U125">
        <v>122</v>
      </c>
      <c r="V125" s="15">
        <v>18.712499999999999</v>
      </c>
      <c r="W125" s="15">
        <f t="shared" si="15"/>
        <v>3.3372461519597025</v>
      </c>
      <c r="X125" s="20">
        <f t="shared" si="16"/>
        <v>9.936217278319095</v>
      </c>
      <c r="Y125" s="20">
        <f t="shared" si="17"/>
        <v>2.9773702106104265</v>
      </c>
      <c r="Z125" s="289">
        <f>('Systemberegning VP1'!$G$4+'Systemberegning VP1'!$F$4)/'Varmepumpeberegning VP1'!W125+'Systemberegning VP1'!$E$4</f>
        <v>43.365504555254446</v>
      </c>
    </row>
    <row r="126" spans="20:26" x14ac:dyDescent="0.25">
      <c r="T126">
        <v>5</v>
      </c>
      <c r="U126">
        <v>123</v>
      </c>
      <c r="V126" s="15">
        <v>19.100000000000001</v>
      </c>
      <c r="W126" s="15">
        <f t="shared" si="15"/>
        <v>3.3372461519597025</v>
      </c>
      <c r="X126" s="20">
        <f t="shared" si="16"/>
        <v>9.936217278319095</v>
      </c>
      <c r="Y126" s="20">
        <f t="shared" si="17"/>
        <v>2.9773702106104265</v>
      </c>
      <c r="Z126" s="289">
        <f>('Systemberegning VP1'!$G$4+'Systemberegning VP1'!$F$4)/'Varmepumpeberegning VP1'!W126+'Systemberegning VP1'!$E$4</f>
        <v>43.365504555254446</v>
      </c>
    </row>
    <row r="127" spans="20:26" x14ac:dyDescent="0.25">
      <c r="T127">
        <v>5</v>
      </c>
      <c r="U127">
        <v>124</v>
      </c>
      <c r="V127" s="15">
        <v>12.845833333333333</v>
      </c>
      <c r="W127" s="15">
        <f t="shared" si="15"/>
        <v>3.2490914584620767</v>
      </c>
      <c r="X127" s="20">
        <f t="shared" si="16"/>
        <v>9.7263747903437441</v>
      </c>
      <c r="Y127" s="20">
        <f t="shared" si="17"/>
        <v>2.9935675602519423</v>
      </c>
      <c r="Z127" s="289">
        <f>('Systemberegning VP1'!$G$4+'Systemberegning VP1'!$F$4)/'Varmepumpeberegning VP1'!W127+'Systemberegning VP1'!$E$4</f>
        <v>44.494773819951156</v>
      </c>
    </row>
    <row r="128" spans="20:26" x14ac:dyDescent="0.25">
      <c r="T128">
        <v>5</v>
      </c>
      <c r="U128">
        <v>125</v>
      </c>
      <c r="V128" s="15">
        <v>12.012500000000003</v>
      </c>
      <c r="W128" s="15">
        <f t="shared" si="15"/>
        <v>3.2053708816573461</v>
      </c>
      <c r="X128" s="20">
        <f t="shared" si="16"/>
        <v>9.6214535463560686</v>
      </c>
      <c r="Y128" s="20">
        <f t="shared" si="17"/>
        <v>3.0016662350727006</v>
      </c>
      <c r="Z128" s="289">
        <f>('Systemberegning VP1'!$G$4+'Systemberegning VP1'!$F$4)/'Varmepumpeberegning VP1'!W128+'Systemberegning VP1'!$E$4</f>
        <v>45.077880349837372</v>
      </c>
    </row>
    <row r="129" spans="20:26" x14ac:dyDescent="0.25">
      <c r="T129">
        <v>5</v>
      </c>
      <c r="U129">
        <v>126</v>
      </c>
      <c r="V129" s="15">
        <v>11.845833333333333</v>
      </c>
      <c r="W129" s="15">
        <f t="shared" si="15"/>
        <v>3.2053708816573461</v>
      </c>
      <c r="X129" s="20">
        <f t="shared" si="16"/>
        <v>9.6214535463560686</v>
      </c>
      <c r="Y129" s="20">
        <f t="shared" si="17"/>
        <v>3.0016662350727006</v>
      </c>
      <c r="Z129" s="289">
        <f>('Systemberegning VP1'!$G$4+'Systemberegning VP1'!$F$4)/'Varmepumpeberegning VP1'!W129+'Systemberegning VP1'!$E$4</f>
        <v>45.077880349837372</v>
      </c>
    </row>
    <row r="130" spans="20:26" x14ac:dyDescent="0.25">
      <c r="T130">
        <v>5</v>
      </c>
      <c r="U130">
        <v>127</v>
      </c>
      <c r="V130" s="15">
        <v>12.179166666666667</v>
      </c>
      <c r="W130" s="15">
        <f t="shared" si="15"/>
        <v>3.2053708816573461</v>
      </c>
      <c r="X130" s="20">
        <f t="shared" si="16"/>
        <v>9.6214535463560686</v>
      </c>
      <c r="Y130" s="20">
        <f t="shared" si="17"/>
        <v>3.0016662350727006</v>
      </c>
      <c r="Z130" s="289">
        <f>('Systemberegning VP1'!$G$4+'Systemberegning VP1'!$F$4)/'Varmepumpeberegning VP1'!W130+'Systemberegning VP1'!$E$4</f>
        <v>45.077880349837372</v>
      </c>
    </row>
    <row r="131" spans="20:26" x14ac:dyDescent="0.25">
      <c r="T131">
        <v>5</v>
      </c>
      <c r="U131">
        <v>128</v>
      </c>
      <c r="V131" s="15">
        <v>12.708333333333336</v>
      </c>
      <c r="W131" s="15">
        <f t="shared" si="15"/>
        <v>3.2490914584620767</v>
      </c>
      <c r="X131" s="20">
        <f t="shared" si="16"/>
        <v>9.7263747903437441</v>
      </c>
      <c r="Y131" s="20">
        <f t="shared" si="17"/>
        <v>2.9935675602519423</v>
      </c>
      <c r="Z131" s="289">
        <f>('Systemberegning VP1'!$G$4+'Systemberegning VP1'!$F$4)/'Varmepumpeberegning VP1'!W131+'Systemberegning VP1'!$E$4</f>
        <v>44.494773819951156</v>
      </c>
    </row>
    <row r="132" spans="20:26" x14ac:dyDescent="0.25">
      <c r="T132">
        <v>5</v>
      </c>
      <c r="U132">
        <v>129</v>
      </c>
      <c r="V132" s="15">
        <v>12.183333333333332</v>
      </c>
      <c r="W132" s="15">
        <f t="shared" si="15"/>
        <v>3.2053708816573461</v>
      </c>
      <c r="X132" s="20">
        <f t="shared" si="16"/>
        <v>9.6214535463560686</v>
      </c>
      <c r="Y132" s="20">
        <f t="shared" si="17"/>
        <v>3.0016662350727006</v>
      </c>
      <c r="Z132" s="289">
        <f>('Systemberegning VP1'!$G$4+'Systemberegning VP1'!$F$4)/'Varmepumpeberegning VP1'!W132+'Systemberegning VP1'!$E$4</f>
        <v>45.077880349837372</v>
      </c>
    </row>
    <row r="133" spans="20:26" x14ac:dyDescent="0.25">
      <c r="T133">
        <v>5</v>
      </c>
      <c r="U133">
        <v>130</v>
      </c>
      <c r="V133" s="15">
        <v>11.779166666666667</v>
      </c>
      <c r="W133" s="15">
        <f t="shared" ref="W133:W196" si="18">VLOOKUP(ROUND(V133,0),$A$21:$D$56,2,FALSE)</f>
        <v>3.2053708816573461</v>
      </c>
      <c r="X133" s="20">
        <f t="shared" ref="X133:X196" si="19">VLOOKUP(ROUND(V133,0),$A$21:$D$56,3,FALSE)</f>
        <v>9.6214535463560686</v>
      </c>
      <c r="Y133" s="20">
        <f t="shared" ref="Y133:Y196" si="20">VLOOKUP(ROUND(V133,0),$A$21:$D$56,4,FALSE)</f>
        <v>3.0016662350727006</v>
      </c>
      <c r="Z133" s="289">
        <f>('Systemberegning VP1'!$G$4+'Systemberegning VP1'!$F$4)/'Varmepumpeberegning VP1'!W133+'Systemberegning VP1'!$E$4</f>
        <v>45.077880349837372</v>
      </c>
    </row>
    <row r="134" spans="20:26" x14ac:dyDescent="0.25">
      <c r="T134">
        <v>5</v>
      </c>
      <c r="U134">
        <v>131</v>
      </c>
      <c r="V134" s="15">
        <v>13.600000000000001</v>
      </c>
      <c r="W134" s="15">
        <f t="shared" si="18"/>
        <v>3.2930492366901718</v>
      </c>
      <c r="X134" s="20">
        <f t="shared" si="19"/>
        <v>9.8312960343314195</v>
      </c>
      <c r="Y134" s="20">
        <f t="shared" si="20"/>
        <v>2.9854688854311844</v>
      </c>
      <c r="Z134" s="289">
        <f>('Systemberegning VP1'!$G$4+'Systemberegning VP1'!$F$4)/'Varmepumpeberegning VP1'!W134+'Systemberegning VP1'!$E$4</f>
        <v>43.924113311887368</v>
      </c>
    </row>
    <row r="135" spans="20:26" x14ac:dyDescent="0.25">
      <c r="T135">
        <v>5</v>
      </c>
      <c r="U135">
        <v>132</v>
      </c>
      <c r="V135" s="15">
        <v>15.041666666666666</v>
      </c>
      <c r="W135" s="15">
        <f t="shared" si="18"/>
        <v>3.3372461519597025</v>
      </c>
      <c r="X135" s="20">
        <f t="shared" si="19"/>
        <v>9.936217278319095</v>
      </c>
      <c r="Y135" s="20">
        <f t="shared" si="20"/>
        <v>2.9773702106104265</v>
      </c>
      <c r="Z135" s="289">
        <f>('Systemberegning VP1'!$G$4+'Systemberegning VP1'!$F$4)/'Varmepumpeberegning VP1'!W135+'Systemberegning VP1'!$E$4</f>
        <v>43.365504555254446</v>
      </c>
    </row>
    <row r="136" spans="20:26" x14ac:dyDescent="0.25">
      <c r="T136">
        <v>5</v>
      </c>
      <c r="U136">
        <v>133</v>
      </c>
      <c r="V136" s="15">
        <v>17.600000000000001</v>
      </c>
      <c r="W136" s="15">
        <f t="shared" si="18"/>
        <v>3.3372461519597025</v>
      </c>
      <c r="X136" s="20">
        <f t="shared" si="19"/>
        <v>9.936217278319095</v>
      </c>
      <c r="Y136" s="20">
        <f t="shared" si="20"/>
        <v>2.9773702106104265</v>
      </c>
      <c r="Z136" s="289">
        <f>('Systemberegning VP1'!$G$4+'Systemberegning VP1'!$F$4)/'Varmepumpeberegning VP1'!W136+'Systemberegning VP1'!$E$4</f>
        <v>43.365504555254446</v>
      </c>
    </row>
    <row r="137" spans="20:26" x14ac:dyDescent="0.25">
      <c r="T137">
        <v>5</v>
      </c>
      <c r="U137">
        <v>134</v>
      </c>
      <c r="V137" s="15">
        <v>19.637499999999999</v>
      </c>
      <c r="W137" s="15">
        <f t="shared" si="18"/>
        <v>3.3372461519597025</v>
      </c>
      <c r="X137" s="20">
        <f t="shared" si="19"/>
        <v>9.936217278319095</v>
      </c>
      <c r="Y137" s="20">
        <f t="shared" si="20"/>
        <v>2.9773702106104265</v>
      </c>
      <c r="Z137" s="289">
        <f>('Systemberegning VP1'!$G$4+'Systemberegning VP1'!$F$4)/'Varmepumpeberegning VP1'!W137+'Systemberegning VP1'!$E$4</f>
        <v>43.365504555254446</v>
      </c>
    </row>
    <row r="138" spans="20:26" x14ac:dyDescent="0.25">
      <c r="T138">
        <v>5</v>
      </c>
      <c r="U138">
        <v>135</v>
      </c>
      <c r="V138" s="15">
        <v>20.816666666666666</v>
      </c>
      <c r="W138" s="15">
        <f t="shared" si="18"/>
        <v>3.3372461519597025</v>
      </c>
      <c r="X138" s="20">
        <f t="shared" si="19"/>
        <v>9.936217278319095</v>
      </c>
      <c r="Y138" s="20">
        <f t="shared" si="20"/>
        <v>2.9773702106104265</v>
      </c>
      <c r="Z138" s="289">
        <f>('Systemberegning VP1'!$G$4+'Systemberegning VP1'!$F$4)/'Varmepumpeberegning VP1'!W138+'Systemberegning VP1'!$E$4</f>
        <v>43.365504555254446</v>
      </c>
    </row>
    <row r="139" spans="20:26" x14ac:dyDescent="0.25">
      <c r="T139">
        <v>5</v>
      </c>
      <c r="U139">
        <v>136</v>
      </c>
      <c r="V139" s="15">
        <v>19.45</v>
      </c>
      <c r="W139" s="15">
        <f t="shared" si="18"/>
        <v>3.3372461519597025</v>
      </c>
      <c r="X139" s="20">
        <f t="shared" si="19"/>
        <v>9.936217278319095</v>
      </c>
      <c r="Y139" s="20">
        <f t="shared" si="20"/>
        <v>2.9773702106104265</v>
      </c>
      <c r="Z139" s="289">
        <f>('Systemberegning VP1'!$G$4+'Systemberegning VP1'!$F$4)/'Varmepumpeberegning VP1'!W139+'Systemberegning VP1'!$E$4</f>
        <v>43.365504555254446</v>
      </c>
    </row>
    <row r="140" spans="20:26" x14ac:dyDescent="0.25">
      <c r="T140">
        <v>5</v>
      </c>
      <c r="U140">
        <v>137</v>
      </c>
      <c r="V140" s="15">
        <v>17.312499999999996</v>
      </c>
      <c r="W140" s="15">
        <f t="shared" si="18"/>
        <v>3.3372461519597025</v>
      </c>
      <c r="X140" s="20">
        <f t="shared" si="19"/>
        <v>9.936217278319095</v>
      </c>
      <c r="Y140" s="20">
        <f t="shared" si="20"/>
        <v>2.9773702106104265</v>
      </c>
      <c r="Z140" s="289">
        <f>('Systemberegning VP1'!$G$4+'Systemberegning VP1'!$F$4)/'Varmepumpeberegning VP1'!W140+'Systemberegning VP1'!$E$4</f>
        <v>43.365504555254446</v>
      </c>
    </row>
    <row r="141" spans="20:26" x14ac:dyDescent="0.25">
      <c r="T141">
        <v>5</v>
      </c>
      <c r="U141">
        <v>138</v>
      </c>
      <c r="V141" s="15">
        <v>17.666666666666664</v>
      </c>
      <c r="W141" s="15">
        <f t="shared" si="18"/>
        <v>3.3372461519597025</v>
      </c>
      <c r="X141" s="20">
        <f t="shared" si="19"/>
        <v>9.936217278319095</v>
      </c>
      <c r="Y141" s="20">
        <f t="shared" si="20"/>
        <v>2.9773702106104265</v>
      </c>
      <c r="Z141" s="289">
        <f>('Systemberegning VP1'!$G$4+'Systemberegning VP1'!$F$4)/'Varmepumpeberegning VP1'!W141+'Systemberegning VP1'!$E$4</f>
        <v>43.365504555254446</v>
      </c>
    </row>
    <row r="142" spans="20:26" x14ac:dyDescent="0.25">
      <c r="T142">
        <v>5</v>
      </c>
      <c r="U142">
        <v>139</v>
      </c>
      <c r="V142" s="15">
        <v>17.845833333333331</v>
      </c>
      <c r="W142" s="15">
        <f t="shared" si="18"/>
        <v>3.3372461519597025</v>
      </c>
      <c r="X142" s="20">
        <f t="shared" si="19"/>
        <v>9.936217278319095</v>
      </c>
      <c r="Y142" s="20">
        <f t="shared" si="20"/>
        <v>2.9773702106104265</v>
      </c>
      <c r="Z142" s="289">
        <f>('Systemberegning VP1'!$G$4+'Systemberegning VP1'!$F$4)/'Varmepumpeberegning VP1'!W142+'Systemberegning VP1'!$E$4</f>
        <v>43.365504555254446</v>
      </c>
    </row>
    <row r="143" spans="20:26" x14ac:dyDescent="0.25">
      <c r="T143">
        <v>5</v>
      </c>
      <c r="U143">
        <v>140</v>
      </c>
      <c r="V143" s="15">
        <v>16.795833333333338</v>
      </c>
      <c r="W143" s="15">
        <f t="shared" si="18"/>
        <v>3.3372461519597025</v>
      </c>
      <c r="X143" s="20">
        <f t="shared" si="19"/>
        <v>9.936217278319095</v>
      </c>
      <c r="Y143" s="20">
        <f t="shared" si="20"/>
        <v>2.9773702106104265</v>
      </c>
      <c r="Z143" s="289">
        <f>('Systemberegning VP1'!$G$4+'Systemberegning VP1'!$F$4)/'Varmepumpeberegning VP1'!W143+'Systemberegning VP1'!$E$4</f>
        <v>43.365504555254446</v>
      </c>
    </row>
    <row r="144" spans="20:26" x14ac:dyDescent="0.25">
      <c r="T144">
        <v>5</v>
      </c>
      <c r="U144">
        <v>141</v>
      </c>
      <c r="V144" s="15">
        <v>15.9</v>
      </c>
      <c r="W144" s="15">
        <f t="shared" si="18"/>
        <v>3.3372461519597025</v>
      </c>
      <c r="X144" s="20">
        <f t="shared" si="19"/>
        <v>9.936217278319095</v>
      </c>
      <c r="Y144" s="20">
        <f t="shared" si="20"/>
        <v>2.9773702106104265</v>
      </c>
      <c r="Z144" s="289">
        <f>('Systemberegning VP1'!$G$4+'Systemberegning VP1'!$F$4)/'Varmepumpeberegning VP1'!W144+'Systemberegning VP1'!$E$4</f>
        <v>43.365504555254446</v>
      </c>
    </row>
    <row r="145" spans="20:26" x14ac:dyDescent="0.25">
      <c r="T145">
        <v>5</v>
      </c>
      <c r="U145">
        <v>142</v>
      </c>
      <c r="V145" s="15">
        <v>18.079166666666666</v>
      </c>
      <c r="W145" s="15">
        <f t="shared" si="18"/>
        <v>3.3372461519597025</v>
      </c>
      <c r="X145" s="20">
        <f t="shared" si="19"/>
        <v>9.936217278319095</v>
      </c>
      <c r="Y145" s="20">
        <f t="shared" si="20"/>
        <v>2.9773702106104265</v>
      </c>
      <c r="Z145" s="289">
        <f>('Systemberegning VP1'!$G$4+'Systemberegning VP1'!$F$4)/'Varmepumpeberegning VP1'!W145+'Systemberegning VP1'!$E$4</f>
        <v>43.365504555254446</v>
      </c>
    </row>
    <row r="146" spans="20:26" x14ac:dyDescent="0.25">
      <c r="T146">
        <v>5</v>
      </c>
      <c r="U146">
        <v>143</v>
      </c>
      <c r="V146" s="15">
        <v>16.524999999999999</v>
      </c>
      <c r="W146" s="15">
        <f t="shared" si="18"/>
        <v>3.3372461519597025</v>
      </c>
      <c r="X146" s="20">
        <f t="shared" si="19"/>
        <v>9.936217278319095</v>
      </c>
      <c r="Y146" s="20">
        <f t="shared" si="20"/>
        <v>2.9773702106104265</v>
      </c>
      <c r="Z146" s="289">
        <f>('Systemberegning VP1'!$G$4+'Systemberegning VP1'!$F$4)/'Varmepumpeberegning VP1'!W146+'Systemberegning VP1'!$E$4</f>
        <v>43.365504555254446</v>
      </c>
    </row>
    <row r="147" spans="20:26" x14ac:dyDescent="0.25">
      <c r="T147">
        <v>5</v>
      </c>
      <c r="U147">
        <v>144</v>
      </c>
      <c r="V147" s="15">
        <v>15.299999999999997</v>
      </c>
      <c r="W147" s="15">
        <f t="shared" si="18"/>
        <v>3.3372461519597025</v>
      </c>
      <c r="X147" s="20">
        <f t="shared" si="19"/>
        <v>9.936217278319095</v>
      </c>
      <c r="Y147" s="20">
        <f t="shared" si="20"/>
        <v>2.9773702106104265</v>
      </c>
      <c r="Z147" s="289">
        <f>('Systemberegning VP1'!$G$4+'Systemberegning VP1'!$F$4)/'Varmepumpeberegning VP1'!W147+'Systemberegning VP1'!$E$4</f>
        <v>43.365504555254446</v>
      </c>
    </row>
    <row r="148" spans="20:26" x14ac:dyDescent="0.25">
      <c r="T148">
        <v>5</v>
      </c>
      <c r="U148">
        <v>145</v>
      </c>
      <c r="V148" s="15">
        <v>15.170833333333334</v>
      </c>
      <c r="W148" s="15">
        <f t="shared" si="18"/>
        <v>3.3372461519597025</v>
      </c>
      <c r="X148" s="20">
        <f t="shared" si="19"/>
        <v>9.936217278319095</v>
      </c>
      <c r="Y148" s="20">
        <f t="shared" si="20"/>
        <v>2.9773702106104265</v>
      </c>
      <c r="Z148" s="289">
        <f>('Systemberegning VP1'!$G$4+'Systemberegning VP1'!$F$4)/'Varmepumpeberegning VP1'!W148+'Systemberegning VP1'!$E$4</f>
        <v>43.365504555254446</v>
      </c>
    </row>
    <row r="149" spans="20:26" x14ac:dyDescent="0.25">
      <c r="T149">
        <v>5</v>
      </c>
      <c r="U149">
        <v>146</v>
      </c>
      <c r="V149" s="15">
        <v>16.066666666666666</v>
      </c>
      <c r="W149" s="15">
        <f t="shared" si="18"/>
        <v>3.3372461519597025</v>
      </c>
      <c r="X149" s="20">
        <f t="shared" si="19"/>
        <v>9.936217278319095</v>
      </c>
      <c r="Y149" s="20">
        <f t="shared" si="20"/>
        <v>2.9773702106104265</v>
      </c>
      <c r="Z149" s="289">
        <f>('Systemberegning VP1'!$G$4+'Systemberegning VP1'!$F$4)/'Varmepumpeberegning VP1'!W149+'Systemberegning VP1'!$E$4</f>
        <v>43.365504555254446</v>
      </c>
    </row>
    <row r="150" spans="20:26" x14ac:dyDescent="0.25">
      <c r="T150">
        <v>5</v>
      </c>
      <c r="U150">
        <v>147</v>
      </c>
      <c r="V150" s="15">
        <v>16.254166666666666</v>
      </c>
      <c r="W150" s="15">
        <f t="shared" si="18"/>
        <v>3.3372461519597025</v>
      </c>
      <c r="X150" s="20">
        <f t="shared" si="19"/>
        <v>9.936217278319095</v>
      </c>
      <c r="Y150" s="20">
        <f t="shared" si="20"/>
        <v>2.9773702106104265</v>
      </c>
      <c r="Z150" s="289">
        <f>('Systemberegning VP1'!$G$4+'Systemberegning VP1'!$F$4)/'Varmepumpeberegning VP1'!W150+'Systemberegning VP1'!$E$4</f>
        <v>43.365504555254446</v>
      </c>
    </row>
    <row r="151" spans="20:26" x14ac:dyDescent="0.25">
      <c r="T151">
        <v>5</v>
      </c>
      <c r="U151">
        <v>148</v>
      </c>
      <c r="V151" s="15">
        <v>15.170833333333329</v>
      </c>
      <c r="W151" s="15">
        <f t="shared" si="18"/>
        <v>3.3372461519597025</v>
      </c>
      <c r="X151" s="20">
        <f t="shared" si="19"/>
        <v>9.936217278319095</v>
      </c>
      <c r="Y151" s="20">
        <f t="shared" si="20"/>
        <v>2.9773702106104265</v>
      </c>
      <c r="Z151" s="289">
        <f>('Systemberegning VP1'!$G$4+'Systemberegning VP1'!$F$4)/'Varmepumpeberegning VP1'!W151+'Systemberegning VP1'!$E$4</f>
        <v>43.365504555254446</v>
      </c>
    </row>
    <row r="152" spans="20:26" x14ac:dyDescent="0.25">
      <c r="T152">
        <v>5</v>
      </c>
      <c r="U152">
        <v>149</v>
      </c>
      <c r="V152" s="15">
        <v>14.34166666666667</v>
      </c>
      <c r="W152" s="15">
        <f t="shared" si="18"/>
        <v>3.2930492366901718</v>
      </c>
      <c r="X152" s="20">
        <f t="shared" si="19"/>
        <v>9.8312960343314195</v>
      </c>
      <c r="Y152" s="20">
        <f t="shared" si="20"/>
        <v>2.9854688854311844</v>
      </c>
      <c r="Z152" s="289">
        <f>('Systemberegning VP1'!$G$4+'Systemberegning VP1'!$F$4)/'Varmepumpeberegning VP1'!W152+'Systemberegning VP1'!$E$4</f>
        <v>43.924113311887368</v>
      </c>
    </row>
    <row r="153" spans="20:26" x14ac:dyDescent="0.25">
      <c r="T153">
        <v>5</v>
      </c>
      <c r="U153">
        <v>150</v>
      </c>
      <c r="V153" s="15">
        <v>14.870833333333335</v>
      </c>
      <c r="W153" s="15">
        <f t="shared" si="18"/>
        <v>3.3372461519597025</v>
      </c>
      <c r="X153" s="20">
        <f t="shared" si="19"/>
        <v>9.936217278319095</v>
      </c>
      <c r="Y153" s="20">
        <f t="shared" si="20"/>
        <v>2.9773702106104265</v>
      </c>
      <c r="Z153" s="289">
        <f>('Systemberegning VP1'!$G$4+'Systemberegning VP1'!$F$4)/'Varmepumpeberegning VP1'!W153+'Systemberegning VP1'!$E$4</f>
        <v>43.365504555254446</v>
      </c>
    </row>
    <row r="154" spans="20:26" x14ac:dyDescent="0.25">
      <c r="T154">
        <v>5</v>
      </c>
      <c r="U154">
        <v>151</v>
      </c>
      <c r="V154" s="15">
        <v>14.4625</v>
      </c>
      <c r="W154" s="15">
        <f t="shared" si="18"/>
        <v>3.2930492366901718</v>
      </c>
      <c r="X154" s="20">
        <f t="shared" si="19"/>
        <v>9.8312960343314195</v>
      </c>
      <c r="Y154" s="20">
        <f t="shared" si="20"/>
        <v>2.9854688854311844</v>
      </c>
      <c r="Z154" s="289">
        <f>('Systemberegning VP1'!$G$4+'Systemberegning VP1'!$F$4)/'Varmepumpeberegning VP1'!W154+'Systemberegning VP1'!$E$4</f>
        <v>43.924113311887368</v>
      </c>
    </row>
    <row r="155" spans="20:26" x14ac:dyDescent="0.25">
      <c r="T155">
        <v>6</v>
      </c>
      <c r="U155">
        <v>152</v>
      </c>
      <c r="V155" s="15">
        <v>15.025000000000004</v>
      </c>
      <c r="W155" s="15">
        <f t="shared" si="18"/>
        <v>3.3372461519597025</v>
      </c>
      <c r="X155" s="20">
        <f t="shared" si="19"/>
        <v>9.936217278319095</v>
      </c>
      <c r="Y155" s="20">
        <f t="shared" si="20"/>
        <v>2.9773702106104265</v>
      </c>
      <c r="Z155" s="289">
        <f>('Systemberegning VP1'!$G$4+'Systemberegning VP1'!$F$4)/'Varmepumpeberegning VP1'!W155+'Systemberegning VP1'!$E$4</f>
        <v>43.365504555254446</v>
      </c>
    </row>
    <row r="156" spans="20:26" x14ac:dyDescent="0.25">
      <c r="T156">
        <v>6</v>
      </c>
      <c r="U156">
        <v>153</v>
      </c>
      <c r="V156" s="15">
        <v>16.037500000000001</v>
      </c>
      <c r="W156" s="15">
        <f t="shared" si="18"/>
        <v>3.3372461519597025</v>
      </c>
      <c r="X156" s="20">
        <f t="shared" si="19"/>
        <v>9.936217278319095</v>
      </c>
      <c r="Y156" s="20">
        <f t="shared" si="20"/>
        <v>2.9773702106104265</v>
      </c>
      <c r="Z156" s="289">
        <f>('Systemberegning VP1'!$G$4+'Systemberegning VP1'!$F$4)/'Varmepumpeberegning VP1'!W156+'Systemberegning VP1'!$E$4</f>
        <v>43.365504555254446</v>
      </c>
    </row>
    <row r="157" spans="20:26" x14ac:dyDescent="0.25">
      <c r="T157">
        <v>6</v>
      </c>
      <c r="U157">
        <v>154</v>
      </c>
      <c r="V157" s="15">
        <v>13.770833333333336</v>
      </c>
      <c r="W157" s="15">
        <f t="shared" si="18"/>
        <v>3.2930492366901718</v>
      </c>
      <c r="X157" s="20">
        <f t="shared" si="19"/>
        <v>9.8312960343314195</v>
      </c>
      <c r="Y157" s="20">
        <f t="shared" si="20"/>
        <v>2.9854688854311844</v>
      </c>
      <c r="Z157" s="289">
        <f>('Systemberegning VP1'!$G$4+'Systemberegning VP1'!$F$4)/'Varmepumpeberegning VP1'!W157+'Systemberegning VP1'!$E$4</f>
        <v>43.924113311887368</v>
      </c>
    </row>
    <row r="158" spans="20:26" x14ac:dyDescent="0.25">
      <c r="T158">
        <v>6</v>
      </c>
      <c r="U158">
        <v>155</v>
      </c>
      <c r="V158" s="15">
        <v>13.808333333333332</v>
      </c>
      <c r="W158" s="15">
        <f t="shared" si="18"/>
        <v>3.2930492366901718</v>
      </c>
      <c r="X158" s="20">
        <f t="shared" si="19"/>
        <v>9.8312960343314195</v>
      </c>
      <c r="Y158" s="20">
        <f t="shared" si="20"/>
        <v>2.9854688854311844</v>
      </c>
      <c r="Z158" s="289">
        <f>('Systemberegning VP1'!$G$4+'Systemberegning VP1'!$F$4)/'Varmepumpeberegning VP1'!W158+'Systemberegning VP1'!$E$4</f>
        <v>43.924113311887368</v>
      </c>
    </row>
    <row r="159" spans="20:26" x14ac:dyDescent="0.25">
      <c r="T159">
        <v>6</v>
      </c>
      <c r="U159">
        <v>156</v>
      </c>
      <c r="V159" s="15">
        <v>16.066666666666666</v>
      </c>
      <c r="W159" s="15">
        <f t="shared" si="18"/>
        <v>3.3372461519597025</v>
      </c>
      <c r="X159" s="20">
        <f t="shared" si="19"/>
        <v>9.936217278319095</v>
      </c>
      <c r="Y159" s="20">
        <f t="shared" si="20"/>
        <v>2.9773702106104265</v>
      </c>
      <c r="Z159" s="289">
        <f>('Systemberegning VP1'!$G$4+'Systemberegning VP1'!$F$4)/'Varmepumpeberegning VP1'!W159+'Systemberegning VP1'!$E$4</f>
        <v>43.365504555254446</v>
      </c>
    </row>
    <row r="160" spans="20:26" x14ac:dyDescent="0.25">
      <c r="T160">
        <v>6</v>
      </c>
      <c r="U160">
        <v>157</v>
      </c>
      <c r="V160" s="15">
        <v>13.254166666666665</v>
      </c>
      <c r="W160" s="15">
        <f t="shared" si="18"/>
        <v>3.2490914584620767</v>
      </c>
      <c r="X160" s="20">
        <f t="shared" si="19"/>
        <v>9.7263747903437441</v>
      </c>
      <c r="Y160" s="20">
        <f t="shared" si="20"/>
        <v>2.9935675602519423</v>
      </c>
      <c r="Z160" s="289">
        <f>('Systemberegning VP1'!$G$4+'Systemberegning VP1'!$F$4)/'Varmepumpeberegning VP1'!W160+'Systemberegning VP1'!$E$4</f>
        <v>44.494773819951156</v>
      </c>
    </row>
    <row r="161" spans="20:26" x14ac:dyDescent="0.25">
      <c r="T161">
        <v>6</v>
      </c>
      <c r="U161">
        <v>158</v>
      </c>
      <c r="V161" s="15">
        <v>12.658333333333333</v>
      </c>
      <c r="W161" s="15">
        <f t="shared" si="18"/>
        <v>3.2490914584620767</v>
      </c>
      <c r="X161" s="20">
        <f t="shared" si="19"/>
        <v>9.7263747903437441</v>
      </c>
      <c r="Y161" s="20">
        <f t="shared" si="20"/>
        <v>2.9935675602519423</v>
      </c>
      <c r="Z161" s="289">
        <f>('Systemberegning VP1'!$G$4+'Systemberegning VP1'!$F$4)/'Varmepumpeberegning VP1'!W161+'Systemberegning VP1'!$E$4</f>
        <v>44.494773819951156</v>
      </c>
    </row>
    <row r="162" spans="20:26" x14ac:dyDescent="0.25">
      <c r="T162">
        <v>6</v>
      </c>
      <c r="U162">
        <v>159</v>
      </c>
      <c r="V162" s="15">
        <v>13.237500000000002</v>
      </c>
      <c r="W162" s="15">
        <f t="shared" si="18"/>
        <v>3.2490914584620767</v>
      </c>
      <c r="X162" s="20">
        <f t="shared" si="19"/>
        <v>9.7263747903437441</v>
      </c>
      <c r="Y162" s="20">
        <f t="shared" si="20"/>
        <v>2.9935675602519423</v>
      </c>
      <c r="Z162" s="289">
        <f>('Systemberegning VP1'!$G$4+'Systemberegning VP1'!$F$4)/'Varmepumpeberegning VP1'!W162+'Systemberegning VP1'!$E$4</f>
        <v>44.494773819951156</v>
      </c>
    </row>
    <row r="163" spans="20:26" x14ac:dyDescent="0.25">
      <c r="T163">
        <v>6</v>
      </c>
      <c r="U163">
        <v>160</v>
      </c>
      <c r="V163" s="15">
        <v>13.383333333333335</v>
      </c>
      <c r="W163" s="15">
        <f t="shared" si="18"/>
        <v>3.2490914584620767</v>
      </c>
      <c r="X163" s="20">
        <f t="shared" si="19"/>
        <v>9.7263747903437441</v>
      </c>
      <c r="Y163" s="20">
        <f t="shared" si="20"/>
        <v>2.9935675602519423</v>
      </c>
      <c r="Z163" s="289">
        <f>('Systemberegning VP1'!$G$4+'Systemberegning VP1'!$F$4)/'Varmepumpeberegning VP1'!W163+'Systemberegning VP1'!$E$4</f>
        <v>44.494773819951156</v>
      </c>
    </row>
    <row r="164" spans="20:26" x14ac:dyDescent="0.25">
      <c r="T164">
        <v>6</v>
      </c>
      <c r="U164">
        <v>161</v>
      </c>
      <c r="V164" s="15">
        <v>12.112500000000002</v>
      </c>
      <c r="W164" s="15">
        <f t="shared" si="18"/>
        <v>3.2053708816573461</v>
      </c>
      <c r="X164" s="20">
        <f t="shared" si="19"/>
        <v>9.6214535463560686</v>
      </c>
      <c r="Y164" s="20">
        <f t="shared" si="20"/>
        <v>3.0016662350727006</v>
      </c>
      <c r="Z164" s="289">
        <f>('Systemberegning VP1'!$G$4+'Systemberegning VP1'!$F$4)/'Varmepumpeberegning VP1'!W164+'Systemberegning VP1'!$E$4</f>
        <v>45.077880349837372</v>
      </c>
    </row>
    <row r="165" spans="20:26" x14ac:dyDescent="0.25">
      <c r="T165">
        <v>6</v>
      </c>
      <c r="U165">
        <v>162</v>
      </c>
      <c r="V165" s="15">
        <v>11.1</v>
      </c>
      <c r="W165" s="15">
        <f t="shared" si="18"/>
        <v>3.1618855914913517</v>
      </c>
      <c r="X165" s="20">
        <f t="shared" si="19"/>
        <v>9.5165323023683932</v>
      </c>
      <c r="Y165" s="20">
        <f t="shared" si="20"/>
        <v>3.0097649098934585</v>
      </c>
      <c r="Z165" s="289">
        <f>('Systemberegning VP1'!$G$4+'Systemberegning VP1'!$F$4)/'Varmepumpeberegning VP1'!W165+'Systemberegning VP1'!$E$4</f>
        <v>45.673844559506328</v>
      </c>
    </row>
    <row r="166" spans="20:26" x14ac:dyDescent="0.25">
      <c r="T166">
        <v>6</v>
      </c>
      <c r="U166">
        <v>163</v>
      </c>
      <c r="V166" s="15">
        <v>11.533333333333333</v>
      </c>
      <c r="W166" s="15">
        <f t="shared" si="18"/>
        <v>3.2053708816573461</v>
      </c>
      <c r="X166" s="20">
        <f t="shared" si="19"/>
        <v>9.6214535463560686</v>
      </c>
      <c r="Y166" s="20">
        <f t="shared" si="20"/>
        <v>3.0016662350727006</v>
      </c>
      <c r="Z166" s="289">
        <f>('Systemberegning VP1'!$G$4+'Systemberegning VP1'!$F$4)/'Varmepumpeberegning VP1'!W166+'Systemberegning VP1'!$E$4</f>
        <v>45.077880349837372</v>
      </c>
    </row>
    <row r="167" spans="20:26" x14ac:dyDescent="0.25">
      <c r="T167">
        <v>6</v>
      </c>
      <c r="U167">
        <v>164</v>
      </c>
      <c r="V167" s="15">
        <v>11.241666666666667</v>
      </c>
      <c r="W167" s="15">
        <f t="shared" si="18"/>
        <v>3.1618855914913517</v>
      </c>
      <c r="X167" s="20">
        <f t="shared" si="19"/>
        <v>9.5165323023683932</v>
      </c>
      <c r="Y167" s="20">
        <f t="shared" si="20"/>
        <v>3.0097649098934585</v>
      </c>
      <c r="Z167" s="289">
        <f>('Systemberegning VP1'!$G$4+'Systemberegning VP1'!$F$4)/'Varmepumpeberegning VP1'!W167+'Systemberegning VP1'!$E$4</f>
        <v>45.673844559506328</v>
      </c>
    </row>
    <row r="168" spans="20:26" x14ac:dyDescent="0.25">
      <c r="T168">
        <v>6</v>
      </c>
      <c r="U168">
        <v>165</v>
      </c>
      <c r="V168" s="15">
        <v>13.283333333333331</v>
      </c>
      <c r="W168" s="15">
        <f t="shared" si="18"/>
        <v>3.2490914584620767</v>
      </c>
      <c r="X168" s="20">
        <f t="shared" si="19"/>
        <v>9.7263747903437441</v>
      </c>
      <c r="Y168" s="20">
        <f t="shared" si="20"/>
        <v>2.9935675602519423</v>
      </c>
      <c r="Z168" s="289">
        <f>('Systemberegning VP1'!$G$4+'Systemberegning VP1'!$F$4)/'Varmepumpeberegning VP1'!W168+'Systemberegning VP1'!$E$4</f>
        <v>44.494773819951156</v>
      </c>
    </row>
    <row r="169" spans="20:26" x14ac:dyDescent="0.25">
      <c r="T169">
        <v>6</v>
      </c>
      <c r="U169">
        <v>166</v>
      </c>
      <c r="V169" s="15">
        <v>14.704166666666664</v>
      </c>
      <c r="W169" s="15">
        <f t="shared" si="18"/>
        <v>3.3372461519597025</v>
      </c>
      <c r="X169" s="20">
        <f t="shared" si="19"/>
        <v>9.936217278319095</v>
      </c>
      <c r="Y169" s="20">
        <f t="shared" si="20"/>
        <v>2.9773702106104265</v>
      </c>
      <c r="Z169" s="289">
        <f>('Systemberegning VP1'!$G$4+'Systemberegning VP1'!$F$4)/'Varmepumpeberegning VP1'!W169+'Systemberegning VP1'!$E$4</f>
        <v>43.365504555254446</v>
      </c>
    </row>
    <row r="170" spans="20:26" x14ac:dyDescent="0.25">
      <c r="T170">
        <v>6</v>
      </c>
      <c r="U170">
        <v>167</v>
      </c>
      <c r="V170" s="15">
        <v>14.137499999999998</v>
      </c>
      <c r="W170" s="15">
        <f t="shared" si="18"/>
        <v>3.2930492366901718</v>
      </c>
      <c r="X170" s="20">
        <f t="shared" si="19"/>
        <v>9.8312960343314195</v>
      </c>
      <c r="Y170" s="20">
        <f t="shared" si="20"/>
        <v>2.9854688854311844</v>
      </c>
      <c r="Z170" s="289">
        <f>('Systemberegning VP1'!$G$4+'Systemberegning VP1'!$F$4)/'Varmepumpeberegning VP1'!W170+'Systemberegning VP1'!$E$4</f>
        <v>43.924113311887368</v>
      </c>
    </row>
    <row r="171" spans="20:26" x14ac:dyDescent="0.25">
      <c r="T171">
        <v>6</v>
      </c>
      <c r="U171">
        <v>168</v>
      </c>
      <c r="V171" s="15">
        <v>14.491666666666672</v>
      </c>
      <c r="W171" s="15">
        <f t="shared" si="18"/>
        <v>3.2930492366901718</v>
      </c>
      <c r="X171" s="20">
        <f t="shared" si="19"/>
        <v>9.8312960343314195</v>
      </c>
      <c r="Y171" s="20">
        <f t="shared" si="20"/>
        <v>2.9854688854311844</v>
      </c>
      <c r="Z171" s="289">
        <f>('Systemberegning VP1'!$G$4+'Systemberegning VP1'!$F$4)/'Varmepumpeberegning VP1'!W171+'Systemberegning VP1'!$E$4</f>
        <v>43.924113311887368</v>
      </c>
    </row>
    <row r="172" spans="20:26" x14ac:dyDescent="0.25">
      <c r="T172">
        <v>6</v>
      </c>
      <c r="U172">
        <v>169</v>
      </c>
      <c r="V172" s="15">
        <v>15.487499999999999</v>
      </c>
      <c r="W172" s="15">
        <f t="shared" si="18"/>
        <v>3.3372461519597025</v>
      </c>
      <c r="X172" s="20">
        <f t="shared" si="19"/>
        <v>9.936217278319095</v>
      </c>
      <c r="Y172" s="20">
        <f t="shared" si="20"/>
        <v>2.9773702106104265</v>
      </c>
      <c r="Z172" s="289">
        <f>('Systemberegning VP1'!$G$4+'Systemberegning VP1'!$F$4)/'Varmepumpeberegning VP1'!W172+'Systemberegning VP1'!$E$4</f>
        <v>43.365504555254446</v>
      </c>
    </row>
    <row r="173" spans="20:26" x14ac:dyDescent="0.25">
      <c r="T173">
        <v>6</v>
      </c>
      <c r="U173">
        <v>170</v>
      </c>
      <c r="V173" s="15">
        <v>15.183333333333335</v>
      </c>
      <c r="W173" s="15">
        <f t="shared" si="18"/>
        <v>3.3372461519597025</v>
      </c>
      <c r="X173" s="20">
        <f t="shared" si="19"/>
        <v>9.936217278319095</v>
      </c>
      <c r="Y173" s="20">
        <f t="shared" si="20"/>
        <v>2.9773702106104265</v>
      </c>
      <c r="Z173" s="289">
        <f>('Systemberegning VP1'!$G$4+'Systemberegning VP1'!$F$4)/'Varmepumpeberegning VP1'!W173+'Systemberegning VP1'!$E$4</f>
        <v>43.365504555254446</v>
      </c>
    </row>
    <row r="174" spans="20:26" x14ac:dyDescent="0.25">
      <c r="T174">
        <v>6</v>
      </c>
      <c r="U174">
        <v>171</v>
      </c>
      <c r="V174" s="15">
        <v>14.775</v>
      </c>
      <c r="W174" s="15">
        <f t="shared" si="18"/>
        <v>3.3372461519597025</v>
      </c>
      <c r="X174" s="20">
        <f t="shared" si="19"/>
        <v>9.936217278319095</v>
      </c>
      <c r="Y174" s="20">
        <f t="shared" si="20"/>
        <v>2.9773702106104265</v>
      </c>
      <c r="Z174" s="289">
        <f>('Systemberegning VP1'!$G$4+'Systemberegning VP1'!$F$4)/'Varmepumpeberegning VP1'!W174+'Systemberegning VP1'!$E$4</f>
        <v>43.365504555254446</v>
      </c>
    </row>
    <row r="175" spans="20:26" x14ac:dyDescent="0.25">
      <c r="T175">
        <v>6</v>
      </c>
      <c r="U175">
        <v>172</v>
      </c>
      <c r="V175" s="15">
        <v>14.370833333333335</v>
      </c>
      <c r="W175" s="15">
        <f t="shared" si="18"/>
        <v>3.2930492366901718</v>
      </c>
      <c r="X175" s="20">
        <f t="shared" si="19"/>
        <v>9.8312960343314195</v>
      </c>
      <c r="Y175" s="20">
        <f t="shared" si="20"/>
        <v>2.9854688854311844</v>
      </c>
      <c r="Z175" s="289">
        <f>('Systemberegning VP1'!$G$4+'Systemberegning VP1'!$F$4)/'Varmepumpeberegning VP1'!W175+'Systemberegning VP1'!$E$4</f>
        <v>43.924113311887368</v>
      </c>
    </row>
    <row r="176" spans="20:26" x14ac:dyDescent="0.25">
      <c r="T176">
        <v>6</v>
      </c>
      <c r="U176">
        <v>173</v>
      </c>
      <c r="V176" s="15">
        <v>15.0625</v>
      </c>
      <c r="W176" s="15">
        <f t="shared" si="18"/>
        <v>3.3372461519597025</v>
      </c>
      <c r="X176" s="20">
        <f t="shared" si="19"/>
        <v>9.936217278319095</v>
      </c>
      <c r="Y176" s="20">
        <f t="shared" si="20"/>
        <v>2.9773702106104265</v>
      </c>
      <c r="Z176" s="289">
        <f>('Systemberegning VP1'!$G$4+'Systemberegning VP1'!$F$4)/'Varmepumpeberegning VP1'!W176+'Systemberegning VP1'!$E$4</f>
        <v>43.365504555254446</v>
      </c>
    </row>
    <row r="177" spans="20:26" x14ac:dyDescent="0.25">
      <c r="T177">
        <v>6</v>
      </c>
      <c r="U177">
        <v>174</v>
      </c>
      <c r="V177" s="15">
        <v>16.370833333333334</v>
      </c>
      <c r="W177" s="15">
        <f t="shared" si="18"/>
        <v>3.3372461519597025</v>
      </c>
      <c r="X177" s="20">
        <f t="shared" si="19"/>
        <v>9.936217278319095</v>
      </c>
      <c r="Y177" s="20">
        <f t="shared" si="20"/>
        <v>2.9773702106104265</v>
      </c>
      <c r="Z177" s="289">
        <f>('Systemberegning VP1'!$G$4+'Systemberegning VP1'!$F$4)/'Varmepumpeberegning VP1'!W177+'Systemberegning VP1'!$E$4</f>
        <v>43.365504555254446</v>
      </c>
    </row>
    <row r="178" spans="20:26" x14ac:dyDescent="0.25">
      <c r="T178">
        <v>6</v>
      </c>
      <c r="U178">
        <v>175</v>
      </c>
      <c r="V178" s="15">
        <v>17.691666666666666</v>
      </c>
      <c r="W178" s="15">
        <f t="shared" si="18"/>
        <v>3.3372461519597025</v>
      </c>
      <c r="X178" s="20">
        <f t="shared" si="19"/>
        <v>9.936217278319095</v>
      </c>
      <c r="Y178" s="20">
        <f t="shared" si="20"/>
        <v>2.9773702106104265</v>
      </c>
      <c r="Z178" s="289">
        <f>('Systemberegning VP1'!$G$4+'Systemberegning VP1'!$F$4)/'Varmepumpeberegning VP1'!W178+'Systemberegning VP1'!$E$4</f>
        <v>43.365504555254446</v>
      </c>
    </row>
    <row r="179" spans="20:26" x14ac:dyDescent="0.25">
      <c r="T179">
        <v>6</v>
      </c>
      <c r="U179">
        <v>176</v>
      </c>
      <c r="V179" s="15">
        <v>18.316666666666666</v>
      </c>
      <c r="W179" s="15">
        <f t="shared" si="18"/>
        <v>3.3372461519597025</v>
      </c>
      <c r="X179" s="20">
        <f t="shared" si="19"/>
        <v>9.936217278319095</v>
      </c>
      <c r="Y179" s="20">
        <f t="shared" si="20"/>
        <v>2.9773702106104265</v>
      </c>
      <c r="Z179" s="289">
        <f>('Systemberegning VP1'!$G$4+'Systemberegning VP1'!$F$4)/'Varmepumpeberegning VP1'!W179+'Systemberegning VP1'!$E$4</f>
        <v>43.365504555254446</v>
      </c>
    </row>
    <row r="180" spans="20:26" x14ac:dyDescent="0.25">
      <c r="T180">
        <v>6</v>
      </c>
      <c r="U180">
        <v>177</v>
      </c>
      <c r="V180" s="15">
        <v>20.783333333333335</v>
      </c>
      <c r="W180" s="15">
        <f t="shared" si="18"/>
        <v>3.3372461519597025</v>
      </c>
      <c r="X180" s="20">
        <f t="shared" si="19"/>
        <v>9.936217278319095</v>
      </c>
      <c r="Y180" s="20">
        <f t="shared" si="20"/>
        <v>2.9773702106104265</v>
      </c>
      <c r="Z180" s="289">
        <f>('Systemberegning VP1'!$G$4+'Systemberegning VP1'!$F$4)/'Varmepumpeberegning VP1'!W180+'Systemberegning VP1'!$E$4</f>
        <v>43.365504555254446</v>
      </c>
    </row>
    <row r="181" spans="20:26" x14ac:dyDescent="0.25">
      <c r="T181">
        <v>6</v>
      </c>
      <c r="U181">
        <v>178</v>
      </c>
      <c r="V181" s="15">
        <v>23.012500000000003</v>
      </c>
      <c r="W181" s="15">
        <f t="shared" si="18"/>
        <v>3.3372461519597025</v>
      </c>
      <c r="X181" s="20">
        <f t="shared" si="19"/>
        <v>9.936217278319095</v>
      </c>
      <c r="Y181" s="20">
        <f t="shared" si="20"/>
        <v>2.9773702106104265</v>
      </c>
      <c r="Z181" s="289">
        <f>('Systemberegning VP1'!$G$4+'Systemberegning VP1'!$F$4)/'Varmepumpeberegning VP1'!W181+'Systemberegning VP1'!$E$4</f>
        <v>43.365504555254446</v>
      </c>
    </row>
    <row r="182" spans="20:26" x14ac:dyDescent="0.25">
      <c r="T182">
        <v>6</v>
      </c>
      <c r="U182">
        <v>179</v>
      </c>
      <c r="V182" s="15">
        <v>22.183333333333337</v>
      </c>
      <c r="W182" s="15">
        <f t="shared" si="18"/>
        <v>3.3372461519597025</v>
      </c>
      <c r="X182" s="20">
        <f t="shared" si="19"/>
        <v>9.936217278319095</v>
      </c>
      <c r="Y182" s="20">
        <f t="shared" si="20"/>
        <v>2.9773702106104265</v>
      </c>
      <c r="Z182" s="289">
        <f>('Systemberegning VP1'!$G$4+'Systemberegning VP1'!$F$4)/'Varmepumpeberegning VP1'!W182+'Systemberegning VP1'!$E$4</f>
        <v>43.365504555254446</v>
      </c>
    </row>
    <row r="183" spans="20:26" x14ac:dyDescent="0.25">
      <c r="T183">
        <v>6</v>
      </c>
      <c r="U183">
        <v>180</v>
      </c>
      <c r="V183" s="15">
        <v>17.824999999999999</v>
      </c>
      <c r="W183" s="15">
        <f t="shared" si="18"/>
        <v>3.3372461519597025</v>
      </c>
      <c r="X183" s="20">
        <f t="shared" si="19"/>
        <v>9.936217278319095</v>
      </c>
      <c r="Y183" s="20">
        <f t="shared" si="20"/>
        <v>2.9773702106104265</v>
      </c>
      <c r="Z183" s="289">
        <f>('Systemberegning VP1'!$G$4+'Systemberegning VP1'!$F$4)/'Varmepumpeberegning VP1'!W183+'Systemberegning VP1'!$E$4</f>
        <v>43.365504555254446</v>
      </c>
    </row>
    <row r="184" spans="20:26" x14ac:dyDescent="0.25">
      <c r="T184">
        <v>6</v>
      </c>
      <c r="U184">
        <v>181</v>
      </c>
      <c r="V184" s="15">
        <v>17.633333333333329</v>
      </c>
      <c r="W184" s="15">
        <f t="shared" si="18"/>
        <v>3.3372461519597025</v>
      </c>
      <c r="X184" s="20">
        <f t="shared" si="19"/>
        <v>9.936217278319095</v>
      </c>
      <c r="Y184" s="20">
        <f t="shared" si="20"/>
        <v>2.9773702106104265</v>
      </c>
      <c r="Z184" s="289">
        <f>('Systemberegning VP1'!$G$4+'Systemberegning VP1'!$F$4)/'Varmepumpeberegning VP1'!W184+'Systemberegning VP1'!$E$4</f>
        <v>43.365504555254446</v>
      </c>
    </row>
    <row r="185" spans="20:26" x14ac:dyDescent="0.25">
      <c r="T185">
        <v>7</v>
      </c>
      <c r="U185">
        <v>182</v>
      </c>
      <c r="V185" s="15">
        <v>17.50416666666667</v>
      </c>
      <c r="W185" s="15">
        <f t="shared" si="18"/>
        <v>3.3372461519597025</v>
      </c>
      <c r="X185" s="20">
        <f t="shared" si="19"/>
        <v>9.936217278319095</v>
      </c>
      <c r="Y185" s="20">
        <f t="shared" si="20"/>
        <v>2.9773702106104265</v>
      </c>
      <c r="Z185" s="289">
        <f>('Systemberegning VP1'!$G$4+'Systemberegning VP1'!$F$4)/'Varmepumpeberegning VP1'!W185+'Systemberegning VP1'!$E$4</f>
        <v>43.365504555254446</v>
      </c>
    </row>
    <row r="186" spans="20:26" x14ac:dyDescent="0.25">
      <c r="T186">
        <v>7</v>
      </c>
      <c r="U186">
        <v>183</v>
      </c>
      <c r="V186" s="15">
        <v>15.329166666666667</v>
      </c>
      <c r="W186" s="15">
        <f t="shared" si="18"/>
        <v>3.3372461519597025</v>
      </c>
      <c r="X186" s="20">
        <f t="shared" si="19"/>
        <v>9.936217278319095</v>
      </c>
      <c r="Y186" s="20">
        <f t="shared" si="20"/>
        <v>2.9773702106104265</v>
      </c>
      <c r="Z186" s="289">
        <f>('Systemberegning VP1'!$G$4+'Systemberegning VP1'!$F$4)/'Varmepumpeberegning VP1'!W186+'Systemberegning VP1'!$E$4</f>
        <v>43.365504555254446</v>
      </c>
    </row>
    <row r="187" spans="20:26" x14ac:dyDescent="0.25">
      <c r="T187">
        <v>7</v>
      </c>
      <c r="U187">
        <v>184</v>
      </c>
      <c r="V187" s="15">
        <v>14.725000000000001</v>
      </c>
      <c r="W187" s="15">
        <f t="shared" si="18"/>
        <v>3.3372461519597025</v>
      </c>
      <c r="X187" s="20">
        <f t="shared" si="19"/>
        <v>9.936217278319095</v>
      </c>
      <c r="Y187" s="20">
        <f t="shared" si="20"/>
        <v>2.9773702106104265</v>
      </c>
      <c r="Z187" s="289">
        <f>('Systemberegning VP1'!$G$4+'Systemberegning VP1'!$F$4)/'Varmepumpeberegning VP1'!W187+'Systemberegning VP1'!$E$4</f>
        <v>43.365504555254446</v>
      </c>
    </row>
    <row r="188" spans="20:26" x14ac:dyDescent="0.25">
      <c r="T188">
        <v>7</v>
      </c>
      <c r="U188">
        <v>185</v>
      </c>
      <c r="V188" s="15">
        <v>13.462499999999999</v>
      </c>
      <c r="W188" s="15">
        <f t="shared" si="18"/>
        <v>3.2490914584620767</v>
      </c>
      <c r="X188" s="20">
        <f t="shared" si="19"/>
        <v>9.7263747903437441</v>
      </c>
      <c r="Y188" s="20">
        <f t="shared" si="20"/>
        <v>2.9935675602519423</v>
      </c>
      <c r="Z188" s="289">
        <f>('Systemberegning VP1'!$G$4+'Systemberegning VP1'!$F$4)/'Varmepumpeberegning VP1'!W188+'Systemberegning VP1'!$E$4</f>
        <v>44.494773819951156</v>
      </c>
    </row>
    <row r="189" spans="20:26" x14ac:dyDescent="0.25">
      <c r="T189">
        <v>7</v>
      </c>
      <c r="U189">
        <v>186</v>
      </c>
      <c r="V189" s="15">
        <v>15.379166666666668</v>
      </c>
      <c r="W189" s="15">
        <f t="shared" si="18"/>
        <v>3.3372461519597025</v>
      </c>
      <c r="X189" s="20">
        <f t="shared" si="19"/>
        <v>9.936217278319095</v>
      </c>
      <c r="Y189" s="20">
        <f t="shared" si="20"/>
        <v>2.9773702106104265</v>
      </c>
      <c r="Z189" s="289">
        <f>('Systemberegning VP1'!$G$4+'Systemberegning VP1'!$F$4)/'Varmepumpeberegning VP1'!W189+'Systemberegning VP1'!$E$4</f>
        <v>43.365504555254446</v>
      </c>
    </row>
    <row r="190" spans="20:26" x14ac:dyDescent="0.25">
      <c r="T190">
        <v>7</v>
      </c>
      <c r="U190">
        <v>187</v>
      </c>
      <c r="V190" s="15">
        <v>15.474999999999996</v>
      </c>
      <c r="W190" s="15">
        <f t="shared" si="18"/>
        <v>3.3372461519597025</v>
      </c>
      <c r="X190" s="20">
        <f t="shared" si="19"/>
        <v>9.936217278319095</v>
      </c>
      <c r="Y190" s="20">
        <f t="shared" si="20"/>
        <v>2.9773702106104265</v>
      </c>
      <c r="Z190" s="289">
        <f>('Systemberegning VP1'!$G$4+'Systemberegning VP1'!$F$4)/'Varmepumpeberegning VP1'!W190+'Systemberegning VP1'!$E$4</f>
        <v>43.365504555254446</v>
      </c>
    </row>
    <row r="191" spans="20:26" x14ac:dyDescent="0.25">
      <c r="T191">
        <v>7</v>
      </c>
      <c r="U191">
        <v>188</v>
      </c>
      <c r="V191" s="15">
        <v>16.520833333333336</v>
      </c>
      <c r="W191" s="15">
        <f t="shared" si="18"/>
        <v>3.3372461519597025</v>
      </c>
      <c r="X191" s="20">
        <f t="shared" si="19"/>
        <v>9.936217278319095</v>
      </c>
      <c r="Y191" s="20">
        <f t="shared" si="20"/>
        <v>2.9773702106104265</v>
      </c>
      <c r="Z191" s="289">
        <f>('Systemberegning VP1'!$G$4+'Systemberegning VP1'!$F$4)/'Varmepumpeberegning VP1'!W191+'Systemberegning VP1'!$E$4</f>
        <v>43.365504555254446</v>
      </c>
    </row>
    <row r="192" spans="20:26" x14ac:dyDescent="0.25">
      <c r="T192">
        <v>7</v>
      </c>
      <c r="U192">
        <v>189</v>
      </c>
      <c r="V192" s="15">
        <v>14.216666666666663</v>
      </c>
      <c r="W192" s="15">
        <f t="shared" si="18"/>
        <v>3.2930492366901718</v>
      </c>
      <c r="X192" s="20">
        <f t="shared" si="19"/>
        <v>9.8312960343314195</v>
      </c>
      <c r="Y192" s="20">
        <f t="shared" si="20"/>
        <v>2.9854688854311844</v>
      </c>
      <c r="Z192" s="289">
        <f>('Systemberegning VP1'!$G$4+'Systemberegning VP1'!$F$4)/'Varmepumpeberegning VP1'!W192+'Systemberegning VP1'!$E$4</f>
        <v>43.924113311887368</v>
      </c>
    </row>
    <row r="193" spans="20:26" x14ac:dyDescent="0.25">
      <c r="T193">
        <v>7</v>
      </c>
      <c r="U193">
        <v>190</v>
      </c>
      <c r="V193" s="15">
        <v>16.229166666666668</v>
      </c>
      <c r="W193" s="15">
        <f t="shared" si="18"/>
        <v>3.3372461519597025</v>
      </c>
      <c r="X193" s="20">
        <f t="shared" si="19"/>
        <v>9.936217278319095</v>
      </c>
      <c r="Y193" s="20">
        <f t="shared" si="20"/>
        <v>2.9773702106104265</v>
      </c>
      <c r="Z193" s="289">
        <f>('Systemberegning VP1'!$G$4+'Systemberegning VP1'!$F$4)/'Varmepumpeberegning VP1'!W193+'Systemberegning VP1'!$E$4</f>
        <v>43.365504555254446</v>
      </c>
    </row>
    <row r="194" spans="20:26" x14ac:dyDescent="0.25">
      <c r="T194">
        <v>7</v>
      </c>
      <c r="U194">
        <v>191</v>
      </c>
      <c r="V194" s="15">
        <v>20.391666666666669</v>
      </c>
      <c r="W194" s="15">
        <f t="shared" si="18"/>
        <v>3.3372461519597025</v>
      </c>
      <c r="X194" s="20">
        <f t="shared" si="19"/>
        <v>9.936217278319095</v>
      </c>
      <c r="Y194" s="20">
        <f t="shared" si="20"/>
        <v>2.9773702106104265</v>
      </c>
      <c r="Z194" s="289">
        <f>('Systemberegning VP1'!$G$4+'Systemberegning VP1'!$F$4)/'Varmepumpeberegning VP1'!W194+'Systemberegning VP1'!$E$4</f>
        <v>43.365504555254446</v>
      </c>
    </row>
    <row r="195" spans="20:26" x14ac:dyDescent="0.25">
      <c r="T195">
        <v>7</v>
      </c>
      <c r="U195">
        <v>192</v>
      </c>
      <c r="V195" s="15">
        <v>18.812500000000004</v>
      </c>
      <c r="W195" s="15">
        <f t="shared" si="18"/>
        <v>3.3372461519597025</v>
      </c>
      <c r="X195" s="20">
        <f t="shared" si="19"/>
        <v>9.936217278319095</v>
      </c>
      <c r="Y195" s="20">
        <f t="shared" si="20"/>
        <v>2.9773702106104265</v>
      </c>
      <c r="Z195" s="289">
        <f>('Systemberegning VP1'!$G$4+'Systemberegning VP1'!$F$4)/'Varmepumpeberegning VP1'!W195+'Systemberegning VP1'!$E$4</f>
        <v>43.365504555254446</v>
      </c>
    </row>
    <row r="196" spans="20:26" x14ac:dyDescent="0.25">
      <c r="T196">
        <v>7</v>
      </c>
      <c r="U196">
        <v>193</v>
      </c>
      <c r="V196" s="15">
        <v>16.870833333333334</v>
      </c>
      <c r="W196" s="15">
        <f t="shared" si="18"/>
        <v>3.3372461519597025</v>
      </c>
      <c r="X196" s="20">
        <f t="shared" si="19"/>
        <v>9.936217278319095</v>
      </c>
      <c r="Y196" s="20">
        <f t="shared" si="20"/>
        <v>2.9773702106104265</v>
      </c>
      <c r="Z196" s="289">
        <f>('Systemberegning VP1'!$G$4+'Systemberegning VP1'!$F$4)/'Varmepumpeberegning VP1'!W196+'Systemberegning VP1'!$E$4</f>
        <v>43.365504555254446</v>
      </c>
    </row>
    <row r="197" spans="20:26" x14ac:dyDescent="0.25">
      <c r="T197">
        <v>7</v>
      </c>
      <c r="U197">
        <v>194</v>
      </c>
      <c r="V197" s="15">
        <v>14.387499999999998</v>
      </c>
      <c r="W197" s="15">
        <f t="shared" ref="W197:W260" si="21">VLOOKUP(ROUND(V197,0),$A$21:$D$56,2,FALSE)</f>
        <v>3.2930492366901718</v>
      </c>
      <c r="X197" s="20">
        <f t="shared" ref="X197:X260" si="22">VLOOKUP(ROUND(V197,0),$A$21:$D$56,3,FALSE)</f>
        <v>9.8312960343314195</v>
      </c>
      <c r="Y197" s="20">
        <f t="shared" ref="Y197:Y260" si="23">VLOOKUP(ROUND(V197,0),$A$21:$D$56,4,FALSE)</f>
        <v>2.9854688854311844</v>
      </c>
      <c r="Z197" s="289">
        <f>('Systemberegning VP1'!$G$4+'Systemberegning VP1'!$F$4)/'Varmepumpeberegning VP1'!W197+'Systemberegning VP1'!$E$4</f>
        <v>43.924113311887368</v>
      </c>
    </row>
    <row r="198" spans="20:26" x14ac:dyDescent="0.25">
      <c r="T198">
        <v>7</v>
      </c>
      <c r="U198">
        <v>195</v>
      </c>
      <c r="V198" s="15">
        <v>15.12083333333333</v>
      </c>
      <c r="W198" s="15">
        <f t="shared" si="21"/>
        <v>3.3372461519597025</v>
      </c>
      <c r="X198" s="20">
        <f t="shared" si="22"/>
        <v>9.936217278319095</v>
      </c>
      <c r="Y198" s="20">
        <f t="shared" si="23"/>
        <v>2.9773702106104265</v>
      </c>
      <c r="Z198" s="289">
        <f>('Systemberegning VP1'!$G$4+'Systemberegning VP1'!$F$4)/'Varmepumpeberegning VP1'!W198+'Systemberegning VP1'!$E$4</f>
        <v>43.365504555254446</v>
      </c>
    </row>
    <row r="199" spans="20:26" x14ac:dyDescent="0.25">
      <c r="T199">
        <v>7</v>
      </c>
      <c r="U199">
        <v>196</v>
      </c>
      <c r="V199" s="15">
        <v>16.166666666666671</v>
      </c>
      <c r="W199" s="15">
        <f t="shared" si="21"/>
        <v>3.3372461519597025</v>
      </c>
      <c r="X199" s="20">
        <f t="shared" si="22"/>
        <v>9.936217278319095</v>
      </c>
      <c r="Y199" s="20">
        <f t="shared" si="23"/>
        <v>2.9773702106104265</v>
      </c>
      <c r="Z199" s="289">
        <f>('Systemberegning VP1'!$G$4+'Systemberegning VP1'!$F$4)/'Varmepumpeberegning VP1'!W199+'Systemberegning VP1'!$E$4</f>
        <v>43.365504555254446</v>
      </c>
    </row>
    <row r="200" spans="20:26" x14ac:dyDescent="0.25">
      <c r="T200">
        <v>7</v>
      </c>
      <c r="U200">
        <v>197</v>
      </c>
      <c r="V200" s="15">
        <v>18.158333333333335</v>
      </c>
      <c r="W200" s="15">
        <f t="shared" si="21"/>
        <v>3.3372461519597025</v>
      </c>
      <c r="X200" s="20">
        <f t="shared" si="22"/>
        <v>9.936217278319095</v>
      </c>
      <c r="Y200" s="20">
        <f t="shared" si="23"/>
        <v>2.9773702106104265</v>
      </c>
      <c r="Z200" s="289">
        <f>('Systemberegning VP1'!$G$4+'Systemberegning VP1'!$F$4)/'Varmepumpeberegning VP1'!W200+'Systemberegning VP1'!$E$4</f>
        <v>43.365504555254446</v>
      </c>
    </row>
    <row r="201" spans="20:26" x14ac:dyDescent="0.25">
      <c r="T201">
        <v>7</v>
      </c>
      <c r="U201">
        <v>198</v>
      </c>
      <c r="V201" s="15">
        <v>18.079166666666669</v>
      </c>
      <c r="W201" s="15">
        <f t="shared" si="21"/>
        <v>3.3372461519597025</v>
      </c>
      <c r="X201" s="20">
        <f t="shared" si="22"/>
        <v>9.936217278319095</v>
      </c>
      <c r="Y201" s="20">
        <f t="shared" si="23"/>
        <v>2.9773702106104265</v>
      </c>
      <c r="Z201" s="289">
        <f>('Systemberegning VP1'!$G$4+'Systemberegning VP1'!$F$4)/'Varmepumpeberegning VP1'!W201+'Systemberegning VP1'!$E$4</f>
        <v>43.365504555254446</v>
      </c>
    </row>
    <row r="202" spans="20:26" x14ac:dyDescent="0.25">
      <c r="T202">
        <v>7</v>
      </c>
      <c r="U202">
        <v>199</v>
      </c>
      <c r="V202" s="15">
        <v>17.420833333333334</v>
      </c>
      <c r="W202" s="15">
        <f t="shared" si="21"/>
        <v>3.3372461519597025</v>
      </c>
      <c r="X202" s="20">
        <f t="shared" si="22"/>
        <v>9.936217278319095</v>
      </c>
      <c r="Y202" s="20">
        <f t="shared" si="23"/>
        <v>2.9773702106104265</v>
      </c>
      <c r="Z202" s="289">
        <f>('Systemberegning VP1'!$G$4+'Systemberegning VP1'!$F$4)/'Varmepumpeberegning VP1'!W202+'Systemberegning VP1'!$E$4</f>
        <v>43.365504555254446</v>
      </c>
    </row>
    <row r="203" spans="20:26" x14ac:dyDescent="0.25">
      <c r="T203">
        <v>7</v>
      </c>
      <c r="U203">
        <v>200</v>
      </c>
      <c r="V203" s="15">
        <v>18.487499999999997</v>
      </c>
      <c r="W203" s="15">
        <f t="shared" si="21"/>
        <v>3.3372461519597025</v>
      </c>
      <c r="X203" s="20">
        <f t="shared" si="22"/>
        <v>9.936217278319095</v>
      </c>
      <c r="Y203" s="20">
        <f t="shared" si="23"/>
        <v>2.9773702106104265</v>
      </c>
      <c r="Z203" s="289">
        <f>('Systemberegning VP1'!$G$4+'Systemberegning VP1'!$F$4)/'Varmepumpeberegning VP1'!W203+'Systemberegning VP1'!$E$4</f>
        <v>43.365504555254446</v>
      </c>
    </row>
    <row r="204" spans="20:26" x14ac:dyDescent="0.25">
      <c r="T204">
        <v>7</v>
      </c>
      <c r="U204">
        <v>201</v>
      </c>
      <c r="V204" s="15">
        <v>21.683333333333334</v>
      </c>
      <c r="W204" s="15">
        <f t="shared" si="21"/>
        <v>3.3372461519597025</v>
      </c>
      <c r="X204" s="20">
        <f t="shared" si="22"/>
        <v>9.936217278319095</v>
      </c>
      <c r="Y204" s="20">
        <f t="shared" si="23"/>
        <v>2.9773702106104265</v>
      </c>
      <c r="Z204" s="289">
        <f>('Systemberegning VP1'!$G$4+'Systemberegning VP1'!$F$4)/'Varmepumpeberegning VP1'!W204+'Systemberegning VP1'!$E$4</f>
        <v>43.365504555254446</v>
      </c>
    </row>
    <row r="205" spans="20:26" x14ac:dyDescent="0.25">
      <c r="T205">
        <v>7</v>
      </c>
      <c r="U205">
        <v>202</v>
      </c>
      <c r="V205" s="15">
        <v>22.95</v>
      </c>
      <c r="W205" s="15">
        <f t="shared" si="21"/>
        <v>3.3372461519597025</v>
      </c>
      <c r="X205" s="20">
        <f t="shared" si="22"/>
        <v>9.936217278319095</v>
      </c>
      <c r="Y205" s="20">
        <f t="shared" si="23"/>
        <v>2.9773702106104265</v>
      </c>
      <c r="Z205" s="289">
        <f>('Systemberegning VP1'!$G$4+'Systemberegning VP1'!$F$4)/'Varmepumpeberegning VP1'!W205+'Systemberegning VP1'!$E$4</f>
        <v>43.365504555254446</v>
      </c>
    </row>
    <row r="206" spans="20:26" x14ac:dyDescent="0.25">
      <c r="T206">
        <v>7</v>
      </c>
      <c r="U206">
        <v>203</v>
      </c>
      <c r="V206" s="15">
        <v>20.487500000000001</v>
      </c>
      <c r="W206" s="15">
        <f t="shared" si="21"/>
        <v>3.3372461519597025</v>
      </c>
      <c r="X206" s="20">
        <f t="shared" si="22"/>
        <v>9.936217278319095</v>
      </c>
      <c r="Y206" s="20">
        <f t="shared" si="23"/>
        <v>2.9773702106104265</v>
      </c>
      <c r="Z206" s="289">
        <f>('Systemberegning VP1'!$G$4+'Systemberegning VP1'!$F$4)/'Varmepumpeberegning VP1'!W206+'Systemberegning VP1'!$E$4</f>
        <v>43.365504555254446</v>
      </c>
    </row>
    <row r="207" spans="20:26" x14ac:dyDescent="0.25">
      <c r="T207">
        <v>7</v>
      </c>
      <c r="U207">
        <v>204</v>
      </c>
      <c r="V207" s="15">
        <v>18.683333333333337</v>
      </c>
      <c r="W207" s="15">
        <f t="shared" si="21"/>
        <v>3.3372461519597025</v>
      </c>
      <c r="X207" s="20">
        <f t="shared" si="22"/>
        <v>9.936217278319095</v>
      </c>
      <c r="Y207" s="20">
        <f t="shared" si="23"/>
        <v>2.9773702106104265</v>
      </c>
      <c r="Z207" s="289">
        <f>('Systemberegning VP1'!$G$4+'Systemberegning VP1'!$F$4)/'Varmepumpeberegning VP1'!W207+'Systemberegning VP1'!$E$4</f>
        <v>43.365504555254446</v>
      </c>
    </row>
    <row r="208" spans="20:26" x14ac:dyDescent="0.25">
      <c r="T208">
        <v>7</v>
      </c>
      <c r="U208">
        <v>205</v>
      </c>
      <c r="V208" s="15">
        <v>19.087500000000002</v>
      </c>
      <c r="W208" s="15">
        <f t="shared" si="21"/>
        <v>3.3372461519597025</v>
      </c>
      <c r="X208" s="20">
        <f t="shared" si="22"/>
        <v>9.936217278319095</v>
      </c>
      <c r="Y208" s="20">
        <f t="shared" si="23"/>
        <v>2.9773702106104265</v>
      </c>
      <c r="Z208" s="289">
        <f>('Systemberegning VP1'!$G$4+'Systemberegning VP1'!$F$4)/'Varmepumpeberegning VP1'!W208+'Systemberegning VP1'!$E$4</f>
        <v>43.365504555254446</v>
      </c>
    </row>
    <row r="209" spans="20:26" x14ac:dyDescent="0.25">
      <c r="T209">
        <v>7</v>
      </c>
      <c r="U209">
        <v>206</v>
      </c>
      <c r="V209" s="15">
        <v>17.137500000000003</v>
      </c>
      <c r="W209" s="15">
        <f t="shared" si="21"/>
        <v>3.3372461519597025</v>
      </c>
      <c r="X209" s="20">
        <f t="shared" si="22"/>
        <v>9.936217278319095</v>
      </c>
      <c r="Y209" s="20">
        <f t="shared" si="23"/>
        <v>2.9773702106104265</v>
      </c>
      <c r="Z209" s="289">
        <f>('Systemberegning VP1'!$G$4+'Systemberegning VP1'!$F$4)/'Varmepumpeberegning VP1'!W209+'Systemberegning VP1'!$E$4</f>
        <v>43.365504555254446</v>
      </c>
    </row>
    <row r="210" spans="20:26" x14ac:dyDescent="0.25">
      <c r="T210">
        <v>7</v>
      </c>
      <c r="U210">
        <v>207</v>
      </c>
      <c r="V210" s="15">
        <v>17.483333333333331</v>
      </c>
      <c r="W210" s="15">
        <f t="shared" si="21"/>
        <v>3.3372461519597025</v>
      </c>
      <c r="X210" s="20">
        <f t="shared" si="22"/>
        <v>9.936217278319095</v>
      </c>
      <c r="Y210" s="20">
        <f t="shared" si="23"/>
        <v>2.9773702106104265</v>
      </c>
      <c r="Z210" s="289">
        <f>('Systemberegning VP1'!$G$4+'Systemberegning VP1'!$F$4)/'Varmepumpeberegning VP1'!W210+'Systemberegning VP1'!$E$4</f>
        <v>43.365504555254446</v>
      </c>
    </row>
    <row r="211" spans="20:26" x14ac:dyDescent="0.25">
      <c r="T211">
        <v>7</v>
      </c>
      <c r="U211">
        <v>208</v>
      </c>
      <c r="V211" s="15">
        <v>18.666666666666668</v>
      </c>
      <c r="W211" s="15">
        <f t="shared" si="21"/>
        <v>3.3372461519597025</v>
      </c>
      <c r="X211" s="20">
        <f t="shared" si="22"/>
        <v>9.936217278319095</v>
      </c>
      <c r="Y211" s="20">
        <f t="shared" si="23"/>
        <v>2.9773702106104265</v>
      </c>
      <c r="Z211" s="289">
        <f>('Systemberegning VP1'!$G$4+'Systemberegning VP1'!$F$4)/'Varmepumpeberegning VP1'!W211+'Systemberegning VP1'!$E$4</f>
        <v>43.365504555254446</v>
      </c>
    </row>
    <row r="212" spans="20:26" x14ac:dyDescent="0.25">
      <c r="T212">
        <v>7</v>
      </c>
      <c r="U212">
        <v>209</v>
      </c>
      <c r="V212" s="15">
        <v>17.637499999999999</v>
      </c>
      <c r="W212" s="15">
        <f t="shared" si="21"/>
        <v>3.3372461519597025</v>
      </c>
      <c r="X212" s="20">
        <f t="shared" si="22"/>
        <v>9.936217278319095</v>
      </c>
      <c r="Y212" s="20">
        <f t="shared" si="23"/>
        <v>2.9773702106104265</v>
      </c>
      <c r="Z212" s="289">
        <f>('Systemberegning VP1'!$G$4+'Systemberegning VP1'!$F$4)/'Varmepumpeberegning VP1'!W212+'Systemberegning VP1'!$E$4</f>
        <v>43.365504555254446</v>
      </c>
    </row>
    <row r="213" spans="20:26" x14ac:dyDescent="0.25">
      <c r="T213">
        <v>7</v>
      </c>
      <c r="U213">
        <v>210</v>
      </c>
      <c r="V213" s="15">
        <v>17.766666666666666</v>
      </c>
      <c r="W213" s="15">
        <f t="shared" si="21"/>
        <v>3.3372461519597025</v>
      </c>
      <c r="X213" s="20">
        <f t="shared" si="22"/>
        <v>9.936217278319095</v>
      </c>
      <c r="Y213" s="20">
        <f t="shared" si="23"/>
        <v>2.9773702106104265</v>
      </c>
      <c r="Z213" s="289">
        <f>('Systemberegning VP1'!$G$4+'Systemberegning VP1'!$F$4)/'Varmepumpeberegning VP1'!W213+'Systemberegning VP1'!$E$4</f>
        <v>43.365504555254446</v>
      </c>
    </row>
    <row r="214" spans="20:26" x14ac:dyDescent="0.25">
      <c r="T214">
        <v>7</v>
      </c>
      <c r="U214">
        <v>211</v>
      </c>
      <c r="V214" s="15">
        <v>17.704166666666666</v>
      </c>
      <c r="W214" s="15">
        <f t="shared" si="21"/>
        <v>3.3372461519597025</v>
      </c>
      <c r="X214" s="20">
        <f t="shared" si="22"/>
        <v>9.936217278319095</v>
      </c>
      <c r="Y214" s="20">
        <f t="shared" si="23"/>
        <v>2.9773702106104265</v>
      </c>
      <c r="Z214" s="289">
        <f>('Systemberegning VP1'!$G$4+'Systemberegning VP1'!$F$4)/'Varmepumpeberegning VP1'!W214+'Systemberegning VP1'!$E$4</f>
        <v>43.365504555254446</v>
      </c>
    </row>
    <row r="215" spans="20:26" x14ac:dyDescent="0.25">
      <c r="T215">
        <v>7</v>
      </c>
      <c r="U215">
        <v>212</v>
      </c>
      <c r="V215" s="15">
        <v>20.716666666666665</v>
      </c>
      <c r="W215" s="15">
        <f t="shared" si="21"/>
        <v>3.3372461519597025</v>
      </c>
      <c r="X215" s="20">
        <f t="shared" si="22"/>
        <v>9.936217278319095</v>
      </c>
      <c r="Y215" s="20">
        <f t="shared" si="23"/>
        <v>2.9773702106104265</v>
      </c>
      <c r="Z215" s="289">
        <f>('Systemberegning VP1'!$G$4+'Systemberegning VP1'!$F$4)/'Varmepumpeberegning VP1'!W215+'Systemberegning VP1'!$E$4</f>
        <v>43.365504555254446</v>
      </c>
    </row>
    <row r="216" spans="20:26" x14ac:dyDescent="0.25">
      <c r="T216">
        <v>8</v>
      </c>
      <c r="U216">
        <v>213</v>
      </c>
      <c r="V216" s="15">
        <v>19.479166666666668</v>
      </c>
      <c r="W216" s="15">
        <f t="shared" si="21"/>
        <v>3.3372461519597025</v>
      </c>
      <c r="X216" s="20">
        <f t="shared" si="22"/>
        <v>9.936217278319095</v>
      </c>
      <c r="Y216" s="20">
        <f t="shared" si="23"/>
        <v>2.9773702106104265</v>
      </c>
      <c r="Z216" s="289">
        <f>('Systemberegning VP1'!$G$4+'Systemberegning VP1'!$F$4)/'Varmepumpeberegning VP1'!W216+'Systemberegning VP1'!$E$4</f>
        <v>43.365504555254446</v>
      </c>
    </row>
    <row r="217" spans="20:26" x14ac:dyDescent="0.25">
      <c r="T217">
        <v>8</v>
      </c>
      <c r="U217">
        <v>214</v>
      </c>
      <c r="V217" s="15">
        <v>17.525000000000002</v>
      </c>
      <c r="W217" s="15">
        <f t="shared" si="21"/>
        <v>3.3372461519597025</v>
      </c>
      <c r="X217" s="20">
        <f t="shared" si="22"/>
        <v>9.936217278319095</v>
      </c>
      <c r="Y217" s="20">
        <f t="shared" si="23"/>
        <v>2.9773702106104265</v>
      </c>
      <c r="Z217" s="289">
        <f>('Systemberegning VP1'!$G$4+'Systemberegning VP1'!$F$4)/'Varmepumpeberegning VP1'!W217+'Systemberegning VP1'!$E$4</f>
        <v>43.365504555254446</v>
      </c>
    </row>
    <row r="218" spans="20:26" x14ac:dyDescent="0.25">
      <c r="T218">
        <v>8</v>
      </c>
      <c r="U218">
        <v>215</v>
      </c>
      <c r="V218" s="15">
        <v>18.495833333333334</v>
      </c>
      <c r="W218" s="15">
        <f t="shared" si="21"/>
        <v>3.3372461519597025</v>
      </c>
      <c r="X218" s="20">
        <f t="shared" si="22"/>
        <v>9.936217278319095</v>
      </c>
      <c r="Y218" s="20">
        <f t="shared" si="23"/>
        <v>2.9773702106104265</v>
      </c>
      <c r="Z218" s="289">
        <f>('Systemberegning VP1'!$G$4+'Systemberegning VP1'!$F$4)/'Varmepumpeberegning VP1'!W218+'Systemberegning VP1'!$E$4</f>
        <v>43.365504555254446</v>
      </c>
    </row>
    <row r="219" spans="20:26" x14ac:dyDescent="0.25">
      <c r="T219">
        <v>8</v>
      </c>
      <c r="U219">
        <v>216</v>
      </c>
      <c r="V219" s="15">
        <v>19.254166666666666</v>
      </c>
      <c r="W219" s="15">
        <f t="shared" si="21"/>
        <v>3.3372461519597025</v>
      </c>
      <c r="X219" s="20">
        <f t="shared" si="22"/>
        <v>9.936217278319095</v>
      </c>
      <c r="Y219" s="20">
        <f t="shared" si="23"/>
        <v>2.9773702106104265</v>
      </c>
      <c r="Z219" s="289">
        <f>('Systemberegning VP1'!$G$4+'Systemberegning VP1'!$F$4)/'Varmepumpeberegning VP1'!W219+'Systemberegning VP1'!$E$4</f>
        <v>43.365504555254446</v>
      </c>
    </row>
    <row r="220" spans="20:26" x14ac:dyDescent="0.25">
      <c r="T220">
        <v>8</v>
      </c>
      <c r="U220">
        <v>217</v>
      </c>
      <c r="V220" s="15">
        <v>17.645833333333332</v>
      </c>
      <c r="W220" s="15">
        <f t="shared" si="21"/>
        <v>3.3372461519597025</v>
      </c>
      <c r="X220" s="20">
        <f t="shared" si="22"/>
        <v>9.936217278319095</v>
      </c>
      <c r="Y220" s="20">
        <f t="shared" si="23"/>
        <v>2.9773702106104265</v>
      </c>
      <c r="Z220" s="289">
        <f>('Systemberegning VP1'!$G$4+'Systemberegning VP1'!$F$4)/'Varmepumpeberegning VP1'!W220+'Systemberegning VP1'!$E$4</f>
        <v>43.365504555254446</v>
      </c>
    </row>
    <row r="221" spans="20:26" x14ac:dyDescent="0.25">
      <c r="T221">
        <v>8</v>
      </c>
      <c r="U221">
        <v>218</v>
      </c>
      <c r="V221" s="15">
        <v>18.845833333333335</v>
      </c>
      <c r="W221" s="15">
        <f t="shared" si="21"/>
        <v>3.3372461519597025</v>
      </c>
      <c r="X221" s="20">
        <f t="shared" si="22"/>
        <v>9.936217278319095</v>
      </c>
      <c r="Y221" s="20">
        <f t="shared" si="23"/>
        <v>2.9773702106104265</v>
      </c>
      <c r="Z221" s="289">
        <f>('Systemberegning VP1'!$G$4+'Systemberegning VP1'!$F$4)/'Varmepumpeberegning VP1'!W221+'Systemberegning VP1'!$E$4</f>
        <v>43.365504555254446</v>
      </c>
    </row>
    <row r="222" spans="20:26" x14ac:dyDescent="0.25">
      <c r="T222">
        <v>8</v>
      </c>
      <c r="U222">
        <v>219</v>
      </c>
      <c r="V222" s="15">
        <v>20.691666666666666</v>
      </c>
      <c r="W222" s="15">
        <f t="shared" si="21"/>
        <v>3.3372461519597025</v>
      </c>
      <c r="X222" s="20">
        <f t="shared" si="22"/>
        <v>9.936217278319095</v>
      </c>
      <c r="Y222" s="20">
        <f t="shared" si="23"/>
        <v>2.9773702106104265</v>
      </c>
      <c r="Z222" s="289">
        <f>('Systemberegning VP1'!$G$4+'Systemberegning VP1'!$F$4)/'Varmepumpeberegning VP1'!W222+'Systemberegning VP1'!$E$4</f>
        <v>43.365504555254446</v>
      </c>
    </row>
    <row r="223" spans="20:26" x14ac:dyDescent="0.25">
      <c r="T223">
        <v>8</v>
      </c>
      <c r="U223">
        <v>220</v>
      </c>
      <c r="V223" s="15">
        <v>19.079166666666669</v>
      </c>
      <c r="W223" s="15">
        <f t="shared" si="21"/>
        <v>3.3372461519597025</v>
      </c>
      <c r="X223" s="20">
        <f t="shared" si="22"/>
        <v>9.936217278319095</v>
      </c>
      <c r="Y223" s="20">
        <f t="shared" si="23"/>
        <v>2.9773702106104265</v>
      </c>
      <c r="Z223" s="289">
        <f>('Systemberegning VP1'!$G$4+'Systemberegning VP1'!$F$4)/'Varmepumpeberegning VP1'!W223+'Systemberegning VP1'!$E$4</f>
        <v>43.365504555254446</v>
      </c>
    </row>
    <row r="224" spans="20:26" x14ac:dyDescent="0.25">
      <c r="T224">
        <v>8</v>
      </c>
      <c r="U224">
        <v>221</v>
      </c>
      <c r="V224" s="15">
        <v>19.133333333333326</v>
      </c>
      <c r="W224" s="15">
        <f t="shared" si="21"/>
        <v>3.3372461519597025</v>
      </c>
      <c r="X224" s="20">
        <f t="shared" si="22"/>
        <v>9.936217278319095</v>
      </c>
      <c r="Y224" s="20">
        <f t="shared" si="23"/>
        <v>2.9773702106104265</v>
      </c>
      <c r="Z224" s="289">
        <f>('Systemberegning VP1'!$G$4+'Systemberegning VP1'!$F$4)/'Varmepumpeberegning VP1'!W224+'Systemberegning VP1'!$E$4</f>
        <v>43.365504555254446</v>
      </c>
    </row>
    <row r="225" spans="20:26" x14ac:dyDescent="0.25">
      <c r="T225">
        <v>8</v>
      </c>
      <c r="U225">
        <v>222</v>
      </c>
      <c r="V225" s="15">
        <v>19.599999999999998</v>
      </c>
      <c r="W225" s="15">
        <f t="shared" si="21"/>
        <v>3.3372461519597025</v>
      </c>
      <c r="X225" s="20">
        <f t="shared" si="22"/>
        <v>9.936217278319095</v>
      </c>
      <c r="Y225" s="20">
        <f t="shared" si="23"/>
        <v>2.9773702106104265</v>
      </c>
      <c r="Z225" s="289">
        <f>('Systemberegning VP1'!$G$4+'Systemberegning VP1'!$F$4)/'Varmepumpeberegning VP1'!W225+'Systemberegning VP1'!$E$4</f>
        <v>43.365504555254446</v>
      </c>
    </row>
    <row r="226" spans="20:26" x14ac:dyDescent="0.25">
      <c r="T226">
        <v>8</v>
      </c>
      <c r="U226">
        <v>223</v>
      </c>
      <c r="V226" s="15">
        <v>18.849999999999998</v>
      </c>
      <c r="W226" s="15">
        <f t="shared" si="21"/>
        <v>3.3372461519597025</v>
      </c>
      <c r="X226" s="20">
        <f t="shared" si="22"/>
        <v>9.936217278319095</v>
      </c>
      <c r="Y226" s="20">
        <f t="shared" si="23"/>
        <v>2.9773702106104265</v>
      </c>
      <c r="Z226" s="289">
        <f>('Systemberegning VP1'!$G$4+'Systemberegning VP1'!$F$4)/'Varmepumpeberegning VP1'!W226+'Systemberegning VP1'!$E$4</f>
        <v>43.365504555254446</v>
      </c>
    </row>
    <row r="227" spans="20:26" x14ac:dyDescent="0.25">
      <c r="T227">
        <v>8</v>
      </c>
      <c r="U227">
        <v>224</v>
      </c>
      <c r="V227" s="15">
        <v>19.762500000000003</v>
      </c>
      <c r="W227" s="15">
        <f t="shared" si="21"/>
        <v>3.3372461519597025</v>
      </c>
      <c r="X227" s="20">
        <f t="shared" si="22"/>
        <v>9.936217278319095</v>
      </c>
      <c r="Y227" s="20">
        <f t="shared" si="23"/>
        <v>2.9773702106104265</v>
      </c>
      <c r="Z227" s="289">
        <f>('Systemberegning VP1'!$G$4+'Systemberegning VP1'!$F$4)/'Varmepumpeberegning VP1'!W227+'Systemberegning VP1'!$E$4</f>
        <v>43.365504555254446</v>
      </c>
    </row>
    <row r="228" spans="20:26" x14ac:dyDescent="0.25">
      <c r="T228">
        <v>8</v>
      </c>
      <c r="U228">
        <v>225</v>
      </c>
      <c r="V228" s="15">
        <v>20.812499999999996</v>
      </c>
      <c r="W228" s="15">
        <f t="shared" si="21"/>
        <v>3.3372461519597025</v>
      </c>
      <c r="X228" s="20">
        <f t="shared" si="22"/>
        <v>9.936217278319095</v>
      </c>
      <c r="Y228" s="20">
        <f t="shared" si="23"/>
        <v>2.9773702106104265</v>
      </c>
      <c r="Z228" s="289">
        <f>('Systemberegning VP1'!$G$4+'Systemberegning VP1'!$F$4)/'Varmepumpeberegning VP1'!W228+'Systemberegning VP1'!$E$4</f>
        <v>43.365504555254446</v>
      </c>
    </row>
    <row r="229" spans="20:26" x14ac:dyDescent="0.25">
      <c r="T229">
        <v>8</v>
      </c>
      <c r="U229">
        <v>226</v>
      </c>
      <c r="V229" s="15">
        <v>23.604166666666668</v>
      </c>
      <c r="W229" s="15">
        <f t="shared" si="21"/>
        <v>3.3372461519597025</v>
      </c>
      <c r="X229" s="20">
        <f t="shared" si="22"/>
        <v>9.936217278319095</v>
      </c>
      <c r="Y229" s="20">
        <f t="shared" si="23"/>
        <v>2.9773702106104265</v>
      </c>
      <c r="Z229" s="289">
        <f>('Systemberegning VP1'!$G$4+'Systemberegning VP1'!$F$4)/'Varmepumpeberegning VP1'!W229+'Systemberegning VP1'!$E$4</f>
        <v>43.365504555254446</v>
      </c>
    </row>
    <row r="230" spans="20:26" x14ac:dyDescent="0.25">
      <c r="T230">
        <v>8</v>
      </c>
      <c r="U230">
        <v>227</v>
      </c>
      <c r="V230" s="15">
        <v>20.100000000000001</v>
      </c>
      <c r="W230" s="15">
        <f t="shared" si="21"/>
        <v>3.3372461519597025</v>
      </c>
      <c r="X230" s="20">
        <f t="shared" si="22"/>
        <v>9.936217278319095</v>
      </c>
      <c r="Y230" s="20">
        <f t="shared" si="23"/>
        <v>2.9773702106104265</v>
      </c>
      <c r="Z230" s="289">
        <f>('Systemberegning VP1'!$G$4+'Systemberegning VP1'!$F$4)/'Varmepumpeberegning VP1'!W230+'Systemberegning VP1'!$E$4</f>
        <v>43.365504555254446</v>
      </c>
    </row>
    <row r="231" spans="20:26" x14ac:dyDescent="0.25">
      <c r="T231">
        <v>8</v>
      </c>
      <c r="U231">
        <v>228</v>
      </c>
      <c r="V231" s="15">
        <v>20.091666666666669</v>
      </c>
      <c r="W231" s="15">
        <f t="shared" si="21"/>
        <v>3.3372461519597025</v>
      </c>
      <c r="X231" s="20">
        <f t="shared" si="22"/>
        <v>9.936217278319095</v>
      </c>
      <c r="Y231" s="20">
        <f t="shared" si="23"/>
        <v>2.9773702106104265</v>
      </c>
      <c r="Z231" s="289">
        <f>('Systemberegning VP1'!$G$4+'Systemberegning VP1'!$F$4)/'Varmepumpeberegning VP1'!W231+'Systemberegning VP1'!$E$4</f>
        <v>43.365504555254446</v>
      </c>
    </row>
    <row r="232" spans="20:26" x14ac:dyDescent="0.25">
      <c r="T232">
        <v>8</v>
      </c>
      <c r="U232">
        <v>229</v>
      </c>
      <c r="V232" s="15">
        <v>19.133333333333333</v>
      </c>
      <c r="W232" s="15">
        <f t="shared" si="21"/>
        <v>3.3372461519597025</v>
      </c>
      <c r="X232" s="20">
        <f t="shared" si="22"/>
        <v>9.936217278319095</v>
      </c>
      <c r="Y232" s="20">
        <f t="shared" si="23"/>
        <v>2.9773702106104265</v>
      </c>
      <c r="Z232" s="289">
        <f>('Systemberegning VP1'!$G$4+'Systemberegning VP1'!$F$4)/'Varmepumpeberegning VP1'!W232+'Systemberegning VP1'!$E$4</f>
        <v>43.365504555254446</v>
      </c>
    </row>
    <row r="233" spans="20:26" x14ac:dyDescent="0.25">
      <c r="T233">
        <v>8</v>
      </c>
      <c r="U233">
        <v>230</v>
      </c>
      <c r="V233" s="15">
        <v>17.3125</v>
      </c>
      <c r="W233" s="15">
        <f t="shared" si="21"/>
        <v>3.3372461519597025</v>
      </c>
      <c r="X233" s="20">
        <f t="shared" si="22"/>
        <v>9.936217278319095</v>
      </c>
      <c r="Y233" s="20">
        <f t="shared" si="23"/>
        <v>2.9773702106104265</v>
      </c>
      <c r="Z233" s="289">
        <f>('Systemberegning VP1'!$G$4+'Systemberegning VP1'!$F$4)/'Varmepumpeberegning VP1'!W233+'Systemberegning VP1'!$E$4</f>
        <v>43.365504555254446</v>
      </c>
    </row>
    <row r="234" spans="20:26" x14ac:dyDescent="0.25">
      <c r="T234">
        <v>8</v>
      </c>
      <c r="U234">
        <v>231</v>
      </c>
      <c r="V234" s="15">
        <v>17.029166666666669</v>
      </c>
      <c r="W234" s="15">
        <f t="shared" si="21"/>
        <v>3.3372461519597025</v>
      </c>
      <c r="X234" s="20">
        <f t="shared" si="22"/>
        <v>9.936217278319095</v>
      </c>
      <c r="Y234" s="20">
        <f t="shared" si="23"/>
        <v>2.9773702106104265</v>
      </c>
      <c r="Z234" s="289">
        <f>('Systemberegning VP1'!$G$4+'Systemberegning VP1'!$F$4)/'Varmepumpeberegning VP1'!W234+'Systemberegning VP1'!$E$4</f>
        <v>43.365504555254446</v>
      </c>
    </row>
    <row r="235" spans="20:26" x14ac:dyDescent="0.25">
      <c r="T235">
        <v>8</v>
      </c>
      <c r="U235">
        <v>232</v>
      </c>
      <c r="V235" s="15">
        <v>17.654166666666665</v>
      </c>
      <c r="W235" s="15">
        <f t="shared" si="21"/>
        <v>3.3372461519597025</v>
      </c>
      <c r="X235" s="20">
        <f t="shared" si="22"/>
        <v>9.936217278319095</v>
      </c>
      <c r="Y235" s="20">
        <f t="shared" si="23"/>
        <v>2.9773702106104265</v>
      </c>
      <c r="Z235" s="289">
        <f>('Systemberegning VP1'!$G$4+'Systemberegning VP1'!$F$4)/'Varmepumpeberegning VP1'!W235+'Systemberegning VP1'!$E$4</f>
        <v>43.365504555254446</v>
      </c>
    </row>
    <row r="236" spans="20:26" x14ac:dyDescent="0.25">
      <c r="T236">
        <v>8</v>
      </c>
      <c r="U236">
        <v>233</v>
      </c>
      <c r="V236" s="15">
        <v>17.945833333333336</v>
      </c>
      <c r="W236" s="15">
        <f t="shared" si="21"/>
        <v>3.3372461519597025</v>
      </c>
      <c r="X236" s="20">
        <f t="shared" si="22"/>
        <v>9.936217278319095</v>
      </c>
      <c r="Y236" s="20">
        <f t="shared" si="23"/>
        <v>2.9773702106104265</v>
      </c>
      <c r="Z236" s="289">
        <f>('Systemberegning VP1'!$G$4+'Systemberegning VP1'!$F$4)/'Varmepumpeberegning VP1'!W236+'Systemberegning VP1'!$E$4</f>
        <v>43.365504555254446</v>
      </c>
    </row>
    <row r="237" spans="20:26" x14ac:dyDescent="0.25">
      <c r="T237">
        <v>8</v>
      </c>
      <c r="U237">
        <v>234</v>
      </c>
      <c r="V237" s="15">
        <v>16.033333333333335</v>
      </c>
      <c r="W237" s="15">
        <f t="shared" si="21"/>
        <v>3.3372461519597025</v>
      </c>
      <c r="X237" s="20">
        <f t="shared" si="22"/>
        <v>9.936217278319095</v>
      </c>
      <c r="Y237" s="20">
        <f t="shared" si="23"/>
        <v>2.9773702106104265</v>
      </c>
      <c r="Z237" s="289">
        <f>('Systemberegning VP1'!$G$4+'Systemberegning VP1'!$F$4)/'Varmepumpeberegning VP1'!W237+'Systemberegning VP1'!$E$4</f>
        <v>43.365504555254446</v>
      </c>
    </row>
    <row r="238" spans="20:26" x14ac:dyDescent="0.25">
      <c r="T238">
        <v>8</v>
      </c>
      <c r="U238">
        <v>235</v>
      </c>
      <c r="V238" s="15">
        <v>17.495833333333334</v>
      </c>
      <c r="W238" s="15">
        <f t="shared" si="21"/>
        <v>3.3372461519597025</v>
      </c>
      <c r="X238" s="20">
        <f t="shared" si="22"/>
        <v>9.936217278319095</v>
      </c>
      <c r="Y238" s="20">
        <f t="shared" si="23"/>
        <v>2.9773702106104265</v>
      </c>
      <c r="Z238" s="289">
        <f>('Systemberegning VP1'!$G$4+'Systemberegning VP1'!$F$4)/'Varmepumpeberegning VP1'!W238+'Systemberegning VP1'!$E$4</f>
        <v>43.365504555254446</v>
      </c>
    </row>
    <row r="239" spans="20:26" x14ac:dyDescent="0.25">
      <c r="T239">
        <v>8</v>
      </c>
      <c r="U239">
        <v>236</v>
      </c>
      <c r="V239" s="15">
        <v>18.745833333333334</v>
      </c>
      <c r="W239" s="15">
        <f t="shared" si="21"/>
        <v>3.3372461519597025</v>
      </c>
      <c r="X239" s="20">
        <f t="shared" si="22"/>
        <v>9.936217278319095</v>
      </c>
      <c r="Y239" s="20">
        <f t="shared" si="23"/>
        <v>2.9773702106104265</v>
      </c>
      <c r="Z239" s="289">
        <f>('Systemberegning VP1'!$G$4+'Systemberegning VP1'!$F$4)/'Varmepumpeberegning VP1'!W239+'Systemberegning VP1'!$E$4</f>
        <v>43.365504555254446</v>
      </c>
    </row>
    <row r="240" spans="20:26" x14ac:dyDescent="0.25">
      <c r="T240">
        <v>8</v>
      </c>
      <c r="U240">
        <v>237</v>
      </c>
      <c r="V240" s="15">
        <v>17.733333333333334</v>
      </c>
      <c r="W240" s="15">
        <f t="shared" si="21"/>
        <v>3.3372461519597025</v>
      </c>
      <c r="X240" s="20">
        <f t="shared" si="22"/>
        <v>9.936217278319095</v>
      </c>
      <c r="Y240" s="20">
        <f t="shared" si="23"/>
        <v>2.9773702106104265</v>
      </c>
      <c r="Z240" s="289">
        <f>('Systemberegning VP1'!$G$4+'Systemberegning VP1'!$F$4)/'Varmepumpeberegning VP1'!W240+'Systemberegning VP1'!$E$4</f>
        <v>43.365504555254446</v>
      </c>
    </row>
    <row r="241" spans="20:26" x14ac:dyDescent="0.25">
      <c r="T241">
        <v>8</v>
      </c>
      <c r="U241">
        <v>238</v>
      </c>
      <c r="V241" s="15">
        <v>16.395833333333332</v>
      </c>
      <c r="W241" s="15">
        <f t="shared" si="21"/>
        <v>3.3372461519597025</v>
      </c>
      <c r="X241" s="20">
        <f t="shared" si="22"/>
        <v>9.936217278319095</v>
      </c>
      <c r="Y241" s="20">
        <f t="shared" si="23"/>
        <v>2.9773702106104265</v>
      </c>
      <c r="Z241" s="289">
        <f>('Systemberegning VP1'!$G$4+'Systemberegning VP1'!$F$4)/'Varmepumpeberegning VP1'!W241+'Systemberegning VP1'!$E$4</f>
        <v>43.365504555254446</v>
      </c>
    </row>
    <row r="242" spans="20:26" x14ac:dyDescent="0.25">
      <c r="T242">
        <v>8</v>
      </c>
      <c r="U242">
        <v>239</v>
      </c>
      <c r="V242" s="15">
        <v>16.416666666666668</v>
      </c>
      <c r="W242" s="15">
        <f t="shared" si="21"/>
        <v>3.3372461519597025</v>
      </c>
      <c r="X242" s="20">
        <f t="shared" si="22"/>
        <v>9.936217278319095</v>
      </c>
      <c r="Y242" s="20">
        <f t="shared" si="23"/>
        <v>2.9773702106104265</v>
      </c>
      <c r="Z242" s="289">
        <f>('Systemberegning VP1'!$G$4+'Systemberegning VP1'!$F$4)/'Varmepumpeberegning VP1'!W242+'Systemberegning VP1'!$E$4</f>
        <v>43.365504555254446</v>
      </c>
    </row>
    <row r="243" spans="20:26" x14ac:dyDescent="0.25">
      <c r="T243">
        <v>8</v>
      </c>
      <c r="U243">
        <v>240</v>
      </c>
      <c r="V243" s="15">
        <v>17.720833333333335</v>
      </c>
      <c r="W243" s="15">
        <f t="shared" si="21"/>
        <v>3.3372461519597025</v>
      </c>
      <c r="X243" s="20">
        <f t="shared" si="22"/>
        <v>9.936217278319095</v>
      </c>
      <c r="Y243" s="20">
        <f t="shared" si="23"/>
        <v>2.9773702106104265</v>
      </c>
      <c r="Z243" s="289">
        <f>('Systemberegning VP1'!$G$4+'Systemberegning VP1'!$F$4)/'Varmepumpeberegning VP1'!W243+'Systemberegning VP1'!$E$4</f>
        <v>43.365504555254446</v>
      </c>
    </row>
    <row r="244" spans="20:26" x14ac:dyDescent="0.25">
      <c r="T244">
        <v>8</v>
      </c>
      <c r="U244">
        <v>241</v>
      </c>
      <c r="V244" s="15">
        <v>19.670833333333331</v>
      </c>
      <c r="W244" s="15">
        <f t="shared" si="21"/>
        <v>3.3372461519597025</v>
      </c>
      <c r="X244" s="20">
        <f t="shared" si="22"/>
        <v>9.936217278319095</v>
      </c>
      <c r="Y244" s="20">
        <f t="shared" si="23"/>
        <v>2.9773702106104265</v>
      </c>
      <c r="Z244" s="289">
        <f>('Systemberegning VP1'!$G$4+'Systemberegning VP1'!$F$4)/'Varmepumpeberegning VP1'!W244+'Systemberegning VP1'!$E$4</f>
        <v>43.365504555254446</v>
      </c>
    </row>
    <row r="245" spans="20:26" x14ac:dyDescent="0.25">
      <c r="T245">
        <v>8</v>
      </c>
      <c r="U245">
        <v>242</v>
      </c>
      <c r="V245" s="15">
        <v>19.420833333333331</v>
      </c>
      <c r="W245" s="15">
        <f t="shared" si="21"/>
        <v>3.3372461519597025</v>
      </c>
      <c r="X245" s="20">
        <f t="shared" si="22"/>
        <v>9.936217278319095</v>
      </c>
      <c r="Y245" s="20">
        <f t="shared" si="23"/>
        <v>2.9773702106104265</v>
      </c>
      <c r="Z245" s="289">
        <f>('Systemberegning VP1'!$G$4+'Systemberegning VP1'!$F$4)/'Varmepumpeberegning VP1'!W245+'Systemberegning VP1'!$E$4</f>
        <v>43.365504555254446</v>
      </c>
    </row>
    <row r="246" spans="20:26" x14ac:dyDescent="0.25">
      <c r="T246">
        <v>8</v>
      </c>
      <c r="U246">
        <v>243</v>
      </c>
      <c r="V246" s="15">
        <v>16.370833333333334</v>
      </c>
      <c r="W246" s="15">
        <f t="shared" si="21"/>
        <v>3.3372461519597025</v>
      </c>
      <c r="X246" s="20">
        <f t="shared" si="22"/>
        <v>9.936217278319095</v>
      </c>
      <c r="Y246" s="20">
        <f t="shared" si="23"/>
        <v>2.9773702106104265</v>
      </c>
      <c r="Z246" s="289">
        <f>('Systemberegning VP1'!$G$4+'Systemberegning VP1'!$F$4)/'Varmepumpeberegning VP1'!W246+'Systemberegning VP1'!$E$4</f>
        <v>43.365504555254446</v>
      </c>
    </row>
    <row r="247" spans="20:26" x14ac:dyDescent="0.25">
      <c r="T247">
        <v>9</v>
      </c>
      <c r="U247">
        <v>244</v>
      </c>
      <c r="V247" s="15">
        <v>16.050000000000004</v>
      </c>
      <c r="W247" s="15">
        <f t="shared" si="21"/>
        <v>3.3372461519597025</v>
      </c>
      <c r="X247" s="20">
        <f t="shared" si="22"/>
        <v>9.936217278319095</v>
      </c>
      <c r="Y247" s="20">
        <f t="shared" si="23"/>
        <v>2.9773702106104265</v>
      </c>
      <c r="Z247" s="289">
        <f>('Systemberegning VP1'!$G$4+'Systemberegning VP1'!$F$4)/'Varmepumpeberegning VP1'!W247+'Systemberegning VP1'!$E$4</f>
        <v>43.365504555254446</v>
      </c>
    </row>
    <row r="248" spans="20:26" x14ac:dyDescent="0.25">
      <c r="T248">
        <v>9</v>
      </c>
      <c r="U248">
        <v>245</v>
      </c>
      <c r="V248" s="15">
        <v>19.445833333333329</v>
      </c>
      <c r="W248" s="15">
        <f t="shared" si="21"/>
        <v>3.3372461519597025</v>
      </c>
      <c r="X248" s="20">
        <f t="shared" si="22"/>
        <v>9.936217278319095</v>
      </c>
      <c r="Y248" s="20">
        <f t="shared" si="23"/>
        <v>2.9773702106104265</v>
      </c>
      <c r="Z248" s="289">
        <f>('Systemberegning VP1'!$G$4+'Systemberegning VP1'!$F$4)/'Varmepumpeberegning VP1'!W248+'Systemberegning VP1'!$E$4</f>
        <v>43.365504555254446</v>
      </c>
    </row>
    <row r="249" spans="20:26" x14ac:dyDescent="0.25">
      <c r="T249">
        <v>9</v>
      </c>
      <c r="U249">
        <v>246</v>
      </c>
      <c r="V249" s="15">
        <v>20.920833333333331</v>
      </c>
      <c r="W249" s="15">
        <f t="shared" si="21"/>
        <v>3.3372461519597025</v>
      </c>
      <c r="X249" s="20">
        <f t="shared" si="22"/>
        <v>9.936217278319095</v>
      </c>
      <c r="Y249" s="20">
        <f t="shared" si="23"/>
        <v>2.9773702106104265</v>
      </c>
      <c r="Z249" s="289">
        <f>('Systemberegning VP1'!$G$4+'Systemberegning VP1'!$F$4)/'Varmepumpeberegning VP1'!W249+'Systemberegning VP1'!$E$4</f>
        <v>43.365504555254446</v>
      </c>
    </row>
    <row r="250" spans="20:26" x14ac:dyDescent="0.25">
      <c r="T250">
        <v>9</v>
      </c>
      <c r="U250">
        <v>247</v>
      </c>
      <c r="V250" s="15">
        <v>19.695833333333336</v>
      </c>
      <c r="W250" s="15">
        <f t="shared" si="21"/>
        <v>3.3372461519597025</v>
      </c>
      <c r="X250" s="20">
        <f t="shared" si="22"/>
        <v>9.936217278319095</v>
      </c>
      <c r="Y250" s="20">
        <f t="shared" si="23"/>
        <v>2.9773702106104265</v>
      </c>
      <c r="Z250" s="289">
        <f>('Systemberegning VP1'!$G$4+'Systemberegning VP1'!$F$4)/'Varmepumpeberegning VP1'!W250+'Systemberegning VP1'!$E$4</f>
        <v>43.365504555254446</v>
      </c>
    </row>
    <row r="251" spans="20:26" x14ac:dyDescent="0.25">
      <c r="T251">
        <v>9</v>
      </c>
      <c r="U251">
        <v>248</v>
      </c>
      <c r="V251" s="15">
        <v>18.30833333333333</v>
      </c>
      <c r="W251" s="15">
        <f t="shared" si="21"/>
        <v>3.3372461519597025</v>
      </c>
      <c r="X251" s="20">
        <f t="shared" si="22"/>
        <v>9.936217278319095</v>
      </c>
      <c r="Y251" s="20">
        <f t="shared" si="23"/>
        <v>2.9773702106104265</v>
      </c>
      <c r="Z251" s="289">
        <f>('Systemberegning VP1'!$G$4+'Systemberegning VP1'!$F$4)/'Varmepumpeberegning VP1'!W251+'Systemberegning VP1'!$E$4</f>
        <v>43.365504555254446</v>
      </c>
    </row>
    <row r="252" spans="20:26" x14ac:dyDescent="0.25">
      <c r="T252">
        <v>9</v>
      </c>
      <c r="U252">
        <v>249</v>
      </c>
      <c r="V252" s="15">
        <v>21.379166666666666</v>
      </c>
      <c r="W252" s="15">
        <f t="shared" si="21"/>
        <v>3.3372461519597025</v>
      </c>
      <c r="X252" s="20">
        <f t="shared" si="22"/>
        <v>9.936217278319095</v>
      </c>
      <c r="Y252" s="20">
        <f t="shared" si="23"/>
        <v>2.9773702106104265</v>
      </c>
      <c r="Z252" s="289">
        <f>('Systemberegning VP1'!$G$4+'Systemberegning VP1'!$F$4)/'Varmepumpeberegning VP1'!W252+'Systemberegning VP1'!$E$4</f>
        <v>43.365504555254446</v>
      </c>
    </row>
    <row r="253" spans="20:26" x14ac:dyDescent="0.25">
      <c r="T253">
        <v>9</v>
      </c>
      <c r="U253">
        <v>250</v>
      </c>
      <c r="V253" s="15">
        <v>21.104166666666668</v>
      </c>
      <c r="W253" s="15">
        <f t="shared" si="21"/>
        <v>3.3372461519597025</v>
      </c>
      <c r="X253" s="20">
        <f t="shared" si="22"/>
        <v>9.936217278319095</v>
      </c>
      <c r="Y253" s="20">
        <f t="shared" si="23"/>
        <v>2.9773702106104265</v>
      </c>
      <c r="Z253" s="289">
        <f>('Systemberegning VP1'!$G$4+'Systemberegning VP1'!$F$4)/'Varmepumpeberegning VP1'!W253+'Systemberegning VP1'!$E$4</f>
        <v>43.365504555254446</v>
      </c>
    </row>
    <row r="254" spans="20:26" x14ac:dyDescent="0.25">
      <c r="T254">
        <v>9</v>
      </c>
      <c r="U254">
        <v>251</v>
      </c>
      <c r="V254" s="15">
        <v>19.829166666666669</v>
      </c>
      <c r="W254" s="15">
        <f t="shared" si="21"/>
        <v>3.3372461519597025</v>
      </c>
      <c r="X254" s="20">
        <f t="shared" si="22"/>
        <v>9.936217278319095</v>
      </c>
      <c r="Y254" s="20">
        <f t="shared" si="23"/>
        <v>2.9773702106104265</v>
      </c>
      <c r="Z254" s="289">
        <f>('Systemberegning VP1'!$G$4+'Systemberegning VP1'!$F$4)/'Varmepumpeberegning VP1'!W254+'Systemberegning VP1'!$E$4</f>
        <v>43.365504555254446</v>
      </c>
    </row>
    <row r="255" spans="20:26" x14ac:dyDescent="0.25">
      <c r="T255">
        <v>9</v>
      </c>
      <c r="U255">
        <v>252</v>
      </c>
      <c r="V255" s="15">
        <v>19.437500000000004</v>
      </c>
      <c r="W255" s="15">
        <f t="shared" si="21"/>
        <v>3.3372461519597025</v>
      </c>
      <c r="X255" s="20">
        <f t="shared" si="22"/>
        <v>9.936217278319095</v>
      </c>
      <c r="Y255" s="20">
        <f t="shared" si="23"/>
        <v>2.9773702106104265</v>
      </c>
      <c r="Z255" s="289">
        <f>('Systemberegning VP1'!$G$4+'Systemberegning VP1'!$F$4)/'Varmepumpeberegning VP1'!W255+'Systemberegning VP1'!$E$4</f>
        <v>43.365504555254446</v>
      </c>
    </row>
    <row r="256" spans="20:26" x14ac:dyDescent="0.25">
      <c r="T256">
        <v>9</v>
      </c>
      <c r="U256">
        <v>253</v>
      </c>
      <c r="V256" s="15">
        <v>15.958333333333334</v>
      </c>
      <c r="W256" s="15">
        <f t="shared" si="21"/>
        <v>3.3372461519597025</v>
      </c>
      <c r="X256" s="20">
        <f t="shared" si="22"/>
        <v>9.936217278319095</v>
      </c>
      <c r="Y256" s="20">
        <f t="shared" si="23"/>
        <v>2.9773702106104265</v>
      </c>
      <c r="Z256" s="289">
        <f>('Systemberegning VP1'!$G$4+'Systemberegning VP1'!$F$4)/'Varmepumpeberegning VP1'!W256+'Systemberegning VP1'!$E$4</f>
        <v>43.365504555254446</v>
      </c>
    </row>
    <row r="257" spans="20:26" x14ac:dyDescent="0.25">
      <c r="T257">
        <v>9</v>
      </c>
      <c r="U257">
        <v>254</v>
      </c>
      <c r="V257" s="15">
        <v>14.570833333333333</v>
      </c>
      <c r="W257" s="15">
        <f t="shared" si="21"/>
        <v>3.3372461519597025</v>
      </c>
      <c r="X257" s="20">
        <f t="shared" si="22"/>
        <v>9.936217278319095</v>
      </c>
      <c r="Y257" s="20">
        <f t="shared" si="23"/>
        <v>2.9773702106104265</v>
      </c>
      <c r="Z257" s="289">
        <f>('Systemberegning VP1'!$G$4+'Systemberegning VP1'!$F$4)/'Varmepumpeberegning VP1'!W257+'Systemberegning VP1'!$E$4</f>
        <v>43.365504555254446</v>
      </c>
    </row>
    <row r="258" spans="20:26" x14ac:dyDescent="0.25">
      <c r="T258">
        <v>9</v>
      </c>
      <c r="U258">
        <v>255</v>
      </c>
      <c r="V258" s="15">
        <v>11</v>
      </c>
      <c r="W258" s="15">
        <f t="shared" si="21"/>
        <v>3.1618855914913517</v>
      </c>
      <c r="X258" s="20">
        <f t="shared" si="22"/>
        <v>9.5165323023683932</v>
      </c>
      <c r="Y258" s="20">
        <f t="shared" si="23"/>
        <v>3.0097649098934585</v>
      </c>
      <c r="Z258" s="289">
        <f>('Systemberegning VP1'!$G$4+'Systemberegning VP1'!$F$4)/'Varmepumpeberegning VP1'!W258+'Systemberegning VP1'!$E$4</f>
        <v>45.673844559506328</v>
      </c>
    </row>
    <row r="259" spans="20:26" x14ac:dyDescent="0.25">
      <c r="T259">
        <v>9</v>
      </c>
      <c r="U259">
        <v>256</v>
      </c>
      <c r="V259" s="15">
        <v>10.349999999999998</v>
      </c>
      <c r="W259" s="15">
        <f t="shared" si="21"/>
        <v>3.1186336937333676</v>
      </c>
      <c r="X259" s="20">
        <f t="shared" si="22"/>
        <v>9.4116110583807178</v>
      </c>
      <c r="Y259" s="20">
        <f t="shared" si="23"/>
        <v>3.0178635847142163</v>
      </c>
      <c r="Z259" s="289">
        <f>('Systemberegning VP1'!$G$4+'Systemberegning VP1'!$F$4)/'Varmepumpeberegning VP1'!W259+'Systemberegning VP1'!$E$4</f>
        <v>46.283096463675768</v>
      </c>
    </row>
    <row r="260" spans="20:26" x14ac:dyDescent="0.25">
      <c r="T260">
        <v>9</v>
      </c>
      <c r="U260">
        <v>257</v>
      </c>
      <c r="V260" s="15">
        <v>11.112499999999999</v>
      </c>
      <c r="W260" s="15">
        <f t="shared" si="21"/>
        <v>3.1618855914913517</v>
      </c>
      <c r="X260" s="20">
        <f t="shared" si="22"/>
        <v>9.5165323023683932</v>
      </c>
      <c r="Y260" s="20">
        <f t="shared" si="23"/>
        <v>3.0097649098934585</v>
      </c>
      <c r="Z260" s="289">
        <f>('Systemberegning VP1'!$G$4+'Systemberegning VP1'!$F$4)/'Varmepumpeberegning VP1'!W260+'Systemberegning VP1'!$E$4</f>
        <v>45.673844559506328</v>
      </c>
    </row>
    <row r="261" spans="20:26" x14ac:dyDescent="0.25">
      <c r="T261">
        <v>9</v>
      </c>
      <c r="U261">
        <v>258</v>
      </c>
      <c r="V261" s="15">
        <v>11.450000000000001</v>
      </c>
      <c r="W261" s="15">
        <f t="shared" ref="W261:W324" si="24">VLOOKUP(ROUND(V261,0),$A$21:$D$56,2,FALSE)</f>
        <v>3.1618855914913517</v>
      </c>
      <c r="X261" s="20">
        <f t="shared" ref="X261:X324" si="25">VLOOKUP(ROUND(V261,0),$A$21:$D$56,3,FALSE)</f>
        <v>9.5165323023683932</v>
      </c>
      <c r="Y261" s="20">
        <f t="shared" ref="Y261:Y324" si="26">VLOOKUP(ROUND(V261,0),$A$21:$D$56,4,FALSE)</f>
        <v>3.0097649098934585</v>
      </c>
      <c r="Z261" s="289">
        <f>('Systemberegning VP1'!$G$4+'Systemberegning VP1'!$F$4)/'Varmepumpeberegning VP1'!W261+'Systemberegning VP1'!$E$4</f>
        <v>45.673844559506328</v>
      </c>
    </row>
    <row r="262" spans="20:26" x14ac:dyDescent="0.25">
      <c r="T262">
        <v>9</v>
      </c>
      <c r="U262">
        <v>259</v>
      </c>
      <c r="V262" s="15">
        <v>12.875</v>
      </c>
      <c r="W262" s="15">
        <f t="shared" si="24"/>
        <v>3.2490914584620767</v>
      </c>
      <c r="X262" s="20">
        <f t="shared" si="25"/>
        <v>9.7263747903437441</v>
      </c>
      <c r="Y262" s="20">
        <f t="shared" si="26"/>
        <v>2.9935675602519423</v>
      </c>
      <c r="Z262" s="289">
        <f>('Systemberegning VP1'!$G$4+'Systemberegning VP1'!$F$4)/'Varmepumpeberegning VP1'!W262+'Systemberegning VP1'!$E$4</f>
        <v>44.494773819951156</v>
      </c>
    </row>
    <row r="263" spans="20:26" x14ac:dyDescent="0.25">
      <c r="T263">
        <v>9</v>
      </c>
      <c r="U263">
        <v>260</v>
      </c>
      <c r="V263" s="15">
        <v>15.083333333333334</v>
      </c>
      <c r="W263" s="15">
        <f t="shared" si="24"/>
        <v>3.3372461519597025</v>
      </c>
      <c r="X263" s="20">
        <f t="shared" si="25"/>
        <v>9.936217278319095</v>
      </c>
      <c r="Y263" s="20">
        <f t="shared" si="26"/>
        <v>2.9773702106104265</v>
      </c>
      <c r="Z263" s="289">
        <f>('Systemberegning VP1'!$G$4+'Systemberegning VP1'!$F$4)/'Varmepumpeberegning VP1'!W263+'Systemberegning VP1'!$E$4</f>
        <v>43.365504555254446</v>
      </c>
    </row>
    <row r="264" spans="20:26" x14ac:dyDescent="0.25">
      <c r="T264">
        <v>9</v>
      </c>
      <c r="U264">
        <v>261</v>
      </c>
      <c r="V264" s="15">
        <v>15.937499999999998</v>
      </c>
      <c r="W264" s="15">
        <f t="shared" si="24"/>
        <v>3.3372461519597025</v>
      </c>
      <c r="X264" s="20">
        <f t="shared" si="25"/>
        <v>9.936217278319095</v>
      </c>
      <c r="Y264" s="20">
        <f t="shared" si="26"/>
        <v>2.9773702106104265</v>
      </c>
      <c r="Z264" s="289">
        <f>('Systemberegning VP1'!$G$4+'Systemberegning VP1'!$F$4)/'Varmepumpeberegning VP1'!W264+'Systemberegning VP1'!$E$4</f>
        <v>43.365504555254446</v>
      </c>
    </row>
    <row r="265" spans="20:26" x14ac:dyDescent="0.25">
      <c r="T265">
        <v>9</v>
      </c>
      <c r="U265">
        <v>262</v>
      </c>
      <c r="V265" s="15">
        <v>15.954166666666671</v>
      </c>
      <c r="W265" s="15">
        <f t="shared" si="24"/>
        <v>3.3372461519597025</v>
      </c>
      <c r="X265" s="20">
        <f t="shared" si="25"/>
        <v>9.936217278319095</v>
      </c>
      <c r="Y265" s="20">
        <f t="shared" si="26"/>
        <v>2.9773702106104265</v>
      </c>
      <c r="Z265" s="289">
        <f>('Systemberegning VP1'!$G$4+'Systemberegning VP1'!$F$4)/'Varmepumpeberegning VP1'!W265+'Systemberegning VP1'!$E$4</f>
        <v>43.365504555254446</v>
      </c>
    </row>
    <row r="266" spans="20:26" x14ac:dyDescent="0.25">
      <c r="T266">
        <v>9</v>
      </c>
      <c r="U266">
        <v>263</v>
      </c>
      <c r="V266" s="15">
        <v>15.775</v>
      </c>
      <c r="W266" s="15">
        <f t="shared" si="24"/>
        <v>3.3372461519597025</v>
      </c>
      <c r="X266" s="20">
        <f t="shared" si="25"/>
        <v>9.936217278319095</v>
      </c>
      <c r="Y266" s="20">
        <f t="shared" si="26"/>
        <v>2.9773702106104265</v>
      </c>
      <c r="Z266" s="289">
        <f>('Systemberegning VP1'!$G$4+'Systemberegning VP1'!$F$4)/'Varmepumpeberegning VP1'!W266+'Systemberegning VP1'!$E$4</f>
        <v>43.365504555254446</v>
      </c>
    </row>
    <row r="267" spans="20:26" x14ac:dyDescent="0.25">
      <c r="T267">
        <v>9</v>
      </c>
      <c r="U267">
        <v>264</v>
      </c>
      <c r="V267" s="15">
        <v>17.304166666666667</v>
      </c>
      <c r="W267" s="15">
        <f t="shared" si="24"/>
        <v>3.3372461519597025</v>
      </c>
      <c r="X267" s="20">
        <f t="shared" si="25"/>
        <v>9.936217278319095</v>
      </c>
      <c r="Y267" s="20">
        <f t="shared" si="26"/>
        <v>2.9773702106104265</v>
      </c>
      <c r="Z267" s="289">
        <f>('Systemberegning VP1'!$G$4+'Systemberegning VP1'!$F$4)/'Varmepumpeberegning VP1'!W267+'Systemberegning VP1'!$E$4</f>
        <v>43.365504555254446</v>
      </c>
    </row>
    <row r="268" spans="20:26" x14ac:dyDescent="0.25">
      <c r="T268">
        <v>9</v>
      </c>
      <c r="U268">
        <v>265</v>
      </c>
      <c r="V268" s="15">
        <v>15.9625</v>
      </c>
      <c r="W268" s="15">
        <f t="shared" si="24"/>
        <v>3.3372461519597025</v>
      </c>
      <c r="X268" s="20">
        <f t="shared" si="25"/>
        <v>9.936217278319095</v>
      </c>
      <c r="Y268" s="20">
        <f t="shared" si="26"/>
        <v>2.9773702106104265</v>
      </c>
      <c r="Z268" s="289">
        <f>('Systemberegning VP1'!$G$4+'Systemberegning VP1'!$F$4)/'Varmepumpeberegning VP1'!W268+'Systemberegning VP1'!$E$4</f>
        <v>43.365504555254446</v>
      </c>
    </row>
    <row r="269" spans="20:26" x14ac:dyDescent="0.25">
      <c r="T269">
        <v>9</v>
      </c>
      <c r="U269">
        <v>266</v>
      </c>
      <c r="V269" s="15">
        <v>16.091666666666665</v>
      </c>
      <c r="W269" s="15">
        <f t="shared" si="24"/>
        <v>3.3372461519597025</v>
      </c>
      <c r="X269" s="20">
        <f t="shared" si="25"/>
        <v>9.936217278319095</v>
      </c>
      <c r="Y269" s="20">
        <f t="shared" si="26"/>
        <v>2.9773702106104265</v>
      </c>
      <c r="Z269" s="289">
        <f>('Systemberegning VP1'!$G$4+'Systemberegning VP1'!$F$4)/'Varmepumpeberegning VP1'!W269+'Systemberegning VP1'!$E$4</f>
        <v>43.365504555254446</v>
      </c>
    </row>
    <row r="270" spans="20:26" x14ac:dyDescent="0.25">
      <c r="T270">
        <v>9</v>
      </c>
      <c r="U270">
        <v>267</v>
      </c>
      <c r="V270" s="15">
        <v>16.129166666666666</v>
      </c>
      <c r="W270" s="15">
        <f t="shared" si="24"/>
        <v>3.3372461519597025</v>
      </c>
      <c r="X270" s="20">
        <f t="shared" si="25"/>
        <v>9.936217278319095</v>
      </c>
      <c r="Y270" s="20">
        <f t="shared" si="26"/>
        <v>2.9773702106104265</v>
      </c>
      <c r="Z270" s="289">
        <f>('Systemberegning VP1'!$G$4+'Systemberegning VP1'!$F$4)/'Varmepumpeberegning VP1'!W270+'Systemberegning VP1'!$E$4</f>
        <v>43.365504555254446</v>
      </c>
    </row>
    <row r="271" spans="20:26" x14ac:dyDescent="0.25">
      <c r="T271">
        <v>9</v>
      </c>
      <c r="U271">
        <v>268</v>
      </c>
      <c r="V271" s="15">
        <v>14.537500000000001</v>
      </c>
      <c r="W271" s="15">
        <f t="shared" si="24"/>
        <v>3.3372461519597025</v>
      </c>
      <c r="X271" s="20">
        <f t="shared" si="25"/>
        <v>9.936217278319095</v>
      </c>
      <c r="Y271" s="20">
        <f t="shared" si="26"/>
        <v>2.9773702106104265</v>
      </c>
      <c r="Z271" s="289">
        <f>('Systemberegning VP1'!$G$4+'Systemberegning VP1'!$F$4)/'Varmepumpeberegning VP1'!W271+'Systemberegning VP1'!$E$4</f>
        <v>43.365504555254446</v>
      </c>
    </row>
    <row r="272" spans="20:26" x14ac:dyDescent="0.25">
      <c r="T272">
        <v>9</v>
      </c>
      <c r="U272">
        <v>269</v>
      </c>
      <c r="V272" s="15">
        <v>14.2875</v>
      </c>
      <c r="W272" s="15">
        <f t="shared" si="24"/>
        <v>3.2930492366901718</v>
      </c>
      <c r="X272" s="20">
        <f t="shared" si="25"/>
        <v>9.8312960343314195</v>
      </c>
      <c r="Y272" s="20">
        <f t="shared" si="26"/>
        <v>2.9854688854311844</v>
      </c>
      <c r="Z272" s="289">
        <f>('Systemberegning VP1'!$G$4+'Systemberegning VP1'!$F$4)/'Varmepumpeberegning VP1'!W272+'Systemberegning VP1'!$E$4</f>
        <v>43.924113311887368</v>
      </c>
    </row>
    <row r="273" spans="20:26" x14ac:dyDescent="0.25">
      <c r="T273">
        <v>9</v>
      </c>
      <c r="U273">
        <v>270</v>
      </c>
      <c r="V273" s="15">
        <v>15.00416666666667</v>
      </c>
      <c r="W273" s="15">
        <f t="shared" si="24"/>
        <v>3.3372461519597025</v>
      </c>
      <c r="X273" s="20">
        <f t="shared" si="25"/>
        <v>9.936217278319095</v>
      </c>
      <c r="Y273" s="20">
        <f t="shared" si="26"/>
        <v>2.9773702106104265</v>
      </c>
      <c r="Z273" s="289">
        <f>('Systemberegning VP1'!$G$4+'Systemberegning VP1'!$F$4)/'Varmepumpeberegning VP1'!W273+'Systemberegning VP1'!$E$4</f>
        <v>43.365504555254446</v>
      </c>
    </row>
    <row r="274" spans="20:26" x14ac:dyDescent="0.25">
      <c r="T274">
        <v>9</v>
      </c>
      <c r="U274">
        <v>271</v>
      </c>
      <c r="V274" s="15">
        <v>12.841666666666667</v>
      </c>
      <c r="W274" s="15">
        <f t="shared" si="24"/>
        <v>3.2490914584620767</v>
      </c>
      <c r="X274" s="20">
        <f t="shared" si="25"/>
        <v>9.7263747903437441</v>
      </c>
      <c r="Y274" s="20">
        <f t="shared" si="26"/>
        <v>2.9935675602519423</v>
      </c>
      <c r="Z274" s="289">
        <f>('Systemberegning VP1'!$G$4+'Systemberegning VP1'!$F$4)/'Varmepumpeberegning VP1'!W274+'Systemberegning VP1'!$E$4</f>
        <v>44.494773819951156</v>
      </c>
    </row>
    <row r="275" spans="20:26" x14ac:dyDescent="0.25">
      <c r="T275">
        <v>9</v>
      </c>
      <c r="U275">
        <v>272</v>
      </c>
      <c r="V275" s="15">
        <v>10.458333333333332</v>
      </c>
      <c r="W275" s="15">
        <f t="shared" si="24"/>
        <v>3.1186336937333676</v>
      </c>
      <c r="X275" s="20">
        <f t="shared" si="25"/>
        <v>9.4116110583807178</v>
      </c>
      <c r="Y275" s="20">
        <f t="shared" si="26"/>
        <v>3.0178635847142163</v>
      </c>
      <c r="Z275" s="289">
        <f>('Systemberegning VP1'!$G$4+'Systemberegning VP1'!$F$4)/'Varmepumpeberegning VP1'!W275+'Systemberegning VP1'!$E$4</f>
        <v>46.283096463675768</v>
      </c>
    </row>
    <row r="276" spans="20:26" x14ac:dyDescent="0.25">
      <c r="T276">
        <v>9</v>
      </c>
      <c r="U276">
        <v>273</v>
      </c>
      <c r="V276" s="15">
        <v>10.245833333333332</v>
      </c>
      <c r="W276" s="15">
        <f t="shared" si="24"/>
        <v>3.1186336937333676</v>
      </c>
      <c r="X276" s="20">
        <f t="shared" si="25"/>
        <v>9.4116110583807178</v>
      </c>
      <c r="Y276" s="20">
        <f t="shared" si="26"/>
        <v>3.0178635847142163</v>
      </c>
      <c r="Z276" s="289">
        <f>('Systemberegning VP1'!$G$4+'Systemberegning VP1'!$F$4)/'Varmepumpeberegning VP1'!W276+'Systemberegning VP1'!$E$4</f>
        <v>46.283096463675768</v>
      </c>
    </row>
    <row r="277" spans="20:26" x14ac:dyDescent="0.25">
      <c r="T277">
        <v>10</v>
      </c>
      <c r="U277">
        <v>274</v>
      </c>
      <c r="V277" s="15">
        <v>10.862499999999999</v>
      </c>
      <c r="W277" s="15">
        <f t="shared" si="24"/>
        <v>3.1618855914913517</v>
      </c>
      <c r="X277" s="20">
        <f t="shared" si="25"/>
        <v>9.5165323023683932</v>
      </c>
      <c r="Y277" s="20">
        <f t="shared" si="26"/>
        <v>3.0097649098934585</v>
      </c>
      <c r="Z277" s="289">
        <f>('Systemberegning VP1'!$G$4+'Systemberegning VP1'!$F$4)/'Varmepumpeberegning VP1'!W277+'Systemberegning VP1'!$E$4</f>
        <v>45.673844559506328</v>
      </c>
    </row>
    <row r="278" spans="20:26" x14ac:dyDescent="0.25">
      <c r="T278">
        <v>10</v>
      </c>
      <c r="U278">
        <v>275</v>
      </c>
      <c r="V278" s="15">
        <v>12.89583333333333</v>
      </c>
      <c r="W278" s="15">
        <f t="shared" si="24"/>
        <v>3.2490914584620767</v>
      </c>
      <c r="X278" s="20">
        <f t="shared" si="25"/>
        <v>9.7263747903437441</v>
      </c>
      <c r="Y278" s="20">
        <f t="shared" si="26"/>
        <v>2.9935675602519423</v>
      </c>
      <c r="Z278" s="289">
        <f>('Systemberegning VP1'!$G$4+'Systemberegning VP1'!$F$4)/'Varmepumpeberegning VP1'!W278+'Systemberegning VP1'!$E$4</f>
        <v>44.494773819951156</v>
      </c>
    </row>
    <row r="279" spans="20:26" x14ac:dyDescent="0.25">
      <c r="T279">
        <v>10</v>
      </c>
      <c r="U279">
        <v>276</v>
      </c>
      <c r="V279" s="15">
        <v>11.433333333333332</v>
      </c>
      <c r="W279" s="15">
        <f t="shared" si="24"/>
        <v>3.1618855914913517</v>
      </c>
      <c r="X279" s="20">
        <f t="shared" si="25"/>
        <v>9.5165323023683932</v>
      </c>
      <c r="Y279" s="20">
        <f t="shared" si="26"/>
        <v>3.0097649098934585</v>
      </c>
      <c r="Z279" s="289">
        <f>('Systemberegning VP1'!$G$4+'Systemberegning VP1'!$F$4)/'Varmepumpeberegning VP1'!W279+'Systemberegning VP1'!$E$4</f>
        <v>45.673844559506328</v>
      </c>
    </row>
    <row r="280" spans="20:26" x14ac:dyDescent="0.25">
      <c r="T280">
        <v>10</v>
      </c>
      <c r="U280">
        <v>277</v>
      </c>
      <c r="V280" s="15">
        <v>9.4041666666666668</v>
      </c>
      <c r="W280" s="15">
        <f t="shared" si="24"/>
        <v>3.0756133144315161</v>
      </c>
      <c r="X280" s="20">
        <f t="shared" si="25"/>
        <v>9.3066898143930423</v>
      </c>
      <c r="Y280" s="20">
        <f t="shared" si="26"/>
        <v>3.0259622595349747</v>
      </c>
      <c r="Z280" s="289">
        <f>('Systemberegning VP1'!$G$4+'Systemberegning VP1'!$F$4)/'Varmepumpeberegning VP1'!W280+'Systemberegning VP1'!$E$4</f>
        <v>46.906085468567859</v>
      </c>
    </row>
    <row r="281" spans="20:26" x14ac:dyDescent="0.25">
      <c r="T281">
        <v>10</v>
      </c>
      <c r="U281">
        <v>278</v>
      </c>
      <c r="V281" s="15">
        <v>8.1874999999999982</v>
      </c>
      <c r="W281" s="15">
        <f t="shared" si="24"/>
        <v>3.0328225996421248</v>
      </c>
      <c r="X281" s="20">
        <f t="shared" si="25"/>
        <v>9.2017685704053669</v>
      </c>
      <c r="Y281" s="20">
        <f t="shared" si="26"/>
        <v>3.0340609343557325</v>
      </c>
      <c r="Z281" s="289">
        <f>('Systemberegning VP1'!$G$4+'Systemberegning VP1'!$F$4)/'Varmepumpeberegning VP1'!W281+'Systemberegning VP1'!$E$4</f>
        <v>47.54328147744701</v>
      </c>
    </row>
    <row r="282" spans="20:26" x14ac:dyDescent="0.25">
      <c r="T282">
        <v>10</v>
      </c>
      <c r="U282">
        <v>279</v>
      </c>
      <c r="V282" s="15">
        <v>8.9</v>
      </c>
      <c r="W282" s="15">
        <f t="shared" si="24"/>
        <v>3.0756133144315161</v>
      </c>
      <c r="X282" s="20">
        <f t="shared" si="25"/>
        <v>9.3066898143930423</v>
      </c>
      <c r="Y282" s="20">
        <f t="shared" si="26"/>
        <v>3.0259622595349747</v>
      </c>
      <c r="Z282" s="289">
        <f>('Systemberegning VP1'!$G$4+'Systemberegning VP1'!$F$4)/'Varmepumpeberegning VP1'!W282+'Systemberegning VP1'!$E$4</f>
        <v>46.906085468567859</v>
      </c>
    </row>
    <row r="283" spans="20:26" x14ac:dyDescent="0.25">
      <c r="T283">
        <v>10</v>
      </c>
      <c r="U283">
        <v>280</v>
      </c>
      <c r="V283" s="15">
        <v>9.5916666666666668</v>
      </c>
      <c r="W283" s="15">
        <f t="shared" si="24"/>
        <v>3.1186336937333676</v>
      </c>
      <c r="X283" s="20">
        <f t="shared" si="25"/>
        <v>9.4116110583807178</v>
      </c>
      <c r="Y283" s="20">
        <f t="shared" si="26"/>
        <v>3.0178635847142163</v>
      </c>
      <c r="Z283" s="289">
        <f>('Systemberegning VP1'!$G$4+'Systemberegning VP1'!$F$4)/'Varmepumpeberegning VP1'!W283+'Systemberegning VP1'!$E$4</f>
        <v>46.283096463675768</v>
      </c>
    </row>
    <row r="284" spans="20:26" x14ac:dyDescent="0.25">
      <c r="T284">
        <v>10</v>
      </c>
      <c r="U284">
        <v>281</v>
      </c>
      <c r="V284" s="15">
        <v>13.862499999999999</v>
      </c>
      <c r="W284" s="15">
        <f t="shared" si="24"/>
        <v>3.2930492366901718</v>
      </c>
      <c r="X284" s="20">
        <f t="shared" si="25"/>
        <v>9.8312960343314195</v>
      </c>
      <c r="Y284" s="20">
        <f t="shared" si="26"/>
        <v>2.9854688854311844</v>
      </c>
      <c r="Z284" s="289">
        <f>('Systemberegning VP1'!$G$4+'Systemberegning VP1'!$F$4)/'Varmepumpeberegning VP1'!W284+'Systemberegning VP1'!$E$4</f>
        <v>43.924113311887368</v>
      </c>
    </row>
    <row r="285" spans="20:26" x14ac:dyDescent="0.25">
      <c r="T285">
        <v>10</v>
      </c>
      <c r="U285">
        <v>282</v>
      </c>
      <c r="V285" s="15">
        <v>14.937500000000002</v>
      </c>
      <c r="W285" s="15">
        <f t="shared" si="24"/>
        <v>3.3372461519597025</v>
      </c>
      <c r="X285" s="20">
        <f t="shared" si="25"/>
        <v>9.936217278319095</v>
      </c>
      <c r="Y285" s="20">
        <f t="shared" si="26"/>
        <v>2.9773702106104265</v>
      </c>
      <c r="Z285" s="289">
        <f>('Systemberegning VP1'!$G$4+'Systemberegning VP1'!$F$4)/'Varmepumpeberegning VP1'!W285+'Systemberegning VP1'!$E$4</f>
        <v>43.365504555254446</v>
      </c>
    </row>
    <row r="286" spans="20:26" x14ac:dyDescent="0.25">
      <c r="T286">
        <v>10</v>
      </c>
      <c r="U286">
        <v>283</v>
      </c>
      <c r="V286" s="15">
        <v>13.975000000000001</v>
      </c>
      <c r="W286" s="15">
        <f t="shared" si="24"/>
        <v>3.2930492366901718</v>
      </c>
      <c r="X286" s="20">
        <f t="shared" si="25"/>
        <v>9.8312960343314195</v>
      </c>
      <c r="Y286" s="20">
        <f t="shared" si="26"/>
        <v>2.9854688854311844</v>
      </c>
      <c r="Z286" s="289">
        <f>('Systemberegning VP1'!$G$4+'Systemberegning VP1'!$F$4)/'Varmepumpeberegning VP1'!W286+'Systemberegning VP1'!$E$4</f>
        <v>43.924113311887368</v>
      </c>
    </row>
    <row r="287" spans="20:26" x14ac:dyDescent="0.25">
      <c r="T287">
        <v>10</v>
      </c>
      <c r="U287">
        <v>284</v>
      </c>
      <c r="V287" s="15">
        <v>11.6</v>
      </c>
      <c r="W287" s="15">
        <f t="shared" si="24"/>
        <v>3.2053708816573461</v>
      </c>
      <c r="X287" s="20">
        <f t="shared" si="25"/>
        <v>9.6214535463560686</v>
      </c>
      <c r="Y287" s="20">
        <f t="shared" si="26"/>
        <v>3.0016662350727006</v>
      </c>
      <c r="Z287" s="289">
        <f>('Systemberegning VP1'!$G$4+'Systemberegning VP1'!$F$4)/'Varmepumpeberegning VP1'!W287+'Systemberegning VP1'!$E$4</f>
        <v>45.077880349837372</v>
      </c>
    </row>
    <row r="288" spans="20:26" x14ac:dyDescent="0.25">
      <c r="T288">
        <v>10</v>
      </c>
      <c r="U288">
        <v>285</v>
      </c>
      <c r="V288" s="15">
        <v>8.654166666666665</v>
      </c>
      <c r="W288" s="15">
        <f t="shared" si="24"/>
        <v>3.0756133144315161</v>
      </c>
      <c r="X288" s="20">
        <f t="shared" si="25"/>
        <v>9.3066898143930423</v>
      </c>
      <c r="Y288" s="20">
        <f t="shared" si="26"/>
        <v>3.0259622595349747</v>
      </c>
      <c r="Z288" s="289">
        <f>('Systemberegning VP1'!$G$4+'Systemberegning VP1'!$F$4)/'Varmepumpeberegning VP1'!W288+'Systemberegning VP1'!$E$4</f>
        <v>46.906085468567859</v>
      </c>
    </row>
    <row r="289" spans="20:26" x14ac:dyDescent="0.25">
      <c r="T289">
        <v>10</v>
      </c>
      <c r="U289">
        <v>286</v>
      </c>
      <c r="V289" s="15">
        <v>8.1583333333333332</v>
      </c>
      <c r="W289" s="15">
        <f t="shared" si="24"/>
        <v>3.0328225996421248</v>
      </c>
      <c r="X289" s="20">
        <f t="shared" si="25"/>
        <v>9.2017685704053669</v>
      </c>
      <c r="Y289" s="20">
        <f t="shared" si="26"/>
        <v>3.0340609343557325</v>
      </c>
      <c r="Z289" s="289">
        <f>('Systemberegning VP1'!$G$4+'Systemberegning VP1'!$F$4)/'Varmepumpeberegning VP1'!W289+'Systemberegning VP1'!$E$4</f>
        <v>47.54328147744701</v>
      </c>
    </row>
    <row r="290" spans="20:26" x14ac:dyDescent="0.25">
      <c r="T290">
        <v>10</v>
      </c>
      <c r="U290">
        <v>287</v>
      </c>
      <c r="V290" s="15">
        <v>10.279166666666667</v>
      </c>
      <c r="W290" s="15">
        <f t="shared" si="24"/>
        <v>3.1186336937333676</v>
      </c>
      <c r="X290" s="20">
        <f t="shared" si="25"/>
        <v>9.4116110583807178</v>
      </c>
      <c r="Y290" s="20">
        <f t="shared" si="26"/>
        <v>3.0178635847142163</v>
      </c>
      <c r="Z290" s="289">
        <f>('Systemberegning VP1'!$G$4+'Systemberegning VP1'!$F$4)/'Varmepumpeberegning VP1'!W290+'Systemberegning VP1'!$E$4</f>
        <v>46.283096463675768</v>
      </c>
    </row>
    <row r="291" spans="20:26" x14ac:dyDescent="0.25">
      <c r="T291">
        <v>10</v>
      </c>
      <c r="U291">
        <v>288</v>
      </c>
      <c r="V291" s="15">
        <v>8.0375000000000014</v>
      </c>
      <c r="W291" s="15">
        <f t="shared" si="24"/>
        <v>3.0328225996421248</v>
      </c>
      <c r="X291" s="20">
        <f t="shared" si="25"/>
        <v>9.2017685704053669</v>
      </c>
      <c r="Y291" s="20">
        <f t="shared" si="26"/>
        <v>3.0340609343557325</v>
      </c>
      <c r="Z291" s="289">
        <f>('Systemberegning VP1'!$G$4+'Systemberegning VP1'!$F$4)/'Varmepumpeberegning VP1'!W291+'Systemberegning VP1'!$E$4</f>
        <v>47.54328147744701</v>
      </c>
    </row>
    <row r="292" spans="20:26" x14ac:dyDescent="0.25">
      <c r="T292">
        <v>10</v>
      </c>
      <c r="U292">
        <v>289</v>
      </c>
      <c r="V292" s="15">
        <v>7.583333333333333</v>
      </c>
      <c r="W292" s="15">
        <f t="shared" si="24"/>
        <v>3.0328225996421248</v>
      </c>
      <c r="X292" s="20">
        <f t="shared" si="25"/>
        <v>9.2017685704053669</v>
      </c>
      <c r="Y292" s="20">
        <f t="shared" si="26"/>
        <v>3.0340609343557325</v>
      </c>
      <c r="Z292" s="289">
        <f>('Systemberegning VP1'!$G$4+'Systemberegning VP1'!$F$4)/'Varmepumpeberegning VP1'!W292+'Systemberegning VP1'!$E$4</f>
        <v>47.54328147744701</v>
      </c>
    </row>
    <row r="293" spans="20:26" x14ac:dyDescent="0.25">
      <c r="T293">
        <v>10</v>
      </c>
      <c r="U293">
        <v>290</v>
      </c>
      <c r="V293" s="15">
        <v>12.620833333333335</v>
      </c>
      <c r="W293" s="15">
        <f t="shared" si="24"/>
        <v>3.2490914584620767</v>
      </c>
      <c r="X293" s="20">
        <f t="shared" si="25"/>
        <v>9.7263747903437441</v>
      </c>
      <c r="Y293" s="20">
        <f t="shared" si="26"/>
        <v>2.9935675602519423</v>
      </c>
      <c r="Z293" s="289">
        <f>('Systemberegning VP1'!$G$4+'Systemberegning VP1'!$F$4)/'Varmepumpeberegning VP1'!W293+'Systemberegning VP1'!$E$4</f>
        <v>44.494773819951156</v>
      </c>
    </row>
    <row r="294" spans="20:26" x14ac:dyDescent="0.25">
      <c r="T294">
        <v>10</v>
      </c>
      <c r="U294">
        <v>291</v>
      </c>
      <c r="V294" s="15">
        <v>15.229166666666671</v>
      </c>
      <c r="W294" s="15">
        <f t="shared" si="24"/>
        <v>3.3372461519597025</v>
      </c>
      <c r="X294" s="20">
        <f t="shared" si="25"/>
        <v>9.936217278319095</v>
      </c>
      <c r="Y294" s="20">
        <f t="shared" si="26"/>
        <v>2.9773702106104265</v>
      </c>
      <c r="Z294" s="289">
        <f>('Systemberegning VP1'!$G$4+'Systemberegning VP1'!$F$4)/'Varmepumpeberegning VP1'!W294+'Systemberegning VP1'!$E$4</f>
        <v>43.365504555254446</v>
      </c>
    </row>
    <row r="295" spans="20:26" x14ac:dyDescent="0.25">
      <c r="T295">
        <v>10</v>
      </c>
      <c r="U295">
        <v>292</v>
      </c>
      <c r="V295" s="15">
        <v>15.300000000000006</v>
      </c>
      <c r="W295" s="15">
        <f t="shared" si="24"/>
        <v>3.3372461519597025</v>
      </c>
      <c r="X295" s="20">
        <f t="shared" si="25"/>
        <v>9.936217278319095</v>
      </c>
      <c r="Y295" s="20">
        <f t="shared" si="26"/>
        <v>2.9773702106104265</v>
      </c>
      <c r="Z295" s="289">
        <f>('Systemberegning VP1'!$G$4+'Systemberegning VP1'!$F$4)/'Varmepumpeberegning VP1'!W295+'Systemberegning VP1'!$E$4</f>
        <v>43.365504555254446</v>
      </c>
    </row>
    <row r="296" spans="20:26" x14ac:dyDescent="0.25">
      <c r="T296">
        <v>10</v>
      </c>
      <c r="U296">
        <v>293</v>
      </c>
      <c r="V296" s="15">
        <v>13.066666666666665</v>
      </c>
      <c r="W296" s="15">
        <f t="shared" si="24"/>
        <v>3.2490914584620767</v>
      </c>
      <c r="X296" s="20">
        <f t="shared" si="25"/>
        <v>9.7263747903437441</v>
      </c>
      <c r="Y296" s="20">
        <f t="shared" si="26"/>
        <v>2.9935675602519423</v>
      </c>
      <c r="Z296" s="289">
        <f>('Systemberegning VP1'!$G$4+'Systemberegning VP1'!$F$4)/'Varmepumpeberegning VP1'!W296+'Systemberegning VP1'!$E$4</f>
        <v>44.494773819951156</v>
      </c>
    </row>
    <row r="297" spans="20:26" x14ac:dyDescent="0.25">
      <c r="T297">
        <v>10</v>
      </c>
      <c r="U297">
        <v>294</v>
      </c>
      <c r="V297" s="15">
        <v>14.583333333333334</v>
      </c>
      <c r="W297" s="15">
        <f t="shared" si="24"/>
        <v>3.3372461519597025</v>
      </c>
      <c r="X297" s="20">
        <f t="shared" si="25"/>
        <v>9.936217278319095</v>
      </c>
      <c r="Y297" s="20">
        <f t="shared" si="26"/>
        <v>2.9773702106104265</v>
      </c>
      <c r="Z297" s="289">
        <f>('Systemberegning VP1'!$G$4+'Systemberegning VP1'!$F$4)/'Varmepumpeberegning VP1'!W297+'Systemberegning VP1'!$E$4</f>
        <v>43.365504555254446</v>
      </c>
    </row>
    <row r="298" spans="20:26" x14ac:dyDescent="0.25">
      <c r="T298">
        <v>10</v>
      </c>
      <c r="U298">
        <v>295</v>
      </c>
      <c r="V298" s="15">
        <v>13.991666666666669</v>
      </c>
      <c r="W298" s="15">
        <f t="shared" si="24"/>
        <v>3.2930492366901718</v>
      </c>
      <c r="X298" s="20">
        <f t="shared" si="25"/>
        <v>9.8312960343314195</v>
      </c>
      <c r="Y298" s="20">
        <f t="shared" si="26"/>
        <v>2.9854688854311844</v>
      </c>
      <c r="Z298" s="289">
        <f>('Systemberegning VP1'!$G$4+'Systemberegning VP1'!$F$4)/'Varmepumpeberegning VP1'!W298+'Systemberegning VP1'!$E$4</f>
        <v>43.924113311887368</v>
      </c>
    </row>
    <row r="299" spans="20:26" x14ac:dyDescent="0.25">
      <c r="T299">
        <v>10</v>
      </c>
      <c r="U299">
        <v>296</v>
      </c>
      <c r="V299" s="15">
        <v>11.770833333333334</v>
      </c>
      <c r="W299" s="15">
        <f t="shared" si="24"/>
        <v>3.2053708816573461</v>
      </c>
      <c r="X299" s="20">
        <f t="shared" si="25"/>
        <v>9.6214535463560686</v>
      </c>
      <c r="Y299" s="20">
        <f t="shared" si="26"/>
        <v>3.0016662350727006</v>
      </c>
      <c r="Z299" s="289">
        <f>('Systemberegning VP1'!$G$4+'Systemberegning VP1'!$F$4)/'Varmepumpeberegning VP1'!W299+'Systemberegning VP1'!$E$4</f>
        <v>45.077880349837372</v>
      </c>
    </row>
    <row r="300" spans="20:26" x14ac:dyDescent="0.25">
      <c r="T300">
        <v>10</v>
      </c>
      <c r="U300">
        <v>297</v>
      </c>
      <c r="V300" s="15">
        <v>10.408333333333333</v>
      </c>
      <c r="W300" s="15">
        <f t="shared" si="24"/>
        <v>3.1186336937333676</v>
      </c>
      <c r="X300" s="20">
        <f t="shared" si="25"/>
        <v>9.4116110583807178</v>
      </c>
      <c r="Y300" s="20">
        <f t="shared" si="26"/>
        <v>3.0178635847142163</v>
      </c>
      <c r="Z300" s="289">
        <f>('Systemberegning VP1'!$G$4+'Systemberegning VP1'!$F$4)/'Varmepumpeberegning VP1'!W300+'Systemberegning VP1'!$E$4</f>
        <v>46.283096463675768</v>
      </c>
    </row>
    <row r="301" spans="20:26" x14ac:dyDescent="0.25">
      <c r="T301">
        <v>10</v>
      </c>
      <c r="U301">
        <v>298</v>
      </c>
      <c r="V301" s="15">
        <v>9.6999999999999993</v>
      </c>
      <c r="W301" s="15">
        <f t="shared" si="24"/>
        <v>3.1186336937333676</v>
      </c>
      <c r="X301" s="20">
        <f t="shared" si="25"/>
        <v>9.4116110583807178</v>
      </c>
      <c r="Y301" s="20">
        <f t="shared" si="26"/>
        <v>3.0178635847142163</v>
      </c>
      <c r="Z301" s="289">
        <f>('Systemberegning VP1'!$G$4+'Systemberegning VP1'!$F$4)/'Varmepumpeberegning VP1'!W301+'Systemberegning VP1'!$E$4</f>
        <v>46.283096463675768</v>
      </c>
    </row>
    <row r="302" spans="20:26" x14ac:dyDescent="0.25">
      <c r="T302">
        <v>10</v>
      </c>
      <c r="U302">
        <v>299</v>
      </c>
      <c r="V302" s="15">
        <v>12.416666666666666</v>
      </c>
      <c r="W302" s="15">
        <f t="shared" si="24"/>
        <v>3.2053708816573461</v>
      </c>
      <c r="X302" s="20">
        <f t="shared" si="25"/>
        <v>9.6214535463560686</v>
      </c>
      <c r="Y302" s="20">
        <f t="shared" si="26"/>
        <v>3.0016662350727006</v>
      </c>
      <c r="Z302" s="289">
        <f>('Systemberegning VP1'!$G$4+'Systemberegning VP1'!$F$4)/'Varmepumpeberegning VP1'!W302+'Systemberegning VP1'!$E$4</f>
        <v>45.077880349837372</v>
      </c>
    </row>
    <row r="303" spans="20:26" x14ac:dyDescent="0.25">
      <c r="T303">
        <v>10</v>
      </c>
      <c r="U303">
        <v>300</v>
      </c>
      <c r="V303" s="15">
        <v>13.100000000000001</v>
      </c>
      <c r="W303" s="15">
        <f t="shared" si="24"/>
        <v>3.2490914584620767</v>
      </c>
      <c r="X303" s="20">
        <f t="shared" si="25"/>
        <v>9.7263747903437441</v>
      </c>
      <c r="Y303" s="20">
        <f t="shared" si="26"/>
        <v>2.9935675602519423</v>
      </c>
      <c r="Z303" s="289">
        <f>('Systemberegning VP1'!$G$4+'Systemberegning VP1'!$F$4)/'Varmepumpeberegning VP1'!W303+'Systemberegning VP1'!$E$4</f>
        <v>44.494773819951156</v>
      </c>
    </row>
    <row r="304" spans="20:26" x14ac:dyDescent="0.25">
      <c r="T304">
        <v>10</v>
      </c>
      <c r="U304">
        <v>301</v>
      </c>
      <c r="V304" s="15">
        <v>12.151999999999997</v>
      </c>
      <c r="W304" s="15">
        <f t="shared" si="24"/>
        <v>3.2053708816573461</v>
      </c>
      <c r="X304" s="20">
        <f t="shared" si="25"/>
        <v>9.6214535463560686</v>
      </c>
      <c r="Y304" s="20">
        <f t="shared" si="26"/>
        <v>3.0016662350727006</v>
      </c>
      <c r="Z304" s="289">
        <f>('Systemberegning VP1'!$G$4+'Systemberegning VP1'!$F$4)/'Varmepumpeberegning VP1'!W304+'Systemberegning VP1'!$E$4</f>
        <v>45.077880349837372</v>
      </c>
    </row>
    <row r="305" spans="20:26" x14ac:dyDescent="0.25">
      <c r="T305">
        <v>10</v>
      </c>
      <c r="U305">
        <v>302</v>
      </c>
      <c r="V305" s="15">
        <v>11.754166666666665</v>
      </c>
      <c r="W305" s="15">
        <f t="shared" si="24"/>
        <v>3.2053708816573461</v>
      </c>
      <c r="X305" s="20">
        <f t="shared" si="25"/>
        <v>9.6214535463560686</v>
      </c>
      <c r="Y305" s="20">
        <f t="shared" si="26"/>
        <v>3.0016662350727006</v>
      </c>
      <c r="Z305" s="289">
        <f>('Systemberegning VP1'!$G$4+'Systemberegning VP1'!$F$4)/'Varmepumpeberegning VP1'!W305+'Systemberegning VP1'!$E$4</f>
        <v>45.077880349837372</v>
      </c>
    </row>
    <row r="306" spans="20:26" x14ac:dyDescent="0.25">
      <c r="T306">
        <v>10</v>
      </c>
      <c r="U306">
        <v>303</v>
      </c>
      <c r="V306" s="15">
        <v>13.733333333333334</v>
      </c>
      <c r="W306" s="15">
        <f t="shared" si="24"/>
        <v>3.2930492366901718</v>
      </c>
      <c r="X306" s="20">
        <f t="shared" si="25"/>
        <v>9.8312960343314195</v>
      </c>
      <c r="Y306" s="20">
        <f t="shared" si="26"/>
        <v>2.9854688854311844</v>
      </c>
      <c r="Z306" s="289">
        <f>('Systemberegning VP1'!$G$4+'Systemberegning VP1'!$F$4)/'Varmepumpeberegning VP1'!W306+'Systemberegning VP1'!$E$4</f>
        <v>43.924113311887368</v>
      </c>
    </row>
    <row r="307" spans="20:26" x14ac:dyDescent="0.25">
      <c r="T307">
        <v>10</v>
      </c>
      <c r="U307">
        <v>304</v>
      </c>
      <c r="V307" s="15">
        <v>12.65</v>
      </c>
      <c r="W307" s="15">
        <f t="shared" si="24"/>
        <v>3.2490914584620767</v>
      </c>
      <c r="X307" s="20">
        <f t="shared" si="25"/>
        <v>9.7263747903437441</v>
      </c>
      <c r="Y307" s="20">
        <f t="shared" si="26"/>
        <v>2.9935675602519423</v>
      </c>
      <c r="Z307" s="289">
        <f>('Systemberegning VP1'!$G$4+'Systemberegning VP1'!$F$4)/'Varmepumpeberegning VP1'!W307+'Systemberegning VP1'!$E$4</f>
        <v>44.494773819951156</v>
      </c>
    </row>
    <row r="308" spans="20:26" x14ac:dyDescent="0.25">
      <c r="T308">
        <v>11</v>
      </c>
      <c r="U308">
        <v>305</v>
      </c>
      <c r="V308" s="15">
        <v>12.462499999999999</v>
      </c>
      <c r="W308" s="15">
        <f t="shared" si="24"/>
        <v>3.2053708816573461</v>
      </c>
      <c r="X308" s="20">
        <f t="shared" si="25"/>
        <v>9.6214535463560686</v>
      </c>
      <c r="Y308" s="20">
        <f t="shared" si="26"/>
        <v>3.0016662350727006</v>
      </c>
      <c r="Z308" s="289">
        <f>('Systemberegning VP1'!$G$4+'Systemberegning VP1'!$F$4)/'Varmepumpeberegning VP1'!W308+'Systemberegning VP1'!$E$4</f>
        <v>45.077880349837372</v>
      </c>
    </row>
    <row r="309" spans="20:26" x14ac:dyDescent="0.25">
      <c r="T309">
        <v>11</v>
      </c>
      <c r="U309">
        <v>306</v>
      </c>
      <c r="V309" s="15">
        <v>12.008333333333335</v>
      </c>
      <c r="W309" s="15">
        <f t="shared" si="24"/>
        <v>3.2053708816573461</v>
      </c>
      <c r="X309" s="20">
        <f t="shared" si="25"/>
        <v>9.6214535463560686</v>
      </c>
      <c r="Y309" s="20">
        <f t="shared" si="26"/>
        <v>3.0016662350727006</v>
      </c>
      <c r="Z309" s="289">
        <f>('Systemberegning VP1'!$G$4+'Systemberegning VP1'!$F$4)/'Varmepumpeberegning VP1'!W309+'Systemberegning VP1'!$E$4</f>
        <v>45.077880349837372</v>
      </c>
    </row>
    <row r="310" spans="20:26" x14ac:dyDescent="0.25">
      <c r="T310">
        <v>11</v>
      </c>
      <c r="U310">
        <v>307</v>
      </c>
      <c r="V310" s="15">
        <v>9.0541666666666671</v>
      </c>
      <c r="W310" s="15">
        <f t="shared" si="24"/>
        <v>3.0756133144315161</v>
      </c>
      <c r="X310" s="20">
        <f t="shared" si="25"/>
        <v>9.3066898143930423</v>
      </c>
      <c r="Y310" s="20">
        <f t="shared" si="26"/>
        <v>3.0259622595349747</v>
      </c>
      <c r="Z310" s="289">
        <f>('Systemberegning VP1'!$G$4+'Systemberegning VP1'!$F$4)/'Varmepumpeberegning VP1'!W310+'Systemberegning VP1'!$E$4</f>
        <v>46.906085468567859</v>
      </c>
    </row>
    <row r="311" spans="20:26" x14ac:dyDescent="0.25">
      <c r="T311">
        <v>11</v>
      </c>
      <c r="U311">
        <v>308</v>
      </c>
      <c r="V311" s="15">
        <v>4.0458333333333334</v>
      </c>
      <c r="W311" s="15">
        <f t="shared" si="24"/>
        <v>2.8746445419591673</v>
      </c>
      <c r="X311" s="20">
        <f t="shared" si="25"/>
        <v>8.8308088762170591</v>
      </c>
      <c r="Y311" s="20">
        <f t="shared" si="26"/>
        <v>3.0719655064547786</v>
      </c>
      <c r="Z311" s="289">
        <f>('Systemberegning VP1'!$G$4+'Systemberegning VP1'!$F$4)/'Varmepumpeberegning VP1'!W311+'Systemberegning VP1'!$E$4</f>
        <v>50.063378875196641</v>
      </c>
    </row>
    <row r="312" spans="20:26" x14ac:dyDescent="0.25">
      <c r="T312">
        <v>11</v>
      </c>
      <c r="U312">
        <v>309</v>
      </c>
      <c r="V312" s="15">
        <v>6.2291666666666679</v>
      </c>
      <c r="W312" s="15">
        <f t="shared" si="24"/>
        <v>2.9514704207300451</v>
      </c>
      <c r="X312" s="20">
        <f t="shared" si="25"/>
        <v>9.0081678430174801</v>
      </c>
      <c r="Y312" s="20">
        <f t="shared" si="26"/>
        <v>3.052094908269253</v>
      </c>
      <c r="Z312" s="289">
        <f>('Systemberegning VP1'!$G$4+'Systemberegning VP1'!$F$4)/'Varmepumpeberegning VP1'!W312+'Systemberegning VP1'!$E$4</f>
        <v>48.805649522192738</v>
      </c>
    </row>
    <row r="313" spans="20:26" x14ac:dyDescent="0.25">
      <c r="T313">
        <v>11</v>
      </c>
      <c r="U313">
        <v>310</v>
      </c>
      <c r="V313" s="15">
        <v>5.3708333333333336</v>
      </c>
      <c r="W313" s="15">
        <f t="shared" si="24"/>
        <v>2.9129328437623547</v>
      </c>
      <c r="X313" s="20">
        <f t="shared" si="25"/>
        <v>8.9194883596172705</v>
      </c>
      <c r="Y313" s="20">
        <f t="shared" si="26"/>
        <v>3.062030207362016</v>
      </c>
      <c r="Z313" s="289">
        <f>('Systemberegning VP1'!$G$4+'Systemberegning VP1'!$F$4)/'Varmepumpeberegning VP1'!W313+'Systemberegning VP1'!$E$4</f>
        <v>49.428261889997998</v>
      </c>
    </row>
    <row r="314" spans="20:26" x14ac:dyDescent="0.25">
      <c r="T314">
        <v>11</v>
      </c>
      <c r="U314">
        <v>311</v>
      </c>
      <c r="V314" s="15">
        <v>7.0999999999999988</v>
      </c>
      <c r="W314" s="15">
        <f t="shared" si="24"/>
        <v>2.9902597151633996</v>
      </c>
      <c r="X314" s="20">
        <f t="shared" si="25"/>
        <v>9.0968473264176914</v>
      </c>
      <c r="Y314" s="20">
        <f t="shared" si="26"/>
        <v>3.0421596091764904</v>
      </c>
      <c r="Z314" s="289">
        <f>('Systemberegning VP1'!$G$4+'Systemberegning VP1'!$F$4)/'Varmepumpeberegning VP1'!W314+'Systemberegning VP1'!$E$4</f>
        <v>48.195176072664189</v>
      </c>
    </row>
    <row r="315" spans="20:26" x14ac:dyDescent="0.25">
      <c r="T315">
        <v>11</v>
      </c>
      <c r="U315">
        <v>312</v>
      </c>
      <c r="V315" s="15">
        <v>5.4958333333333336</v>
      </c>
      <c r="W315" s="15">
        <f t="shared" si="24"/>
        <v>2.9129328437623547</v>
      </c>
      <c r="X315" s="20">
        <f t="shared" si="25"/>
        <v>8.9194883596172705</v>
      </c>
      <c r="Y315" s="20">
        <f t="shared" si="26"/>
        <v>3.062030207362016</v>
      </c>
      <c r="Z315" s="289">
        <f>('Systemberegning VP1'!$G$4+'Systemberegning VP1'!$F$4)/'Varmepumpeberegning VP1'!W315+'Systemberegning VP1'!$E$4</f>
        <v>49.428261889997998</v>
      </c>
    </row>
    <row r="316" spans="20:26" x14ac:dyDescent="0.25">
      <c r="T316">
        <v>11</v>
      </c>
      <c r="U316">
        <v>313</v>
      </c>
      <c r="V316" s="15">
        <v>4.1458333333333321</v>
      </c>
      <c r="W316" s="15">
        <f t="shared" si="24"/>
        <v>2.8746445419591673</v>
      </c>
      <c r="X316" s="20">
        <f t="shared" si="25"/>
        <v>8.8308088762170591</v>
      </c>
      <c r="Y316" s="20">
        <f t="shared" si="26"/>
        <v>3.0719655064547786</v>
      </c>
      <c r="Z316" s="289">
        <f>('Systemberegning VP1'!$G$4+'Systemberegning VP1'!$F$4)/'Varmepumpeberegning VP1'!W316+'Systemberegning VP1'!$E$4</f>
        <v>50.063378875196641</v>
      </c>
    </row>
    <row r="317" spans="20:26" x14ac:dyDescent="0.25">
      <c r="T317">
        <v>11</v>
      </c>
      <c r="U317">
        <v>314</v>
      </c>
      <c r="V317" s="15">
        <v>5.8250000000000002</v>
      </c>
      <c r="W317" s="15">
        <f t="shared" si="24"/>
        <v>2.9514704207300451</v>
      </c>
      <c r="X317" s="20">
        <f t="shared" si="25"/>
        <v>9.0081678430174801</v>
      </c>
      <c r="Y317" s="20">
        <f t="shared" si="26"/>
        <v>3.052094908269253</v>
      </c>
      <c r="Z317" s="289">
        <f>('Systemberegning VP1'!$G$4+'Systemberegning VP1'!$F$4)/'Varmepumpeberegning VP1'!W317+'Systemberegning VP1'!$E$4</f>
        <v>48.805649522192738</v>
      </c>
    </row>
    <row r="318" spans="20:26" x14ac:dyDescent="0.25">
      <c r="T318">
        <v>11</v>
      </c>
      <c r="U318">
        <v>315</v>
      </c>
      <c r="V318" s="15">
        <v>7.875</v>
      </c>
      <c r="W318" s="15">
        <f t="shared" si="24"/>
        <v>3.0328225996421248</v>
      </c>
      <c r="X318" s="20">
        <f t="shared" si="25"/>
        <v>9.2017685704053669</v>
      </c>
      <c r="Y318" s="20">
        <f t="shared" si="26"/>
        <v>3.0340609343557325</v>
      </c>
      <c r="Z318" s="289">
        <f>('Systemberegning VP1'!$G$4+'Systemberegning VP1'!$F$4)/'Varmepumpeberegning VP1'!W318+'Systemberegning VP1'!$E$4</f>
        <v>47.54328147744701</v>
      </c>
    </row>
    <row r="319" spans="20:26" x14ac:dyDescent="0.25">
      <c r="T319">
        <v>11</v>
      </c>
      <c r="U319">
        <v>316</v>
      </c>
      <c r="V319" s="15">
        <v>9.9458333333333329</v>
      </c>
      <c r="W319" s="15">
        <f t="shared" si="24"/>
        <v>3.1186336937333676</v>
      </c>
      <c r="X319" s="20">
        <f t="shared" si="25"/>
        <v>9.4116110583807178</v>
      </c>
      <c r="Y319" s="20">
        <f t="shared" si="26"/>
        <v>3.0178635847142163</v>
      </c>
      <c r="Z319" s="289">
        <f>('Systemberegning VP1'!$G$4+'Systemberegning VP1'!$F$4)/'Varmepumpeberegning VP1'!W319+'Systemberegning VP1'!$E$4</f>
        <v>46.283096463675768</v>
      </c>
    </row>
    <row r="320" spans="20:26" x14ac:dyDescent="0.25">
      <c r="T320">
        <v>11</v>
      </c>
      <c r="U320">
        <v>317</v>
      </c>
      <c r="V320" s="15">
        <v>7.9708333333333341</v>
      </c>
      <c r="W320" s="15">
        <f t="shared" si="24"/>
        <v>3.0328225996421248</v>
      </c>
      <c r="X320" s="20">
        <f t="shared" si="25"/>
        <v>9.2017685704053669</v>
      </c>
      <c r="Y320" s="20">
        <f t="shared" si="26"/>
        <v>3.0340609343557325</v>
      </c>
      <c r="Z320" s="289">
        <f>('Systemberegning VP1'!$G$4+'Systemberegning VP1'!$F$4)/'Varmepumpeberegning VP1'!W320+'Systemberegning VP1'!$E$4</f>
        <v>47.54328147744701</v>
      </c>
    </row>
    <row r="321" spans="20:26" x14ac:dyDescent="0.25">
      <c r="T321">
        <v>11</v>
      </c>
      <c r="U321">
        <v>318</v>
      </c>
      <c r="V321" s="15">
        <v>9.15</v>
      </c>
      <c r="W321" s="15">
        <f t="shared" si="24"/>
        <v>3.0756133144315161</v>
      </c>
      <c r="X321" s="20">
        <f t="shared" si="25"/>
        <v>9.3066898143930423</v>
      </c>
      <c r="Y321" s="20">
        <f t="shared" si="26"/>
        <v>3.0259622595349747</v>
      </c>
      <c r="Z321" s="289">
        <f>('Systemberegning VP1'!$G$4+'Systemberegning VP1'!$F$4)/'Varmepumpeberegning VP1'!W321+'Systemberegning VP1'!$E$4</f>
        <v>46.906085468567859</v>
      </c>
    </row>
    <row r="322" spans="20:26" x14ac:dyDescent="0.25">
      <c r="T322">
        <v>11</v>
      </c>
      <c r="U322">
        <v>319</v>
      </c>
      <c r="V322" s="15">
        <v>9.8666666666666671</v>
      </c>
      <c r="W322" s="15">
        <f t="shared" si="24"/>
        <v>3.1186336937333676</v>
      </c>
      <c r="X322" s="20">
        <f t="shared" si="25"/>
        <v>9.4116110583807178</v>
      </c>
      <c r="Y322" s="20">
        <f t="shared" si="26"/>
        <v>3.0178635847142163</v>
      </c>
      <c r="Z322" s="289">
        <f>('Systemberegning VP1'!$G$4+'Systemberegning VP1'!$F$4)/'Varmepumpeberegning VP1'!W322+'Systemberegning VP1'!$E$4</f>
        <v>46.283096463675768</v>
      </c>
    </row>
    <row r="323" spans="20:26" x14ac:dyDescent="0.25">
      <c r="T323">
        <v>11</v>
      </c>
      <c r="U323">
        <v>320</v>
      </c>
      <c r="V323" s="15">
        <v>9.1583333333333332</v>
      </c>
      <c r="W323" s="15">
        <f t="shared" si="24"/>
        <v>3.0756133144315161</v>
      </c>
      <c r="X323" s="20">
        <f t="shared" si="25"/>
        <v>9.3066898143930423</v>
      </c>
      <c r="Y323" s="20">
        <f t="shared" si="26"/>
        <v>3.0259622595349747</v>
      </c>
      <c r="Z323" s="289">
        <f>('Systemberegning VP1'!$G$4+'Systemberegning VP1'!$F$4)/'Varmepumpeberegning VP1'!W323+'Systemberegning VP1'!$E$4</f>
        <v>46.906085468567859</v>
      </c>
    </row>
    <row r="324" spans="20:26" x14ac:dyDescent="0.25">
      <c r="T324">
        <v>11</v>
      </c>
      <c r="U324">
        <v>321</v>
      </c>
      <c r="V324" s="15">
        <v>9.2374999999999989</v>
      </c>
      <c r="W324" s="15">
        <f t="shared" si="24"/>
        <v>3.0756133144315161</v>
      </c>
      <c r="X324" s="20">
        <f t="shared" si="25"/>
        <v>9.3066898143930423</v>
      </c>
      <c r="Y324" s="20">
        <f t="shared" si="26"/>
        <v>3.0259622595349747</v>
      </c>
      <c r="Z324" s="289">
        <f>('Systemberegning VP1'!$G$4+'Systemberegning VP1'!$F$4)/'Varmepumpeberegning VP1'!W324+'Systemberegning VP1'!$E$4</f>
        <v>46.906085468567859</v>
      </c>
    </row>
    <row r="325" spans="20:26" x14ac:dyDescent="0.25">
      <c r="T325">
        <v>11</v>
      </c>
      <c r="U325">
        <v>322</v>
      </c>
      <c r="V325" s="15">
        <v>6.9625000000000012</v>
      </c>
      <c r="W325" s="15">
        <f t="shared" ref="W325:W368" si="27">VLOOKUP(ROUND(V325,0),$A$21:$D$56,2,FALSE)</f>
        <v>2.9902597151633996</v>
      </c>
      <c r="X325" s="20">
        <f t="shared" ref="X325:X368" si="28">VLOOKUP(ROUND(V325,0),$A$21:$D$56,3,FALSE)</f>
        <v>9.0968473264176914</v>
      </c>
      <c r="Y325" s="20">
        <f t="shared" ref="Y325:Y368" si="29">VLOOKUP(ROUND(V325,0),$A$21:$D$56,4,FALSE)</f>
        <v>3.0421596091764904</v>
      </c>
      <c r="Z325" s="289">
        <f>('Systemberegning VP1'!$G$4+'Systemberegning VP1'!$F$4)/'Varmepumpeberegning VP1'!W325+'Systemberegning VP1'!$E$4</f>
        <v>48.195176072664189</v>
      </c>
    </row>
    <row r="326" spans="20:26" x14ac:dyDescent="0.25">
      <c r="T326">
        <v>11</v>
      </c>
      <c r="U326">
        <v>323</v>
      </c>
      <c r="V326" s="15">
        <v>5</v>
      </c>
      <c r="W326" s="15">
        <f t="shared" si="27"/>
        <v>2.9129328437623547</v>
      </c>
      <c r="X326" s="20">
        <f t="shared" si="28"/>
        <v>8.9194883596172705</v>
      </c>
      <c r="Y326" s="20">
        <f t="shared" si="29"/>
        <v>3.062030207362016</v>
      </c>
      <c r="Z326" s="289">
        <f>('Systemberegning VP1'!$G$4+'Systemberegning VP1'!$F$4)/'Varmepumpeberegning VP1'!W326+'Systemberegning VP1'!$E$4</f>
        <v>49.428261889997998</v>
      </c>
    </row>
    <row r="327" spans="20:26" x14ac:dyDescent="0.25">
      <c r="T327">
        <v>11</v>
      </c>
      <c r="U327">
        <v>324</v>
      </c>
      <c r="V327" s="15">
        <v>3.1625000000000001</v>
      </c>
      <c r="W327" s="15">
        <f t="shared" si="27"/>
        <v>2.8271800941026166</v>
      </c>
      <c r="X327" s="20">
        <f t="shared" si="28"/>
        <v>8.7281360986779148</v>
      </c>
      <c r="Y327" s="20">
        <f t="shared" si="29"/>
        <v>3.087223243006151</v>
      </c>
      <c r="Z327" s="289">
        <f>('Systemberegning VP1'!$G$4+'Systemberegning VP1'!$F$4)/'Varmepumpeberegning VP1'!W327+'Systemberegning VP1'!$E$4</f>
        <v>50.874588423736348</v>
      </c>
    </row>
    <row r="328" spans="20:26" x14ac:dyDescent="0.25">
      <c r="T328">
        <v>11</v>
      </c>
      <c r="U328">
        <v>325</v>
      </c>
      <c r="V328" s="15">
        <v>2.9666666666666668</v>
      </c>
      <c r="W328" s="15">
        <f t="shared" si="27"/>
        <v>2.8271800941026166</v>
      </c>
      <c r="X328" s="20">
        <f t="shared" si="28"/>
        <v>8.7281360986779148</v>
      </c>
      <c r="Y328" s="20">
        <f t="shared" si="29"/>
        <v>3.087223243006151</v>
      </c>
      <c r="Z328" s="289">
        <f>('Systemberegning VP1'!$G$4+'Systemberegning VP1'!$F$4)/'Varmepumpeberegning VP1'!W328+'Systemberegning VP1'!$E$4</f>
        <v>50.874588423736348</v>
      </c>
    </row>
    <row r="329" spans="20:26" x14ac:dyDescent="0.25">
      <c r="T329">
        <v>11</v>
      </c>
      <c r="U329">
        <v>326</v>
      </c>
      <c r="V329" s="15">
        <v>1.9125000000000003</v>
      </c>
      <c r="W329" s="15">
        <f t="shared" si="27"/>
        <v>2.7801824984496553</v>
      </c>
      <c r="X329" s="20">
        <f t="shared" si="28"/>
        <v>8.6254633211387688</v>
      </c>
      <c r="Y329" s="20">
        <f t="shared" si="29"/>
        <v>3.1024809795575234</v>
      </c>
      <c r="Z329" s="289">
        <f>('Systemberegning VP1'!$G$4+'Systemberegning VP1'!$F$4)/'Varmepumpeberegning VP1'!W329+'Systemberegning VP1'!$E$4</f>
        <v>51.705110358037601</v>
      </c>
    </row>
    <row r="330" spans="20:26" x14ac:dyDescent="0.25">
      <c r="T330">
        <v>11</v>
      </c>
      <c r="U330">
        <v>327</v>
      </c>
      <c r="V330" s="15">
        <v>3.0208333333333335</v>
      </c>
      <c r="W330" s="15">
        <f t="shared" si="27"/>
        <v>2.8271800941026166</v>
      </c>
      <c r="X330" s="20">
        <f t="shared" si="28"/>
        <v>8.7281360986779148</v>
      </c>
      <c r="Y330" s="20">
        <f t="shared" si="29"/>
        <v>3.087223243006151</v>
      </c>
      <c r="Z330" s="289">
        <f>('Systemberegning VP1'!$G$4+'Systemberegning VP1'!$F$4)/'Varmepumpeberegning VP1'!W330+'Systemberegning VP1'!$E$4</f>
        <v>50.874588423736348</v>
      </c>
    </row>
    <row r="331" spans="20:26" x14ac:dyDescent="0.25">
      <c r="T331">
        <v>11</v>
      </c>
      <c r="U331">
        <v>328</v>
      </c>
      <c r="V331" s="15">
        <v>4.0541666666666663</v>
      </c>
      <c r="W331" s="15">
        <f t="shared" si="27"/>
        <v>2.8746445419591673</v>
      </c>
      <c r="X331" s="20">
        <f t="shared" si="28"/>
        <v>8.8308088762170591</v>
      </c>
      <c r="Y331" s="20">
        <f t="shared" si="29"/>
        <v>3.0719655064547786</v>
      </c>
      <c r="Z331" s="289">
        <f>('Systemberegning VP1'!$G$4+'Systemberegning VP1'!$F$4)/'Varmepumpeberegning VP1'!W331+'Systemberegning VP1'!$E$4</f>
        <v>50.063378875196641</v>
      </c>
    </row>
    <row r="332" spans="20:26" x14ac:dyDescent="0.25">
      <c r="T332">
        <v>11</v>
      </c>
      <c r="U332">
        <v>329</v>
      </c>
      <c r="V332" s="15">
        <v>12.8375</v>
      </c>
      <c r="W332" s="15">
        <f t="shared" si="27"/>
        <v>3.2490914584620767</v>
      </c>
      <c r="X332" s="20">
        <f t="shared" si="28"/>
        <v>9.7263747903437441</v>
      </c>
      <c r="Y332" s="20">
        <f t="shared" si="29"/>
        <v>2.9935675602519423</v>
      </c>
      <c r="Z332" s="289">
        <f>('Systemberegning VP1'!$G$4+'Systemberegning VP1'!$F$4)/'Varmepumpeberegning VP1'!W332+'Systemberegning VP1'!$E$4</f>
        <v>44.494773819951156</v>
      </c>
    </row>
    <row r="333" spans="20:26" x14ac:dyDescent="0.25">
      <c r="T333">
        <v>11</v>
      </c>
      <c r="U333">
        <v>330</v>
      </c>
      <c r="V333" s="15">
        <v>11.991666666666667</v>
      </c>
      <c r="W333" s="15">
        <f t="shared" si="27"/>
        <v>3.2053708816573461</v>
      </c>
      <c r="X333" s="20">
        <f t="shared" si="28"/>
        <v>9.6214535463560686</v>
      </c>
      <c r="Y333" s="20">
        <f t="shared" si="29"/>
        <v>3.0016662350727006</v>
      </c>
      <c r="Z333" s="289">
        <f>('Systemberegning VP1'!$G$4+'Systemberegning VP1'!$F$4)/'Varmepumpeberegning VP1'!W333+'Systemberegning VP1'!$E$4</f>
        <v>45.077880349837372</v>
      </c>
    </row>
    <row r="334" spans="20:26" x14ac:dyDescent="0.25">
      <c r="T334">
        <v>11</v>
      </c>
      <c r="U334">
        <v>331</v>
      </c>
      <c r="V334" s="15">
        <v>7.0958333333333323</v>
      </c>
      <c r="W334" s="15">
        <f t="shared" si="27"/>
        <v>2.9902597151633996</v>
      </c>
      <c r="X334" s="20">
        <f t="shared" si="28"/>
        <v>9.0968473264176914</v>
      </c>
      <c r="Y334" s="20">
        <f t="shared" si="29"/>
        <v>3.0421596091764904</v>
      </c>
      <c r="Z334" s="289">
        <f>('Systemberegning VP1'!$G$4+'Systemberegning VP1'!$F$4)/'Varmepumpeberegning VP1'!W334+'Systemberegning VP1'!$E$4</f>
        <v>48.195176072664189</v>
      </c>
    </row>
    <row r="335" spans="20:26" x14ac:dyDescent="0.25">
      <c r="T335">
        <v>11</v>
      </c>
      <c r="U335">
        <v>332</v>
      </c>
      <c r="V335" s="15">
        <v>6.3166666666666664</v>
      </c>
      <c r="W335" s="15">
        <f t="shared" si="27"/>
        <v>2.9514704207300451</v>
      </c>
      <c r="X335" s="20">
        <f t="shared" si="28"/>
        <v>9.0081678430174801</v>
      </c>
      <c r="Y335" s="20">
        <f t="shared" si="29"/>
        <v>3.052094908269253</v>
      </c>
      <c r="Z335" s="289">
        <f>('Systemberegning VP1'!$G$4+'Systemberegning VP1'!$F$4)/'Varmepumpeberegning VP1'!W335+'Systemberegning VP1'!$E$4</f>
        <v>48.805649522192738</v>
      </c>
    </row>
    <row r="336" spans="20:26" x14ac:dyDescent="0.25">
      <c r="T336">
        <v>11</v>
      </c>
      <c r="U336">
        <v>333</v>
      </c>
      <c r="V336" s="15">
        <v>6.9999999999999991</v>
      </c>
      <c r="W336" s="15">
        <f t="shared" si="27"/>
        <v>2.9902597151633996</v>
      </c>
      <c r="X336" s="20">
        <f t="shared" si="28"/>
        <v>9.0968473264176914</v>
      </c>
      <c r="Y336" s="20">
        <f t="shared" si="29"/>
        <v>3.0421596091764904</v>
      </c>
      <c r="Z336" s="289">
        <f>('Systemberegning VP1'!$G$4+'Systemberegning VP1'!$F$4)/'Varmepumpeberegning VP1'!W336+'Systemberegning VP1'!$E$4</f>
        <v>48.195176072664189</v>
      </c>
    </row>
    <row r="337" spans="20:26" x14ac:dyDescent="0.25">
      <c r="T337">
        <v>11</v>
      </c>
      <c r="U337">
        <v>334</v>
      </c>
      <c r="V337" s="15">
        <v>5.0666666666666673</v>
      </c>
      <c r="W337" s="15">
        <f t="shared" si="27"/>
        <v>2.9129328437623547</v>
      </c>
      <c r="X337" s="20">
        <f t="shared" si="28"/>
        <v>8.9194883596172705</v>
      </c>
      <c r="Y337" s="20">
        <f t="shared" si="29"/>
        <v>3.062030207362016</v>
      </c>
      <c r="Z337" s="289">
        <f>('Systemberegning VP1'!$G$4+'Systemberegning VP1'!$F$4)/'Varmepumpeberegning VP1'!W337+'Systemberegning VP1'!$E$4</f>
        <v>49.428261889997998</v>
      </c>
    </row>
    <row r="338" spans="20:26" x14ac:dyDescent="0.25">
      <c r="T338">
        <v>12</v>
      </c>
      <c r="U338">
        <v>335</v>
      </c>
      <c r="V338" s="15">
        <v>3.5791666666666671</v>
      </c>
      <c r="W338" s="15">
        <f t="shared" si="27"/>
        <v>2.8746445419591673</v>
      </c>
      <c r="X338" s="20">
        <f t="shared" si="28"/>
        <v>8.8308088762170591</v>
      </c>
      <c r="Y338" s="20">
        <f t="shared" si="29"/>
        <v>3.0719655064547786</v>
      </c>
      <c r="Z338" s="289">
        <f>('Systemberegning VP1'!$G$4+'Systemberegning VP1'!$F$4)/'Varmepumpeberegning VP1'!W338+'Systemberegning VP1'!$E$4</f>
        <v>50.063378875196641</v>
      </c>
    </row>
    <row r="339" spans="20:26" x14ac:dyDescent="0.25">
      <c r="T339">
        <v>12</v>
      </c>
      <c r="U339">
        <v>336</v>
      </c>
      <c r="V339" s="15">
        <v>5.8833333333333329</v>
      </c>
      <c r="W339" s="15">
        <f t="shared" si="27"/>
        <v>2.9514704207300451</v>
      </c>
      <c r="X339" s="20">
        <f t="shared" si="28"/>
        <v>9.0081678430174801</v>
      </c>
      <c r="Y339" s="20">
        <f t="shared" si="29"/>
        <v>3.052094908269253</v>
      </c>
      <c r="Z339" s="289">
        <f>('Systemberegning VP1'!$G$4+'Systemberegning VP1'!$F$4)/'Varmepumpeberegning VP1'!W339+'Systemberegning VP1'!$E$4</f>
        <v>48.805649522192738</v>
      </c>
    </row>
    <row r="340" spans="20:26" x14ac:dyDescent="0.25">
      <c r="T340">
        <v>12</v>
      </c>
      <c r="U340">
        <v>337</v>
      </c>
      <c r="V340" s="15">
        <v>8.6791666666666654</v>
      </c>
      <c r="W340" s="15">
        <f t="shared" si="27"/>
        <v>3.0756133144315161</v>
      </c>
      <c r="X340" s="20">
        <f t="shared" si="28"/>
        <v>9.3066898143930423</v>
      </c>
      <c r="Y340" s="20">
        <f t="shared" si="29"/>
        <v>3.0259622595349747</v>
      </c>
      <c r="Z340" s="289">
        <f>('Systemberegning VP1'!$G$4+'Systemberegning VP1'!$F$4)/'Varmepumpeberegning VP1'!W340+'Systemberegning VP1'!$E$4</f>
        <v>46.906085468567859</v>
      </c>
    </row>
    <row r="341" spans="20:26" x14ac:dyDescent="0.25">
      <c r="T341">
        <v>12</v>
      </c>
      <c r="U341">
        <v>338</v>
      </c>
      <c r="V341" s="15">
        <v>6.1833333333333336</v>
      </c>
      <c r="W341" s="15">
        <f t="shared" si="27"/>
        <v>2.9514704207300451</v>
      </c>
      <c r="X341" s="20">
        <f t="shared" si="28"/>
        <v>9.0081678430174801</v>
      </c>
      <c r="Y341" s="20">
        <f t="shared" si="29"/>
        <v>3.052094908269253</v>
      </c>
      <c r="Z341" s="289">
        <f>('Systemberegning VP1'!$G$4+'Systemberegning VP1'!$F$4)/'Varmepumpeberegning VP1'!W341+'Systemberegning VP1'!$E$4</f>
        <v>48.805649522192738</v>
      </c>
    </row>
    <row r="342" spans="20:26" x14ac:dyDescent="0.25">
      <c r="T342">
        <v>12</v>
      </c>
      <c r="U342">
        <v>339</v>
      </c>
      <c r="V342" s="15">
        <v>4.1999999999999993</v>
      </c>
      <c r="W342" s="15">
        <f t="shared" si="27"/>
        <v>2.8746445419591673</v>
      </c>
      <c r="X342" s="20">
        <f t="shared" si="28"/>
        <v>8.8308088762170591</v>
      </c>
      <c r="Y342" s="20">
        <f t="shared" si="29"/>
        <v>3.0719655064547786</v>
      </c>
      <c r="Z342" s="289">
        <f>('Systemberegning VP1'!$G$4+'Systemberegning VP1'!$F$4)/'Varmepumpeberegning VP1'!W342+'Systemberegning VP1'!$E$4</f>
        <v>50.063378875196641</v>
      </c>
    </row>
    <row r="343" spans="20:26" x14ac:dyDescent="0.25">
      <c r="T343">
        <v>12</v>
      </c>
      <c r="U343">
        <v>340</v>
      </c>
      <c r="V343" s="15">
        <v>5.6833333333333327</v>
      </c>
      <c r="W343" s="15">
        <f t="shared" si="27"/>
        <v>2.9514704207300451</v>
      </c>
      <c r="X343" s="20">
        <f t="shared" si="28"/>
        <v>9.0081678430174801</v>
      </c>
      <c r="Y343" s="20">
        <f t="shared" si="29"/>
        <v>3.052094908269253</v>
      </c>
      <c r="Z343" s="289">
        <f>('Systemberegning VP1'!$G$4+'Systemberegning VP1'!$F$4)/'Varmepumpeberegning VP1'!W343+'Systemberegning VP1'!$E$4</f>
        <v>48.805649522192738</v>
      </c>
    </row>
    <row r="344" spans="20:26" x14ac:dyDescent="0.25">
      <c r="T344">
        <v>12</v>
      </c>
      <c r="U344">
        <v>341</v>
      </c>
      <c r="V344" s="15">
        <v>8.2833333333333332</v>
      </c>
      <c r="W344" s="15">
        <f t="shared" si="27"/>
        <v>3.0328225996421248</v>
      </c>
      <c r="X344" s="20">
        <f t="shared" si="28"/>
        <v>9.2017685704053669</v>
      </c>
      <c r="Y344" s="20">
        <f t="shared" si="29"/>
        <v>3.0340609343557325</v>
      </c>
      <c r="Z344" s="289">
        <f>('Systemberegning VP1'!$G$4+'Systemberegning VP1'!$F$4)/'Varmepumpeberegning VP1'!W344+'Systemberegning VP1'!$E$4</f>
        <v>47.54328147744701</v>
      </c>
    </row>
    <row r="345" spans="20:26" x14ac:dyDescent="0.25">
      <c r="T345">
        <v>12</v>
      </c>
      <c r="U345">
        <v>342</v>
      </c>
      <c r="V345" s="15">
        <v>7.2624999999999993</v>
      </c>
      <c r="W345" s="15">
        <f t="shared" si="27"/>
        <v>2.9902597151633996</v>
      </c>
      <c r="X345" s="20">
        <f t="shared" si="28"/>
        <v>9.0968473264176914</v>
      </c>
      <c r="Y345" s="20">
        <f t="shared" si="29"/>
        <v>3.0421596091764904</v>
      </c>
      <c r="Z345" s="289">
        <f>('Systemberegning VP1'!$G$4+'Systemberegning VP1'!$F$4)/'Varmepumpeberegning VP1'!W345+'Systemberegning VP1'!$E$4</f>
        <v>48.195176072664189</v>
      </c>
    </row>
    <row r="346" spans="20:26" x14ac:dyDescent="0.25">
      <c r="T346">
        <v>12</v>
      </c>
      <c r="U346">
        <v>343</v>
      </c>
      <c r="V346" s="15">
        <v>6.4125000000000005</v>
      </c>
      <c r="W346" s="15">
        <f t="shared" si="27"/>
        <v>2.9514704207300451</v>
      </c>
      <c r="X346" s="20">
        <f t="shared" si="28"/>
        <v>9.0081678430174801</v>
      </c>
      <c r="Y346" s="20">
        <f t="shared" si="29"/>
        <v>3.052094908269253</v>
      </c>
      <c r="Z346" s="289">
        <f>('Systemberegning VP1'!$G$4+'Systemberegning VP1'!$F$4)/'Varmepumpeberegning VP1'!W346+'Systemberegning VP1'!$E$4</f>
        <v>48.805649522192738</v>
      </c>
    </row>
    <row r="347" spans="20:26" x14ac:dyDescent="0.25">
      <c r="T347">
        <v>12</v>
      </c>
      <c r="U347">
        <v>344</v>
      </c>
      <c r="V347" s="15">
        <v>5.9375</v>
      </c>
      <c r="W347" s="15">
        <f t="shared" si="27"/>
        <v>2.9514704207300451</v>
      </c>
      <c r="X347" s="20">
        <f t="shared" si="28"/>
        <v>9.0081678430174801</v>
      </c>
      <c r="Y347" s="20">
        <f t="shared" si="29"/>
        <v>3.052094908269253</v>
      </c>
      <c r="Z347" s="289">
        <f>('Systemberegning VP1'!$G$4+'Systemberegning VP1'!$F$4)/'Varmepumpeberegning VP1'!W347+'Systemberegning VP1'!$E$4</f>
        <v>48.805649522192738</v>
      </c>
    </row>
    <row r="348" spans="20:26" x14ac:dyDescent="0.25">
      <c r="T348">
        <v>12</v>
      </c>
      <c r="U348">
        <v>345</v>
      </c>
      <c r="V348" s="15">
        <v>4.7625000000000002</v>
      </c>
      <c r="W348" s="15">
        <f t="shared" si="27"/>
        <v>2.9129328437623547</v>
      </c>
      <c r="X348" s="20">
        <f t="shared" si="28"/>
        <v>8.9194883596172705</v>
      </c>
      <c r="Y348" s="20">
        <f t="shared" si="29"/>
        <v>3.062030207362016</v>
      </c>
      <c r="Z348" s="289">
        <f>('Systemberegning VP1'!$G$4+'Systemberegning VP1'!$F$4)/'Varmepumpeberegning VP1'!W348+'Systemberegning VP1'!$E$4</f>
        <v>49.428261889997998</v>
      </c>
    </row>
    <row r="349" spans="20:26" x14ac:dyDescent="0.25">
      <c r="T349">
        <v>12</v>
      </c>
      <c r="U349">
        <v>346</v>
      </c>
      <c r="V349" s="15">
        <v>3.8333333333333326</v>
      </c>
      <c r="W349" s="15">
        <f t="shared" si="27"/>
        <v>2.8746445419591673</v>
      </c>
      <c r="X349" s="20">
        <f t="shared" si="28"/>
        <v>8.8308088762170591</v>
      </c>
      <c r="Y349" s="20">
        <f t="shared" si="29"/>
        <v>3.0719655064547786</v>
      </c>
      <c r="Z349" s="289">
        <f>('Systemberegning VP1'!$G$4+'Systemberegning VP1'!$F$4)/'Varmepumpeberegning VP1'!W349+'Systemberegning VP1'!$E$4</f>
        <v>50.063378875196641</v>
      </c>
    </row>
    <row r="350" spans="20:26" x14ac:dyDescent="0.25">
      <c r="T350">
        <v>12</v>
      </c>
      <c r="U350">
        <v>347</v>
      </c>
      <c r="V350" s="15">
        <v>4.520833333333333</v>
      </c>
      <c r="W350" s="15">
        <f t="shared" si="27"/>
        <v>2.9129328437623547</v>
      </c>
      <c r="X350" s="20">
        <f t="shared" si="28"/>
        <v>8.9194883596172705</v>
      </c>
      <c r="Y350" s="20">
        <f t="shared" si="29"/>
        <v>3.062030207362016</v>
      </c>
      <c r="Z350" s="289">
        <f>('Systemberegning VP1'!$G$4+'Systemberegning VP1'!$F$4)/'Varmepumpeberegning VP1'!W350+'Systemberegning VP1'!$E$4</f>
        <v>49.428261889997998</v>
      </c>
    </row>
    <row r="351" spans="20:26" x14ac:dyDescent="0.25">
      <c r="T351">
        <v>12</v>
      </c>
      <c r="U351">
        <v>348</v>
      </c>
      <c r="V351" s="15">
        <v>2.3583333333333329</v>
      </c>
      <c r="W351" s="15">
        <f t="shared" si="27"/>
        <v>2.7801824984496553</v>
      </c>
      <c r="X351" s="20">
        <f t="shared" si="28"/>
        <v>8.6254633211387688</v>
      </c>
      <c r="Y351" s="20">
        <f t="shared" si="29"/>
        <v>3.1024809795575234</v>
      </c>
      <c r="Z351" s="289">
        <f>('Systemberegning VP1'!$G$4+'Systemberegning VP1'!$F$4)/'Varmepumpeberegning VP1'!W351+'Systemberegning VP1'!$E$4</f>
        <v>51.705110358037601</v>
      </c>
    </row>
    <row r="352" spans="20:26" x14ac:dyDescent="0.25">
      <c r="T352">
        <v>12</v>
      </c>
      <c r="U352">
        <v>349</v>
      </c>
      <c r="V352" s="15">
        <v>3.9499999999999997</v>
      </c>
      <c r="W352" s="15">
        <f t="shared" si="27"/>
        <v>2.8746445419591673</v>
      </c>
      <c r="X352" s="20">
        <f t="shared" si="28"/>
        <v>8.8308088762170591</v>
      </c>
      <c r="Y352" s="20">
        <f t="shared" si="29"/>
        <v>3.0719655064547786</v>
      </c>
      <c r="Z352" s="289">
        <f>('Systemberegning VP1'!$G$4+'Systemberegning VP1'!$F$4)/'Varmepumpeberegning VP1'!W352+'Systemberegning VP1'!$E$4</f>
        <v>50.063378875196641</v>
      </c>
    </row>
    <row r="353" spans="20:26" x14ac:dyDescent="0.25">
      <c r="T353">
        <v>12</v>
      </c>
      <c r="U353">
        <v>350</v>
      </c>
      <c r="V353" s="15">
        <v>7.7124999999999986</v>
      </c>
      <c r="W353" s="15">
        <f t="shared" si="27"/>
        <v>3.0328225996421248</v>
      </c>
      <c r="X353" s="20">
        <f t="shared" si="28"/>
        <v>9.2017685704053669</v>
      </c>
      <c r="Y353" s="20">
        <f t="shared" si="29"/>
        <v>3.0340609343557325</v>
      </c>
      <c r="Z353" s="289">
        <f>('Systemberegning VP1'!$G$4+'Systemberegning VP1'!$F$4)/'Varmepumpeberegning VP1'!W353+'Systemberegning VP1'!$E$4</f>
        <v>47.54328147744701</v>
      </c>
    </row>
    <row r="354" spans="20:26" x14ac:dyDescent="0.25">
      <c r="T354">
        <v>12</v>
      </c>
      <c r="U354">
        <v>351</v>
      </c>
      <c r="V354" s="15">
        <v>9.7750000000000004</v>
      </c>
      <c r="W354" s="15">
        <f t="shared" si="27"/>
        <v>3.1186336937333676</v>
      </c>
      <c r="X354" s="20">
        <f t="shared" si="28"/>
        <v>9.4116110583807178</v>
      </c>
      <c r="Y354" s="20">
        <f t="shared" si="29"/>
        <v>3.0178635847142163</v>
      </c>
      <c r="Z354" s="289">
        <f>('Systemberegning VP1'!$G$4+'Systemberegning VP1'!$F$4)/'Varmepumpeberegning VP1'!W354+'Systemberegning VP1'!$E$4</f>
        <v>46.283096463675768</v>
      </c>
    </row>
    <row r="355" spans="20:26" x14ac:dyDescent="0.25">
      <c r="T355">
        <v>12</v>
      </c>
      <c r="U355">
        <v>352</v>
      </c>
      <c r="V355" s="15">
        <v>8.2625000000000011</v>
      </c>
      <c r="W355" s="15">
        <f t="shared" si="27"/>
        <v>3.0328225996421248</v>
      </c>
      <c r="X355" s="20">
        <f t="shared" si="28"/>
        <v>9.2017685704053669</v>
      </c>
      <c r="Y355" s="20">
        <f t="shared" si="29"/>
        <v>3.0340609343557325</v>
      </c>
      <c r="Z355" s="289">
        <f>('Systemberegning VP1'!$G$4+'Systemberegning VP1'!$F$4)/'Varmepumpeberegning VP1'!W355+'Systemberegning VP1'!$E$4</f>
        <v>47.54328147744701</v>
      </c>
    </row>
    <row r="356" spans="20:26" x14ac:dyDescent="0.25">
      <c r="T356">
        <v>12</v>
      </c>
      <c r="U356">
        <v>353</v>
      </c>
      <c r="V356" s="15">
        <v>9.5916666666666668</v>
      </c>
      <c r="W356" s="15">
        <f t="shared" si="27"/>
        <v>3.1186336937333676</v>
      </c>
      <c r="X356" s="20">
        <f t="shared" si="28"/>
        <v>9.4116110583807178</v>
      </c>
      <c r="Y356" s="20">
        <f t="shared" si="29"/>
        <v>3.0178635847142163</v>
      </c>
      <c r="Z356" s="289">
        <f>('Systemberegning VP1'!$G$4+'Systemberegning VP1'!$F$4)/'Varmepumpeberegning VP1'!W356+'Systemberegning VP1'!$E$4</f>
        <v>46.283096463675768</v>
      </c>
    </row>
    <row r="357" spans="20:26" x14ac:dyDescent="0.25">
      <c r="T357">
        <v>12</v>
      </c>
      <c r="U357">
        <v>354</v>
      </c>
      <c r="V357" s="15">
        <v>8.2416666666666654</v>
      </c>
      <c r="W357" s="15">
        <f t="shared" si="27"/>
        <v>3.0328225996421248</v>
      </c>
      <c r="X357" s="20">
        <f t="shared" si="28"/>
        <v>9.2017685704053669</v>
      </c>
      <c r="Y357" s="20">
        <f t="shared" si="29"/>
        <v>3.0340609343557325</v>
      </c>
      <c r="Z357" s="289">
        <f>('Systemberegning VP1'!$G$4+'Systemberegning VP1'!$F$4)/'Varmepumpeberegning VP1'!W357+'Systemberegning VP1'!$E$4</f>
        <v>47.54328147744701</v>
      </c>
    </row>
    <row r="358" spans="20:26" x14ac:dyDescent="0.25">
      <c r="T358">
        <v>12</v>
      </c>
      <c r="U358">
        <v>355</v>
      </c>
      <c r="V358" s="15">
        <v>5.9791666666666652</v>
      </c>
      <c r="W358" s="15">
        <f t="shared" si="27"/>
        <v>2.9514704207300451</v>
      </c>
      <c r="X358" s="20">
        <f t="shared" si="28"/>
        <v>9.0081678430174801</v>
      </c>
      <c r="Y358" s="20">
        <f t="shared" si="29"/>
        <v>3.052094908269253</v>
      </c>
      <c r="Z358" s="289">
        <f>('Systemberegning VP1'!$G$4+'Systemberegning VP1'!$F$4)/'Varmepumpeberegning VP1'!W358+'Systemberegning VP1'!$E$4</f>
        <v>48.805649522192738</v>
      </c>
    </row>
    <row r="359" spans="20:26" x14ac:dyDescent="0.25">
      <c r="T359">
        <v>12</v>
      </c>
      <c r="U359">
        <v>356</v>
      </c>
      <c r="V359" s="15">
        <v>7.770833333333333</v>
      </c>
      <c r="W359" s="15">
        <f t="shared" si="27"/>
        <v>3.0328225996421248</v>
      </c>
      <c r="X359" s="20">
        <f t="shared" si="28"/>
        <v>9.2017685704053669</v>
      </c>
      <c r="Y359" s="20">
        <f t="shared" si="29"/>
        <v>3.0340609343557325</v>
      </c>
      <c r="Z359" s="289">
        <f>('Systemberegning VP1'!$G$4+'Systemberegning VP1'!$F$4)/'Varmepumpeberegning VP1'!W359+'Systemberegning VP1'!$E$4</f>
        <v>47.54328147744701</v>
      </c>
    </row>
    <row r="360" spans="20:26" x14ac:dyDescent="0.25">
      <c r="T360">
        <v>12</v>
      </c>
      <c r="U360">
        <v>357</v>
      </c>
      <c r="V360" s="15">
        <v>5.7041666666666666</v>
      </c>
      <c r="W360" s="15">
        <f t="shared" si="27"/>
        <v>2.9514704207300451</v>
      </c>
      <c r="X360" s="20">
        <f t="shared" si="28"/>
        <v>9.0081678430174801</v>
      </c>
      <c r="Y360" s="20">
        <f t="shared" si="29"/>
        <v>3.052094908269253</v>
      </c>
      <c r="Z360" s="289">
        <f>('Systemberegning VP1'!$G$4+'Systemberegning VP1'!$F$4)/'Varmepumpeberegning VP1'!W360+'Systemberegning VP1'!$E$4</f>
        <v>48.805649522192738</v>
      </c>
    </row>
    <row r="361" spans="20:26" x14ac:dyDescent="0.25">
      <c r="T361">
        <v>12</v>
      </c>
      <c r="U361">
        <v>358</v>
      </c>
      <c r="V361" s="15">
        <v>5.895833333333333</v>
      </c>
      <c r="W361" s="15">
        <f t="shared" si="27"/>
        <v>2.9514704207300451</v>
      </c>
      <c r="X361" s="20">
        <f t="shared" si="28"/>
        <v>9.0081678430174801</v>
      </c>
      <c r="Y361" s="20">
        <f t="shared" si="29"/>
        <v>3.052094908269253</v>
      </c>
      <c r="Z361" s="289">
        <f>('Systemberegning VP1'!$G$4+'Systemberegning VP1'!$F$4)/'Varmepumpeberegning VP1'!W361+'Systemberegning VP1'!$E$4</f>
        <v>48.805649522192738</v>
      </c>
    </row>
    <row r="362" spans="20:26" x14ac:dyDescent="0.25">
      <c r="T362">
        <v>12</v>
      </c>
      <c r="U362">
        <v>359</v>
      </c>
      <c r="V362" s="15">
        <v>5.2249999999999996</v>
      </c>
      <c r="W362" s="15">
        <f t="shared" si="27"/>
        <v>2.9129328437623547</v>
      </c>
      <c r="X362" s="20">
        <f t="shared" si="28"/>
        <v>8.9194883596172705</v>
      </c>
      <c r="Y362" s="20">
        <f t="shared" si="29"/>
        <v>3.062030207362016</v>
      </c>
      <c r="Z362" s="289">
        <f>('Systemberegning VP1'!$G$4+'Systemberegning VP1'!$F$4)/'Varmepumpeberegning VP1'!W362+'Systemberegning VP1'!$E$4</f>
        <v>49.428261889997998</v>
      </c>
    </row>
    <row r="363" spans="20:26" x14ac:dyDescent="0.25">
      <c r="T363">
        <v>12</v>
      </c>
      <c r="U363">
        <v>360</v>
      </c>
      <c r="V363" s="15">
        <v>8.4374999999999982</v>
      </c>
      <c r="W363" s="15">
        <f t="shared" si="27"/>
        <v>3.0328225996421248</v>
      </c>
      <c r="X363" s="20">
        <f t="shared" si="28"/>
        <v>9.2017685704053669</v>
      </c>
      <c r="Y363" s="20">
        <f t="shared" si="29"/>
        <v>3.0340609343557325</v>
      </c>
      <c r="Z363" s="289">
        <f>('Systemberegning VP1'!$G$4+'Systemberegning VP1'!$F$4)/'Varmepumpeberegning VP1'!W363+'Systemberegning VP1'!$E$4</f>
        <v>47.54328147744701</v>
      </c>
    </row>
    <row r="364" spans="20:26" x14ac:dyDescent="0.25">
      <c r="T364">
        <v>12</v>
      </c>
      <c r="U364">
        <v>361</v>
      </c>
      <c r="V364" s="15">
        <v>6.7874999999999988</v>
      </c>
      <c r="W364" s="15">
        <f t="shared" si="27"/>
        <v>2.9902597151633996</v>
      </c>
      <c r="X364" s="20">
        <f t="shared" si="28"/>
        <v>9.0968473264176914</v>
      </c>
      <c r="Y364" s="20">
        <f t="shared" si="29"/>
        <v>3.0421596091764904</v>
      </c>
      <c r="Z364" s="289">
        <f>('Systemberegning VP1'!$G$4+'Systemberegning VP1'!$F$4)/'Varmepumpeberegning VP1'!W364+'Systemberegning VP1'!$E$4</f>
        <v>48.195176072664189</v>
      </c>
    </row>
    <row r="365" spans="20:26" x14ac:dyDescent="0.25">
      <c r="T365">
        <v>12</v>
      </c>
      <c r="U365">
        <v>362</v>
      </c>
      <c r="V365" s="15">
        <v>3.5500000000000003</v>
      </c>
      <c r="W365" s="15">
        <f t="shared" si="27"/>
        <v>2.8746445419591673</v>
      </c>
      <c r="X365" s="20">
        <f t="shared" si="28"/>
        <v>8.8308088762170591</v>
      </c>
      <c r="Y365" s="20">
        <f t="shared" si="29"/>
        <v>3.0719655064547786</v>
      </c>
      <c r="Z365" s="289">
        <f>('Systemberegning VP1'!$G$4+'Systemberegning VP1'!$F$4)/'Varmepumpeberegning VP1'!W365+'Systemberegning VP1'!$E$4</f>
        <v>50.063378875196641</v>
      </c>
    </row>
    <row r="366" spans="20:26" x14ac:dyDescent="0.25">
      <c r="T366">
        <v>12</v>
      </c>
      <c r="U366">
        <v>363</v>
      </c>
      <c r="V366" s="15">
        <v>0.92916666666666681</v>
      </c>
      <c r="W366" s="15">
        <f t="shared" si="27"/>
        <v>2.7336449008903867</v>
      </c>
      <c r="X366" s="20">
        <f t="shared" si="28"/>
        <v>8.5227905435996245</v>
      </c>
      <c r="Y366" s="20">
        <f t="shared" si="29"/>
        <v>3.1177387161088959</v>
      </c>
      <c r="Z366" s="289">
        <f>('Systemberegning VP1'!$G$4+'Systemberegning VP1'!$F$4)/'Varmepumpeberegning VP1'!W366+'Systemberegning VP1'!$E$4</f>
        <v>52.555642638331904</v>
      </c>
    </row>
    <row r="367" spans="20:26" x14ac:dyDescent="0.25">
      <c r="T367">
        <v>12</v>
      </c>
      <c r="U367">
        <v>364</v>
      </c>
      <c r="V367" s="15">
        <v>4.8250000000000002</v>
      </c>
      <c r="W367" s="15">
        <f t="shared" si="27"/>
        <v>2.9129328437623547</v>
      </c>
      <c r="X367" s="20">
        <f t="shared" si="28"/>
        <v>8.9194883596172705</v>
      </c>
      <c r="Y367" s="20">
        <f t="shared" si="29"/>
        <v>3.062030207362016</v>
      </c>
      <c r="Z367" s="289">
        <f>('Systemberegning VP1'!$G$4+'Systemberegning VP1'!$F$4)/'Varmepumpeberegning VP1'!W367+'Systemberegning VP1'!$E$4</f>
        <v>49.428261889997998</v>
      </c>
    </row>
    <row r="368" spans="20:26" x14ac:dyDescent="0.25">
      <c r="T368">
        <v>12</v>
      </c>
      <c r="U368">
        <v>365</v>
      </c>
      <c r="V368" s="15">
        <v>7.1250000000000009</v>
      </c>
      <c r="W368" s="15">
        <f t="shared" si="27"/>
        <v>2.9902597151633996</v>
      </c>
      <c r="X368" s="20">
        <f t="shared" si="28"/>
        <v>9.0968473264176914</v>
      </c>
      <c r="Y368" s="20">
        <f t="shared" si="29"/>
        <v>3.0421596091764904</v>
      </c>
      <c r="Z368" s="289">
        <f>('Systemberegning VP1'!$G$4+'Systemberegning VP1'!$F$4)/'Varmepumpeberegning VP1'!W368+'Systemberegning VP1'!$E$4</f>
        <v>48.195176072664189</v>
      </c>
    </row>
    <row r="377" spans="22:22" x14ac:dyDescent="0.25">
      <c r="V377" s="16"/>
    </row>
    <row r="378" spans="22:22" x14ac:dyDescent="0.25">
      <c r="V378" s="16"/>
    </row>
  </sheetData>
  <mergeCells count="3">
    <mergeCell ref="A8:B8"/>
    <mergeCell ref="C8:D8"/>
    <mergeCell ref="F8:G8"/>
  </mergeCells>
  <pageMargins left="0.7" right="0.7" top="0.75" bottom="0.75" header="0.3" footer="0.3"/>
  <pageSetup paperSize="9"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46F13-1924-40AE-BDCC-C95100463721}">
  <sheetPr codeName="Ark6">
    <tabColor rgb="FFFF0000"/>
  </sheetPr>
  <dimension ref="A1:H370"/>
  <sheetViews>
    <sheetView workbookViewId="0">
      <selection activeCell="H2" sqref="H2"/>
    </sheetView>
  </sheetViews>
  <sheetFormatPr defaultRowHeight="15" x14ac:dyDescent="0.25"/>
  <cols>
    <col min="2" max="2" width="6.28515625" customWidth="1"/>
    <col min="3" max="4" width="15.28515625" customWidth="1"/>
    <col min="5" max="6" width="16.7109375" customWidth="1"/>
    <col min="7" max="7" width="14.42578125" bestFit="1" customWidth="1"/>
  </cols>
  <sheetData>
    <row r="1" spans="1:8" ht="27" customHeight="1" x14ac:dyDescent="0.3">
      <c r="A1" s="408" t="s">
        <v>325</v>
      </c>
      <c r="B1" s="408"/>
      <c r="C1" s="408"/>
      <c r="D1" s="408"/>
      <c r="E1" s="408"/>
      <c r="F1" s="408"/>
      <c r="G1" s="408"/>
      <c r="H1" t="s">
        <v>326</v>
      </c>
    </row>
    <row r="2" spans="1:8" x14ac:dyDescent="0.25">
      <c r="A2" s="5" t="s">
        <v>244</v>
      </c>
      <c r="B2" s="5" t="s">
        <v>245</v>
      </c>
      <c r="C2" t="str">
        <f>'Systemberegning VP1'!B3</f>
        <v>Ingen sol</v>
      </c>
      <c r="D2" s="61" t="str">
        <f>'Systemberegning VP1'!B4</f>
        <v>Heat pump</v>
      </c>
      <c r="E2" s="61" t="str">
        <f>'Systemberegning VP1'!B5</f>
        <v>Gas boiler</v>
      </c>
      <c r="F2" s="61" t="str">
        <f>'Systemberegning VP1'!B10</f>
        <v>-</v>
      </c>
      <c r="G2" s="61" t="s">
        <v>327</v>
      </c>
    </row>
    <row r="3" spans="1:8" x14ac:dyDescent="0.25">
      <c r="A3">
        <v>1</v>
      </c>
      <c r="B3">
        <v>1</v>
      </c>
      <c r="C3" s="20">
        <v>0</v>
      </c>
      <c r="D3" s="127">
        <f>'Varmepumpeberegning VP1'!X4</f>
        <v>9.0968473264176914</v>
      </c>
      <c r="E3" s="61">
        <v>1</v>
      </c>
      <c r="F3" s="61">
        <v>2</v>
      </c>
      <c r="G3" s="61">
        <v>1.8</v>
      </c>
    </row>
    <row r="4" spans="1:8" x14ac:dyDescent="0.25">
      <c r="A4">
        <v>1</v>
      </c>
      <c r="B4">
        <v>2</v>
      </c>
      <c r="C4" s="20">
        <v>0</v>
      </c>
      <c r="D4" s="127">
        <f>'Varmepumpeberegning VP1'!X5</f>
        <v>9.3066898143930423</v>
      </c>
      <c r="E4" s="61">
        <v>1</v>
      </c>
      <c r="F4" s="61">
        <v>2</v>
      </c>
      <c r="G4" s="61">
        <v>1.8</v>
      </c>
    </row>
    <row r="5" spans="1:8" x14ac:dyDescent="0.25">
      <c r="A5">
        <v>1</v>
      </c>
      <c r="B5">
        <v>3</v>
      </c>
      <c r="C5" s="20">
        <v>0</v>
      </c>
      <c r="D5" s="127">
        <f>'Varmepumpeberegning VP1'!X6</f>
        <v>9.3066898143930423</v>
      </c>
      <c r="E5" s="61">
        <v>1</v>
      </c>
      <c r="F5" s="61">
        <v>2</v>
      </c>
      <c r="G5" s="61">
        <v>1.8</v>
      </c>
    </row>
    <row r="6" spans="1:8" x14ac:dyDescent="0.25">
      <c r="A6">
        <v>1</v>
      </c>
      <c r="B6">
        <v>4</v>
      </c>
      <c r="C6" s="20">
        <v>0</v>
      </c>
      <c r="D6" s="127">
        <f>'Varmepumpeberegning VP1'!X7</f>
        <v>8.9194883596172705</v>
      </c>
      <c r="E6" s="61">
        <v>1</v>
      </c>
      <c r="F6" s="61">
        <v>2</v>
      </c>
      <c r="G6" s="61">
        <v>1.8</v>
      </c>
    </row>
    <row r="7" spans="1:8" x14ac:dyDescent="0.25">
      <c r="A7">
        <v>1</v>
      </c>
      <c r="B7">
        <v>5</v>
      </c>
      <c r="C7" s="20">
        <v>0</v>
      </c>
      <c r="D7" s="127">
        <f>'Varmepumpeberegning VP1'!X8</f>
        <v>8.9194883596172705</v>
      </c>
      <c r="E7" s="61">
        <v>1</v>
      </c>
      <c r="F7" s="61">
        <v>2</v>
      </c>
      <c r="G7" s="61">
        <v>1.8</v>
      </c>
    </row>
    <row r="8" spans="1:8" x14ac:dyDescent="0.25">
      <c r="A8">
        <v>1</v>
      </c>
      <c r="B8">
        <v>6</v>
      </c>
      <c r="C8" s="20">
        <v>0</v>
      </c>
      <c r="D8" s="127">
        <f>'Varmepumpeberegning VP1'!X9</f>
        <v>8.6254633211387688</v>
      </c>
      <c r="E8" s="61">
        <v>1</v>
      </c>
      <c r="F8" s="61">
        <v>2</v>
      </c>
      <c r="G8" s="61">
        <v>1.8</v>
      </c>
    </row>
    <row r="9" spans="1:8" x14ac:dyDescent="0.25">
      <c r="A9">
        <v>1</v>
      </c>
      <c r="B9">
        <v>7</v>
      </c>
      <c r="C9" s="20">
        <v>0</v>
      </c>
      <c r="D9" s="127">
        <f>'Varmepumpeberegning VP1'!X10</f>
        <v>8.4201177660604785</v>
      </c>
      <c r="E9" s="61">
        <v>1</v>
      </c>
      <c r="F9" s="61">
        <v>2</v>
      </c>
      <c r="G9" s="61">
        <v>1.8</v>
      </c>
    </row>
    <row r="10" spans="1:8" x14ac:dyDescent="0.25">
      <c r="A10">
        <v>1</v>
      </c>
      <c r="B10">
        <v>8</v>
      </c>
      <c r="C10" s="20">
        <v>0</v>
      </c>
      <c r="D10" s="127">
        <f>'Varmepumpeberegning VP1'!X11</f>
        <v>8.3174449885213342</v>
      </c>
      <c r="E10" s="61">
        <v>1</v>
      </c>
      <c r="F10" s="61">
        <v>2</v>
      </c>
      <c r="G10" s="61">
        <v>1.8</v>
      </c>
    </row>
    <row r="11" spans="1:8" x14ac:dyDescent="0.25">
      <c r="A11">
        <v>1</v>
      </c>
      <c r="B11">
        <v>9</v>
      </c>
      <c r="C11" s="20">
        <v>0</v>
      </c>
      <c r="D11" s="127">
        <f>'Varmepumpeberegning VP1'!X12</f>
        <v>8.028731500601431</v>
      </c>
      <c r="E11" s="61">
        <v>1</v>
      </c>
      <c r="F11" s="61">
        <v>2</v>
      </c>
      <c r="G11" s="61">
        <v>1.8</v>
      </c>
    </row>
    <row r="12" spans="1:8" x14ac:dyDescent="0.25">
      <c r="A12">
        <v>1</v>
      </c>
      <c r="B12">
        <v>10</v>
      </c>
      <c r="C12" s="20">
        <v>0</v>
      </c>
      <c r="D12" s="127">
        <f>'Varmepumpeberegning VP1'!X13</f>
        <v>8.028731500601431</v>
      </c>
      <c r="E12" s="61">
        <v>1</v>
      </c>
      <c r="F12" s="61">
        <v>2</v>
      </c>
      <c r="G12" s="61">
        <v>1.8</v>
      </c>
    </row>
    <row r="13" spans="1:8" x14ac:dyDescent="0.25">
      <c r="A13">
        <v>1</v>
      </c>
      <c r="B13">
        <v>11</v>
      </c>
      <c r="C13" s="20">
        <v>0</v>
      </c>
      <c r="D13" s="127">
        <f>'Varmepumpeberegning VP1'!X14</f>
        <v>8.3174449885213342</v>
      </c>
      <c r="E13" s="61">
        <v>1</v>
      </c>
      <c r="F13" s="61">
        <v>2</v>
      </c>
      <c r="G13" s="61">
        <v>1.8</v>
      </c>
    </row>
    <row r="14" spans="1:8" x14ac:dyDescent="0.25">
      <c r="A14">
        <v>1</v>
      </c>
      <c r="B14">
        <v>12</v>
      </c>
      <c r="C14" s="20">
        <v>0</v>
      </c>
      <c r="D14" s="127">
        <f>'Varmepumpeberegning VP1'!X15</f>
        <v>8.7281360986779148</v>
      </c>
      <c r="E14" s="61">
        <v>1</v>
      </c>
      <c r="F14" s="61">
        <v>2</v>
      </c>
      <c r="G14" s="61">
        <v>1.8</v>
      </c>
    </row>
    <row r="15" spans="1:8" x14ac:dyDescent="0.25">
      <c r="A15">
        <v>1</v>
      </c>
      <c r="B15">
        <v>13</v>
      </c>
      <c r="C15" s="20">
        <v>0</v>
      </c>
      <c r="D15" s="127">
        <f>'Varmepumpeberegning VP1'!X16</f>
        <v>8.8308088762170591</v>
      </c>
      <c r="E15" s="61">
        <v>1</v>
      </c>
      <c r="F15" s="61">
        <v>2</v>
      </c>
      <c r="G15" s="61">
        <v>1.8</v>
      </c>
    </row>
    <row r="16" spans="1:8" x14ac:dyDescent="0.25">
      <c r="A16">
        <v>1</v>
      </c>
      <c r="B16">
        <v>14</v>
      </c>
      <c r="C16" s="20">
        <v>0</v>
      </c>
      <c r="D16" s="127">
        <f>'Varmepumpeberegning VP1'!X17</f>
        <v>8.8308088762170591</v>
      </c>
      <c r="E16" s="61">
        <v>1</v>
      </c>
      <c r="F16" s="61">
        <v>2</v>
      </c>
      <c r="G16" s="61">
        <v>1.8</v>
      </c>
    </row>
    <row r="17" spans="1:7" x14ac:dyDescent="0.25">
      <c r="A17">
        <v>1</v>
      </c>
      <c r="B17">
        <v>15</v>
      </c>
      <c r="C17" s="20">
        <v>0</v>
      </c>
      <c r="D17" s="127">
        <f>'Varmepumpeberegning VP1'!X18</f>
        <v>8.6254633211387688</v>
      </c>
      <c r="E17" s="61">
        <v>1</v>
      </c>
      <c r="F17" s="61">
        <v>2</v>
      </c>
      <c r="G17" s="61">
        <v>1.8</v>
      </c>
    </row>
    <row r="18" spans="1:7" x14ac:dyDescent="0.25">
      <c r="A18">
        <v>1</v>
      </c>
      <c r="B18">
        <v>16</v>
      </c>
      <c r="C18" s="20">
        <v>0</v>
      </c>
      <c r="D18" s="127">
        <f>'Varmepumpeberegning VP1'!X19</f>
        <v>8.5227905435996245</v>
      </c>
      <c r="E18" s="61">
        <v>1</v>
      </c>
      <c r="F18" s="61">
        <v>2</v>
      </c>
      <c r="G18" s="61">
        <v>1.8</v>
      </c>
    </row>
    <row r="19" spans="1:7" x14ac:dyDescent="0.25">
      <c r="A19">
        <v>1</v>
      </c>
      <c r="B19">
        <v>17</v>
      </c>
      <c r="C19" s="20">
        <v>0</v>
      </c>
      <c r="D19" s="127">
        <f>'Varmepumpeberegning VP1'!X20</f>
        <v>8.3174449885213342</v>
      </c>
      <c r="E19" s="61">
        <v>1</v>
      </c>
      <c r="F19" s="61">
        <v>2</v>
      </c>
      <c r="G19" s="61">
        <v>1.8</v>
      </c>
    </row>
    <row r="20" spans="1:7" x14ac:dyDescent="0.25">
      <c r="A20">
        <v>1</v>
      </c>
      <c r="B20">
        <v>18</v>
      </c>
      <c r="C20" s="20">
        <v>0</v>
      </c>
      <c r="D20" s="127">
        <f>'Varmepumpeberegning VP1'!X21</f>
        <v>8.3174449885213342</v>
      </c>
      <c r="E20" s="61">
        <v>1</v>
      </c>
      <c r="F20" s="61">
        <v>2</v>
      </c>
      <c r="G20" s="61">
        <v>1.8</v>
      </c>
    </row>
    <row r="21" spans="1:7" x14ac:dyDescent="0.25">
      <c r="A21">
        <v>1</v>
      </c>
      <c r="B21">
        <v>19</v>
      </c>
      <c r="C21" s="20">
        <v>0</v>
      </c>
      <c r="D21" s="127">
        <f>'Varmepumpeberegning VP1'!X22</f>
        <v>8.6254633211387688</v>
      </c>
      <c r="E21" s="61">
        <v>1</v>
      </c>
      <c r="F21" s="61">
        <v>2</v>
      </c>
      <c r="G21" s="61">
        <v>1.8</v>
      </c>
    </row>
    <row r="22" spans="1:7" x14ac:dyDescent="0.25">
      <c r="A22">
        <v>1</v>
      </c>
      <c r="B22">
        <v>20</v>
      </c>
      <c r="C22" s="20">
        <v>0</v>
      </c>
      <c r="D22" s="127">
        <f>'Varmepumpeberegning VP1'!X23</f>
        <v>8.5227905435996245</v>
      </c>
      <c r="E22" s="61">
        <v>1</v>
      </c>
      <c r="F22" s="61">
        <v>2</v>
      </c>
      <c r="G22" s="61">
        <v>1.8</v>
      </c>
    </row>
    <row r="23" spans="1:7" x14ac:dyDescent="0.25">
      <c r="A23">
        <v>1</v>
      </c>
      <c r="B23">
        <v>21</v>
      </c>
      <c r="C23" s="20">
        <v>0</v>
      </c>
      <c r="D23" s="127">
        <f>'Varmepumpeberegning VP1'!X24</f>
        <v>8.7281360986779148</v>
      </c>
      <c r="E23" s="61">
        <v>1</v>
      </c>
      <c r="F23" s="61">
        <v>2</v>
      </c>
      <c r="G23" s="61">
        <v>1.8</v>
      </c>
    </row>
    <row r="24" spans="1:7" x14ac:dyDescent="0.25">
      <c r="A24">
        <v>1</v>
      </c>
      <c r="B24">
        <v>22</v>
      </c>
      <c r="C24" s="20">
        <v>0</v>
      </c>
      <c r="D24" s="127">
        <f>'Varmepumpeberegning VP1'!X25</f>
        <v>9.2017685704053669</v>
      </c>
      <c r="E24" s="61">
        <v>1</v>
      </c>
      <c r="F24" s="61">
        <v>2</v>
      </c>
      <c r="G24" s="61">
        <v>1.8</v>
      </c>
    </row>
    <row r="25" spans="1:7" x14ac:dyDescent="0.25">
      <c r="A25">
        <v>1</v>
      </c>
      <c r="B25">
        <v>23</v>
      </c>
      <c r="C25" s="20">
        <v>0</v>
      </c>
      <c r="D25" s="127">
        <f>'Varmepumpeberegning VP1'!X26</f>
        <v>9.0968473264176914</v>
      </c>
      <c r="E25" s="61">
        <v>1</v>
      </c>
      <c r="F25" s="61">
        <v>2</v>
      </c>
      <c r="G25" s="61">
        <v>1.8</v>
      </c>
    </row>
    <row r="26" spans="1:7" x14ac:dyDescent="0.25">
      <c r="A26">
        <v>1</v>
      </c>
      <c r="B26">
        <v>24</v>
      </c>
      <c r="C26" s="20">
        <v>0</v>
      </c>
      <c r="D26" s="127">
        <f>'Varmepumpeberegning VP1'!X27</f>
        <v>9.3066898143930423</v>
      </c>
      <c r="E26" s="61">
        <v>1</v>
      </c>
      <c r="F26" s="61">
        <v>2</v>
      </c>
      <c r="G26" s="61">
        <v>1.8</v>
      </c>
    </row>
    <row r="27" spans="1:7" x14ac:dyDescent="0.25">
      <c r="A27">
        <v>1</v>
      </c>
      <c r="B27">
        <v>25</v>
      </c>
      <c r="C27" s="20">
        <v>0</v>
      </c>
      <c r="D27" s="127">
        <f>'Varmepumpeberegning VP1'!X28</f>
        <v>9.0081678430174801</v>
      </c>
      <c r="E27" s="61">
        <v>1</v>
      </c>
      <c r="F27" s="61">
        <v>2</v>
      </c>
      <c r="G27" s="61">
        <v>1.8</v>
      </c>
    </row>
    <row r="28" spans="1:7" x14ac:dyDescent="0.25">
      <c r="A28">
        <v>1</v>
      </c>
      <c r="B28">
        <v>26</v>
      </c>
      <c r="C28" s="20">
        <v>0</v>
      </c>
      <c r="D28" s="127">
        <f>'Varmepumpeberegning VP1'!X29</f>
        <v>9.2017685704053669</v>
      </c>
      <c r="E28" s="61">
        <v>1</v>
      </c>
      <c r="F28" s="61">
        <v>2</v>
      </c>
      <c r="G28" s="61">
        <v>1.8</v>
      </c>
    </row>
    <row r="29" spans="1:7" x14ac:dyDescent="0.25">
      <c r="A29">
        <v>1</v>
      </c>
      <c r="B29">
        <v>27</v>
      </c>
      <c r="C29" s="20">
        <v>0</v>
      </c>
      <c r="D29" s="127">
        <f>'Varmepumpeberegning VP1'!X30</f>
        <v>8.9194883596172705</v>
      </c>
      <c r="E29" s="61">
        <v>1</v>
      </c>
      <c r="F29" s="61">
        <v>2</v>
      </c>
      <c r="G29" s="61">
        <v>1.8</v>
      </c>
    </row>
    <row r="30" spans="1:7" x14ac:dyDescent="0.25">
      <c r="A30">
        <v>1</v>
      </c>
      <c r="B30">
        <v>28</v>
      </c>
      <c r="C30" s="20">
        <v>0</v>
      </c>
      <c r="D30" s="127">
        <f>'Varmepumpeberegning VP1'!X31</f>
        <v>8.8308088762170591</v>
      </c>
      <c r="E30" s="61">
        <v>1</v>
      </c>
      <c r="F30" s="61">
        <v>2</v>
      </c>
      <c r="G30" s="61">
        <v>1.8</v>
      </c>
    </row>
    <row r="31" spans="1:7" x14ac:dyDescent="0.25">
      <c r="A31">
        <v>1</v>
      </c>
      <c r="B31">
        <v>29</v>
      </c>
      <c r="C31" s="20">
        <v>0</v>
      </c>
      <c r="D31" s="127">
        <f>'Varmepumpeberegning VP1'!X32</f>
        <v>9.0081678430174801</v>
      </c>
      <c r="E31" s="61">
        <v>1</v>
      </c>
      <c r="F31" s="61">
        <v>2</v>
      </c>
      <c r="G31" s="61">
        <v>1.8</v>
      </c>
    </row>
    <row r="32" spans="1:7" x14ac:dyDescent="0.25">
      <c r="A32">
        <v>1</v>
      </c>
      <c r="B32">
        <v>30</v>
      </c>
      <c r="C32" s="20">
        <v>0</v>
      </c>
      <c r="D32" s="127">
        <f>'Varmepumpeberegning VP1'!X33</f>
        <v>9.0968473264176914</v>
      </c>
      <c r="E32" s="61">
        <v>1</v>
      </c>
      <c r="F32" s="61">
        <v>2</v>
      </c>
      <c r="G32" s="61">
        <v>1.8</v>
      </c>
    </row>
    <row r="33" spans="1:7" x14ac:dyDescent="0.25">
      <c r="A33">
        <v>1</v>
      </c>
      <c r="B33">
        <v>31</v>
      </c>
      <c r="C33" s="20">
        <v>0</v>
      </c>
      <c r="D33" s="127">
        <f>'Varmepumpeberegning VP1'!X34</f>
        <v>9.0081678430174801</v>
      </c>
      <c r="E33" s="61">
        <v>1</v>
      </c>
      <c r="F33" s="61">
        <v>2</v>
      </c>
      <c r="G33" s="61">
        <v>1.8</v>
      </c>
    </row>
    <row r="34" spans="1:7" x14ac:dyDescent="0.25">
      <c r="A34">
        <v>2</v>
      </c>
      <c r="B34">
        <v>32</v>
      </c>
      <c r="C34" s="20">
        <v>0</v>
      </c>
      <c r="D34" s="127">
        <f>'Varmepumpeberegning VP1'!X35</f>
        <v>9.0081678430174801</v>
      </c>
      <c r="E34" s="61">
        <v>1</v>
      </c>
      <c r="F34" s="61">
        <v>2</v>
      </c>
      <c r="G34" s="61">
        <v>1.8</v>
      </c>
    </row>
    <row r="35" spans="1:7" x14ac:dyDescent="0.25">
      <c r="A35">
        <v>2</v>
      </c>
      <c r="B35">
        <v>33</v>
      </c>
      <c r="C35" s="20">
        <v>0</v>
      </c>
      <c r="D35" s="127">
        <f>'Varmepumpeberegning VP1'!X36</f>
        <v>9.0968473264176914</v>
      </c>
      <c r="E35" s="61">
        <v>1</v>
      </c>
      <c r="F35" s="61">
        <v>2</v>
      </c>
      <c r="G35" s="61">
        <v>1.8</v>
      </c>
    </row>
    <row r="36" spans="1:7" x14ac:dyDescent="0.25">
      <c r="A36">
        <v>2</v>
      </c>
      <c r="B36">
        <v>34</v>
      </c>
      <c r="C36" s="20">
        <v>0</v>
      </c>
      <c r="D36" s="127">
        <f>'Varmepumpeberegning VP1'!X37</f>
        <v>9.3066898143930423</v>
      </c>
      <c r="E36" s="61">
        <v>1</v>
      </c>
      <c r="F36" s="61">
        <v>2</v>
      </c>
      <c r="G36" s="61">
        <v>1.8</v>
      </c>
    </row>
    <row r="37" spans="1:7" x14ac:dyDescent="0.25">
      <c r="A37">
        <v>2</v>
      </c>
      <c r="B37">
        <v>35</v>
      </c>
      <c r="C37" s="20">
        <v>0</v>
      </c>
      <c r="D37" s="127">
        <f>'Varmepumpeberegning VP1'!X38</f>
        <v>9.3066898143930423</v>
      </c>
      <c r="E37" s="61">
        <v>1</v>
      </c>
      <c r="F37" s="61">
        <v>2</v>
      </c>
      <c r="G37" s="61">
        <v>1.8</v>
      </c>
    </row>
    <row r="38" spans="1:7" x14ac:dyDescent="0.25">
      <c r="A38">
        <v>2</v>
      </c>
      <c r="B38">
        <v>36</v>
      </c>
      <c r="C38" s="20">
        <v>0</v>
      </c>
      <c r="D38" s="127">
        <f>'Varmepumpeberegning VP1'!X39</f>
        <v>9.3066898143930423</v>
      </c>
      <c r="E38" s="61">
        <v>1</v>
      </c>
      <c r="F38" s="61">
        <v>2</v>
      </c>
      <c r="G38" s="61">
        <v>1.8</v>
      </c>
    </row>
    <row r="39" spans="1:7" x14ac:dyDescent="0.25">
      <c r="A39">
        <v>2</v>
      </c>
      <c r="B39">
        <v>37</v>
      </c>
      <c r="C39" s="20">
        <v>0</v>
      </c>
      <c r="D39" s="127">
        <f>'Varmepumpeberegning VP1'!X40</f>
        <v>9.3066898143930423</v>
      </c>
      <c r="E39" s="61">
        <v>1</v>
      </c>
      <c r="F39" s="61">
        <v>2</v>
      </c>
      <c r="G39" s="61">
        <v>1.8</v>
      </c>
    </row>
    <row r="40" spans="1:7" x14ac:dyDescent="0.25">
      <c r="A40">
        <v>2</v>
      </c>
      <c r="B40">
        <v>38</v>
      </c>
      <c r="C40" s="20">
        <v>0</v>
      </c>
      <c r="D40" s="127">
        <f>'Varmepumpeberegning VP1'!X41</f>
        <v>8.9194883596172705</v>
      </c>
      <c r="E40" s="61">
        <v>1</v>
      </c>
      <c r="F40" s="61">
        <v>2</v>
      </c>
      <c r="G40" s="61">
        <v>1.8</v>
      </c>
    </row>
    <row r="41" spans="1:7" x14ac:dyDescent="0.25">
      <c r="A41">
        <v>2</v>
      </c>
      <c r="B41">
        <v>39</v>
      </c>
      <c r="C41" s="20">
        <v>0</v>
      </c>
      <c r="D41" s="127">
        <f>'Varmepumpeberegning VP1'!X42</f>
        <v>8.6254633211387688</v>
      </c>
      <c r="E41" s="61">
        <v>1</v>
      </c>
      <c r="F41" s="61">
        <v>2</v>
      </c>
      <c r="G41" s="61">
        <v>1.8</v>
      </c>
    </row>
    <row r="42" spans="1:7" x14ac:dyDescent="0.25">
      <c r="A42">
        <v>2</v>
      </c>
      <c r="B42">
        <v>40</v>
      </c>
      <c r="C42" s="20">
        <v>0</v>
      </c>
      <c r="D42" s="127">
        <f>'Varmepumpeberegning VP1'!X43</f>
        <v>9.0968473264176914</v>
      </c>
      <c r="E42" s="61">
        <v>1</v>
      </c>
      <c r="F42" s="61">
        <v>2</v>
      </c>
      <c r="G42" s="61">
        <v>1.8</v>
      </c>
    </row>
    <row r="43" spans="1:7" x14ac:dyDescent="0.25">
      <c r="A43">
        <v>2</v>
      </c>
      <c r="B43">
        <v>41</v>
      </c>
      <c r="C43" s="20">
        <v>0</v>
      </c>
      <c r="D43" s="127">
        <f>'Varmepumpeberegning VP1'!X44</f>
        <v>9.3066898143930423</v>
      </c>
      <c r="E43" s="61">
        <v>1</v>
      </c>
      <c r="F43" s="61">
        <v>2</v>
      </c>
      <c r="G43" s="61">
        <v>1.8</v>
      </c>
    </row>
    <row r="44" spans="1:7" x14ac:dyDescent="0.25">
      <c r="A44">
        <v>2</v>
      </c>
      <c r="B44">
        <v>42</v>
      </c>
      <c r="C44" s="20">
        <v>0</v>
      </c>
      <c r="D44" s="127">
        <f>'Varmepumpeberegning VP1'!X45</f>
        <v>9.2017685704053669</v>
      </c>
      <c r="E44" s="61">
        <v>1</v>
      </c>
      <c r="F44" s="61">
        <v>2</v>
      </c>
      <c r="G44" s="61">
        <v>1.8</v>
      </c>
    </row>
    <row r="45" spans="1:7" x14ac:dyDescent="0.25">
      <c r="A45">
        <v>2</v>
      </c>
      <c r="B45">
        <v>43</v>
      </c>
      <c r="C45" s="20">
        <v>0</v>
      </c>
      <c r="D45" s="127">
        <f>'Varmepumpeberegning VP1'!X46</f>
        <v>9.0968473264176914</v>
      </c>
      <c r="E45" s="61">
        <v>1</v>
      </c>
      <c r="F45" s="61">
        <v>2</v>
      </c>
      <c r="G45" s="61">
        <v>1.8</v>
      </c>
    </row>
    <row r="46" spans="1:7" x14ac:dyDescent="0.25">
      <c r="A46">
        <v>2</v>
      </c>
      <c r="B46">
        <v>44</v>
      </c>
      <c r="C46" s="20">
        <v>0</v>
      </c>
      <c r="D46" s="127">
        <f>'Varmepumpeberegning VP1'!X47</f>
        <v>9.0968473264176914</v>
      </c>
      <c r="E46" s="61">
        <v>1</v>
      </c>
      <c r="F46" s="61">
        <v>2</v>
      </c>
      <c r="G46" s="61">
        <v>1.8</v>
      </c>
    </row>
    <row r="47" spans="1:7" x14ac:dyDescent="0.25">
      <c r="A47">
        <v>2</v>
      </c>
      <c r="B47">
        <v>45</v>
      </c>
      <c r="C47" s="20">
        <v>0</v>
      </c>
      <c r="D47" s="127">
        <f>'Varmepumpeberegning VP1'!X48</f>
        <v>9.4116110583807178</v>
      </c>
      <c r="E47" s="61">
        <v>1</v>
      </c>
      <c r="F47" s="61">
        <v>2</v>
      </c>
      <c r="G47" s="61">
        <v>1.8</v>
      </c>
    </row>
    <row r="48" spans="1:7" x14ac:dyDescent="0.25">
      <c r="A48">
        <v>2</v>
      </c>
      <c r="B48">
        <v>46</v>
      </c>
      <c r="C48" s="20">
        <v>0</v>
      </c>
      <c r="D48" s="127">
        <f>'Varmepumpeberegning VP1'!X49</f>
        <v>9.6214535463560686</v>
      </c>
      <c r="E48" s="61">
        <v>1</v>
      </c>
      <c r="F48" s="61">
        <v>2</v>
      </c>
      <c r="G48" s="61">
        <v>1.8</v>
      </c>
    </row>
    <row r="49" spans="1:7" x14ac:dyDescent="0.25">
      <c r="A49">
        <v>2</v>
      </c>
      <c r="B49">
        <v>47</v>
      </c>
      <c r="C49" s="20">
        <v>0</v>
      </c>
      <c r="D49" s="127">
        <f>'Varmepumpeberegning VP1'!X50</f>
        <v>9.4116110583807178</v>
      </c>
      <c r="E49" s="61">
        <v>1</v>
      </c>
      <c r="F49" s="61">
        <v>2</v>
      </c>
      <c r="G49" s="61">
        <v>1.8</v>
      </c>
    </row>
    <row r="50" spans="1:7" x14ac:dyDescent="0.25">
      <c r="A50">
        <v>2</v>
      </c>
      <c r="B50">
        <v>48</v>
      </c>
      <c r="C50" s="20">
        <v>0</v>
      </c>
      <c r="D50" s="127">
        <f>'Varmepumpeberegning VP1'!X51</f>
        <v>9.3066898143930423</v>
      </c>
      <c r="E50" s="61">
        <v>1</v>
      </c>
      <c r="F50" s="61">
        <v>2</v>
      </c>
      <c r="G50" s="61">
        <v>1.8</v>
      </c>
    </row>
    <row r="51" spans="1:7" x14ac:dyDescent="0.25">
      <c r="A51">
        <v>2</v>
      </c>
      <c r="B51">
        <v>49</v>
      </c>
      <c r="C51" s="20">
        <v>0</v>
      </c>
      <c r="D51" s="127">
        <f>'Varmepumpeberegning VP1'!X52</f>
        <v>9.3066898143930423</v>
      </c>
      <c r="E51" s="61">
        <v>1</v>
      </c>
      <c r="F51" s="61">
        <v>2</v>
      </c>
      <c r="G51" s="61">
        <v>1.8</v>
      </c>
    </row>
    <row r="52" spans="1:7" x14ac:dyDescent="0.25">
      <c r="A52">
        <v>2</v>
      </c>
      <c r="B52">
        <v>50</v>
      </c>
      <c r="C52" s="20">
        <v>0</v>
      </c>
      <c r="D52" s="127">
        <f>'Varmepumpeberegning VP1'!X53</f>
        <v>9.2017685704053669</v>
      </c>
      <c r="E52" s="61">
        <v>1</v>
      </c>
      <c r="F52" s="61">
        <v>2</v>
      </c>
      <c r="G52" s="61">
        <v>1.8</v>
      </c>
    </row>
    <row r="53" spans="1:7" x14ac:dyDescent="0.25">
      <c r="A53">
        <v>2</v>
      </c>
      <c r="B53">
        <v>51</v>
      </c>
      <c r="C53" s="20">
        <v>0</v>
      </c>
      <c r="D53" s="127">
        <f>'Varmepumpeberegning VP1'!X54</f>
        <v>9.2017685704053669</v>
      </c>
      <c r="E53" s="61">
        <v>1</v>
      </c>
      <c r="F53" s="61">
        <v>2</v>
      </c>
      <c r="G53" s="61">
        <v>1.8</v>
      </c>
    </row>
    <row r="54" spans="1:7" x14ac:dyDescent="0.25">
      <c r="A54">
        <v>2</v>
      </c>
      <c r="B54">
        <v>52</v>
      </c>
      <c r="C54" s="20">
        <v>0</v>
      </c>
      <c r="D54" s="127">
        <f>'Varmepumpeberegning VP1'!X55</f>
        <v>9.3066898143930423</v>
      </c>
      <c r="E54" s="61">
        <v>1</v>
      </c>
      <c r="F54" s="61">
        <v>2</v>
      </c>
      <c r="G54" s="61">
        <v>1.8</v>
      </c>
    </row>
    <row r="55" spans="1:7" x14ac:dyDescent="0.25">
      <c r="A55">
        <v>2</v>
      </c>
      <c r="B55">
        <v>53</v>
      </c>
      <c r="C55" s="20">
        <v>0</v>
      </c>
      <c r="D55" s="127">
        <f>'Varmepumpeberegning VP1'!X56</f>
        <v>9.4116110583807178</v>
      </c>
      <c r="E55" s="61">
        <v>1</v>
      </c>
      <c r="F55" s="61">
        <v>2</v>
      </c>
      <c r="G55" s="61">
        <v>1.8</v>
      </c>
    </row>
    <row r="56" spans="1:7" x14ac:dyDescent="0.25">
      <c r="A56">
        <v>2</v>
      </c>
      <c r="B56">
        <v>54</v>
      </c>
      <c r="C56" s="20">
        <v>0</v>
      </c>
      <c r="D56" s="127">
        <f>'Varmepumpeberegning VP1'!X57</f>
        <v>9.0081678430174801</v>
      </c>
      <c r="E56" s="61">
        <v>1</v>
      </c>
      <c r="F56" s="61">
        <v>2</v>
      </c>
      <c r="G56" s="61">
        <v>1.8</v>
      </c>
    </row>
    <row r="57" spans="1:7" x14ac:dyDescent="0.25">
      <c r="A57">
        <v>2</v>
      </c>
      <c r="B57">
        <v>55</v>
      </c>
      <c r="C57" s="20">
        <v>0</v>
      </c>
      <c r="D57" s="127">
        <f>'Varmepumpeberegning VP1'!X58</f>
        <v>8.9194883596172705</v>
      </c>
      <c r="E57" s="61">
        <v>1</v>
      </c>
      <c r="F57" s="61">
        <v>2</v>
      </c>
      <c r="G57" s="61">
        <v>1.8</v>
      </c>
    </row>
    <row r="58" spans="1:7" x14ac:dyDescent="0.25">
      <c r="A58">
        <v>2</v>
      </c>
      <c r="B58">
        <v>56</v>
      </c>
      <c r="C58" s="20">
        <v>0</v>
      </c>
      <c r="D58" s="127">
        <f>'Varmepumpeberegning VP1'!X59</f>
        <v>8.9194883596172705</v>
      </c>
      <c r="E58" s="61">
        <v>1</v>
      </c>
      <c r="F58" s="61">
        <v>2</v>
      </c>
      <c r="G58" s="61">
        <v>1.8</v>
      </c>
    </row>
    <row r="59" spans="1:7" x14ac:dyDescent="0.25">
      <c r="A59">
        <v>2</v>
      </c>
      <c r="B59">
        <v>57</v>
      </c>
      <c r="C59" s="20">
        <v>0</v>
      </c>
      <c r="D59" s="127">
        <f>'Varmepumpeberegning VP1'!X60</f>
        <v>8.8308088762170591</v>
      </c>
      <c r="E59" s="61">
        <v>1</v>
      </c>
      <c r="F59" s="61">
        <v>2</v>
      </c>
      <c r="G59" s="61">
        <v>1.8</v>
      </c>
    </row>
    <row r="60" spans="1:7" x14ac:dyDescent="0.25">
      <c r="A60">
        <v>2</v>
      </c>
      <c r="B60">
        <v>58</v>
      </c>
      <c r="C60" s="20">
        <v>0</v>
      </c>
      <c r="D60" s="127">
        <f>'Varmepumpeberegning VP1'!X61</f>
        <v>8.8308088762170591</v>
      </c>
      <c r="E60" s="61">
        <v>1</v>
      </c>
      <c r="F60" s="61">
        <v>2</v>
      </c>
      <c r="G60" s="61">
        <v>1.8</v>
      </c>
    </row>
    <row r="61" spans="1:7" x14ac:dyDescent="0.25">
      <c r="A61">
        <v>2</v>
      </c>
      <c r="B61">
        <v>59</v>
      </c>
      <c r="C61" s="20">
        <v>0</v>
      </c>
      <c r="D61" s="127">
        <f>'Varmepumpeberegning VP1'!X62</f>
        <v>9.0081678430174801</v>
      </c>
      <c r="E61" s="61">
        <v>1</v>
      </c>
      <c r="F61" s="61">
        <v>2</v>
      </c>
      <c r="G61" s="61">
        <v>1.8</v>
      </c>
    </row>
    <row r="62" spans="1:7" x14ac:dyDescent="0.25">
      <c r="A62">
        <v>3</v>
      </c>
      <c r="B62">
        <v>60</v>
      </c>
      <c r="C62" s="20">
        <v>0</v>
      </c>
      <c r="D62" s="127">
        <f>'Varmepumpeberegning VP1'!X63</f>
        <v>9.2017685704053669</v>
      </c>
      <c r="E62" s="61">
        <v>1</v>
      </c>
      <c r="F62" s="61">
        <v>2</v>
      </c>
      <c r="G62" s="61">
        <v>1.8</v>
      </c>
    </row>
    <row r="63" spans="1:7" x14ac:dyDescent="0.25">
      <c r="A63">
        <v>3</v>
      </c>
      <c r="B63">
        <v>61</v>
      </c>
      <c r="C63" s="20">
        <v>0</v>
      </c>
      <c r="D63" s="127">
        <f>'Varmepumpeberegning VP1'!X64</f>
        <v>9.2017685704053669</v>
      </c>
      <c r="E63" s="61">
        <v>1</v>
      </c>
      <c r="F63" s="61">
        <v>2</v>
      </c>
      <c r="G63" s="61">
        <v>1.8</v>
      </c>
    </row>
    <row r="64" spans="1:7" x14ac:dyDescent="0.25">
      <c r="A64">
        <v>3</v>
      </c>
      <c r="B64">
        <v>62</v>
      </c>
      <c r="C64" s="20">
        <v>0</v>
      </c>
      <c r="D64" s="127">
        <f>'Varmepumpeberegning VP1'!X65</f>
        <v>9.4116110583807178</v>
      </c>
      <c r="E64" s="61">
        <v>1</v>
      </c>
      <c r="F64" s="61">
        <v>2</v>
      </c>
      <c r="G64" s="61">
        <v>1.8</v>
      </c>
    </row>
    <row r="65" spans="1:7" x14ac:dyDescent="0.25">
      <c r="A65">
        <v>3</v>
      </c>
      <c r="B65">
        <v>63</v>
      </c>
      <c r="C65" s="20">
        <v>0</v>
      </c>
      <c r="D65" s="127">
        <f>'Varmepumpeberegning VP1'!X66</f>
        <v>9.4116110583807178</v>
      </c>
      <c r="E65" s="61">
        <v>1</v>
      </c>
      <c r="F65" s="61">
        <v>2</v>
      </c>
      <c r="G65" s="61">
        <v>1.8</v>
      </c>
    </row>
    <row r="66" spans="1:7" x14ac:dyDescent="0.25">
      <c r="A66">
        <v>3</v>
      </c>
      <c r="B66">
        <v>64</v>
      </c>
      <c r="C66" s="20">
        <v>0</v>
      </c>
      <c r="D66" s="127">
        <f>'Varmepumpeberegning VP1'!X67</f>
        <v>9.0968473264176914</v>
      </c>
      <c r="E66" s="61">
        <v>1</v>
      </c>
      <c r="F66" s="61">
        <v>2</v>
      </c>
      <c r="G66" s="61">
        <v>1.8</v>
      </c>
    </row>
    <row r="67" spans="1:7" x14ac:dyDescent="0.25">
      <c r="A67">
        <v>3</v>
      </c>
      <c r="B67">
        <v>65</v>
      </c>
      <c r="C67" s="20">
        <v>0</v>
      </c>
      <c r="D67" s="127">
        <f>'Varmepumpeberegning VP1'!X68</f>
        <v>9.0968473264176914</v>
      </c>
      <c r="E67" s="61">
        <v>1</v>
      </c>
      <c r="F67" s="61">
        <v>2</v>
      </c>
      <c r="G67" s="61">
        <v>1.8</v>
      </c>
    </row>
    <row r="68" spans="1:7" x14ac:dyDescent="0.25">
      <c r="A68">
        <v>3</v>
      </c>
      <c r="B68">
        <v>66</v>
      </c>
      <c r="C68" s="20">
        <v>0</v>
      </c>
      <c r="D68" s="127">
        <f>'Varmepumpeberegning VP1'!X69</f>
        <v>9.0081678430174801</v>
      </c>
      <c r="E68" s="61">
        <v>1</v>
      </c>
      <c r="F68" s="61">
        <v>2</v>
      </c>
      <c r="G68" s="61">
        <v>1.8</v>
      </c>
    </row>
    <row r="69" spans="1:7" x14ac:dyDescent="0.25">
      <c r="A69">
        <v>3</v>
      </c>
      <c r="B69">
        <v>67</v>
      </c>
      <c r="C69" s="20">
        <v>0</v>
      </c>
      <c r="D69" s="127">
        <f>'Varmepumpeberegning VP1'!X70</f>
        <v>8.8308088762170591</v>
      </c>
      <c r="E69" s="61">
        <v>1</v>
      </c>
      <c r="F69" s="61">
        <v>2</v>
      </c>
      <c r="G69" s="61">
        <v>1.8</v>
      </c>
    </row>
    <row r="70" spans="1:7" x14ac:dyDescent="0.25">
      <c r="A70">
        <v>3</v>
      </c>
      <c r="B70">
        <v>68</v>
      </c>
      <c r="C70" s="20">
        <v>0</v>
      </c>
      <c r="D70" s="127">
        <f>'Varmepumpeberegning VP1'!X71</f>
        <v>8.8308088762170591</v>
      </c>
      <c r="E70" s="61">
        <v>1</v>
      </c>
      <c r="F70" s="61">
        <v>2</v>
      </c>
      <c r="G70" s="61">
        <v>1.8</v>
      </c>
    </row>
    <row r="71" spans="1:7" x14ac:dyDescent="0.25">
      <c r="A71">
        <v>3</v>
      </c>
      <c r="B71">
        <v>69</v>
      </c>
      <c r="C71" s="20">
        <v>0</v>
      </c>
      <c r="D71" s="127">
        <f>'Varmepumpeberegning VP1'!X72</f>
        <v>9.0081678430174801</v>
      </c>
      <c r="E71" s="61">
        <v>1</v>
      </c>
      <c r="F71" s="61">
        <v>2</v>
      </c>
      <c r="G71" s="61">
        <v>1.8</v>
      </c>
    </row>
    <row r="72" spans="1:7" x14ac:dyDescent="0.25">
      <c r="A72">
        <v>3</v>
      </c>
      <c r="B72">
        <v>70</v>
      </c>
      <c r="C72" s="20">
        <v>0</v>
      </c>
      <c r="D72" s="127">
        <f>'Varmepumpeberegning VP1'!X73</f>
        <v>9.0968473264176914</v>
      </c>
      <c r="E72" s="61">
        <v>1</v>
      </c>
      <c r="F72" s="61">
        <v>2</v>
      </c>
      <c r="G72" s="61">
        <v>1.8</v>
      </c>
    </row>
    <row r="73" spans="1:7" x14ac:dyDescent="0.25">
      <c r="A73">
        <v>3</v>
      </c>
      <c r="B73">
        <v>71</v>
      </c>
      <c r="C73" s="20">
        <v>0</v>
      </c>
      <c r="D73" s="127">
        <f>'Varmepumpeberegning VP1'!X74</f>
        <v>9.0968473264176914</v>
      </c>
      <c r="E73" s="61">
        <v>1</v>
      </c>
      <c r="F73" s="61">
        <v>2</v>
      </c>
      <c r="G73" s="61">
        <v>1.8</v>
      </c>
    </row>
    <row r="74" spans="1:7" x14ac:dyDescent="0.25">
      <c r="A74">
        <v>3</v>
      </c>
      <c r="B74">
        <v>72</v>
      </c>
      <c r="C74" s="20">
        <v>0</v>
      </c>
      <c r="D74" s="127">
        <f>'Varmepumpeberegning VP1'!X75</f>
        <v>9.0968473264176914</v>
      </c>
      <c r="E74" s="61">
        <v>1</v>
      </c>
      <c r="F74" s="61">
        <v>2</v>
      </c>
      <c r="G74" s="61">
        <v>1.8</v>
      </c>
    </row>
    <row r="75" spans="1:7" x14ac:dyDescent="0.25">
      <c r="A75">
        <v>3</v>
      </c>
      <c r="B75">
        <v>73</v>
      </c>
      <c r="C75" s="20">
        <v>0</v>
      </c>
      <c r="D75" s="127">
        <f>'Varmepumpeberegning VP1'!X76</f>
        <v>9.3066898143930423</v>
      </c>
      <c r="E75" s="61">
        <v>1</v>
      </c>
      <c r="F75" s="61">
        <v>2</v>
      </c>
      <c r="G75" s="61">
        <v>1.8</v>
      </c>
    </row>
    <row r="76" spans="1:7" x14ac:dyDescent="0.25">
      <c r="A76">
        <v>3</v>
      </c>
      <c r="B76">
        <v>74</v>
      </c>
      <c r="C76" s="20">
        <v>0</v>
      </c>
      <c r="D76" s="127">
        <f>'Varmepumpeberegning VP1'!X77</f>
        <v>9.6214535463560686</v>
      </c>
      <c r="E76" s="61">
        <v>1</v>
      </c>
      <c r="F76" s="61">
        <v>2</v>
      </c>
      <c r="G76" s="61">
        <v>1.8</v>
      </c>
    </row>
    <row r="77" spans="1:7" x14ac:dyDescent="0.25">
      <c r="A77">
        <v>3</v>
      </c>
      <c r="B77">
        <v>75</v>
      </c>
      <c r="C77" s="20">
        <v>0</v>
      </c>
      <c r="D77" s="127">
        <f>'Varmepumpeberegning VP1'!X78</f>
        <v>9.6214535463560686</v>
      </c>
      <c r="E77" s="61">
        <v>1</v>
      </c>
      <c r="F77" s="61">
        <v>2</v>
      </c>
      <c r="G77" s="61">
        <v>1.8</v>
      </c>
    </row>
    <row r="78" spans="1:7" x14ac:dyDescent="0.25">
      <c r="A78">
        <v>3</v>
      </c>
      <c r="B78">
        <v>76</v>
      </c>
      <c r="C78" s="20">
        <v>0</v>
      </c>
      <c r="D78" s="127">
        <f>'Varmepumpeberegning VP1'!X79</f>
        <v>9.2017685704053669</v>
      </c>
      <c r="E78" s="61">
        <v>1</v>
      </c>
      <c r="F78" s="61">
        <v>2</v>
      </c>
      <c r="G78" s="61">
        <v>1.8</v>
      </c>
    </row>
    <row r="79" spans="1:7" x14ac:dyDescent="0.25">
      <c r="A79">
        <v>3</v>
      </c>
      <c r="B79">
        <v>77</v>
      </c>
      <c r="C79" s="20">
        <v>0</v>
      </c>
      <c r="D79" s="127">
        <f>'Varmepumpeberegning VP1'!X80</f>
        <v>9.2017685704053669</v>
      </c>
      <c r="E79" s="61">
        <v>1</v>
      </c>
      <c r="F79" s="61">
        <v>2</v>
      </c>
      <c r="G79" s="61">
        <v>1.8</v>
      </c>
    </row>
    <row r="80" spans="1:7" x14ac:dyDescent="0.25">
      <c r="A80">
        <v>3</v>
      </c>
      <c r="B80">
        <v>78</v>
      </c>
      <c r="C80" s="20">
        <v>0</v>
      </c>
      <c r="D80" s="127">
        <f>'Varmepumpeberegning VP1'!X81</f>
        <v>9.4116110583807178</v>
      </c>
      <c r="E80" s="61">
        <v>1</v>
      </c>
      <c r="F80" s="61">
        <v>2</v>
      </c>
      <c r="G80" s="61">
        <v>1.8</v>
      </c>
    </row>
    <row r="81" spans="1:7" x14ac:dyDescent="0.25">
      <c r="A81">
        <v>3</v>
      </c>
      <c r="B81">
        <v>79</v>
      </c>
      <c r="C81" s="20">
        <v>0</v>
      </c>
      <c r="D81" s="127">
        <f>'Varmepumpeberegning VP1'!X82</f>
        <v>9.5165323023683932</v>
      </c>
      <c r="E81" s="61">
        <v>1</v>
      </c>
      <c r="F81" s="61">
        <v>2</v>
      </c>
      <c r="G81" s="61">
        <v>1.8</v>
      </c>
    </row>
    <row r="82" spans="1:7" x14ac:dyDescent="0.25">
      <c r="A82">
        <v>3</v>
      </c>
      <c r="B82">
        <v>80</v>
      </c>
      <c r="C82" s="20">
        <v>0</v>
      </c>
      <c r="D82" s="127">
        <f>'Varmepumpeberegning VP1'!X83</f>
        <v>9.5165323023683932</v>
      </c>
      <c r="E82" s="61">
        <v>1</v>
      </c>
      <c r="F82" s="61">
        <v>2</v>
      </c>
      <c r="G82" s="61">
        <v>1.8</v>
      </c>
    </row>
    <row r="83" spans="1:7" x14ac:dyDescent="0.25">
      <c r="A83">
        <v>3</v>
      </c>
      <c r="B83">
        <v>81</v>
      </c>
      <c r="C83" s="20">
        <v>0</v>
      </c>
      <c r="D83" s="127">
        <f>'Varmepumpeberegning VP1'!X84</f>
        <v>9.3066898143930423</v>
      </c>
      <c r="E83" s="61">
        <v>1</v>
      </c>
      <c r="F83" s="61">
        <v>2</v>
      </c>
      <c r="G83" s="61">
        <v>1.8</v>
      </c>
    </row>
    <row r="84" spans="1:7" x14ac:dyDescent="0.25">
      <c r="A84">
        <v>3</v>
      </c>
      <c r="B84">
        <v>82</v>
      </c>
      <c r="C84" s="20">
        <v>0</v>
      </c>
      <c r="D84" s="127">
        <f>'Varmepumpeberegning VP1'!X85</f>
        <v>9.3066898143930423</v>
      </c>
      <c r="E84" s="61">
        <v>1</v>
      </c>
      <c r="F84" s="61">
        <v>2</v>
      </c>
      <c r="G84" s="61">
        <v>1.8</v>
      </c>
    </row>
    <row r="85" spans="1:7" x14ac:dyDescent="0.25">
      <c r="A85">
        <v>3</v>
      </c>
      <c r="B85">
        <v>83</v>
      </c>
      <c r="C85" s="20">
        <v>0</v>
      </c>
      <c r="D85" s="127">
        <f>'Varmepumpeberegning VP1'!X86</f>
        <v>9.0081678430174801</v>
      </c>
      <c r="E85" s="61">
        <v>1</v>
      </c>
      <c r="F85" s="61">
        <v>2</v>
      </c>
      <c r="G85" s="61">
        <v>1.8</v>
      </c>
    </row>
    <row r="86" spans="1:7" x14ac:dyDescent="0.25">
      <c r="A86">
        <v>3</v>
      </c>
      <c r="B86">
        <v>84</v>
      </c>
      <c r="C86" s="20">
        <v>0</v>
      </c>
      <c r="D86" s="127">
        <f>'Varmepumpeberegning VP1'!X87</f>
        <v>9.0968473264176914</v>
      </c>
      <c r="E86" s="61">
        <v>1</v>
      </c>
      <c r="F86" s="61">
        <v>2</v>
      </c>
      <c r="G86" s="61">
        <v>1.8</v>
      </c>
    </row>
    <row r="87" spans="1:7" x14ac:dyDescent="0.25">
      <c r="A87">
        <v>3</v>
      </c>
      <c r="B87">
        <v>85</v>
      </c>
      <c r="C87" s="20">
        <v>0</v>
      </c>
      <c r="D87" s="127">
        <f>'Varmepumpeberegning VP1'!X88</f>
        <v>9.0968473264176914</v>
      </c>
      <c r="E87" s="61">
        <v>1</v>
      </c>
      <c r="F87" s="61">
        <v>2</v>
      </c>
      <c r="G87" s="61">
        <v>1.8</v>
      </c>
    </row>
    <row r="88" spans="1:7" x14ac:dyDescent="0.25">
      <c r="A88">
        <v>3</v>
      </c>
      <c r="B88">
        <v>86</v>
      </c>
      <c r="C88" s="20">
        <v>0</v>
      </c>
      <c r="D88" s="127">
        <f>'Varmepumpeberegning VP1'!X89</f>
        <v>9.2017685704053669</v>
      </c>
      <c r="E88" s="61">
        <v>1</v>
      </c>
      <c r="F88" s="61">
        <v>2</v>
      </c>
      <c r="G88" s="61">
        <v>1.8</v>
      </c>
    </row>
    <row r="89" spans="1:7" x14ac:dyDescent="0.25">
      <c r="A89">
        <v>3</v>
      </c>
      <c r="B89">
        <v>87</v>
      </c>
      <c r="C89" s="20">
        <v>0</v>
      </c>
      <c r="D89" s="127">
        <f>'Varmepumpeberegning VP1'!X90</f>
        <v>9.3066898143930423</v>
      </c>
      <c r="E89" s="61">
        <v>1</v>
      </c>
      <c r="F89" s="61">
        <v>2</v>
      </c>
      <c r="G89" s="61">
        <v>1.8</v>
      </c>
    </row>
    <row r="90" spans="1:7" x14ac:dyDescent="0.25">
      <c r="A90">
        <v>3</v>
      </c>
      <c r="B90">
        <v>88</v>
      </c>
      <c r="C90" s="20">
        <v>0</v>
      </c>
      <c r="D90" s="127">
        <f>'Varmepumpeberegning VP1'!X91</f>
        <v>9.2017685704053669</v>
      </c>
      <c r="E90" s="61">
        <v>1</v>
      </c>
      <c r="F90" s="61">
        <v>2</v>
      </c>
      <c r="G90" s="61">
        <v>1.8</v>
      </c>
    </row>
    <row r="91" spans="1:7" x14ac:dyDescent="0.25">
      <c r="A91">
        <v>3</v>
      </c>
      <c r="B91">
        <v>89</v>
      </c>
      <c r="C91" s="20">
        <v>0</v>
      </c>
      <c r="D91" s="127">
        <f>'Varmepumpeberegning VP1'!X92</f>
        <v>9.4116110583807178</v>
      </c>
      <c r="E91" s="61">
        <v>1</v>
      </c>
      <c r="F91" s="61">
        <v>2</v>
      </c>
      <c r="G91" s="61">
        <v>1.8</v>
      </c>
    </row>
    <row r="92" spans="1:7" x14ac:dyDescent="0.25">
      <c r="A92">
        <v>3</v>
      </c>
      <c r="B92">
        <v>90</v>
      </c>
      <c r="C92" s="20">
        <v>0</v>
      </c>
      <c r="D92" s="127">
        <f>'Varmepumpeberegning VP1'!X93</f>
        <v>9.3066898143930423</v>
      </c>
      <c r="E92" s="61">
        <v>1</v>
      </c>
      <c r="F92" s="61">
        <v>2</v>
      </c>
      <c r="G92" s="61">
        <v>1.8</v>
      </c>
    </row>
    <row r="93" spans="1:7" x14ac:dyDescent="0.25">
      <c r="A93">
        <v>4</v>
      </c>
      <c r="B93">
        <v>91</v>
      </c>
      <c r="C93" s="20">
        <v>0</v>
      </c>
      <c r="D93" s="127">
        <f>'Varmepumpeberegning VP1'!X94</f>
        <v>9.3066898143930423</v>
      </c>
      <c r="E93" s="61">
        <v>1</v>
      </c>
      <c r="F93" s="61">
        <v>2</v>
      </c>
      <c r="G93" s="61">
        <v>1.8</v>
      </c>
    </row>
    <row r="94" spans="1:7" x14ac:dyDescent="0.25">
      <c r="A94">
        <v>4</v>
      </c>
      <c r="B94">
        <v>92</v>
      </c>
      <c r="C94" s="20">
        <v>0</v>
      </c>
      <c r="D94" s="127">
        <f>'Varmepumpeberegning VP1'!X95</f>
        <v>9.4116110583807178</v>
      </c>
      <c r="E94" s="61">
        <v>1</v>
      </c>
      <c r="F94" s="61">
        <v>2</v>
      </c>
      <c r="G94" s="61">
        <v>1.8</v>
      </c>
    </row>
    <row r="95" spans="1:7" x14ac:dyDescent="0.25">
      <c r="A95">
        <v>4</v>
      </c>
      <c r="B95">
        <v>93</v>
      </c>
      <c r="C95" s="20">
        <v>0</v>
      </c>
      <c r="D95" s="127">
        <f>'Varmepumpeberegning VP1'!X96</f>
        <v>9.3066898143930423</v>
      </c>
      <c r="E95" s="61">
        <v>1</v>
      </c>
      <c r="F95" s="61">
        <v>2</v>
      </c>
      <c r="G95" s="61">
        <v>1.8</v>
      </c>
    </row>
    <row r="96" spans="1:7" x14ac:dyDescent="0.25">
      <c r="A96">
        <v>4</v>
      </c>
      <c r="B96">
        <v>94</v>
      </c>
      <c r="C96" s="20">
        <v>0</v>
      </c>
      <c r="D96" s="127">
        <f>'Varmepumpeberegning VP1'!X97</f>
        <v>9.4116110583807178</v>
      </c>
      <c r="E96" s="61">
        <v>1</v>
      </c>
      <c r="F96" s="61">
        <v>2</v>
      </c>
      <c r="G96" s="61">
        <v>1.8</v>
      </c>
    </row>
    <row r="97" spans="1:7" x14ac:dyDescent="0.25">
      <c r="A97">
        <v>4</v>
      </c>
      <c r="B97">
        <v>95</v>
      </c>
      <c r="C97" s="20">
        <v>0</v>
      </c>
      <c r="D97" s="127">
        <f>'Varmepumpeberegning VP1'!X98</f>
        <v>9.5165323023683932</v>
      </c>
      <c r="E97" s="61">
        <v>1</v>
      </c>
      <c r="F97" s="61">
        <v>2</v>
      </c>
      <c r="G97" s="61">
        <v>1.8</v>
      </c>
    </row>
    <row r="98" spans="1:7" x14ac:dyDescent="0.25">
      <c r="A98">
        <v>4</v>
      </c>
      <c r="B98">
        <v>96</v>
      </c>
      <c r="C98" s="20">
        <v>0</v>
      </c>
      <c r="D98" s="127">
        <f>'Varmepumpeberegning VP1'!X99</f>
        <v>9.6214535463560686</v>
      </c>
      <c r="E98" s="61">
        <v>1</v>
      </c>
      <c r="F98" s="61">
        <v>2</v>
      </c>
      <c r="G98" s="61">
        <v>1.8</v>
      </c>
    </row>
    <row r="99" spans="1:7" x14ac:dyDescent="0.25">
      <c r="A99">
        <v>4</v>
      </c>
      <c r="B99">
        <v>97</v>
      </c>
      <c r="C99" s="20">
        <v>0</v>
      </c>
      <c r="D99" s="127">
        <f>'Varmepumpeberegning VP1'!X100</f>
        <v>9.936217278319095</v>
      </c>
      <c r="E99" s="61">
        <v>1</v>
      </c>
      <c r="F99" s="61">
        <v>2</v>
      </c>
      <c r="G99" s="61">
        <v>1.8</v>
      </c>
    </row>
    <row r="100" spans="1:7" x14ac:dyDescent="0.25">
      <c r="A100">
        <v>4</v>
      </c>
      <c r="B100">
        <v>98</v>
      </c>
      <c r="C100" s="20">
        <v>0</v>
      </c>
      <c r="D100" s="127">
        <f>'Varmepumpeberegning VP1'!X101</f>
        <v>9.936217278319095</v>
      </c>
      <c r="E100" s="61">
        <v>1</v>
      </c>
      <c r="F100" s="61">
        <v>2</v>
      </c>
      <c r="G100" s="61">
        <v>1.8</v>
      </c>
    </row>
    <row r="101" spans="1:7" x14ac:dyDescent="0.25">
      <c r="A101">
        <v>4</v>
      </c>
      <c r="B101">
        <v>99</v>
      </c>
      <c r="C101" s="20">
        <v>0</v>
      </c>
      <c r="D101" s="127">
        <f>'Varmepumpeberegning VP1'!X102</f>
        <v>9.8312960343314195</v>
      </c>
      <c r="E101" s="61">
        <v>1</v>
      </c>
      <c r="F101" s="61">
        <v>2</v>
      </c>
      <c r="G101" s="61">
        <v>1.8</v>
      </c>
    </row>
    <row r="102" spans="1:7" x14ac:dyDescent="0.25">
      <c r="A102">
        <v>4</v>
      </c>
      <c r="B102">
        <v>100</v>
      </c>
      <c r="C102" s="20">
        <v>0</v>
      </c>
      <c r="D102" s="127">
        <f>'Varmepumpeberegning VP1'!X103</f>
        <v>9.6214535463560686</v>
      </c>
      <c r="E102" s="61">
        <v>1</v>
      </c>
      <c r="F102" s="61">
        <v>2</v>
      </c>
      <c r="G102" s="61">
        <v>1.8</v>
      </c>
    </row>
    <row r="103" spans="1:7" x14ac:dyDescent="0.25">
      <c r="A103">
        <v>4</v>
      </c>
      <c r="B103">
        <v>101</v>
      </c>
      <c r="C103" s="20">
        <v>0</v>
      </c>
      <c r="D103" s="127">
        <f>'Varmepumpeberegning VP1'!X104</f>
        <v>9.5165323023683932</v>
      </c>
      <c r="E103" s="61">
        <v>1</v>
      </c>
      <c r="F103" s="61">
        <v>2</v>
      </c>
      <c r="G103" s="61">
        <v>1.8</v>
      </c>
    </row>
    <row r="104" spans="1:7" x14ac:dyDescent="0.25">
      <c r="A104">
        <v>4</v>
      </c>
      <c r="B104">
        <v>102</v>
      </c>
      <c r="C104" s="20">
        <v>0</v>
      </c>
      <c r="D104" s="127">
        <f>'Varmepumpeberegning VP1'!X105</f>
        <v>9.6214535463560686</v>
      </c>
      <c r="E104" s="61">
        <v>1</v>
      </c>
      <c r="F104" s="61">
        <v>2</v>
      </c>
      <c r="G104" s="61">
        <v>1.8</v>
      </c>
    </row>
    <row r="105" spans="1:7" x14ac:dyDescent="0.25">
      <c r="A105">
        <v>4</v>
      </c>
      <c r="B105">
        <v>103</v>
      </c>
      <c r="C105" s="20">
        <v>0</v>
      </c>
      <c r="D105" s="127">
        <f>'Varmepumpeberegning VP1'!X106</f>
        <v>9.8312960343314195</v>
      </c>
      <c r="E105" s="61">
        <v>1</v>
      </c>
      <c r="F105" s="61">
        <v>2</v>
      </c>
      <c r="G105" s="61">
        <v>1.8</v>
      </c>
    </row>
    <row r="106" spans="1:7" x14ac:dyDescent="0.25">
      <c r="A106">
        <v>4</v>
      </c>
      <c r="B106">
        <v>104</v>
      </c>
      <c r="C106" s="20">
        <v>0</v>
      </c>
      <c r="D106" s="127">
        <f>'Varmepumpeberegning VP1'!X107</f>
        <v>9.936217278319095</v>
      </c>
      <c r="E106" s="61">
        <v>1</v>
      </c>
      <c r="F106" s="61">
        <v>2</v>
      </c>
      <c r="G106" s="61">
        <v>1.8</v>
      </c>
    </row>
    <row r="107" spans="1:7" x14ac:dyDescent="0.25">
      <c r="A107">
        <v>4</v>
      </c>
      <c r="B107">
        <v>105</v>
      </c>
      <c r="C107" s="20">
        <v>0</v>
      </c>
      <c r="D107" s="127">
        <f>'Varmepumpeberegning VP1'!X108</f>
        <v>9.5165323023683932</v>
      </c>
      <c r="E107" s="61">
        <v>1</v>
      </c>
      <c r="F107" s="61">
        <v>2</v>
      </c>
      <c r="G107" s="61">
        <v>1.8</v>
      </c>
    </row>
    <row r="108" spans="1:7" x14ac:dyDescent="0.25">
      <c r="A108">
        <v>4</v>
      </c>
      <c r="B108">
        <v>106</v>
      </c>
      <c r="C108" s="20">
        <v>0</v>
      </c>
      <c r="D108" s="127">
        <f>'Varmepumpeberegning VP1'!X109</f>
        <v>9.2017685704053669</v>
      </c>
      <c r="E108" s="61">
        <v>1</v>
      </c>
      <c r="F108" s="61">
        <v>2</v>
      </c>
      <c r="G108" s="61">
        <v>1.8</v>
      </c>
    </row>
    <row r="109" spans="1:7" x14ac:dyDescent="0.25">
      <c r="A109">
        <v>4</v>
      </c>
      <c r="B109">
        <v>107</v>
      </c>
      <c r="C109" s="20">
        <v>0</v>
      </c>
      <c r="D109" s="127">
        <f>'Varmepumpeberegning VP1'!X110</f>
        <v>9.2017685704053669</v>
      </c>
      <c r="E109" s="61">
        <v>1</v>
      </c>
      <c r="F109" s="61">
        <v>2</v>
      </c>
      <c r="G109" s="61">
        <v>1.8</v>
      </c>
    </row>
    <row r="110" spans="1:7" x14ac:dyDescent="0.25">
      <c r="A110">
        <v>4</v>
      </c>
      <c r="B110">
        <v>108</v>
      </c>
      <c r="C110" s="20">
        <v>0</v>
      </c>
      <c r="D110" s="127">
        <f>'Varmepumpeberegning VP1'!X111</f>
        <v>9.0081678430174801</v>
      </c>
      <c r="E110" s="61">
        <v>1</v>
      </c>
      <c r="F110" s="61">
        <v>2</v>
      </c>
      <c r="G110" s="61">
        <v>1.8</v>
      </c>
    </row>
    <row r="111" spans="1:7" x14ac:dyDescent="0.25">
      <c r="A111">
        <v>4</v>
      </c>
      <c r="B111">
        <v>109</v>
      </c>
      <c r="C111" s="20">
        <v>0</v>
      </c>
      <c r="D111" s="127">
        <f>'Varmepumpeberegning VP1'!X112</f>
        <v>9.0968473264176914</v>
      </c>
      <c r="E111" s="61">
        <v>1</v>
      </c>
      <c r="F111" s="61">
        <v>2</v>
      </c>
      <c r="G111" s="61">
        <v>1.8</v>
      </c>
    </row>
    <row r="112" spans="1:7" x14ac:dyDescent="0.25">
      <c r="A112">
        <v>4</v>
      </c>
      <c r="B112">
        <v>110</v>
      </c>
      <c r="C112" s="20">
        <v>0</v>
      </c>
      <c r="D112" s="127">
        <f>'Varmepumpeberegning VP1'!X113</f>
        <v>9.2017685704053669</v>
      </c>
      <c r="E112" s="61">
        <v>1</v>
      </c>
      <c r="F112" s="61">
        <v>2</v>
      </c>
      <c r="G112" s="61">
        <v>1.8</v>
      </c>
    </row>
    <row r="113" spans="1:7" x14ac:dyDescent="0.25">
      <c r="A113">
        <v>4</v>
      </c>
      <c r="B113">
        <v>111</v>
      </c>
      <c r="C113" s="20">
        <v>0</v>
      </c>
      <c r="D113" s="127">
        <f>'Varmepumpeberegning VP1'!X114</f>
        <v>9.0968473264176914</v>
      </c>
      <c r="E113" s="61">
        <v>1</v>
      </c>
      <c r="F113" s="61">
        <v>2</v>
      </c>
      <c r="G113" s="61">
        <v>1.8</v>
      </c>
    </row>
    <row r="114" spans="1:7" x14ac:dyDescent="0.25">
      <c r="A114">
        <v>4</v>
      </c>
      <c r="B114">
        <v>112</v>
      </c>
      <c r="C114" s="20">
        <v>0</v>
      </c>
      <c r="D114" s="127">
        <f>'Varmepumpeberegning VP1'!X115</f>
        <v>9.0081678430174801</v>
      </c>
      <c r="E114" s="61">
        <v>1</v>
      </c>
      <c r="F114" s="61">
        <v>2</v>
      </c>
      <c r="G114" s="61">
        <v>1.8</v>
      </c>
    </row>
    <row r="115" spans="1:7" x14ac:dyDescent="0.25">
      <c r="A115">
        <v>4</v>
      </c>
      <c r="B115">
        <v>113</v>
      </c>
      <c r="C115" s="20">
        <v>0</v>
      </c>
      <c r="D115" s="127">
        <f>'Varmepumpeberegning VP1'!X116</f>
        <v>9.0081678430174801</v>
      </c>
      <c r="E115" s="61">
        <v>1</v>
      </c>
      <c r="F115" s="61">
        <v>2</v>
      </c>
      <c r="G115" s="61">
        <v>1.8</v>
      </c>
    </row>
    <row r="116" spans="1:7" x14ac:dyDescent="0.25">
      <c r="A116">
        <v>4</v>
      </c>
      <c r="B116">
        <v>114</v>
      </c>
      <c r="C116" s="20">
        <v>0</v>
      </c>
      <c r="D116" s="127">
        <f>'Varmepumpeberegning VP1'!X117</f>
        <v>8.9194883596172705</v>
      </c>
      <c r="E116" s="61">
        <v>1</v>
      </c>
      <c r="F116" s="61">
        <v>2</v>
      </c>
      <c r="G116" s="61">
        <v>1.8</v>
      </c>
    </row>
    <row r="117" spans="1:7" x14ac:dyDescent="0.25">
      <c r="A117">
        <v>4</v>
      </c>
      <c r="B117">
        <v>115</v>
      </c>
      <c r="C117" s="20">
        <v>0</v>
      </c>
      <c r="D117" s="127">
        <f>'Varmepumpeberegning VP1'!X118</f>
        <v>9.0081678430174801</v>
      </c>
      <c r="E117" s="61">
        <v>1</v>
      </c>
      <c r="F117" s="61">
        <v>2</v>
      </c>
      <c r="G117" s="61">
        <v>1.8</v>
      </c>
    </row>
    <row r="118" spans="1:7" x14ac:dyDescent="0.25">
      <c r="A118">
        <v>4</v>
      </c>
      <c r="B118">
        <v>116</v>
      </c>
      <c r="C118" s="20">
        <v>0</v>
      </c>
      <c r="D118" s="127">
        <f>'Varmepumpeberegning VP1'!X119</f>
        <v>9.0081678430174801</v>
      </c>
      <c r="E118" s="61">
        <v>1</v>
      </c>
      <c r="F118" s="61">
        <v>2</v>
      </c>
      <c r="G118" s="61">
        <v>1.8</v>
      </c>
    </row>
    <row r="119" spans="1:7" x14ac:dyDescent="0.25">
      <c r="A119">
        <v>4</v>
      </c>
      <c r="B119">
        <v>117</v>
      </c>
      <c r="C119" s="20">
        <v>0</v>
      </c>
      <c r="D119" s="127">
        <f>'Varmepumpeberegning VP1'!X120</f>
        <v>9.0968473264176914</v>
      </c>
      <c r="E119" s="61">
        <v>1</v>
      </c>
      <c r="F119" s="61">
        <v>2</v>
      </c>
      <c r="G119" s="61">
        <v>1.8</v>
      </c>
    </row>
    <row r="120" spans="1:7" x14ac:dyDescent="0.25">
      <c r="A120">
        <v>4</v>
      </c>
      <c r="B120">
        <v>118</v>
      </c>
      <c r="C120" s="20">
        <v>0</v>
      </c>
      <c r="D120" s="127">
        <f>'Varmepumpeberegning VP1'!X121</f>
        <v>9.4116110583807178</v>
      </c>
      <c r="E120" s="61">
        <v>1</v>
      </c>
      <c r="F120" s="61">
        <v>2</v>
      </c>
      <c r="G120" s="61">
        <v>1.8</v>
      </c>
    </row>
    <row r="121" spans="1:7" x14ac:dyDescent="0.25">
      <c r="A121">
        <v>4</v>
      </c>
      <c r="B121">
        <v>119</v>
      </c>
      <c r="C121" s="20">
        <v>0</v>
      </c>
      <c r="D121" s="127">
        <f>'Varmepumpeberegning VP1'!X122</f>
        <v>9.7263747903437441</v>
      </c>
      <c r="E121" s="61">
        <v>1</v>
      </c>
      <c r="F121" s="61">
        <v>2</v>
      </c>
      <c r="G121" s="61">
        <v>1.8</v>
      </c>
    </row>
    <row r="122" spans="1:7" x14ac:dyDescent="0.25">
      <c r="A122">
        <v>4</v>
      </c>
      <c r="B122">
        <v>120</v>
      </c>
      <c r="C122" s="20">
        <v>0</v>
      </c>
      <c r="D122" s="127">
        <f>'Varmepumpeberegning VP1'!X123</f>
        <v>9.6214535463560686</v>
      </c>
      <c r="E122" s="61">
        <v>1</v>
      </c>
      <c r="F122" s="61">
        <v>2</v>
      </c>
      <c r="G122" s="61">
        <v>1.8</v>
      </c>
    </row>
    <row r="123" spans="1:7" x14ac:dyDescent="0.25">
      <c r="A123">
        <v>5</v>
      </c>
      <c r="B123">
        <v>121</v>
      </c>
      <c r="C123" s="20">
        <v>0</v>
      </c>
      <c r="D123" s="127">
        <f>'Varmepumpeberegning VP1'!X124</f>
        <v>9.936217278319095</v>
      </c>
      <c r="E123" s="61">
        <v>1</v>
      </c>
      <c r="F123" s="61">
        <v>2</v>
      </c>
      <c r="G123" s="61">
        <v>1.8</v>
      </c>
    </row>
    <row r="124" spans="1:7" x14ac:dyDescent="0.25">
      <c r="A124">
        <v>5</v>
      </c>
      <c r="B124">
        <v>122</v>
      </c>
      <c r="C124" s="20">
        <v>0</v>
      </c>
      <c r="D124" s="127">
        <f>'Varmepumpeberegning VP1'!X125</f>
        <v>9.936217278319095</v>
      </c>
      <c r="E124" s="61">
        <v>1</v>
      </c>
      <c r="F124" s="61">
        <v>2</v>
      </c>
      <c r="G124" s="61">
        <v>1.8</v>
      </c>
    </row>
    <row r="125" spans="1:7" x14ac:dyDescent="0.25">
      <c r="A125">
        <v>5</v>
      </c>
      <c r="B125">
        <v>123</v>
      </c>
      <c r="C125" s="20">
        <v>0</v>
      </c>
      <c r="D125" s="127">
        <f>'Varmepumpeberegning VP1'!X126</f>
        <v>9.936217278319095</v>
      </c>
      <c r="E125" s="61">
        <v>1</v>
      </c>
      <c r="F125" s="61">
        <v>2</v>
      </c>
      <c r="G125" s="61">
        <v>1.8</v>
      </c>
    </row>
    <row r="126" spans="1:7" x14ac:dyDescent="0.25">
      <c r="A126">
        <v>5</v>
      </c>
      <c r="B126">
        <v>124</v>
      </c>
      <c r="C126" s="20">
        <v>0</v>
      </c>
      <c r="D126" s="127">
        <f>'Varmepumpeberegning VP1'!X127</f>
        <v>9.7263747903437441</v>
      </c>
      <c r="E126" s="61">
        <v>1</v>
      </c>
      <c r="F126" s="61">
        <v>2</v>
      </c>
      <c r="G126" s="61">
        <v>1.8</v>
      </c>
    </row>
    <row r="127" spans="1:7" x14ac:dyDescent="0.25">
      <c r="A127">
        <v>5</v>
      </c>
      <c r="B127">
        <v>125</v>
      </c>
      <c r="C127" s="20">
        <v>0</v>
      </c>
      <c r="D127" s="127">
        <f>'Varmepumpeberegning VP1'!X128</f>
        <v>9.6214535463560686</v>
      </c>
      <c r="E127" s="61">
        <v>1</v>
      </c>
      <c r="F127" s="61">
        <v>2</v>
      </c>
      <c r="G127" s="61">
        <v>1.8</v>
      </c>
    </row>
    <row r="128" spans="1:7" x14ac:dyDescent="0.25">
      <c r="A128">
        <v>5</v>
      </c>
      <c r="B128">
        <v>126</v>
      </c>
      <c r="C128" s="20">
        <v>0</v>
      </c>
      <c r="D128" s="127">
        <f>'Varmepumpeberegning VP1'!X129</f>
        <v>9.6214535463560686</v>
      </c>
      <c r="E128" s="61">
        <v>1</v>
      </c>
      <c r="F128" s="61">
        <v>2</v>
      </c>
      <c r="G128" s="61">
        <v>1.8</v>
      </c>
    </row>
    <row r="129" spans="1:7" x14ac:dyDescent="0.25">
      <c r="A129">
        <v>5</v>
      </c>
      <c r="B129">
        <v>127</v>
      </c>
      <c r="C129" s="20">
        <v>0</v>
      </c>
      <c r="D129" s="127">
        <f>'Varmepumpeberegning VP1'!X130</f>
        <v>9.6214535463560686</v>
      </c>
      <c r="E129" s="61">
        <v>1</v>
      </c>
      <c r="F129" s="61">
        <v>2</v>
      </c>
      <c r="G129" s="61">
        <v>1.8</v>
      </c>
    </row>
    <row r="130" spans="1:7" x14ac:dyDescent="0.25">
      <c r="A130">
        <v>5</v>
      </c>
      <c r="B130">
        <v>128</v>
      </c>
      <c r="C130" s="20">
        <v>0</v>
      </c>
      <c r="D130" s="127">
        <f>'Varmepumpeberegning VP1'!X131</f>
        <v>9.7263747903437441</v>
      </c>
      <c r="E130" s="61">
        <v>1</v>
      </c>
      <c r="F130" s="61">
        <v>2</v>
      </c>
      <c r="G130" s="61">
        <v>1.8</v>
      </c>
    </row>
    <row r="131" spans="1:7" x14ac:dyDescent="0.25">
      <c r="A131">
        <v>5</v>
      </c>
      <c r="B131">
        <v>129</v>
      </c>
      <c r="C131" s="20">
        <v>0</v>
      </c>
      <c r="D131" s="127">
        <f>'Varmepumpeberegning VP1'!X132</f>
        <v>9.6214535463560686</v>
      </c>
      <c r="E131" s="61">
        <v>1</v>
      </c>
      <c r="F131" s="61">
        <v>2</v>
      </c>
      <c r="G131" s="61">
        <v>1.8</v>
      </c>
    </row>
    <row r="132" spans="1:7" x14ac:dyDescent="0.25">
      <c r="A132">
        <v>5</v>
      </c>
      <c r="B132">
        <v>130</v>
      </c>
      <c r="C132" s="20">
        <v>0</v>
      </c>
      <c r="D132" s="127">
        <f>'Varmepumpeberegning VP1'!X133</f>
        <v>9.6214535463560686</v>
      </c>
      <c r="E132" s="61">
        <v>1</v>
      </c>
      <c r="F132" s="61">
        <v>2</v>
      </c>
      <c r="G132" s="61">
        <v>1.8</v>
      </c>
    </row>
    <row r="133" spans="1:7" x14ac:dyDescent="0.25">
      <c r="A133">
        <v>5</v>
      </c>
      <c r="B133">
        <v>131</v>
      </c>
      <c r="C133" s="20">
        <v>0</v>
      </c>
      <c r="D133" s="127">
        <f>'Varmepumpeberegning VP1'!X134</f>
        <v>9.8312960343314195</v>
      </c>
      <c r="E133" s="61">
        <v>1</v>
      </c>
      <c r="F133" s="61">
        <v>2</v>
      </c>
      <c r="G133" s="61">
        <v>1.8</v>
      </c>
    </row>
    <row r="134" spans="1:7" x14ac:dyDescent="0.25">
      <c r="A134">
        <v>5</v>
      </c>
      <c r="B134">
        <v>132</v>
      </c>
      <c r="C134" s="20">
        <v>0</v>
      </c>
      <c r="D134" s="127">
        <f>'Varmepumpeberegning VP1'!X135</f>
        <v>9.936217278319095</v>
      </c>
      <c r="E134" s="61">
        <v>1</v>
      </c>
      <c r="F134" s="61">
        <v>2</v>
      </c>
      <c r="G134" s="61">
        <v>1.8</v>
      </c>
    </row>
    <row r="135" spans="1:7" x14ac:dyDescent="0.25">
      <c r="A135">
        <v>5</v>
      </c>
      <c r="B135">
        <v>133</v>
      </c>
      <c r="C135" s="20">
        <v>0</v>
      </c>
      <c r="D135" s="127">
        <f>'Varmepumpeberegning VP1'!X136</f>
        <v>9.936217278319095</v>
      </c>
      <c r="E135" s="61">
        <v>1</v>
      </c>
      <c r="F135" s="61">
        <v>2</v>
      </c>
      <c r="G135" s="61">
        <v>1.8</v>
      </c>
    </row>
    <row r="136" spans="1:7" x14ac:dyDescent="0.25">
      <c r="A136">
        <v>5</v>
      </c>
      <c r="B136">
        <v>134</v>
      </c>
      <c r="C136" s="20">
        <v>0</v>
      </c>
      <c r="D136" s="127">
        <f>'Varmepumpeberegning VP1'!X137</f>
        <v>9.936217278319095</v>
      </c>
      <c r="E136" s="61">
        <v>1</v>
      </c>
      <c r="F136" s="61">
        <v>2</v>
      </c>
      <c r="G136" s="61">
        <v>1.8</v>
      </c>
    </row>
    <row r="137" spans="1:7" x14ac:dyDescent="0.25">
      <c r="A137">
        <v>5</v>
      </c>
      <c r="B137">
        <v>135</v>
      </c>
      <c r="C137" s="20">
        <v>0</v>
      </c>
      <c r="D137" s="127">
        <f>'Varmepumpeberegning VP1'!X138</f>
        <v>9.936217278319095</v>
      </c>
      <c r="E137" s="61">
        <v>1</v>
      </c>
      <c r="F137" s="61">
        <v>2</v>
      </c>
      <c r="G137" s="61">
        <v>1.8</v>
      </c>
    </row>
    <row r="138" spans="1:7" x14ac:dyDescent="0.25">
      <c r="A138">
        <v>5</v>
      </c>
      <c r="B138">
        <v>136</v>
      </c>
      <c r="C138" s="20">
        <v>0</v>
      </c>
      <c r="D138" s="127">
        <f>'Varmepumpeberegning VP1'!X139</f>
        <v>9.936217278319095</v>
      </c>
      <c r="E138" s="61">
        <v>1</v>
      </c>
      <c r="F138" s="61">
        <v>2</v>
      </c>
      <c r="G138" s="61">
        <v>1.8</v>
      </c>
    </row>
    <row r="139" spans="1:7" x14ac:dyDescent="0.25">
      <c r="A139">
        <v>5</v>
      </c>
      <c r="B139">
        <v>137</v>
      </c>
      <c r="C139" s="20">
        <v>0</v>
      </c>
      <c r="D139" s="127">
        <f>'Varmepumpeberegning VP1'!X140</f>
        <v>9.936217278319095</v>
      </c>
      <c r="E139" s="61">
        <v>1</v>
      </c>
      <c r="F139" s="61">
        <v>2</v>
      </c>
      <c r="G139" s="61">
        <v>1.8</v>
      </c>
    </row>
    <row r="140" spans="1:7" x14ac:dyDescent="0.25">
      <c r="A140">
        <v>5</v>
      </c>
      <c r="B140">
        <v>138</v>
      </c>
      <c r="C140" s="20">
        <v>0</v>
      </c>
      <c r="D140" s="127">
        <f>'Varmepumpeberegning VP1'!X141</f>
        <v>9.936217278319095</v>
      </c>
      <c r="E140" s="61">
        <v>1</v>
      </c>
      <c r="F140" s="61">
        <v>2</v>
      </c>
      <c r="G140" s="61">
        <v>1.8</v>
      </c>
    </row>
    <row r="141" spans="1:7" x14ac:dyDescent="0.25">
      <c r="A141">
        <v>5</v>
      </c>
      <c r="B141">
        <v>139</v>
      </c>
      <c r="C141" s="20">
        <v>0</v>
      </c>
      <c r="D141" s="127">
        <f>'Varmepumpeberegning VP1'!X142</f>
        <v>9.936217278319095</v>
      </c>
      <c r="E141" s="61">
        <v>1</v>
      </c>
      <c r="F141" s="61">
        <v>2</v>
      </c>
      <c r="G141" s="61">
        <v>1.8</v>
      </c>
    </row>
    <row r="142" spans="1:7" x14ac:dyDescent="0.25">
      <c r="A142">
        <v>5</v>
      </c>
      <c r="B142">
        <v>140</v>
      </c>
      <c r="C142" s="20">
        <v>0</v>
      </c>
      <c r="D142" s="127">
        <f>'Varmepumpeberegning VP1'!X143</f>
        <v>9.936217278319095</v>
      </c>
      <c r="E142" s="61">
        <v>1</v>
      </c>
      <c r="F142" s="61">
        <v>2</v>
      </c>
      <c r="G142" s="61">
        <v>1.8</v>
      </c>
    </row>
    <row r="143" spans="1:7" x14ac:dyDescent="0.25">
      <c r="A143">
        <v>5</v>
      </c>
      <c r="B143">
        <v>141</v>
      </c>
      <c r="C143" s="20">
        <v>0</v>
      </c>
      <c r="D143" s="127">
        <f>'Varmepumpeberegning VP1'!X144</f>
        <v>9.936217278319095</v>
      </c>
      <c r="E143" s="61">
        <v>1</v>
      </c>
      <c r="F143" s="61">
        <v>2</v>
      </c>
      <c r="G143" s="61">
        <v>1.8</v>
      </c>
    </row>
    <row r="144" spans="1:7" x14ac:dyDescent="0.25">
      <c r="A144">
        <v>5</v>
      </c>
      <c r="B144">
        <v>142</v>
      </c>
      <c r="C144" s="20">
        <v>0</v>
      </c>
      <c r="D144" s="127">
        <f>'Varmepumpeberegning VP1'!X145</f>
        <v>9.936217278319095</v>
      </c>
      <c r="E144" s="61">
        <v>1</v>
      </c>
      <c r="F144" s="61">
        <v>2</v>
      </c>
      <c r="G144" s="61">
        <v>1.8</v>
      </c>
    </row>
    <row r="145" spans="1:7" x14ac:dyDescent="0.25">
      <c r="A145">
        <v>5</v>
      </c>
      <c r="B145">
        <v>143</v>
      </c>
      <c r="C145" s="20">
        <v>0</v>
      </c>
      <c r="D145" s="127">
        <f>'Varmepumpeberegning VP1'!X146</f>
        <v>9.936217278319095</v>
      </c>
      <c r="E145" s="61">
        <v>1</v>
      </c>
      <c r="F145" s="61">
        <v>2</v>
      </c>
      <c r="G145" s="61">
        <v>1.8</v>
      </c>
    </row>
    <row r="146" spans="1:7" x14ac:dyDescent="0.25">
      <c r="A146">
        <v>5</v>
      </c>
      <c r="B146">
        <v>144</v>
      </c>
      <c r="C146" s="20">
        <v>0</v>
      </c>
      <c r="D146" s="127">
        <f>'Varmepumpeberegning VP1'!X147</f>
        <v>9.936217278319095</v>
      </c>
      <c r="E146" s="61">
        <v>1</v>
      </c>
      <c r="F146" s="61">
        <v>2</v>
      </c>
      <c r="G146" s="61">
        <v>1.8</v>
      </c>
    </row>
    <row r="147" spans="1:7" x14ac:dyDescent="0.25">
      <c r="A147">
        <v>5</v>
      </c>
      <c r="B147">
        <v>145</v>
      </c>
      <c r="C147" s="20">
        <v>0</v>
      </c>
      <c r="D147" s="127">
        <f>'Varmepumpeberegning VP1'!X148</f>
        <v>9.936217278319095</v>
      </c>
      <c r="E147" s="61">
        <v>1</v>
      </c>
      <c r="F147" s="61">
        <v>2</v>
      </c>
      <c r="G147" s="61">
        <v>1.8</v>
      </c>
    </row>
    <row r="148" spans="1:7" x14ac:dyDescent="0.25">
      <c r="A148">
        <v>5</v>
      </c>
      <c r="B148">
        <v>146</v>
      </c>
      <c r="C148" s="20">
        <v>0</v>
      </c>
      <c r="D148" s="127">
        <f>'Varmepumpeberegning VP1'!X149</f>
        <v>9.936217278319095</v>
      </c>
      <c r="E148" s="61">
        <v>1</v>
      </c>
      <c r="F148" s="61">
        <v>2</v>
      </c>
      <c r="G148" s="61">
        <v>1.8</v>
      </c>
    </row>
    <row r="149" spans="1:7" x14ac:dyDescent="0.25">
      <c r="A149">
        <v>5</v>
      </c>
      <c r="B149">
        <v>147</v>
      </c>
      <c r="C149" s="20">
        <v>0</v>
      </c>
      <c r="D149" s="127">
        <f>'Varmepumpeberegning VP1'!X150</f>
        <v>9.936217278319095</v>
      </c>
      <c r="E149" s="61">
        <v>1</v>
      </c>
      <c r="F149" s="61">
        <v>2</v>
      </c>
      <c r="G149" s="61">
        <v>1.8</v>
      </c>
    </row>
    <row r="150" spans="1:7" x14ac:dyDescent="0.25">
      <c r="A150">
        <v>5</v>
      </c>
      <c r="B150">
        <v>148</v>
      </c>
      <c r="C150" s="20">
        <v>0</v>
      </c>
      <c r="D150" s="127">
        <f>'Varmepumpeberegning VP1'!X151</f>
        <v>9.936217278319095</v>
      </c>
      <c r="E150" s="61">
        <v>1</v>
      </c>
      <c r="F150" s="61">
        <v>2</v>
      </c>
      <c r="G150" s="61">
        <v>1.8</v>
      </c>
    </row>
    <row r="151" spans="1:7" x14ac:dyDescent="0.25">
      <c r="A151">
        <v>5</v>
      </c>
      <c r="B151">
        <v>149</v>
      </c>
      <c r="C151" s="20">
        <v>0</v>
      </c>
      <c r="D151" s="127">
        <f>'Varmepumpeberegning VP1'!X152</f>
        <v>9.8312960343314195</v>
      </c>
      <c r="E151" s="61">
        <v>1</v>
      </c>
      <c r="F151" s="61">
        <v>2</v>
      </c>
      <c r="G151" s="61">
        <v>1.8</v>
      </c>
    </row>
    <row r="152" spans="1:7" x14ac:dyDescent="0.25">
      <c r="A152">
        <v>5</v>
      </c>
      <c r="B152">
        <v>150</v>
      </c>
      <c r="C152" s="20">
        <v>0</v>
      </c>
      <c r="D152" s="127">
        <f>'Varmepumpeberegning VP1'!X153</f>
        <v>9.936217278319095</v>
      </c>
      <c r="E152" s="61">
        <v>1</v>
      </c>
      <c r="F152" s="61">
        <v>2</v>
      </c>
      <c r="G152" s="61">
        <v>1.8</v>
      </c>
    </row>
    <row r="153" spans="1:7" x14ac:dyDescent="0.25">
      <c r="A153">
        <v>5</v>
      </c>
      <c r="B153">
        <v>151</v>
      </c>
      <c r="C153" s="20">
        <v>0</v>
      </c>
      <c r="D153" s="127">
        <f>'Varmepumpeberegning VP1'!X154</f>
        <v>9.8312960343314195</v>
      </c>
      <c r="E153" s="61">
        <v>1</v>
      </c>
      <c r="F153" s="61">
        <v>2</v>
      </c>
      <c r="G153" s="61">
        <v>1.8</v>
      </c>
    </row>
    <row r="154" spans="1:7" x14ac:dyDescent="0.25">
      <c r="A154">
        <v>6</v>
      </c>
      <c r="B154">
        <v>152</v>
      </c>
      <c r="C154" s="20">
        <v>0</v>
      </c>
      <c r="D154" s="127">
        <f>'Varmepumpeberegning VP1'!X155</f>
        <v>9.936217278319095</v>
      </c>
      <c r="E154" s="61">
        <v>1</v>
      </c>
      <c r="F154" s="61">
        <v>2</v>
      </c>
      <c r="G154" s="61">
        <v>1.8</v>
      </c>
    </row>
    <row r="155" spans="1:7" x14ac:dyDescent="0.25">
      <c r="A155">
        <v>6</v>
      </c>
      <c r="B155">
        <v>153</v>
      </c>
      <c r="C155" s="20">
        <v>0</v>
      </c>
      <c r="D155" s="127">
        <f>'Varmepumpeberegning VP1'!X156</f>
        <v>9.936217278319095</v>
      </c>
      <c r="E155" s="61">
        <v>1</v>
      </c>
      <c r="F155" s="61">
        <v>2</v>
      </c>
      <c r="G155" s="61">
        <v>1.8</v>
      </c>
    </row>
    <row r="156" spans="1:7" x14ac:dyDescent="0.25">
      <c r="A156">
        <v>6</v>
      </c>
      <c r="B156">
        <v>154</v>
      </c>
      <c r="C156" s="20">
        <v>0</v>
      </c>
      <c r="D156" s="127">
        <f>'Varmepumpeberegning VP1'!X157</f>
        <v>9.8312960343314195</v>
      </c>
      <c r="E156" s="61">
        <v>1</v>
      </c>
      <c r="F156" s="61">
        <v>2</v>
      </c>
      <c r="G156" s="61">
        <v>1.8</v>
      </c>
    </row>
    <row r="157" spans="1:7" x14ac:dyDescent="0.25">
      <c r="A157">
        <v>6</v>
      </c>
      <c r="B157">
        <v>155</v>
      </c>
      <c r="C157" s="20">
        <v>0</v>
      </c>
      <c r="D157" s="127">
        <f>'Varmepumpeberegning VP1'!X158</f>
        <v>9.8312960343314195</v>
      </c>
      <c r="E157" s="61">
        <v>1</v>
      </c>
      <c r="F157" s="61">
        <v>2</v>
      </c>
      <c r="G157" s="61">
        <v>1.8</v>
      </c>
    </row>
    <row r="158" spans="1:7" x14ac:dyDescent="0.25">
      <c r="A158">
        <v>6</v>
      </c>
      <c r="B158">
        <v>156</v>
      </c>
      <c r="C158" s="20">
        <v>0</v>
      </c>
      <c r="D158" s="127">
        <f>'Varmepumpeberegning VP1'!X159</f>
        <v>9.936217278319095</v>
      </c>
      <c r="E158" s="61">
        <v>1</v>
      </c>
      <c r="F158" s="61">
        <v>2</v>
      </c>
      <c r="G158" s="61">
        <v>1.8</v>
      </c>
    </row>
    <row r="159" spans="1:7" x14ac:dyDescent="0.25">
      <c r="A159">
        <v>6</v>
      </c>
      <c r="B159">
        <v>157</v>
      </c>
      <c r="C159" s="20">
        <v>0</v>
      </c>
      <c r="D159" s="127">
        <f>'Varmepumpeberegning VP1'!X160</f>
        <v>9.7263747903437441</v>
      </c>
      <c r="E159" s="61">
        <v>1</v>
      </c>
      <c r="F159" s="61">
        <v>2</v>
      </c>
      <c r="G159" s="61">
        <v>1.8</v>
      </c>
    </row>
    <row r="160" spans="1:7" x14ac:dyDescent="0.25">
      <c r="A160">
        <v>6</v>
      </c>
      <c r="B160">
        <v>158</v>
      </c>
      <c r="C160" s="20">
        <v>0</v>
      </c>
      <c r="D160" s="127">
        <f>'Varmepumpeberegning VP1'!X161</f>
        <v>9.7263747903437441</v>
      </c>
      <c r="E160" s="61">
        <v>1</v>
      </c>
      <c r="F160" s="61">
        <v>2</v>
      </c>
      <c r="G160" s="61">
        <v>1.8</v>
      </c>
    </row>
    <row r="161" spans="1:7" x14ac:dyDescent="0.25">
      <c r="A161">
        <v>6</v>
      </c>
      <c r="B161">
        <v>159</v>
      </c>
      <c r="C161" s="20">
        <v>0</v>
      </c>
      <c r="D161" s="127">
        <f>'Varmepumpeberegning VP1'!X162</f>
        <v>9.7263747903437441</v>
      </c>
      <c r="E161" s="61">
        <v>1</v>
      </c>
      <c r="F161" s="61">
        <v>2</v>
      </c>
      <c r="G161" s="61">
        <v>1.8</v>
      </c>
    </row>
    <row r="162" spans="1:7" x14ac:dyDescent="0.25">
      <c r="A162">
        <v>6</v>
      </c>
      <c r="B162">
        <v>160</v>
      </c>
      <c r="C162" s="20">
        <v>0</v>
      </c>
      <c r="D162" s="127">
        <f>'Varmepumpeberegning VP1'!X163</f>
        <v>9.7263747903437441</v>
      </c>
      <c r="E162" s="61">
        <v>1</v>
      </c>
      <c r="F162" s="61">
        <v>2</v>
      </c>
      <c r="G162" s="61">
        <v>1.8</v>
      </c>
    </row>
    <row r="163" spans="1:7" x14ac:dyDescent="0.25">
      <c r="A163">
        <v>6</v>
      </c>
      <c r="B163">
        <v>161</v>
      </c>
      <c r="C163" s="20">
        <v>0</v>
      </c>
      <c r="D163" s="127">
        <f>'Varmepumpeberegning VP1'!X164</f>
        <v>9.6214535463560686</v>
      </c>
      <c r="E163" s="61">
        <v>1</v>
      </c>
      <c r="F163" s="61">
        <v>2</v>
      </c>
      <c r="G163" s="61">
        <v>1.8</v>
      </c>
    </row>
    <row r="164" spans="1:7" x14ac:dyDescent="0.25">
      <c r="A164">
        <v>6</v>
      </c>
      <c r="B164">
        <v>162</v>
      </c>
      <c r="C164" s="20">
        <v>0</v>
      </c>
      <c r="D164" s="127">
        <f>'Varmepumpeberegning VP1'!X165</f>
        <v>9.5165323023683932</v>
      </c>
      <c r="E164" s="61">
        <v>1</v>
      </c>
      <c r="F164" s="61">
        <v>2</v>
      </c>
      <c r="G164" s="61">
        <v>1.8</v>
      </c>
    </row>
    <row r="165" spans="1:7" x14ac:dyDescent="0.25">
      <c r="A165">
        <v>6</v>
      </c>
      <c r="B165">
        <v>163</v>
      </c>
      <c r="C165" s="20">
        <v>0</v>
      </c>
      <c r="D165" s="127">
        <f>'Varmepumpeberegning VP1'!X166</f>
        <v>9.6214535463560686</v>
      </c>
      <c r="E165" s="61">
        <v>1</v>
      </c>
      <c r="F165" s="61">
        <v>2</v>
      </c>
      <c r="G165" s="61">
        <v>1.8</v>
      </c>
    </row>
    <row r="166" spans="1:7" x14ac:dyDescent="0.25">
      <c r="A166">
        <v>6</v>
      </c>
      <c r="B166">
        <v>164</v>
      </c>
      <c r="C166" s="20">
        <v>0</v>
      </c>
      <c r="D166" s="127">
        <f>'Varmepumpeberegning VP1'!X167</f>
        <v>9.5165323023683932</v>
      </c>
      <c r="E166" s="61">
        <v>1</v>
      </c>
      <c r="F166" s="61">
        <v>2</v>
      </c>
      <c r="G166" s="61">
        <v>1.8</v>
      </c>
    </row>
    <row r="167" spans="1:7" x14ac:dyDescent="0.25">
      <c r="A167">
        <v>6</v>
      </c>
      <c r="B167">
        <v>165</v>
      </c>
      <c r="C167" s="20">
        <v>0</v>
      </c>
      <c r="D167" s="127">
        <f>'Varmepumpeberegning VP1'!X168</f>
        <v>9.7263747903437441</v>
      </c>
      <c r="E167" s="61">
        <v>1</v>
      </c>
      <c r="F167" s="61">
        <v>2</v>
      </c>
      <c r="G167" s="61">
        <v>1.8</v>
      </c>
    </row>
    <row r="168" spans="1:7" x14ac:dyDescent="0.25">
      <c r="A168">
        <v>6</v>
      </c>
      <c r="B168">
        <v>166</v>
      </c>
      <c r="C168" s="20">
        <v>0</v>
      </c>
      <c r="D168" s="127">
        <f>'Varmepumpeberegning VP1'!X169</f>
        <v>9.936217278319095</v>
      </c>
      <c r="E168" s="61">
        <v>1</v>
      </c>
      <c r="F168" s="61">
        <v>2</v>
      </c>
      <c r="G168" s="61">
        <v>1.8</v>
      </c>
    </row>
    <row r="169" spans="1:7" x14ac:dyDescent="0.25">
      <c r="A169">
        <v>6</v>
      </c>
      <c r="B169">
        <v>167</v>
      </c>
      <c r="C169" s="20">
        <v>0</v>
      </c>
      <c r="D169" s="127">
        <f>'Varmepumpeberegning VP1'!X170</f>
        <v>9.8312960343314195</v>
      </c>
      <c r="E169" s="61">
        <v>1</v>
      </c>
      <c r="F169" s="61">
        <v>2</v>
      </c>
      <c r="G169" s="61">
        <v>1.8</v>
      </c>
    </row>
    <row r="170" spans="1:7" x14ac:dyDescent="0.25">
      <c r="A170">
        <v>6</v>
      </c>
      <c r="B170">
        <v>168</v>
      </c>
      <c r="C170" s="20">
        <v>0</v>
      </c>
      <c r="D170" s="127">
        <f>'Varmepumpeberegning VP1'!X171</f>
        <v>9.8312960343314195</v>
      </c>
      <c r="E170" s="61">
        <v>1</v>
      </c>
      <c r="F170" s="61">
        <v>2</v>
      </c>
      <c r="G170" s="61">
        <v>1.8</v>
      </c>
    </row>
    <row r="171" spans="1:7" x14ac:dyDescent="0.25">
      <c r="A171">
        <v>6</v>
      </c>
      <c r="B171">
        <v>169</v>
      </c>
      <c r="C171" s="20">
        <v>0</v>
      </c>
      <c r="D171" s="127">
        <f>'Varmepumpeberegning VP1'!X172</f>
        <v>9.936217278319095</v>
      </c>
      <c r="E171" s="61">
        <v>1</v>
      </c>
      <c r="F171" s="61">
        <v>2</v>
      </c>
      <c r="G171" s="61">
        <v>1.8</v>
      </c>
    </row>
    <row r="172" spans="1:7" x14ac:dyDescent="0.25">
      <c r="A172">
        <v>6</v>
      </c>
      <c r="B172">
        <v>170</v>
      </c>
      <c r="C172" s="20">
        <v>0</v>
      </c>
      <c r="D172" s="127">
        <f>'Varmepumpeberegning VP1'!X173</f>
        <v>9.936217278319095</v>
      </c>
      <c r="E172" s="61">
        <v>1</v>
      </c>
      <c r="F172" s="61">
        <v>2</v>
      </c>
      <c r="G172" s="61">
        <v>1.8</v>
      </c>
    </row>
    <row r="173" spans="1:7" x14ac:dyDescent="0.25">
      <c r="A173">
        <v>6</v>
      </c>
      <c r="B173">
        <v>171</v>
      </c>
      <c r="C173" s="20">
        <v>0</v>
      </c>
      <c r="D173" s="127">
        <f>'Varmepumpeberegning VP1'!X174</f>
        <v>9.936217278319095</v>
      </c>
      <c r="E173" s="61">
        <v>1</v>
      </c>
      <c r="F173" s="61">
        <v>2</v>
      </c>
      <c r="G173" s="61">
        <v>1.8</v>
      </c>
    </row>
    <row r="174" spans="1:7" x14ac:dyDescent="0.25">
      <c r="A174">
        <v>6</v>
      </c>
      <c r="B174">
        <v>172</v>
      </c>
      <c r="C174" s="20">
        <v>0</v>
      </c>
      <c r="D174" s="127">
        <f>'Varmepumpeberegning VP1'!X175</f>
        <v>9.8312960343314195</v>
      </c>
      <c r="E174" s="61">
        <v>1</v>
      </c>
      <c r="F174" s="61">
        <v>2</v>
      </c>
      <c r="G174" s="61">
        <v>1.8</v>
      </c>
    </row>
    <row r="175" spans="1:7" x14ac:dyDescent="0.25">
      <c r="A175">
        <v>6</v>
      </c>
      <c r="B175">
        <v>173</v>
      </c>
      <c r="C175" s="20">
        <v>0</v>
      </c>
      <c r="D175" s="127">
        <f>'Varmepumpeberegning VP1'!X176</f>
        <v>9.936217278319095</v>
      </c>
      <c r="E175" s="61">
        <v>1</v>
      </c>
      <c r="F175" s="61">
        <v>2</v>
      </c>
      <c r="G175" s="61">
        <v>1.8</v>
      </c>
    </row>
    <row r="176" spans="1:7" x14ac:dyDescent="0.25">
      <c r="A176">
        <v>6</v>
      </c>
      <c r="B176">
        <v>174</v>
      </c>
      <c r="C176" s="20">
        <v>0</v>
      </c>
      <c r="D176" s="127">
        <f>'Varmepumpeberegning VP1'!X177</f>
        <v>9.936217278319095</v>
      </c>
      <c r="E176" s="61">
        <v>1</v>
      </c>
      <c r="F176" s="61">
        <v>2</v>
      </c>
      <c r="G176" s="61">
        <v>1.8</v>
      </c>
    </row>
    <row r="177" spans="1:7" x14ac:dyDescent="0.25">
      <c r="A177">
        <v>6</v>
      </c>
      <c r="B177">
        <v>175</v>
      </c>
      <c r="C177" s="20">
        <v>0</v>
      </c>
      <c r="D177" s="127">
        <f>'Varmepumpeberegning VP1'!X178</f>
        <v>9.936217278319095</v>
      </c>
      <c r="E177" s="61">
        <v>1</v>
      </c>
      <c r="F177" s="61">
        <v>2</v>
      </c>
      <c r="G177" s="61">
        <v>1.8</v>
      </c>
    </row>
    <row r="178" spans="1:7" x14ac:dyDescent="0.25">
      <c r="A178">
        <v>6</v>
      </c>
      <c r="B178">
        <v>176</v>
      </c>
      <c r="C178" s="20">
        <v>0</v>
      </c>
      <c r="D178" s="127">
        <f>'Varmepumpeberegning VP1'!X179</f>
        <v>9.936217278319095</v>
      </c>
      <c r="E178" s="61">
        <v>1</v>
      </c>
      <c r="F178" s="61">
        <v>2</v>
      </c>
      <c r="G178" s="61">
        <v>1.8</v>
      </c>
    </row>
    <row r="179" spans="1:7" x14ac:dyDescent="0.25">
      <c r="A179">
        <v>6</v>
      </c>
      <c r="B179">
        <v>177</v>
      </c>
      <c r="C179" s="20">
        <v>0</v>
      </c>
      <c r="D179" s="127">
        <f>'Varmepumpeberegning VP1'!X180</f>
        <v>9.936217278319095</v>
      </c>
      <c r="E179" s="61">
        <v>1</v>
      </c>
      <c r="F179" s="61">
        <v>2</v>
      </c>
      <c r="G179" s="61">
        <v>1.8</v>
      </c>
    </row>
    <row r="180" spans="1:7" x14ac:dyDescent="0.25">
      <c r="A180">
        <v>6</v>
      </c>
      <c r="B180">
        <v>178</v>
      </c>
      <c r="C180" s="20">
        <v>0</v>
      </c>
      <c r="D180" s="127">
        <f>'Varmepumpeberegning VP1'!X181</f>
        <v>9.936217278319095</v>
      </c>
      <c r="E180" s="61">
        <v>1</v>
      </c>
      <c r="F180" s="61">
        <v>2</v>
      </c>
      <c r="G180" s="61">
        <v>1.8</v>
      </c>
    </row>
    <row r="181" spans="1:7" x14ac:dyDescent="0.25">
      <c r="A181">
        <v>6</v>
      </c>
      <c r="B181">
        <v>179</v>
      </c>
      <c r="C181" s="20">
        <v>0</v>
      </c>
      <c r="D181" s="127">
        <f>'Varmepumpeberegning VP1'!X182</f>
        <v>9.936217278319095</v>
      </c>
      <c r="E181" s="61">
        <v>1</v>
      </c>
      <c r="F181" s="61">
        <v>2</v>
      </c>
      <c r="G181" s="61">
        <v>1.8</v>
      </c>
    </row>
    <row r="182" spans="1:7" x14ac:dyDescent="0.25">
      <c r="A182">
        <v>6</v>
      </c>
      <c r="B182">
        <v>180</v>
      </c>
      <c r="C182" s="20">
        <v>0</v>
      </c>
      <c r="D182" s="127">
        <f>'Varmepumpeberegning VP1'!X183</f>
        <v>9.936217278319095</v>
      </c>
      <c r="E182" s="61">
        <v>1</v>
      </c>
      <c r="F182" s="61">
        <v>2</v>
      </c>
      <c r="G182" s="61">
        <v>1.8</v>
      </c>
    </row>
    <row r="183" spans="1:7" x14ac:dyDescent="0.25">
      <c r="A183">
        <v>6</v>
      </c>
      <c r="B183">
        <v>181</v>
      </c>
      <c r="C183" s="20">
        <v>0</v>
      </c>
      <c r="D183" s="127">
        <f>'Varmepumpeberegning VP1'!X184</f>
        <v>9.936217278319095</v>
      </c>
      <c r="E183" s="61">
        <v>1</v>
      </c>
      <c r="F183" s="61">
        <v>2</v>
      </c>
      <c r="G183" s="61">
        <v>1.8</v>
      </c>
    </row>
    <row r="184" spans="1:7" x14ac:dyDescent="0.25">
      <c r="A184">
        <v>7</v>
      </c>
      <c r="B184">
        <v>182</v>
      </c>
      <c r="C184" s="20">
        <v>0</v>
      </c>
      <c r="D184" s="127">
        <f>'Varmepumpeberegning VP1'!X185</f>
        <v>9.936217278319095</v>
      </c>
      <c r="E184" s="61">
        <v>1</v>
      </c>
      <c r="F184" s="61">
        <v>2</v>
      </c>
      <c r="G184" s="61">
        <v>1.8</v>
      </c>
    </row>
    <row r="185" spans="1:7" x14ac:dyDescent="0.25">
      <c r="A185">
        <v>7</v>
      </c>
      <c r="B185">
        <v>183</v>
      </c>
      <c r="C185" s="20">
        <v>0</v>
      </c>
      <c r="D185" s="127">
        <f>'Varmepumpeberegning VP1'!X186</f>
        <v>9.936217278319095</v>
      </c>
      <c r="E185" s="61">
        <v>1</v>
      </c>
      <c r="F185" s="61">
        <v>2</v>
      </c>
      <c r="G185" s="61">
        <v>1.8</v>
      </c>
    </row>
    <row r="186" spans="1:7" x14ac:dyDescent="0.25">
      <c r="A186">
        <v>7</v>
      </c>
      <c r="B186">
        <v>184</v>
      </c>
      <c r="C186" s="20">
        <v>0</v>
      </c>
      <c r="D186" s="127">
        <f>'Varmepumpeberegning VP1'!X187</f>
        <v>9.936217278319095</v>
      </c>
      <c r="E186" s="61">
        <v>1</v>
      </c>
      <c r="F186" s="61">
        <v>2</v>
      </c>
      <c r="G186" s="61">
        <v>1.8</v>
      </c>
    </row>
    <row r="187" spans="1:7" x14ac:dyDescent="0.25">
      <c r="A187">
        <v>7</v>
      </c>
      <c r="B187">
        <v>185</v>
      </c>
      <c r="C187" s="20">
        <v>0</v>
      </c>
      <c r="D187" s="127">
        <f>'Varmepumpeberegning VP1'!X188</f>
        <v>9.7263747903437441</v>
      </c>
      <c r="E187" s="61">
        <v>1</v>
      </c>
      <c r="F187" s="61">
        <v>2</v>
      </c>
      <c r="G187" s="61">
        <v>1.8</v>
      </c>
    </row>
    <row r="188" spans="1:7" x14ac:dyDescent="0.25">
      <c r="A188">
        <v>7</v>
      </c>
      <c r="B188">
        <v>186</v>
      </c>
      <c r="C188" s="20">
        <v>0</v>
      </c>
      <c r="D188" s="127">
        <f>'Varmepumpeberegning VP1'!X189</f>
        <v>9.936217278319095</v>
      </c>
      <c r="E188" s="61">
        <v>1</v>
      </c>
      <c r="F188" s="61">
        <v>2</v>
      </c>
      <c r="G188" s="61">
        <v>1.8</v>
      </c>
    </row>
    <row r="189" spans="1:7" x14ac:dyDescent="0.25">
      <c r="A189">
        <v>7</v>
      </c>
      <c r="B189">
        <v>187</v>
      </c>
      <c r="C189" s="20">
        <v>0</v>
      </c>
      <c r="D189" s="127">
        <f>'Varmepumpeberegning VP1'!X190</f>
        <v>9.936217278319095</v>
      </c>
      <c r="E189" s="61">
        <v>1</v>
      </c>
      <c r="F189" s="61">
        <v>2</v>
      </c>
      <c r="G189" s="61">
        <v>1.8</v>
      </c>
    </row>
    <row r="190" spans="1:7" x14ac:dyDescent="0.25">
      <c r="A190">
        <v>7</v>
      </c>
      <c r="B190">
        <v>188</v>
      </c>
      <c r="C190" s="20">
        <v>0</v>
      </c>
      <c r="D190" s="127">
        <f>'Varmepumpeberegning VP1'!X191</f>
        <v>9.936217278319095</v>
      </c>
      <c r="E190" s="61">
        <v>1</v>
      </c>
      <c r="F190" s="61">
        <v>2</v>
      </c>
      <c r="G190" s="61">
        <v>1.8</v>
      </c>
    </row>
    <row r="191" spans="1:7" x14ac:dyDescent="0.25">
      <c r="A191">
        <v>7</v>
      </c>
      <c r="B191">
        <v>189</v>
      </c>
      <c r="C191" s="20">
        <v>0</v>
      </c>
      <c r="D191" s="127">
        <f>'Varmepumpeberegning VP1'!X192</f>
        <v>9.8312960343314195</v>
      </c>
      <c r="E191" s="61">
        <v>1</v>
      </c>
      <c r="F191" s="61">
        <v>2</v>
      </c>
      <c r="G191" s="61">
        <v>1.8</v>
      </c>
    </row>
    <row r="192" spans="1:7" x14ac:dyDescent="0.25">
      <c r="A192">
        <v>7</v>
      </c>
      <c r="B192">
        <v>190</v>
      </c>
      <c r="C192" s="20">
        <v>0</v>
      </c>
      <c r="D192" s="127">
        <f>'Varmepumpeberegning VP1'!X193</f>
        <v>9.936217278319095</v>
      </c>
      <c r="E192" s="61">
        <v>1</v>
      </c>
      <c r="F192" s="61">
        <v>2</v>
      </c>
      <c r="G192" s="61">
        <v>1.8</v>
      </c>
    </row>
    <row r="193" spans="1:7" x14ac:dyDescent="0.25">
      <c r="A193">
        <v>7</v>
      </c>
      <c r="B193">
        <v>191</v>
      </c>
      <c r="C193" s="20">
        <v>0</v>
      </c>
      <c r="D193" s="127">
        <f>'Varmepumpeberegning VP1'!X194</f>
        <v>9.936217278319095</v>
      </c>
      <c r="E193" s="61">
        <v>1</v>
      </c>
      <c r="F193" s="61">
        <v>2</v>
      </c>
      <c r="G193" s="61">
        <v>1.8</v>
      </c>
    </row>
    <row r="194" spans="1:7" x14ac:dyDescent="0.25">
      <c r="A194">
        <v>7</v>
      </c>
      <c r="B194">
        <v>192</v>
      </c>
      <c r="C194" s="20">
        <v>0</v>
      </c>
      <c r="D194" s="127">
        <f>'Varmepumpeberegning VP1'!X195</f>
        <v>9.936217278319095</v>
      </c>
      <c r="E194" s="61">
        <v>1</v>
      </c>
      <c r="F194" s="61">
        <v>2</v>
      </c>
      <c r="G194" s="61">
        <v>1.8</v>
      </c>
    </row>
    <row r="195" spans="1:7" x14ac:dyDescent="0.25">
      <c r="A195">
        <v>7</v>
      </c>
      <c r="B195">
        <v>193</v>
      </c>
      <c r="C195" s="20">
        <v>0</v>
      </c>
      <c r="D195" s="127">
        <f>'Varmepumpeberegning VP1'!X196</f>
        <v>9.936217278319095</v>
      </c>
      <c r="E195" s="61">
        <v>1</v>
      </c>
      <c r="F195" s="61">
        <v>2</v>
      </c>
      <c r="G195" s="61">
        <v>1.8</v>
      </c>
    </row>
    <row r="196" spans="1:7" x14ac:dyDescent="0.25">
      <c r="A196">
        <v>7</v>
      </c>
      <c r="B196">
        <v>194</v>
      </c>
      <c r="C196" s="20">
        <v>0</v>
      </c>
      <c r="D196" s="127">
        <f>'Varmepumpeberegning VP1'!X197</f>
        <v>9.8312960343314195</v>
      </c>
      <c r="E196" s="61">
        <v>1</v>
      </c>
      <c r="F196" s="61">
        <v>2</v>
      </c>
      <c r="G196" s="61">
        <v>1.8</v>
      </c>
    </row>
    <row r="197" spans="1:7" x14ac:dyDescent="0.25">
      <c r="A197">
        <v>7</v>
      </c>
      <c r="B197">
        <v>195</v>
      </c>
      <c r="C197" s="20">
        <v>0</v>
      </c>
      <c r="D197" s="127">
        <f>'Varmepumpeberegning VP1'!X198</f>
        <v>9.936217278319095</v>
      </c>
      <c r="E197" s="61">
        <v>1</v>
      </c>
      <c r="F197" s="61">
        <v>2</v>
      </c>
      <c r="G197" s="61">
        <v>1.8</v>
      </c>
    </row>
    <row r="198" spans="1:7" x14ac:dyDescent="0.25">
      <c r="A198">
        <v>7</v>
      </c>
      <c r="B198">
        <v>196</v>
      </c>
      <c r="C198" s="20">
        <v>0</v>
      </c>
      <c r="D198" s="127">
        <f>'Varmepumpeberegning VP1'!X199</f>
        <v>9.936217278319095</v>
      </c>
      <c r="E198" s="61">
        <v>1</v>
      </c>
      <c r="F198" s="61">
        <v>2</v>
      </c>
      <c r="G198" s="61">
        <v>1.8</v>
      </c>
    </row>
    <row r="199" spans="1:7" x14ac:dyDescent="0.25">
      <c r="A199">
        <v>7</v>
      </c>
      <c r="B199">
        <v>197</v>
      </c>
      <c r="C199" s="20">
        <v>0</v>
      </c>
      <c r="D199" s="127">
        <f>'Varmepumpeberegning VP1'!X200</f>
        <v>9.936217278319095</v>
      </c>
      <c r="E199" s="61">
        <v>1</v>
      </c>
      <c r="F199" s="61">
        <v>2</v>
      </c>
      <c r="G199" s="61">
        <v>1.8</v>
      </c>
    </row>
    <row r="200" spans="1:7" x14ac:dyDescent="0.25">
      <c r="A200">
        <v>7</v>
      </c>
      <c r="B200">
        <v>198</v>
      </c>
      <c r="C200" s="20">
        <v>0</v>
      </c>
      <c r="D200" s="127">
        <f>'Varmepumpeberegning VP1'!X201</f>
        <v>9.936217278319095</v>
      </c>
      <c r="E200" s="61">
        <v>1</v>
      </c>
      <c r="F200" s="61">
        <v>2</v>
      </c>
      <c r="G200" s="61">
        <v>1.8</v>
      </c>
    </row>
    <row r="201" spans="1:7" x14ac:dyDescent="0.25">
      <c r="A201">
        <v>7</v>
      </c>
      <c r="B201">
        <v>199</v>
      </c>
      <c r="C201" s="20">
        <v>0</v>
      </c>
      <c r="D201" s="127">
        <f>'Varmepumpeberegning VP1'!X202</f>
        <v>9.936217278319095</v>
      </c>
      <c r="E201" s="61">
        <v>1</v>
      </c>
      <c r="F201" s="61">
        <v>2</v>
      </c>
      <c r="G201" s="61">
        <v>1.8</v>
      </c>
    </row>
    <row r="202" spans="1:7" x14ac:dyDescent="0.25">
      <c r="A202">
        <v>7</v>
      </c>
      <c r="B202">
        <v>200</v>
      </c>
      <c r="C202" s="20">
        <v>0</v>
      </c>
      <c r="D202" s="127">
        <f>'Varmepumpeberegning VP1'!X203</f>
        <v>9.936217278319095</v>
      </c>
      <c r="E202" s="61">
        <v>1</v>
      </c>
      <c r="F202" s="61">
        <v>2</v>
      </c>
      <c r="G202" s="61">
        <v>1.8</v>
      </c>
    </row>
    <row r="203" spans="1:7" x14ac:dyDescent="0.25">
      <c r="A203">
        <v>7</v>
      </c>
      <c r="B203">
        <v>201</v>
      </c>
      <c r="C203" s="20">
        <v>0</v>
      </c>
      <c r="D203" s="127">
        <f>'Varmepumpeberegning VP1'!X204</f>
        <v>9.936217278319095</v>
      </c>
      <c r="E203" s="61">
        <v>1</v>
      </c>
      <c r="F203" s="61">
        <v>2</v>
      </c>
      <c r="G203" s="61">
        <v>1.8</v>
      </c>
    </row>
    <row r="204" spans="1:7" x14ac:dyDescent="0.25">
      <c r="A204">
        <v>7</v>
      </c>
      <c r="B204">
        <v>202</v>
      </c>
      <c r="C204" s="20">
        <v>0</v>
      </c>
      <c r="D204" s="127">
        <f>'Varmepumpeberegning VP1'!X205</f>
        <v>9.936217278319095</v>
      </c>
      <c r="E204" s="61">
        <v>1</v>
      </c>
      <c r="F204" s="61">
        <v>2</v>
      </c>
      <c r="G204" s="61">
        <v>1.8</v>
      </c>
    </row>
    <row r="205" spans="1:7" x14ac:dyDescent="0.25">
      <c r="A205">
        <v>7</v>
      </c>
      <c r="B205">
        <v>203</v>
      </c>
      <c r="C205" s="20">
        <v>0</v>
      </c>
      <c r="D205" s="127">
        <f>'Varmepumpeberegning VP1'!X206</f>
        <v>9.936217278319095</v>
      </c>
      <c r="E205" s="61">
        <v>1</v>
      </c>
      <c r="F205" s="61">
        <v>2</v>
      </c>
      <c r="G205" s="61">
        <v>1.8</v>
      </c>
    </row>
    <row r="206" spans="1:7" x14ac:dyDescent="0.25">
      <c r="A206">
        <v>7</v>
      </c>
      <c r="B206">
        <v>204</v>
      </c>
      <c r="C206" s="20">
        <v>0</v>
      </c>
      <c r="D206" s="127">
        <f>'Varmepumpeberegning VP1'!X207</f>
        <v>9.936217278319095</v>
      </c>
      <c r="E206" s="61">
        <v>1</v>
      </c>
      <c r="F206" s="61">
        <v>2</v>
      </c>
      <c r="G206" s="61">
        <v>1.8</v>
      </c>
    </row>
    <row r="207" spans="1:7" x14ac:dyDescent="0.25">
      <c r="A207">
        <v>7</v>
      </c>
      <c r="B207">
        <v>205</v>
      </c>
      <c r="C207" s="20">
        <v>0</v>
      </c>
      <c r="D207" s="127">
        <f>'Varmepumpeberegning VP1'!X208</f>
        <v>9.936217278319095</v>
      </c>
      <c r="E207" s="61">
        <v>1</v>
      </c>
      <c r="F207" s="61">
        <v>2</v>
      </c>
      <c r="G207" s="61">
        <v>1.8</v>
      </c>
    </row>
    <row r="208" spans="1:7" x14ac:dyDescent="0.25">
      <c r="A208">
        <v>7</v>
      </c>
      <c r="B208">
        <v>206</v>
      </c>
      <c r="C208" s="20">
        <v>0</v>
      </c>
      <c r="D208" s="127">
        <f>'Varmepumpeberegning VP1'!X209</f>
        <v>9.936217278319095</v>
      </c>
      <c r="E208" s="61">
        <v>1</v>
      </c>
      <c r="F208" s="61">
        <v>2</v>
      </c>
      <c r="G208" s="61">
        <v>1.8</v>
      </c>
    </row>
    <row r="209" spans="1:7" x14ac:dyDescent="0.25">
      <c r="A209">
        <v>7</v>
      </c>
      <c r="B209">
        <v>207</v>
      </c>
      <c r="C209" s="20">
        <v>0</v>
      </c>
      <c r="D209" s="127">
        <f>'Varmepumpeberegning VP1'!X210</f>
        <v>9.936217278319095</v>
      </c>
      <c r="E209" s="61">
        <v>1</v>
      </c>
      <c r="F209" s="61">
        <v>2</v>
      </c>
      <c r="G209" s="61">
        <v>1.8</v>
      </c>
    </row>
    <row r="210" spans="1:7" x14ac:dyDescent="0.25">
      <c r="A210">
        <v>7</v>
      </c>
      <c r="B210">
        <v>208</v>
      </c>
      <c r="C210" s="20">
        <v>0</v>
      </c>
      <c r="D210" s="127">
        <f>'Varmepumpeberegning VP1'!X211</f>
        <v>9.936217278319095</v>
      </c>
      <c r="E210" s="61">
        <v>1</v>
      </c>
      <c r="F210" s="61">
        <v>2</v>
      </c>
      <c r="G210" s="61">
        <v>1.8</v>
      </c>
    </row>
    <row r="211" spans="1:7" x14ac:dyDescent="0.25">
      <c r="A211">
        <v>7</v>
      </c>
      <c r="B211">
        <v>209</v>
      </c>
      <c r="C211" s="20">
        <v>0</v>
      </c>
      <c r="D211" s="127">
        <f>'Varmepumpeberegning VP1'!X212</f>
        <v>9.936217278319095</v>
      </c>
      <c r="E211" s="61">
        <v>1</v>
      </c>
      <c r="F211" s="61">
        <v>2</v>
      </c>
      <c r="G211" s="61">
        <v>1.8</v>
      </c>
    </row>
    <row r="212" spans="1:7" x14ac:dyDescent="0.25">
      <c r="A212">
        <v>7</v>
      </c>
      <c r="B212">
        <v>210</v>
      </c>
      <c r="C212" s="20">
        <v>0</v>
      </c>
      <c r="D212" s="127">
        <f>'Varmepumpeberegning VP1'!X213</f>
        <v>9.936217278319095</v>
      </c>
      <c r="E212" s="61">
        <v>1</v>
      </c>
      <c r="F212" s="61">
        <v>2</v>
      </c>
      <c r="G212" s="61">
        <v>1.8</v>
      </c>
    </row>
    <row r="213" spans="1:7" x14ac:dyDescent="0.25">
      <c r="A213">
        <v>7</v>
      </c>
      <c r="B213">
        <v>211</v>
      </c>
      <c r="C213" s="20">
        <v>0</v>
      </c>
      <c r="D213" s="127">
        <f>'Varmepumpeberegning VP1'!X214</f>
        <v>9.936217278319095</v>
      </c>
      <c r="E213" s="61">
        <v>1</v>
      </c>
      <c r="F213" s="61">
        <v>2</v>
      </c>
      <c r="G213" s="61">
        <v>1.8</v>
      </c>
    </row>
    <row r="214" spans="1:7" x14ac:dyDescent="0.25">
      <c r="A214">
        <v>7</v>
      </c>
      <c r="B214">
        <v>212</v>
      </c>
      <c r="C214" s="20">
        <v>0</v>
      </c>
      <c r="D214" s="127">
        <f>'Varmepumpeberegning VP1'!X215</f>
        <v>9.936217278319095</v>
      </c>
      <c r="E214" s="61">
        <v>1</v>
      </c>
      <c r="F214" s="61">
        <v>2</v>
      </c>
      <c r="G214" s="61">
        <v>1.8</v>
      </c>
    </row>
    <row r="215" spans="1:7" x14ac:dyDescent="0.25">
      <c r="A215">
        <v>8</v>
      </c>
      <c r="B215">
        <v>213</v>
      </c>
      <c r="C215" s="20">
        <v>0</v>
      </c>
      <c r="D215" s="127">
        <f>'Varmepumpeberegning VP1'!X216</f>
        <v>9.936217278319095</v>
      </c>
      <c r="E215" s="61">
        <v>1</v>
      </c>
      <c r="F215" s="61">
        <v>2</v>
      </c>
      <c r="G215" s="61">
        <v>1.8</v>
      </c>
    </row>
    <row r="216" spans="1:7" x14ac:dyDescent="0.25">
      <c r="A216">
        <v>8</v>
      </c>
      <c r="B216">
        <v>214</v>
      </c>
      <c r="C216" s="20">
        <v>0</v>
      </c>
      <c r="D216" s="127">
        <f>'Varmepumpeberegning VP1'!X217</f>
        <v>9.936217278319095</v>
      </c>
      <c r="E216" s="61">
        <v>1</v>
      </c>
      <c r="F216" s="61">
        <v>2</v>
      </c>
      <c r="G216" s="61">
        <v>1.8</v>
      </c>
    </row>
    <row r="217" spans="1:7" x14ac:dyDescent="0.25">
      <c r="A217">
        <v>8</v>
      </c>
      <c r="B217">
        <v>215</v>
      </c>
      <c r="C217" s="20">
        <v>0</v>
      </c>
      <c r="D217" s="127">
        <f>'Varmepumpeberegning VP1'!X218</f>
        <v>9.936217278319095</v>
      </c>
      <c r="E217" s="61">
        <v>1</v>
      </c>
      <c r="F217" s="61">
        <v>2</v>
      </c>
      <c r="G217" s="61">
        <v>1.8</v>
      </c>
    </row>
    <row r="218" spans="1:7" x14ac:dyDescent="0.25">
      <c r="A218">
        <v>8</v>
      </c>
      <c r="B218">
        <v>216</v>
      </c>
      <c r="C218" s="20">
        <v>0</v>
      </c>
      <c r="D218" s="127">
        <f>'Varmepumpeberegning VP1'!X219</f>
        <v>9.936217278319095</v>
      </c>
      <c r="E218" s="61">
        <v>1</v>
      </c>
      <c r="F218" s="61">
        <v>2</v>
      </c>
      <c r="G218" s="61">
        <v>1.8</v>
      </c>
    </row>
    <row r="219" spans="1:7" x14ac:dyDescent="0.25">
      <c r="A219">
        <v>8</v>
      </c>
      <c r="B219">
        <v>217</v>
      </c>
      <c r="C219" s="20">
        <v>0</v>
      </c>
      <c r="D219" s="127">
        <f>'Varmepumpeberegning VP1'!X220</f>
        <v>9.936217278319095</v>
      </c>
      <c r="E219" s="61">
        <v>1</v>
      </c>
      <c r="F219" s="61">
        <v>2</v>
      </c>
      <c r="G219" s="61">
        <v>1.8</v>
      </c>
    </row>
    <row r="220" spans="1:7" x14ac:dyDescent="0.25">
      <c r="A220">
        <v>8</v>
      </c>
      <c r="B220">
        <v>218</v>
      </c>
      <c r="C220" s="20">
        <v>0</v>
      </c>
      <c r="D220" s="127">
        <f>'Varmepumpeberegning VP1'!X221</f>
        <v>9.936217278319095</v>
      </c>
      <c r="E220" s="61">
        <v>1</v>
      </c>
      <c r="F220" s="61">
        <v>2</v>
      </c>
      <c r="G220" s="61">
        <v>1.8</v>
      </c>
    </row>
    <row r="221" spans="1:7" x14ac:dyDescent="0.25">
      <c r="A221">
        <v>8</v>
      </c>
      <c r="B221">
        <v>219</v>
      </c>
      <c r="C221" s="20">
        <v>0</v>
      </c>
      <c r="D221" s="127">
        <f>'Varmepumpeberegning VP1'!X222</f>
        <v>9.936217278319095</v>
      </c>
      <c r="E221" s="61">
        <v>1</v>
      </c>
      <c r="F221" s="61">
        <v>2</v>
      </c>
      <c r="G221" s="61">
        <v>1.8</v>
      </c>
    </row>
    <row r="222" spans="1:7" x14ac:dyDescent="0.25">
      <c r="A222">
        <v>8</v>
      </c>
      <c r="B222">
        <v>220</v>
      </c>
      <c r="C222" s="20">
        <v>0</v>
      </c>
      <c r="D222" s="127">
        <f>'Varmepumpeberegning VP1'!X223</f>
        <v>9.936217278319095</v>
      </c>
      <c r="E222" s="61">
        <v>1</v>
      </c>
      <c r="F222" s="61">
        <v>2</v>
      </c>
      <c r="G222" s="61">
        <v>1.8</v>
      </c>
    </row>
    <row r="223" spans="1:7" x14ac:dyDescent="0.25">
      <c r="A223">
        <v>8</v>
      </c>
      <c r="B223">
        <v>221</v>
      </c>
      <c r="C223" s="20">
        <v>0</v>
      </c>
      <c r="D223" s="127">
        <f>'Varmepumpeberegning VP1'!X224</f>
        <v>9.936217278319095</v>
      </c>
      <c r="E223" s="61">
        <v>1</v>
      </c>
      <c r="F223" s="61">
        <v>2</v>
      </c>
      <c r="G223" s="61">
        <v>1.8</v>
      </c>
    </row>
    <row r="224" spans="1:7" x14ac:dyDescent="0.25">
      <c r="A224">
        <v>8</v>
      </c>
      <c r="B224">
        <v>222</v>
      </c>
      <c r="C224" s="20">
        <v>0</v>
      </c>
      <c r="D224" s="127">
        <f>'Varmepumpeberegning VP1'!X225</f>
        <v>9.936217278319095</v>
      </c>
      <c r="E224" s="61">
        <v>1</v>
      </c>
      <c r="F224" s="61">
        <v>2</v>
      </c>
      <c r="G224" s="61">
        <v>1.8</v>
      </c>
    </row>
    <row r="225" spans="1:7" x14ac:dyDescent="0.25">
      <c r="A225">
        <v>8</v>
      </c>
      <c r="B225">
        <v>223</v>
      </c>
      <c r="C225" s="20">
        <v>0</v>
      </c>
      <c r="D225" s="127">
        <f>'Varmepumpeberegning VP1'!X226</f>
        <v>9.936217278319095</v>
      </c>
      <c r="E225" s="61">
        <v>1</v>
      </c>
      <c r="F225" s="61">
        <v>2</v>
      </c>
      <c r="G225" s="61">
        <v>1.8</v>
      </c>
    </row>
    <row r="226" spans="1:7" x14ac:dyDescent="0.25">
      <c r="A226">
        <v>8</v>
      </c>
      <c r="B226">
        <v>224</v>
      </c>
      <c r="C226" s="20">
        <v>0</v>
      </c>
      <c r="D226" s="127">
        <f>'Varmepumpeberegning VP1'!X227</f>
        <v>9.936217278319095</v>
      </c>
      <c r="E226" s="61">
        <v>1</v>
      </c>
      <c r="F226" s="61">
        <v>2</v>
      </c>
      <c r="G226" s="61">
        <v>1.8</v>
      </c>
    </row>
    <row r="227" spans="1:7" x14ac:dyDescent="0.25">
      <c r="A227">
        <v>8</v>
      </c>
      <c r="B227">
        <v>225</v>
      </c>
      <c r="C227" s="20">
        <v>0</v>
      </c>
      <c r="D227" s="127">
        <f>'Varmepumpeberegning VP1'!X228</f>
        <v>9.936217278319095</v>
      </c>
      <c r="E227" s="61">
        <v>1</v>
      </c>
      <c r="F227" s="61">
        <v>2</v>
      </c>
      <c r="G227" s="61">
        <v>1.8</v>
      </c>
    </row>
    <row r="228" spans="1:7" x14ac:dyDescent="0.25">
      <c r="A228">
        <v>8</v>
      </c>
      <c r="B228">
        <v>226</v>
      </c>
      <c r="C228" s="20">
        <v>0</v>
      </c>
      <c r="D228" s="127">
        <f>'Varmepumpeberegning VP1'!X229</f>
        <v>9.936217278319095</v>
      </c>
      <c r="E228" s="61">
        <v>1</v>
      </c>
      <c r="F228" s="61">
        <v>2</v>
      </c>
      <c r="G228" s="61">
        <v>1.8</v>
      </c>
    </row>
    <row r="229" spans="1:7" x14ac:dyDescent="0.25">
      <c r="A229">
        <v>8</v>
      </c>
      <c r="B229">
        <v>227</v>
      </c>
      <c r="C229" s="20">
        <v>0</v>
      </c>
      <c r="D229" s="127">
        <f>'Varmepumpeberegning VP1'!X230</f>
        <v>9.936217278319095</v>
      </c>
      <c r="E229" s="61">
        <v>1</v>
      </c>
      <c r="F229" s="61">
        <v>2</v>
      </c>
      <c r="G229" s="61">
        <v>1.8</v>
      </c>
    </row>
    <row r="230" spans="1:7" x14ac:dyDescent="0.25">
      <c r="A230">
        <v>8</v>
      </c>
      <c r="B230">
        <v>228</v>
      </c>
      <c r="C230" s="20">
        <v>0</v>
      </c>
      <c r="D230" s="127">
        <f>'Varmepumpeberegning VP1'!X231</f>
        <v>9.936217278319095</v>
      </c>
      <c r="E230" s="61">
        <v>1</v>
      </c>
      <c r="F230" s="61">
        <v>2</v>
      </c>
      <c r="G230" s="61">
        <v>1.8</v>
      </c>
    </row>
    <row r="231" spans="1:7" x14ac:dyDescent="0.25">
      <c r="A231">
        <v>8</v>
      </c>
      <c r="B231">
        <v>229</v>
      </c>
      <c r="C231" s="20">
        <v>0</v>
      </c>
      <c r="D231" s="127">
        <f>'Varmepumpeberegning VP1'!X232</f>
        <v>9.936217278319095</v>
      </c>
      <c r="E231" s="61">
        <v>1</v>
      </c>
      <c r="F231" s="61">
        <v>2</v>
      </c>
      <c r="G231" s="61">
        <v>1.8</v>
      </c>
    </row>
    <row r="232" spans="1:7" x14ac:dyDescent="0.25">
      <c r="A232">
        <v>8</v>
      </c>
      <c r="B232">
        <v>230</v>
      </c>
      <c r="C232" s="20">
        <v>0</v>
      </c>
      <c r="D232" s="127">
        <f>'Varmepumpeberegning VP1'!X233</f>
        <v>9.936217278319095</v>
      </c>
      <c r="E232" s="61">
        <v>1</v>
      </c>
      <c r="F232" s="61">
        <v>2</v>
      </c>
      <c r="G232" s="61">
        <v>1.8</v>
      </c>
    </row>
    <row r="233" spans="1:7" x14ac:dyDescent="0.25">
      <c r="A233">
        <v>8</v>
      </c>
      <c r="B233">
        <v>231</v>
      </c>
      <c r="C233" s="20">
        <v>0</v>
      </c>
      <c r="D233" s="127">
        <f>'Varmepumpeberegning VP1'!X234</f>
        <v>9.936217278319095</v>
      </c>
      <c r="E233" s="61">
        <v>1</v>
      </c>
      <c r="F233" s="61">
        <v>2</v>
      </c>
      <c r="G233" s="61">
        <v>1.8</v>
      </c>
    </row>
    <row r="234" spans="1:7" x14ac:dyDescent="0.25">
      <c r="A234">
        <v>8</v>
      </c>
      <c r="B234">
        <v>232</v>
      </c>
      <c r="C234" s="20">
        <v>0</v>
      </c>
      <c r="D234" s="127">
        <f>'Varmepumpeberegning VP1'!X235</f>
        <v>9.936217278319095</v>
      </c>
      <c r="E234" s="61">
        <v>1</v>
      </c>
      <c r="F234" s="61">
        <v>2</v>
      </c>
      <c r="G234" s="61">
        <v>1.8</v>
      </c>
    </row>
    <row r="235" spans="1:7" x14ac:dyDescent="0.25">
      <c r="A235">
        <v>8</v>
      </c>
      <c r="B235">
        <v>233</v>
      </c>
      <c r="C235" s="20">
        <v>0</v>
      </c>
      <c r="D235" s="127">
        <f>'Varmepumpeberegning VP1'!X236</f>
        <v>9.936217278319095</v>
      </c>
      <c r="E235" s="61">
        <v>1</v>
      </c>
      <c r="F235" s="61">
        <v>2</v>
      </c>
      <c r="G235" s="61">
        <v>1.8</v>
      </c>
    </row>
    <row r="236" spans="1:7" x14ac:dyDescent="0.25">
      <c r="A236">
        <v>8</v>
      </c>
      <c r="B236">
        <v>234</v>
      </c>
      <c r="C236" s="20">
        <v>0</v>
      </c>
      <c r="D236" s="127">
        <f>'Varmepumpeberegning VP1'!X237</f>
        <v>9.936217278319095</v>
      </c>
      <c r="E236" s="61">
        <v>1</v>
      </c>
      <c r="F236" s="61">
        <v>2</v>
      </c>
      <c r="G236" s="61">
        <v>1.8</v>
      </c>
    </row>
    <row r="237" spans="1:7" x14ac:dyDescent="0.25">
      <c r="A237">
        <v>8</v>
      </c>
      <c r="B237">
        <v>235</v>
      </c>
      <c r="C237" s="20">
        <v>0</v>
      </c>
      <c r="D237" s="127">
        <f>'Varmepumpeberegning VP1'!X238</f>
        <v>9.936217278319095</v>
      </c>
      <c r="E237" s="61">
        <v>1</v>
      </c>
      <c r="F237" s="61">
        <v>2</v>
      </c>
      <c r="G237" s="61">
        <v>1.8</v>
      </c>
    </row>
    <row r="238" spans="1:7" x14ac:dyDescent="0.25">
      <c r="A238">
        <v>8</v>
      </c>
      <c r="B238">
        <v>236</v>
      </c>
      <c r="C238" s="20">
        <v>0</v>
      </c>
      <c r="D238" s="127">
        <f>'Varmepumpeberegning VP1'!X239</f>
        <v>9.936217278319095</v>
      </c>
      <c r="E238" s="61">
        <v>1</v>
      </c>
      <c r="F238" s="61">
        <v>2</v>
      </c>
      <c r="G238" s="61">
        <v>1.8</v>
      </c>
    </row>
    <row r="239" spans="1:7" x14ac:dyDescent="0.25">
      <c r="A239">
        <v>8</v>
      </c>
      <c r="B239">
        <v>237</v>
      </c>
      <c r="C239" s="20">
        <v>0</v>
      </c>
      <c r="D239" s="127">
        <f>'Varmepumpeberegning VP1'!X240</f>
        <v>9.936217278319095</v>
      </c>
      <c r="E239" s="61">
        <v>1</v>
      </c>
      <c r="F239" s="61">
        <v>2</v>
      </c>
      <c r="G239" s="61">
        <v>1.8</v>
      </c>
    </row>
    <row r="240" spans="1:7" x14ac:dyDescent="0.25">
      <c r="A240">
        <v>8</v>
      </c>
      <c r="B240">
        <v>238</v>
      </c>
      <c r="C240" s="20">
        <v>0</v>
      </c>
      <c r="D240" s="127">
        <f>'Varmepumpeberegning VP1'!X241</f>
        <v>9.936217278319095</v>
      </c>
      <c r="E240" s="61">
        <v>1</v>
      </c>
      <c r="F240" s="61">
        <v>2</v>
      </c>
      <c r="G240" s="61">
        <v>1.8</v>
      </c>
    </row>
    <row r="241" spans="1:7" x14ac:dyDescent="0.25">
      <c r="A241">
        <v>8</v>
      </c>
      <c r="B241">
        <v>239</v>
      </c>
      <c r="C241" s="20">
        <v>0</v>
      </c>
      <c r="D241" s="127">
        <f>'Varmepumpeberegning VP1'!X242</f>
        <v>9.936217278319095</v>
      </c>
      <c r="E241" s="61">
        <v>1</v>
      </c>
      <c r="F241" s="61">
        <v>2</v>
      </c>
      <c r="G241" s="61">
        <v>1.8</v>
      </c>
    </row>
    <row r="242" spans="1:7" x14ac:dyDescent="0.25">
      <c r="A242">
        <v>8</v>
      </c>
      <c r="B242">
        <v>240</v>
      </c>
      <c r="C242" s="20">
        <v>0</v>
      </c>
      <c r="D242" s="127">
        <f>'Varmepumpeberegning VP1'!X243</f>
        <v>9.936217278319095</v>
      </c>
      <c r="E242" s="61">
        <v>1</v>
      </c>
      <c r="F242" s="61">
        <v>2</v>
      </c>
      <c r="G242" s="61">
        <v>1.8</v>
      </c>
    </row>
    <row r="243" spans="1:7" x14ac:dyDescent="0.25">
      <c r="A243">
        <v>8</v>
      </c>
      <c r="B243">
        <v>241</v>
      </c>
      <c r="C243" s="20">
        <v>0</v>
      </c>
      <c r="D243" s="127">
        <f>'Varmepumpeberegning VP1'!X244</f>
        <v>9.936217278319095</v>
      </c>
      <c r="E243" s="61">
        <v>1</v>
      </c>
      <c r="F243" s="61">
        <v>2</v>
      </c>
      <c r="G243" s="61">
        <v>1.8</v>
      </c>
    </row>
    <row r="244" spans="1:7" x14ac:dyDescent="0.25">
      <c r="A244">
        <v>8</v>
      </c>
      <c r="B244">
        <v>242</v>
      </c>
      <c r="C244" s="20">
        <v>0</v>
      </c>
      <c r="D244" s="127">
        <f>'Varmepumpeberegning VP1'!X245</f>
        <v>9.936217278319095</v>
      </c>
      <c r="E244" s="61">
        <v>1</v>
      </c>
      <c r="F244" s="61">
        <v>2</v>
      </c>
      <c r="G244" s="61">
        <v>1.8</v>
      </c>
    </row>
    <row r="245" spans="1:7" x14ac:dyDescent="0.25">
      <c r="A245">
        <v>8</v>
      </c>
      <c r="B245">
        <v>243</v>
      </c>
      <c r="C245" s="20">
        <v>0</v>
      </c>
      <c r="D245" s="127">
        <f>'Varmepumpeberegning VP1'!X246</f>
        <v>9.936217278319095</v>
      </c>
      <c r="E245" s="61">
        <v>1</v>
      </c>
      <c r="F245" s="61">
        <v>2</v>
      </c>
      <c r="G245" s="61">
        <v>1.8</v>
      </c>
    </row>
    <row r="246" spans="1:7" x14ac:dyDescent="0.25">
      <c r="A246">
        <v>9</v>
      </c>
      <c r="B246">
        <v>244</v>
      </c>
      <c r="C246" s="20">
        <v>0</v>
      </c>
      <c r="D246" s="127">
        <f>'Varmepumpeberegning VP1'!X247</f>
        <v>9.936217278319095</v>
      </c>
      <c r="E246" s="61">
        <v>1</v>
      </c>
      <c r="F246" s="61">
        <v>2</v>
      </c>
      <c r="G246" s="61">
        <v>1.8</v>
      </c>
    </row>
    <row r="247" spans="1:7" x14ac:dyDescent="0.25">
      <c r="A247">
        <v>9</v>
      </c>
      <c r="B247">
        <v>245</v>
      </c>
      <c r="C247" s="20">
        <v>0</v>
      </c>
      <c r="D247" s="127">
        <f>'Varmepumpeberegning VP1'!X248</f>
        <v>9.936217278319095</v>
      </c>
      <c r="E247" s="61">
        <v>1</v>
      </c>
      <c r="F247" s="61">
        <v>2</v>
      </c>
      <c r="G247" s="61">
        <v>1.8</v>
      </c>
    </row>
    <row r="248" spans="1:7" x14ac:dyDescent="0.25">
      <c r="A248">
        <v>9</v>
      </c>
      <c r="B248">
        <v>246</v>
      </c>
      <c r="C248" s="20">
        <v>0</v>
      </c>
      <c r="D248" s="127">
        <f>'Varmepumpeberegning VP1'!X249</f>
        <v>9.936217278319095</v>
      </c>
      <c r="E248" s="61">
        <v>1</v>
      </c>
      <c r="F248" s="61">
        <v>2</v>
      </c>
      <c r="G248" s="61">
        <v>1.8</v>
      </c>
    </row>
    <row r="249" spans="1:7" x14ac:dyDescent="0.25">
      <c r="A249">
        <v>9</v>
      </c>
      <c r="B249">
        <v>247</v>
      </c>
      <c r="C249" s="20">
        <v>0</v>
      </c>
      <c r="D249" s="127">
        <f>'Varmepumpeberegning VP1'!X250</f>
        <v>9.936217278319095</v>
      </c>
      <c r="E249" s="61">
        <v>1</v>
      </c>
      <c r="F249" s="61">
        <v>2</v>
      </c>
      <c r="G249" s="61">
        <v>1.8</v>
      </c>
    </row>
    <row r="250" spans="1:7" x14ac:dyDescent="0.25">
      <c r="A250">
        <v>9</v>
      </c>
      <c r="B250">
        <v>248</v>
      </c>
      <c r="C250" s="20">
        <v>0</v>
      </c>
      <c r="D250" s="127">
        <f>'Varmepumpeberegning VP1'!X251</f>
        <v>9.936217278319095</v>
      </c>
      <c r="E250" s="61">
        <v>1</v>
      </c>
      <c r="F250" s="61">
        <v>2</v>
      </c>
      <c r="G250" s="61">
        <v>1.8</v>
      </c>
    </row>
    <row r="251" spans="1:7" x14ac:dyDescent="0.25">
      <c r="A251">
        <v>9</v>
      </c>
      <c r="B251">
        <v>249</v>
      </c>
      <c r="C251" s="20">
        <v>0</v>
      </c>
      <c r="D251" s="127">
        <f>'Varmepumpeberegning VP1'!X252</f>
        <v>9.936217278319095</v>
      </c>
      <c r="E251" s="61">
        <v>1</v>
      </c>
      <c r="F251" s="61">
        <v>2</v>
      </c>
      <c r="G251" s="61">
        <v>1.8</v>
      </c>
    </row>
    <row r="252" spans="1:7" x14ac:dyDescent="0.25">
      <c r="A252">
        <v>9</v>
      </c>
      <c r="B252">
        <v>250</v>
      </c>
      <c r="C252" s="20">
        <v>0</v>
      </c>
      <c r="D252" s="127">
        <f>'Varmepumpeberegning VP1'!X253</f>
        <v>9.936217278319095</v>
      </c>
      <c r="E252" s="61">
        <v>1</v>
      </c>
      <c r="F252" s="61">
        <v>2</v>
      </c>
      <c r="G252" s="61">
        <v>1.8</v>
      </c>
    </row>
    <row r="253" spans="1:7" x14ac:dyDescent="0.25">
      <c r="A253">
        <v>9</v>
      </c>
      <c r="B253">
        <v>251</v>
      </c>
      <c r="C253" s="20">
        <v>0</v>
      </c>
      <c r="D253" s="127">
        <f>'Varmepumpeberegning VP1'!X254</f>
        <v>9.936217278319095</v>
      </c>
      <c r="E253" s="61">
        <v>1</v>
      </c>
      <c r="F253" s="61">
        <v>2</v>
      </c>
      <c r="G253" s="61">
        <v>1.8</v>
      </c>
    </row>
    <row r="254" spans="1:7" x14ac:dyDescent="0.25">
      <c r="A254">
        <v>9</v>
      </c>
      <c r="B254">
        <v>252</v>
      </c>
      <c r="C254" s="20">
        <v>0</v>
      </c>
      <c r="D254" s="127">
        <f>'Varmepumpeberegning VP1'!X255</f>
        <v>9.936217278319095</v>
      </c>
      <c r="E254" s="61">
        <v>1</v>
      </c>
      <c r="F254" s="61">
        <v>2</v>
      </c>
      <c r="G254" s="61">
        <v>1.8</v>
      </c>
    </row>
    <row r="255" spans="1:7" x14ac:dyDescent="0.25">
      <c r="A255">
        <v>9</v>
      </c>
      <c r="B255">
        <v>253</v>
      </c>
      <c r="C255" s="20">
        <v>0</v>
      </c>
      <c r="D255" s="127">
        <f>'Varmepumpeberegning VP1'!X256</f>
        <v>9.936217278319095</v>
      </c>
      <c r="E255" s="61">
        <v>1</v>
      </c>
      <c r="F255" s="61">
        <v>2</v>
      </c>
      <c r="G255" s="61">
        <v>1.8</v>
      </c>
    </row>
    <row r="256" spans="1:7" x14ac:dyDescent="0.25">
      <c r="A256">
        <v>9</v>
      </c>
      <c r="B256">
        <v>254</v>
      </c>
      <c r="C256" s="20">
        <v>0</v>
      </c>
      <c r="D256" s="127">
        <f>'Varmepumpeberegning VP1'!X257</f>
        <v>9.936217278319095</v>
      </c>
      <c r="E256" s="61">
        <v>1</v>
      </c>
      <c r="F256" s="61">
        <v>2</v>
      </c>
      <c r="G256" s="61">
        <v>1.8</v>
      </c>
    </row>
    <row r="257" spans="1:7" x14ac:dyDescent="0.25">
      <c r="A257">
        <v>9</v>
      </c>
      <c r="B257">
        <v>255</v>
      </c>
      <c r="C257" s="20">
        <v>0</v>
      </c>
      <c r="D257" s="127">
        <f>'Varmepumpeberegning VP1'!X258</f>
        <v>9.5165323023683932</v>
      </c>
      <c r="E257" s="61">
        <v>1</v>
      </c>
      <c r="F257" s="61">
        <v>2</v>
      </c>
      <c r="G257" s="61">
        <v>1.8</v>
      </c>
    </row>
    <row r="258" spans="1:7" x14ac:dyDescent="0.25">
      <c r="A258">
        <v>9</v>
      </c>
      <c r="B258">
        <v>256</v>
      </c>
      <c r="C258" s="20">
        <v>0</v>
      </c>
      <c r="D258" s="127">
        <f>'Varmepumpeberegning VP1'!X259</f>
        <v>9.4116110583807178</v>
      </c>
      <c r="E258" s="61">
        <v>1</v>
      </c>
      <c r="F258" s="61">
        <v>2</v>
      </c>
      <c r="G258" s="61">
        <v>1.8</v>
      </c>
    </row>
    <row r="259" spans="1:7" x14ac:dyDescent="0.25">
      <c r="A259">
        <v>9</v>
      </c>
      <c r="B259">
        <v>257</v>
      </c>
      <c r="C259" s="20">
        <v>0</v>
      </c>
      <c r="D259" s="127">
        <f>'Varmepumpeberegning VP1'!X260</f>
        <v>9.5165323023683932</v>
      </c>
      <c r="E259" s="61">
        <v>1</v>
      </c>
      <c r="F259" s="61">
        <v>2</v>
      </c>
      <c r="G259" s="61">
        <v>1.8</v>
      </c>
    </row>
    <row r="260" spans="1:7" x14ac:dyDescent="0.25">
      <c r="A260">
        <v>9</v>
      </c>
      <c r="B260">
        <v>258</v>
      </c>
      <c r="C260" s="20">
        <v>0</v>
      </c>
      <c r="D260" s="127">
        <f>'Varmepumpeberegning VP1'!X261</f>
        <v>9.5165323023683932</v>
      </c>
      <c r="E260" s="61">
        <v>1</v>
      </c>
      <c r="F260" s="61">
        <v>2</v>
      </c>
      <c r="G260" s="61">
        <v>1.8</v>
      </c>
    </row>
    <row r="261" spans="1:7" x14ac:dyDescent="0.25">
      <c r="A261">
        <v>9</v>
      </c>
      <c r="B261">
        <v>259</v>
      </c>
      <c r="C261" s="20">
        <v>0</v>
      </c>
      <c r="D261" s="127">
        <f>'Varmepumpeberegning VP1'!X262</f>
        <v>9.7263747903437441</v>
      </c>
      <c r="E261" s="61">
        <v>1</v>
      </c>
      <c r="F261" s="61">
        <v>2</v>
      </c>
      <c r="G261" s="61">
        <v>1.8</v>
      </c>
    </row>
    <row r="262" spans="1:7" x14ac:dyDescent="0.25">
      <c r="A262">
        <v>9</v>
      </c>
      <c r="B262">
        <v>260</v>
      </c>
      <c r="C262" s="20">
        <v>0</v>
      </c>
      <c r="D262" s="127">
        <f>'Varmepumpeberegning VP1'!X263</f>
        <v>9.936217278319095</v>
      </c>
      <c r="E262" s="61">
        <v>1</v>
      </c>
      <c r="F262" s="61">
        <v>2</v>
      </c>
      <c r="G262" s="61">
        <v>1.8</v>
      </c>
    </row>
    <row r="263" spans="1:7" x14ac:dyDescent="0.25">
      <c r="A263">
        <v>9</v>
      </c>
      <c r="B263">
        <v>261</v>
      </c>
      <c r="C263" s="20">
        <v>0</v>
      </c>
      <c r="D263" s="127">
        <f>'Varmepumpeberegning VP1'!X264</f>
        <v>9.936217278319095</v>
      </c>
      <c r="E263" s="61">
        <v>1</v>
      </c>
      <c r="F263" s="61">
        <v>2</v>
      </c>
      <c r="G263" s="61">
        <v>1.8</v>
      </c>
    </row>
    <row r="264" spans="1:7" x14ac:dyDescent="0.25">
      <c r="A264">
        <v>9</v>
      </c>
      <c r="B264">
        <v>262</v>
      </c>
      <c r="C264" s="20">
        <v>0</v>
      </c>
      <c r="D264" s="127">
        <f>'Varmepumpeberegning VP1'!X265</f>
        <v>9.936217278319095</v>
      </c>
      <c r="E264" s="61">
        <v>1</v>
      </c>
      <c r="F264" s="61">
        <v>2</v>
      </c>
      <c r="G264" s="61">
        <v>1.8</v>
      </c>
    </row>
    <row r="265" spans="1:7" x14ac:dyDescent="0.25">
      <c r="A265">
        <v>9</v>
      </c>
      <c r="B265">
        <v>263</v>
      </c>
      <c r="C265" s="20">
        <v>0</v>
      </c>
      <c r="D265" s="127">
        <f>'Varmepumpeberegning VP1'!X266</f>
        <v>9.936217278319095</v>
      </c>
      <c r="E265" s="61">
        <v>1</v>
      </c>
      <c r="F265" s="61">
        <v>2</v>
      </c>
      <c r="G265" s="61">
        <v>1.8</v>
      </c>
    </row>
    <row r="266" spans="1:7" x14ac:dyDescent="0.25">
      <c r="A266">
        <v>9</v>
      </c>
      <c r="B266">
        <v>264</v>
      </c>
      <c r="C266" s="20">
        <v>0</v>
      </c>
      <c r="D266" s="127">
        <f>'Varmepumpeberegning VP1'!X267</f>
        <v>9.936217278319095</v>
      </c>
      <c r="E266" s="61">
        <v>1</v>
      </c>
      <c r="F266" s="61">
        <v>2</v>
      </c>
      <c r="G266" s="61">
        <v>1.8</v>
      </c>
    </row>
    <row r="267" spans="1:7" x14ac:dyDescent="0.25">
      <c r="A267">
        <v>9</v>
      </c>
      <c r="B267">
        <v>265</v>
      </c>
      <c r="C267" s="20">
        <v>0</v>
      </c>
      <c r="D267" s="127">
        <f>'Varmepumpeberegning VP1'!X268</f>
        <v>9.936217278319095</v>
      </c>
      <c r="E267" s="61">
        <v>1</v>
      </c>
      <c r="F267" s="61">
        <v>2</v>
      </c>
      <c r="G267" s="61">
        <v>1.8</v>
      </c>
    </row>
    <row r="268" spans="1:7" x14ac:dyDescent="0.25">
      <c r="A268">
        <v>9</v>
      </c>
      <c r="B268">
        <v>266</v>
      </c>
      <c r="C268" s="20">
        <v>0</v>
      </c>
      <c r="D268" s="127">
        <f>'Varmepumpeberegning VP1'!X269</f>
        <v>9.936217278319095</v>
      </c>
      <c r="E268" s="61">
        <v>1</v>
      </c>
      <c r="F268" s="61">
        <v>2</v>
      </c>
      <c r="G268" s="61">
        <v>1.8</v>
      </c>
    </row>
    <row r="269" spans="1:7" x14ac:dyDescent="0.25">
      <c r="A269">
        <v>9</v>
      </c>
      <c r="B269">
        <v>267</v>
      </c>
      <c r="C269" s="20">
        <v>0</v>
      </c>
      <c r="D269" s="127">
        <f>'Varmepumpeberegning VP1'!X270</f>
        <v>9.936217278319095</v>
      </c>
      <c r="E269" s="61">
        <v>1</v>
      </c>
      <c r="F269" s="61">
        <v>2</v>
      </c>
      <c r="G269" s="61">
        <v>1.8</v>
      </c>
    </row>
    <row r="270" spans="1:7" x14ac:dyDescent="0.25">
      <c r="A270">
        <v>9</v>
      </c>
      <c r="B270">
        <v>268</v>
      </c>
      <c r="C270" s="20">
        <v>0</v>
      </c>
      <c r="D270" s="127">
        <f>'Varmepumpeberegning VP1'!X271</f>
        <v>9.936217278319095</v>
      </c>
      <c r="E270" s="61">
        <v>1</v>
      </c>
      <c r="F270" s="61">
        <v>2</v>
      </c>
      <c r="G270" s="61">
        <v>1.8</v>
      </c>
    </row>
    <row r="271" spans="1:7" x14ac:dyDescent="0.25">
      <c r="A271">
        <v>9</v>
      </c>
      <c r="B271">
        <v>269</v>
      </c>
      <c r="C271" s="20">
        <v>0</v>
      </c>
      <c r="D271" s="127">
        <f>'Varmepumpeberegning VP1'!X272</f>
        <v>9.8312960343314195</v>
      </c>
      <c r="E271" s="61">
        <v>1</v>
      </c>
      <c r="F271" s="61">
        <v>2</v>
      </c>
      <c r="G271" s="61">
        <v>1.8</v>
      </c>
    </row>
    <row r="272" spans="1:7" x14ac:dyDescent="0.25">
      <c r="A272">
        <v>9</v>
      </c>
      <c r="B272">
        <v>270</v>
      </c>
      <c r="C272" s="20">
        <v>0</v>
      </c>
      <c r="D272" s="127">
        <f>'Varmepumpeberegning VP1'!X273</f>
        <v>9.936217278319095</v>
      </c>
      <c r="E272" s="61">
        <v>1</v>
      </c>
      <c r="F272" s="61">
        <v>2</v>
      </c>
      <c r="G272" s="61">
        <v>1.8</v>
      </c>
    </row>
    <row r="273" spans="1:7" x14ac:dyDescent="0.25">
      <c r="A273">
        <v>9</v>
      </c>
      <c r="B273">
        <v>271</v>
      </c>
      <c r="C273" s="20">
        <v>0</v>
      </c>
      <c r="D273" s="127">
        <f>'Varmepumpeberegning VP1'!X274</f>
        <v>9.7263747903437441</v>
      </c>
      <c r="E273" s="61">
        <v>1</v>
      </c>
      <c r="F273" s="61">
        <v>2</v>
      </c>
      <c r="G273" s="61">
        <v>1.8</v>
      </c>
    </row>
    <row r="274" spans="1:7" x14ac:dyDescent="0.25">
      <c r="A274">
        <v>9</v>
      </c>
      <c r="B274">
        <v>272</v>
      </c>
      <c r="C274" s="20">
        <v>0</v>
      </c>
      <c r="D274" s="127">
        <f>'Varmepumpeberegning VP1'!X275</f>
        <v>9.4116110583807178</v>
      </c>
      <c r="E274" s="61">
        <v>1</v>
      </c>
      <c r="F274" s="61">
        <v>2</v>
      </c>
      <c r="G274" s="61">
        <v>1.8</v>
      </c>
    </row>
    <row r="275" spans="1:7" x14ac:dyDescent="0.25">
      <c r="A275">
        <v>9</v>
      </c>
      <c r="B275">
        <v>273</v>
      </c>
      <c r="C275" s="20">
        <v>0</v>
      </c>
      <c r="D275" s="127">
        <f>'Varmepumpeberegning VP1'!X276</f>
        <v>9.4116110583807178</v>
      </c>
      <c r="E275" s="61">
        <v>1</v>
      </c>
      <c r="F275" s="61">
        <v>2</v>
      </c>
      <c r="G275" s="61">
        <v>1.8</v>
      </c>
    </row>
    <row r="276" spans="1:7" x14ac:dyDescent="0.25">
      <c r="A276">
        <v>10</v>
      </c>
      <c r="B276">
        <v>274</v>
      </c>
      <c r="C276" s="20">
        <v>0</v>
      </c>
      <c r="D276" s="127">
        <f>'Varmepumpeberegning VP1'!X277</f>
        <v>9.5165323023683932</v>
      </c>
      <c r="E276" s="61">
        <v>1</v>
      </c>
      <c r="F276" s="61">
        <v>2</v>
      </c>
      <c r="G276" s="61">
        <v>1.8</v>
      </c>
    </row>
    <row r="277" spans="1:7" x14ac:dyDescent="0.25">
      <c r="A277">
        <v>10</v>
      </c>
      <c r="B277">
        <v>275</v>
      </c>
      <c r="C277" s="20">
        <v>0</v>
      </c>
      <c r="D277" s="127">
        <f>'Varmepumpeberegning VP1'!X278</f>
        <v>9.7263747903437441</v>
      </c>
      <c r="E277" s="61">
        <v>1</v>
      </c>
      <c r="F277" s="61">
        <v>2</v>
      </c>
      <c r="G277" s="61">
        <v>1.8</v>
      </c>
    </row>
    <row r="278" spans="1:7" x14ac:dyDescent="0.25">
      <c r="A278">
        <v>10</v>
      </c>
      <c r="B278">
        <v>276</v>
      </c>
      <c r="C278" s="20">
        <v>0</v>
      </c>
      <c r="D278" s="127">
        <f>'Varmepumpeberegning VP1'!X279</f>
        <v>9.5165323023683932</v>
      </c>
      <c r="E278" s="61">
        <v>1</v>
      </c>
      <c r="F278" s="61">
        <v>2</v>
      </c>
      <c r="G278" s="61">
        <v>1.8</v>
      </c>
    </row>
    <row r="279" spans="1:7" x14ac:dyDescent="0.25">
      <c r="A279">
        <v>10</v>
      </c>
      <c r="B279">
        <v>277</v>
      </c>
      <c r="C279" s="20">
        <v>0</v>
      </c>
      <c r="D279" s="127">
        <f>'Varmepumpeberegning VP1'!X280</f>
        <v>9.3066898143930423</v>
      </c>
      <c r="E279" s="61">
        <v>1</v>
      </c>
      <c r="F279" s="61">
        <v>2</v>
      </c>
      <c r="G279" s="61">
        <v>1.8</v>
      </c>
    </row>
    <row r="280" spans="1:7" x14ac:dyDescent="0.25">
      <c r="A280">
        <v>10</v>
      </c>
      <c r="B280">
        <v>278</v>
      </c>
      <c r="C280" s="20">
        <v>0</v>
      </c>
      <c r="D280" s="127">
        <f>'Varmepumpeberegning VP1'!X281</f>
        <v>9.2017685704053669</v>
      </c>
      <c r="E280" s="61">
        <v>1</v>
      </c>
      <c r="F280" s="61">
        <v>2</v>
      </c>
      <c r="G280" s="61">
        <v>1.8</v>
      </c>
    </row>
    <row r="281" spans="1:7" x14ac:dyDescent="0.25">
      <c r="A281">
        <v>10</v>
      </c>
      <c r="B281">
        <v>279</v>
      </c>
      <c r="C281" s="20">
        <v>0</v>
      </c>
      <c r="D281" s="127">
        <f>'Varmepumpeberegning VP1'!X282</f>
        <v>9.3066898143930423</v>
      </c>
      <c r="E281" s="61">
        <v>1</v>
      </c>
      <c r="F281" s="61">
        <v>2</v>
      </c>
      <c r="G281" s="61">
        <v>1.8</v>
      </c>
    </row>
    <row r="282" spans="1:7" x14ac:dyDescent="0.25">
      <c r="A282">
        <v>10</v>
      </c>
      <c r="B282">
        <v>280</v>
      </c>
      <c r="C282" s="20">
        <v>0</v>
      </c>
      <c r="D282" s="127">
        <f>'Varmepumpeberegning VP1'!X283</f>
        <v>9.4116110583807178</v>
      </c>
      <c r="E282" s="61">
        <v>1</v>
      </c>
      <c r="F282" s="61">
        <v>2</v>
      </c>
      <c r="G282" s="61">
        <v>1.8</v>
      </c>
    </row>
    <row r="283" spans="1:7" x14ac:dyDescent="0.25">
      <c r="A283">
        <v>10</v>
      </c>
      <c r="B283">
        <v>281</v>
      </c>
      <c r="C283" s="20">
        <v>0</v>
      </c>
      <c r="D283" s="127">
        <f>'Varmepumpeberegning VP1'!X284</f>
        <v>9.8312960343314195</v>
      </c>
      <c r="E283" s="61">
        <v>1</v>
      </c>
      <c r="F283" s="61">
        <v>2</v>
      </c>
      <c r="G283" s="61">
        <v>1.8</v>
      </c>
    </row>
    <row r="284" spans="1:7" x14ac:dyDescent="0.25">
      <c r="A284">
        <v>10</v>
      </c>
      <c r="B284">
        <v>282</v>
      </c>
      <c r="C284" s="20">
        <v>0</v>
      </c>
      <c r="D284" s="127">
        <f>'Varmepumpeberegning VP1'!X285</f>
        <v>9.936217278319095</v>
      </c>
      <c r="E284" s="61">
        <v>1</v>
      </c>
      <c r="F284" s="61">
        <v>2</v>
      </c>
      <c r="G284" s="61">
        <v>1.8</v>
      </c>
    </row>
    <row r="285" spans="1:7" x14ac:dyDescent="0.25">
      <c r="A285">
        <v>10</v>
      </c>
      <c r="B285">
        <v>283</v>
      </c>
      <c r="C285" s="20">
        <v>0</v>
      </c>
      <c r="D285" s="127">
        <f>'Varmepumpeberegning VP1'!X286</f>
        <v>9.8312960343314195</v>
      </c>
      <c r="E285" s="61">
        <v>1</v>
      </c>
      <c r="F285" s="61">
        <v>2</v>
      </c>
      <c r="G285" s="61">
        <v>1.8</v>
      </c>
    </row>
    <row r="286" spans="1:7" x14ac:dyDescent="0.25">
      <c r="A286">
        <v>10</v>
      </c>
      <c r="B286">
        <v>284</v>
      </c>
      <c r="C286" s="20">
        <v>0</v>
      </c>
      <c r="D286" s="127">
        <f>'Varmepumpeberegning VP1'!X287</f>
        <v>9.6214535463560686</v>
      </c>
      <c r="E286" s="61">
        <v>1</v>
      </c>
      <c r="F286" s="61">
        <v>2</v>
      </c>
      <c r="G286" s="61">
        <v>1.8</v>
      </c>
    </row>
    <row r="287" spans="1:7" x14ac:dyDescent="0.25">
      <c r="A287">
        <v>10</v>
      </c>
      <c r="B287">
        <v>285</v>
      </c>
      <c r="C287" s="20">
        <v>0</v>
      </c>
      <c r="D287" s="127">
        <f>'Varmepumpeberegning VP1'!X288</f>
        <v>9.3066898143930423</v>
      </c>
      <c r="E287" s="61">
        <v>1</v>
      </c>
      <c r="F287" s="61">
        <v>2</v>
      </c>
      <c r="G287" s="61">
        <v>1.8</v>
      </c>
    </row>
    <row r="288" spans="1:7" x14ac:dyDescent="0.25">
      <c r="A288">
        <v>10</v>
      </c>
      <c r="B288">
        <v>286</v>
      </c>
      <c r="C288" s="20">
        <v>0</v>
      </c>
      <c r="D288" s="127">
        <f>'Varmepumpeberegning VP1'!X289</f>
        <v>9.2017685704053669</v>
      </c>
      <c r="E288" s="61">
        <v>1</v>
      </c>
      <c r="F288" s="61">
        <v>2</v>
      </c>
      <c r="G288" s="61">
        <v>1.8</v>
      </c>
    </row>
    <row r="289" spans="1:7" x14ac:dyDescent="0.25">
      <c r="A289">
        <v>10</v>
      </c>
      <c r="B289">
        <v>287</v>
      </c>
      <c r="C289" s="20">
        <v>0</v>
      </c>
      <c r="D289" s="127">
        <f>'Varmepumpeberegning VP1'!X290</f>
        <v>9.4116110583807178</v>
      </c>
      <c r="E289" s="61">
        <v>1</v>
      </c>
      <c r="F289" s="61">
        <v>2</v>
      </c>
      <c r="G289" s="61">
        <v>1.8</v>
      </c>
    </row>
    <row r="290" spans="1:7" x14ac:dyDescent="0.25">
      <c r="A290">
        <v>10</v>
      </c>
      <c r="B290">
        <v>288</v>
      </c>
      <c r="C290" s="20">
        <v>0</v>
      </c>
      <c r="D290" s="127">
        <f>'Varmepumpeberegning VP1'!X291</f>
        <v>9.2017685704053669</v>
      </c>
      <c r="E290" s="61">
        <v>1</v>
      </c>
      <c r="F290" s="61">
        <v>2</v>
      </c>
      <c r="G290" s="61">
        <v>1.8</v>
      </c>
    </row>
    <row r="291" spans="1:7" x14ac:dyDescent="0.25">
      <c r="A291">
        <v>10</v>
      </c>
      <c r="B291">
        <v>289</v>
      </c>
      <c r="C291" s="20">
        <v>0</v>
      </c>
      <c r="D291" s="127">
        <f>'Varmepumpeberegning VP1'!X292</f>
        <v>9.2017685704053669</v>
      </c>
      <c r="E291" s="61">
        <v>1</v>
      </c>
      <c r="F291" s="61">
        <v>2</v>
      </c>
      <c r="G291" s="61">
        <v>1.8</v>
      </c>
    </row>
    <row r="292" spans="1:7" x14ac:dyDescent="0.25">
      <c r="A292">
        <v>10</v>
      </c>
      <c r="B292">
        <v>290</v>
      </c>
      <c r="C292" s="20">
        <v>0</v>
      </c>
      <c r="D292" s="127">
        <f>'Varmepumpeberegning VP1'!X293</f>
        <v>9.7263747903437441</v>
      </c>
      <c r="E292" s="61">
        <v>1</v>
      </c>
      <c r="F292" s="61">
        <v>2</v>
      </c>
      <c r="G292" s="61">
        <v>1.8</v>
      </c>
    </row>
    <row r="293" spans="1:7" x14ac:dyDescent="0.25">
      <c r="A293">
        <v>10</v>
      </c>
      <c r="B293">
        <v>291</v>
      </c>
      <c r="C293" s="20">
        <v>0</v>
      </c>
      <c r="D293" s="127">
        <f>'Varmepumpeberegning VP1'!X294</f>
        <v>9.936217278319095</v>
      </c>
      <c r="E293" s="61">
        <v>1</v>
      </c>
      <c r="F293" s="61">
        <v>2</v>
      </c>
      <c r="G293" s="61">
        <v>1.8</v>
      </c>
    </row>
    <row r="294" spans="1:7" x14ac:dyDescent="0.25">
      <c r="A294">
        <v>10</v>
      </c>
      <c r="B294">
        <v>292</v>
      </c>
      <c r="C294" s="20">
        <v>0</v>
      </c>
      <c r="D294" s="127">
        <f>'Varmepumpeberegning VP1'!X295</f>
        <v>9.936217278319095</v>
      </c>
      <c r="E294" s="61">
        <v>1</v>
      </c>
      <c r="F294" s="61">
        <v>2</v>
      </c>
      <c r="G294" s="61">
        <v>1.8</v>
      </c>
    </row>
    <row r="295" spans="1:7" x14ac:dyDescent="0.25">
      <c r="A295">
        <v>10</v>
      </c>
      <c r="B295">
        <v>293</v>
      </c>
      <c r="C295" s="20">
        <v>0</v>
      </c>
      <c r="D295" s="127">
        <f>'Varmepumpeberegning VP1'!X296</f>
        <v>9.7263747903437441</v>
      </c>
      <c r="E295" s="61">
        <v>1</v>
      </c>
      <c r="F295" s="61">
        <v>2</v>
      </c>
      <c r="G295" s="61">
        <v>1.8</v>
      </c>
    </row>
    <row r="296" spans="1:7" x14ac:dyDescent="0.25">
      <c r="A296">
        <v>10</v>
      </c>
      <c r="B296">
        <v>294</v>
      </c>
      <c r="C296" s="20">
        <v>0</v>
      </c>
      <c r="D296" s="127">
        <f>'Varmepumpeberegning VP1'!X297</f>
        <v>9.936217278319095</v>
      </c>
      <c r="E296" s="61">
        <v>1</v>
      </c>
      <c r="F296" s="61">
        <v>2</v>
      </c>
      <c r="G296" s="61">
        <v>1.8</v>
      </c>
    </row>
    <row r="297" spans="1:7" x14ac:dyDescent="0.25">
      <c r="A297">
        <v>10</v>
      </c>
      <c r="B297">
        <v>295</v>
      </c>
      <c r="C297" s="20">
        <v>0</v>
      </c>
      <c r="D297" s="127">
        <f>'Varmepumpeberegning VP1'!X298</f>
        <v>9.8312960343314195</v>
      </c>
      <c r="E297" s="61">
        <v>1</v>
      </c>
      <c r="F297" s="61">
        <v>2</v>
      </c>
      <c r="G297" s="61">
        <v>1.8</v>
      </c>
    </row>
    <row r="298" spans="1:7" x14ac:dyDescent="0.25">
      <c r="A298">
        <v>10</v>
      </c>
      <c r="B298">
        <v>296</v>
      </c>
      <c r="C298" s="20">
        <v>0</v>
      </c>
      <c r="D298" s="127">
        <f>'Varmepumpeberegning VP1'!X299</f>
        <v>9.6214535463560686</v>
      </c>
      <c r="E298" s="61">
        <v>1</v>
      </c>
      <c r="F298" s="61">
        <v>2</v>
      </c>
      <c r="G298" s="61">
        <v>1.8</v>
      </c>
    </row>
    <row r="299" spans="1:7" x14ac:dyDescent="0.25">
      <c r="A299">
        <v>10</v>
      </c>
      <c r="B299">
        <v>297</v>
      </c>
      <c r="C299" s="20">
        <v>0</v>
      </c>
      <c r="D299" s="127">
        <f>'Varmepumpeberegning VP1'!X300</f>
        <v>9.4116110583807178</v>
      </c>
      <c r="E299" s="61">
        <v>1</v>
      </c>
      <c r="F299" s="61">
        <v>2</v>
      </c>
      <c r="G299" s="61">
        <v>1.8</v>
      </c>
    </row>
    <row r="300" spans="1:7" x14ac:dyDescent="0.25">
      <c r="A300">
        <v>10</v>
      </c>
      <c r="B300">
        <v>298</v>
      </c>
      <c r="C300" s="20">
        <v>0</v>
      </c>
      <c r="D300" s="127">
        <f>'Varmepumpeberegning VP1'!X301</f>
        <v>9.4116110583807178</v>
      </c>
      <c r="E300" s="61">
        <v>1</v>
      </c>
      <c r="F300" s="61">
        <v>2</v>
      </c>
      <c r="G300" s="61">
        <v>1.8</v>
      </c>
    </row>
    <row r="301" spans="1:7" x14ac:dyDescent="0.25">
      <c r="A301">
        <v>10</v>
      </c>
      <c r="B301">
        <v>299</v>
      </c>
      <c r="C301" s="20">
        <v>0</v>
      </c>
      <c r="D301" s="127">
        <f>'Varmepumpeberegning VP1'!X302</f>
        <v>9.6214535463560686</v>
      </c>
      <c r="E301" s="61">
        <v>1</v>
      </c>
      <c r="F301" s="61">
        <v>2</v>
      </c>
      <c r="G301" s="61">
        <v>1.8</v>
      </c>
    </row>
    <row r="302" spans="1:7" x14ac:dyDescent="0.25">
      <c r="A302">
        <v>10</v>
      </c>
      <c r="B302">
        <v>300</v>
      </c>
      <c r="C302" s="20">
        <v>0</v>
      </c>
      <c r="D302" s="127">
        <f>'Varmepumpeberegning VP1'!X303</f>
        <v>9.7263747903437441</v>
      </c>
      <c r="E302" s="61">
        <v>1</v>
      </c>
      <c r="F302" s="61">
        <v>2</v>
      </c>
      <c r="G302" s="61">
        <v>1.8</v>
      </c>
    </row>
    <row r="303" spans="1:7" x14ac:dyDescent="0.25">
      <c r="A303">
        <v>10</v>
      </c>
      <c r="B303">
        <v>301</v>
      </c>
      <c r="C303" s="20">
        <v>0</v>
      </c>
      <c r="D303" s="127">
        <f>'Varmepumpeberegning VP1'!X304</f>
        <v>9.6214535463560686</v>
      </c>
      <c r="E303" s="61">
        <v>1</v>
      </c>
      <c r="F303" s="61">
        <v>2</v>
      </c>
      <c r="G303" s="61">
        <v>1.8</v>
      </c>
    </row>
    <row r="304" spans="1:7" x14ac:dyDescent="0.25">
      <c r="A304">
        <v>10</v>
      </c>
      <c r="B304">
        <v>302</v>
      </c>
      <c r="C304" s="20">
        <v>0</v>
      </c>
      <c r="D304" s="127">
        <f>'Varmepumpeberegning VP1'!X305</f>
        <v>9.6214535463560686</v>
      </c>
      <c r="E304" s="61">
        <v>1</v>
      </c>
      <c r="F304" s="61">
        <v>2</v>
      </c>
      <c r="G304" s="61">
        <v>1.8</v>
      </c>
    </row>
    <row r="305" spans="1:7" x14ac:dyDescent="0.25">
      <c r="A305">
        <v>10</v>
      </c>
      <c r="B305">
        <v>303</v>
      </c>
      <c r="C305" s="20">
        <v>0</v>
      </c>
      <c r="D305" s="127">
        <f>'Varmepumpeberegning VP1'!X306</f>
        <v>9.8312960343314195</v>
      </c>
      <c r="E305" s="61">
        <v>1</v>
      </c>
      <c r="F305" s="61">
        <v>2</v>
      </c>
      <c r="G305" s="61">
        <v>1.8</v>
      </c>
    </row>
    <row r="306" spans="1:7" x14ac:dyDescent="0.25">
      <c r="A306">
        <v>10</v>
      </c>
      <c r="B306">
        <v>304</v>
      </c>
      <c r="C306" s="20">
        <v>0</v>
      </c>
      <c r="D306" s="127">
        <f>'Varmepumpeberegning VP1'!X307</f>
        <v>9.7263747903437441</v>
      </c>
      <c r="E306" s="61">
        <v>1</v>
      </c>
      <c r="F306" s="61">
        <v>2</v>
      </c>
      <c r="G306" s="61">
        <v>1.8</v>
      </c>
    </row>
    <row r="307" spans="1:7" x14ac:dyDescent="0.25">
      <c r="A307">
        <v>11</v>
      </c>
      <c r="B307">
        <v>305</v>
      </c>
      <c r="C307" s="20">
        <v>0</v>
      </c>
      <c r="D307" s="127">
        <f>'Varmepumpeberegning VP1'!X308</f>
        <v>9.6214535463560686</v>
      </c>
      <c r="E307" s="61">
        <v>1</v>
      </c>
      <c r="F307" s="61">
        <v>2</v>
      </c>
      <c r="G307" s="61">
        <v>1.8</v>
      </c>
    </row>
    <row r="308" spans="1:7" x14ac:dyDescent="0.25">
      <c r="A308">
        <v>11</v>
      </c>
      <c r="B308">
        <v>306</v>
      </c>
      <c r="C308" s="20">
        <v>0</v>
      </c>
      <c r="D308" s="127">
        <f>'Varmepumpeberegning VP1'!X309</f>
        <v>9.6214535463560686</v>
      </c>
      <c r="E308" s="61">
        <v>1</v>
      </c>
      <c r="F308" s="61">
        <v>2</v>
      </c>
      <c r="G308" s="61">
        <v>1.8</v>
      </c>
    </row>
    <row r="309" spans="1:7" x14ac:dyDescent="0.25">
      <c r="A309">
        <v>11</v>
      </c>
      <c r="B309">
        <v>307</v>
      </c>
      <c r="C309" s="20">
        <v>0</v>
      </c>
      <c r="D309" s="127">
        <f>'Varmepumpeberegning VP1'!X310</f>
        <v>9.3066898143930423</v>
      </c>
      <c r="E309" s="61">
        <v>1</v>
      </c>
      <c r="F309" s="61">
        <v>2</v>
      </c>
      <c r="G309" s="61">
        <v>1.8</v>
      </c>
    </row>
    <row r="310" spans="1:7" x14ac:dyDescent="0.25">
      <c r="A310">
        <v>11</v>
      </c>
      <c r="B310">
        <v>308</v>
      </c>
      <c r="C310" s="20">
        <v>0</v>
      </c>
      <c r="D310" s="127">
        <f>'Varmepumpeberegning VP1'!X311</f>
        <v>8.8308088762170591</v>
      </c>
      <c r="E310" s="61">
        <v>1</v>
      </c>
      <c r="F310" s="61">
        <v>2</v>
      </c>
      <c r="G310" s="61">
        <v>1.8</v>
      </c>
    </row>
    <row r="311" spans="1:7" x14ac:dyDescent="0.25">
      <c r="A311">
        <v>11</v>
      </c>
      <c r="B311">
        <v>309</v>
      </c>
      <c r="C311" s="20">
        <v>0</v>
      </c>
      <c r="D311" s="127">
        <f>'Varmepumpeberegning VP1'!X312</f>
        <v>9.0081678430174801</v>
      </c>
      <c r="E311" s="61">
        <v>1</v>
      </c>
      <c r="F311" s="61">
        <v>2</v>
      </c>
      <c r="G311" s="61">
        <v>1.8</v>
      </c>
    </row>
    <row r="312" spans="1:7" x14ac:dyDescent="0.25">
      <c r="A312">
        <v>11</v>
      </c>
      <c r="B312">
        <v>310</v>
      </c>
      <c r="C312" s="20">
        <v>0</v>
      </c>
      <c r="D312" s="127">
        <f>'Varmepumpeberegning VP1'!X313</f>
        <v>8.9194883596172705</v>
      </c>
      <c r="E312" s="61">
        <v>1</v>
      </c>
      <c r="F312" s="61">
        <v>2</v>
      </c>
      <c r="G312" s="61">
        <v>1.8</v>
      </c>
    </row>
    <row r="313" spans="1:7" x14ac:dyDescent="0.25">
      <c r="A313">
        <v>11</v>
      </c>
      <c r="B313">
        <v>311</v>
      </c>
      <c r="C313" s="20">
        <v>0</v>
      </c>
      <c r="D313" s="127">
        <f>'Varmepumpeberegning VP1'!X314</f>
        <v>9.0968473264176914</v>
      </c>
      <c r="E313" s="61">
        <v>1</v>
      </c>
      <c r="F313" s="61">
        <v>2</v>
      </c>
      <c r="G313" s="61">
        <v>1.8</v>
      </c>
    </row>
    <row r="314" spans="1:7" x14ac:dyDescent="0.25">
      <c r="A314">
        <v>11</v>
      </c>
      <c r="B314">
        <v>312</v>
      </c>
      <c r="C314" s="20">
        <v>0</v>
      </c>
      <c r="D314" s="127">
        <f>'Varmepumpeberegning VP1'!X315</f>
        <v>8.9194883596172705</v>
      </c>
      <c r="E314" s="61">
        <v>1</v>
      </c>
      <c r="F314" s="61">
        <v>2</v>
      </c>
      <c r="G314" s="61">
        <v>1.8</v>
      </c>
    </row>
    <row r="315" spans="1:7" x14ac:dyDescent="0.25">
      <c r="A315">
        <v>11</v>
      </c>
      <c r="B315">
        <v>313</v>
      </c>
      <c r="C315" s="20">
        <v>0</v>
      </c>
      <c r="D315" s="127">
        <f>'Varmepumpeberegning VP1'!X316</f>
        <v>8.8308088762170591</v>
      </c>
      <c r="E315" s="61">
        <v>1</v>
      </c>
      <c r="F315" s="61">
        <v>2</v>
      </c>
      <c r="G315" s="61">
        <v>1.8</v>
      </c>
    </row>
    <row r="316" spans="1:7" x14ac:dyDescent="0.25">
      <c r="A316">
        <v>11</v>
      </c>
      <c r="B316">
        <v>314</v>
      </c>
      <c r="C316" s="20">
        <v>0</v>
      </c>
      <c r="D316" s="127">
        <f>'Varmepumpeberegning VP1'!X317</f>
        <v>9.0081678430174801</v>
      </c>
      <c r="E316" s="61">
        <v>1</v>
      </c>
      <c r="F316" s="61">
        <v>2</v>
      </c>
      <c r="G316" s="61">
        <v>1.8</v>
      </c>
    </row>
    <row r="317" spans="1:7" x14ac:dyDescent="0.25">
      <c r="A317">
        <v>11</v>
      </c>
      <c r="B317">
        <v>315</v>
      </c>
      <c r="C317" s="20">
        <v>0</v>
      </c>
      <c r="D317" s="127">
        <f>'Varmepumpeberegning VP1'!X318</f>
        <v>9.2017685704053669</v>
      </c>
      <c r="E317" s="61">
        <v>1</v>
      </c>
      <c r="F317" s="61">
        <v>2</v>
      </c>
      <c r="G317" s="61">
        <v>1.8</v>
      </c>
    </row>
    <row r="318" spans="1:7" x14ac:dyDescent="0.25">
      <c r="A318">
        <v>11</v>
      </c>
      <c r="B318">
        <v>316</v>
      </c>
      <c r="C318" s="20">
        <v>0</v>
      </c>
      <c r="D318" s="127">
        <f>'Varmepumpeberegning VP1'!X319</f>
        <v>9.4116110583807178</v>
      </c>
      <c r="E318" s="61">
        <v>1</v>
      </c>
      <c r="F318" s="61">
        <v>2</v>
      </c>
      <c r="G318" s="61">
        <v>1.8</v>
      </c>
    </row>
    <row r="319" spans="1:7" x14ac:dyDescent="0.25">
      <c r="A319">
        <v>11</v>
      </c>
      <c r="B319">
        <v>317</v>
      </c>
      <c r="C319" s="20">
        <v>0</v>
      </c>
      <c r="D319" s="127">
        <f>'Varmepumpeberegning VP1'!X320</f>
        <v>9.2017685704053669</v>
      </c>
      <c r="E319" s="61">
        <v>1</v>
      </c>
      <c r="F319" s="61">
        <v>2</v>
      </c>
      <c r="G319" s="61">
        <v>1.8</v>
      </c>
    </row>
    <row r="320" spans="1:7" x14ac:dyDescent="0.25">
      <c r="A320">
        <v>11</v>
      </c>
      <c r="B320">
        <v>318</v>
      </c>
      <c r="C320" s="20">
        <v>0</v>
      </c>
      <c r="D320" s="127">
        <f>'Varmepumpeberegning VP1'!X321</f>
        <v>9.3066898143930423</v>
      </c>
      <c r="E320" s="61">
        <v>1</v>
      </c>
      <c r="F320" s="61">
        <v>2</v>
      </c>
      <c r="G320" s="61">
        <v>1.8</v>
      </c>
    </row>
    <row r="321" spans="1:7" x14ac:dyDescent="0.25">
      <c r="A321">
        <v>11</v>
      </c>
      <c r="B321">
        <v>319</v>
      </c>
      <c r="C321" s="20">
        <v>0</v>
      </c>
      <c r="D321" s="127">
        <f>'Varmepumpeberegning VP1'!X322</f>
        <v>9.4116110583807178</v>
      </c>
      <c r="E321" s="61">
        <v>1</v>
      </c>
      <c r="F321" s="61">
        <v>2</v>
      </c>
      <c r="G321" s="61">
        <v>1.8</v>
      </c>
    </row>
    <row r="322" spans="1:7" x14ac:dyDescent="0.25">
      <c r="A322">
        <v>11</v>
      </c>
      <c r="B322">
        <v>320</v>
      </c>
      <c r="C322" s="20">
        <v>0</v>
      </c>
      <c r="D322" s="127">
        <f>'Varmepumpeberegning VP1'!X323</f>
        <v>9.3066898143930423</v>
      </c>
      <c r="E322" s="61">
        <v>1</v>
      </c>
      <c r="F322" s="61">
        <v>2</v>
      </c>
      <c r="G322" s="61">
        <v>1.8</v>
      </c>
    </row>
    <row r="323" spans="1:7" x14ac:dyDescent="0.25">
      <c r="A323">
        <v>11</v>
      </c>
      <c r="B323">
        <v>321</v>
      </c>
      <c r="C323" s="20">
        <v>0</v>
      </c>
      <c r="D323" s="127">
        <f>'Varmepumpeberegning VP1'!X324</f>
        <v>9.3066898143930423</v>
      </c>
      <c r="E323" s="61">
        <v>1</v>
      </c>
      <c r="F323" s="61">
        <v>2</v>
      </c>
      <c r="G323" s="61">
        <v>1.8</v>
      </c>
    </row>
    <row r="324" spans="1:7" x14ac:dyDescent="0.25">
      <c r="A324">
        <v>11</v>
      </c>
      <c r="B324">
        <v>322</v>
      </c>
      <c r="C324" s="20">
        <v>0</v>
      </c>
      <c r="D324" s="127">
        <f>'Varmepumpeberegning VP1'!X325</f>
        <v>9.0968473264176914</v>
      </c>
      <c r="E324" s="61">
        <v>1</v>
      </c>
      <c r="F324" s="61">
        <v>2</v>
      </c>
      <c r="G324" s="61">
        <v>1.8</v>
      </c>
    </row>
    <row r="325" spans="1:7" x14ac:dyDescent="0.25">
      <c r="A325">
        <v>11</v>
      </c>
      <c r="B325">
        <v>323</v>
      </c>
      <c r="C325" s="20">
        <v>0</v>
      </c>
      <c r="D325" s="127">
        <f>'Varmepumpeberegning VP1'!X326</f>
        <v>8.9194883596172705</v>
      </c>
      <c r="E325" s="61">
        <v>1</v>
      </c>
      <c r="F325" s="61">
        <v>2</v>
      </c>
      <c r="G325" s="61">
        <v>1.8</v>
      </c>
    </row>
    <row r="326" spans="1:7" x14ac:dyDescent="0.25">
      <c r="A326">
        <v>11</v>
      </c>
      <c r="B326">
        <v>324</v>
      </c>
      <c r="C326" s="20">
        <v>0</v>
      </c>
      <c r="D326" s="127">
        <f>'Varmepumpeberegning VP1'!X327</f>
        <v>8.7281360986779148</v>
      </c>
      <c r="E326" s="61">
        <v>1</v>
      </c>
      <c r="F326" s="61">
        <v>2</v>
      </c>
      <c r="G326" s="61">
        <v>1.8</v>
      </c>
    </row>
    <row r="327" spans="1:7" x14ac:dyDescent="0.25">
      <c r="A327">
        <v>11</v>
      </c>
      <c r="B327">
        <v>325</v>
      </c>
      <c r="C327" s="20">
        <v>0</v>
      </c>
      <c r="D327" s="127">
        <f>'Varmepumpeberegning VP1'!X328</f>
        <v>8.7281360986779148</v>
      </c>
      <c r="E327" s="61">
        <v>1</v>
      </c>
      <c r="F327" s="61">
        <v>2</v>
      </c>
      <c r="G327" s="61">
        <v>1.8</v>
      </c>
    </row>
    <row r="328" spans="1:7" x14ac:dyDescent="0.25">
      <c r="A328">
        <v>11</v>
      </c>
      <c r="B328">
        <v>326</v>
      </c>
      <c r="C328" s="20">
        <v>0</v>
      </c>
      <c r="D328" s="127">
        <f>'Varmepumpeberegning VP1'!X329</f>
        <v>8.6254633211387688</v>
      </c>
      <c r="E328" s="61">
        <v>1</v>
      </c>
      <c r="F328" s="61">
        <v>2</v>
      </c>
      <c r="G328" s="61">
        <v>1.8</v>
      </c>
    </row>
    <row r="329" spans="1:7" x14ac:dyDescent="0.25">
      <c r="A329">
        <v>11</v>
      </c>
      <c r="B329">
        <v>327</v>
      </c>
      <c r="C329" s="20">
        <v>0</v>
      </c>
      <c r="D329" s="127">
        <f>'Varmepumpeberegning VP1'!X330</f>
        <v>8.7281360986779148</v>
      </c>
      <c r="E329" s="61">
        <v>1</v>
      </c>
      <c r="F329" s="61">
        <v>2</v>
      </c>
      <c r="G329" s="61">
        <v>1.8</v>
      </c>
    </row>
    <row r="330" spans="1:7" x14ac:dyDescent="0.25">
      <c r="A330">
        <v>11</v>
      </c>
      <c r="B330">
        <v>328</v>
      </c>
      <c r="C330" s="20">
        <v>0</v>
      </c>
      <c r="D330" s="127">
        <f>'Varmepumpeberegning VP1'!X331</f>
        <v>8.8308088762170591</v>
      </c>
      <c r="E330" s="61">
        <v>1</v>
      </c>
      <c r="F330" s="61">
        <v>2</v>
      </c>
      <c r="G330" s="61">
        <v>1.8</v>
      </c>
    </row>
    <row r="331" spans="1:7" x14ac:dyDescent="0.25">
      <c r="A331">
        <v>11</v>
      </c>
      <c r="B331">
        <v>329</v>
      </c>
      <c r="C331" s="20">
        <v>0</v>
      </c>
      <c r="D331" s="127">
        <f>'Varmepumpeberegning VP1'!X332</f>
        <v>9.7263747903437441</v>
      </c>
      <c r="E331" s="61">
        <v>1</v>
      </c>
      <c r="F331" s="61">
        <v>2</v>
      </c>
      <c r="G331" s="61">
        <v>1.8</v>
      </c>
    </row>
    <row r="332" spans="1:7" x14ac:dyDescent="0.25">
      <c r="A332">
        <v>11</v>
      </c>
      <c r="B332">
        <v>330</v>
      </c>
      <c r="C332" s="20">
        <v>0</v>
      </c>
      <c r="D332" s="127">
        <f>'Varmepumpeberegning VP1'!X333</f>
        <v>9.6214535463560686</v>
      </c>
      <c r="E332" s="61">
        <v>1</v>
      </c>
      <c r="F332" s="61">
        <v>2</v>
      </c>
      <c r="G332" s="61">
        <v>1.8</v>
      </c>
    </row>
    <row r="333" spans="1:7" x14ac:dyDescent="0.25">
      <c r="A333">
        <v>11</v>
      </c>
      <c r="B333">
        <v>331</v>
      </c>
      <c r="C333" s="20">
        <v>0</v>
      </c>
      <c r="D333" s="127">
        <f>'Varmepumpeberegning VP1'!X334</f>
        <v>9.0968473264176914</v>
      </c>
      <c r="E333" s="61">
        <v>1</v>
      </c>
      <c r="F333" s="61">
        <v>2</v>
      </c>
      <c r="G333" s="61">
        <v>1.8</v>
      </c>
    </row>
    <row r="334" spans="1:7" x14ac:dyDescent="0.25">
      <c r="A334">
        <v>11</v>
      </c>
      <c r="B334">
        <v>332</v>
      </c>
      <c r="C334" s="20">
        <v>0</v>
      </c>
      <c r="D334" s="127">
        <f>'Varmepumpeberegning VP1'!X335</f>
        <v>9.0081678430174801</v>
      </c>
      <c r="E334" s="61">
        <v>1</v>
      </c>
      <c r="F334" s="61">
        <v>2</v>
      </c>
      <c r="G334" s="61">
        <v>1.8</v>
      </c>
    </row>
    <row r="335" spans="1:7" x14ac:dyDescent="0.25">
      <c r="A335">
        <v>11</v>
      </c>
      <c r="B335">
        <v>333</v>
      </c>
      <c r="C335" s="20">
        <v>0</v>
      </c>
      <c r="D335" s="127">
        <f>'Varmepumpeberegning VP1'!X336</f>
        <v>9.0968473264176914</v>
      </c>
      <c r="E335" s="61">
        <v>1</v>
      </c>
      <c r="F335" s="61">
        <v>2</v>
      </c>
      <c r="G335" s="61">
        <v>1.8</v>
      </c>
    </row>
    <row r="336" spans="1:7" x14ac:dyDescent="0.25">
      <c r="A336">
        <v>11</v>
      </c>
      <c r="B336">
        <v>334</v>
      </c>
      <c r="C336" s="20">
        <v>0</v>
      </c>
      <c r="D336" s="127">
        <f>'Varmepumpeberegning VP1'!X337</f>
        <v>8.9194883596172705</v>
      </c>
      <c r="E336" s="61">
        <v>1</v>
      </c>
      <c r="F336" s="61">
        <v>2</v>
      </c>
      <c r="G336" s="61">
        <v>1.8</v>
      </c>
    </row>
    <row r="337" spans="1:7" x14ac:dyDescent="0.25">
      <c r="A337">
        <v>12</v>
      </c>
      <c r="B337">
        <v>335</v>
      </c>
      <c r="C337" s="20">
        <v>0</v>
      </c>
      <c r="D337" s="127">
        <f>'Varmepumpeberegning VP1'!X338</f>
        <v>8.8308088762170591</v>
      </c>
      <c r="E337" s="61">
        <v>1</v>
      </c>
      <c r="F337" s="61">
        <v>2</v>
      </c>
      <c r="G337" s="61">
        <v>1.8</v>
      </c>
    </row>
    <row r="338" spans="1:7" x14ac:dyDescent="0.25">
      <c r="A338">
        <v>12</v>
      </c>
      <c r="B338">
        <v>336</v>
      </c>
      <c r="C338" s="20">
        <v>0</v>
      </c>
      <c r="D338" s="127">
        <f>'Varmepumpeberegning VP1'!X339</f>
        <v>9.0081678430174801</v>
      </c>
      <c r="E338" s="61">
        <v>1</v>
      </c>
      <c r="F338" s="61">
        <v>2</v>
      </c>
      <c r="G338" s="61">
        <v>1.8</v>
      </c>
    </row>
    <row r="339" spans="1:7" x14ac:dyDescent="0.25">
      <c r="A339">
        <v>12</v>
      </c>
      <c r="B339">
        <v>337</v>
      </c>
      <c r="C339" s="20">
        <v>0</v>
      </c>
      <c r="D339" s="127">
        <f>'Varmepumpeberegning VP1'!X340</f>
        <v>9.3066898143930423</v>
      </c>
      <c r="E339" s="61">
        <v>1</v>
      </c>
      <c r="F339" s="61">
        <v>2</v>
      </c>
      <c r="G339" s="61">
        <v>1.8</v>
      </c>
    </row>
    <row r="340" spans="1:7" x14ac:dyDescent="0.25">
      <c r="A340">
        <v>12</v>
      </c>
      <c r="B340">
        <v>338</v>
      </c>
      <c r="C340" s="20">
        <v>0</v>
      </c>
      <c r="D340" s="127">
        <f>'Varmepumpeberegning VP1'!X341</f>
        <v>9.0081678430174801</v>
      </c>
      <c r="E340" s="61">
        <v>1</v>
      </c>
      <c r="F340" s="61">
        <v>2</v>
      </c>
      <c r="G340" s="61">
        <v>1.8</v>
      </c>
    </row>
    <row r="341" spans="1:7" x14ac:dyDescent="0.25">
      <c r="A341">
        <v>12</v>
      </c>
      <c r="B341">
        <v>339</v>
      </c>
      <c r="C341" s="20">
        <v>0</v>
      </c>
      <c r="D341" s="127">
        <f>'Varmepumpeberegning VP1'!X342</f>
        <v>8.8308088762170591</v>
      </c>
      <c r="E341" s="61">
        <v>1</v>
      </c>
      <c r="F341" s="61">
        <v>2</v>
      </c>
      <c r="G341" s="61">
        <v>1.8</v>
      </c>
    </row>
    <row r="342" spans="1:7" x14ac:dyDescent="0.25">
      <c r="A342">
        <v>12</v>
      </c>
      <c r="B342">
        <v>340</v>
      </c>
      <c r="C342" s="20">
        <v>0</v>
      </c>
      <c r="D342" s="127">
        <f>'Varmepumpeberegning VP1'!X343</f>
        <v>9.0081678430174801</v>
      </c>
      <c r="E342" s="61">
        <v>1</v>
      </c>
      <c r="F342" s="61">
        <v>2</v>
      </c>
      <c r="G342" s="61">
        <v>1.8</v>
      </c>
    </row>
    <row r="343" spans="1:7" x14ac:dyDescent="0.25">
      <c r="A343">
        <v>12</v>
      </c>
      <c r="B343">
        <v>341</v>
      </c>
      <c r="C343" s="20">
        <v>0</v>
      </c>
      <c r="D343" s="127">
        <f>'Varmepumpeberegning VP1'!X344</f>
        <v>9.2017685704053669</v>
      </c>
      <c r="E343" s="61">
        <v>1</v>
      </c>
      <c r="F343" s="61">
        <v>2</v>
      </c>
      <c r="G343" s="61">
        <v>1.8</v>
      </c>
    </row>
    <row r="344" spans="1:7" x14ac:dyDescent="0.25">
      <c r="A344">
        <v>12</v>
      </c>
      <c r="B344">
        <v>342</v>
      </c>
      <c r="C344" s="20">
        <v>0</v>
      </c>
      <c r="D344" s="127">
        <f>'Varmepumpeberegning VP1'!X345</f>
        <v>9.0968473264176914</v>
      </c>
      <c r="E344" s="61">
        <v>1</v>
      </c>
      <c r="F344" s="61">
        <v>2</v>
      </c>
      <c r="G344" s="61">
        <v>1.8</v>
      </c>
    </row>
    <row r="345" spans="1:7" x14ac:dyDescent="0.25">
      <c r="A345">
        <v>12</v>
      </c>
      <c r="B345">
        <v>343</v>
      </c>
      <c r="C345" s="20">
        <v>0</v>
      </c>
      <c r="D345" s="127">
        <f>'Varmepumpeberegning VP1'!X346</f>
        <v>9.0081678430174801</v>
      </c>
      <c r="E345" s="61">
        <v>1</v>
      </c>
      <c r="F345" s="61">
        <v>2</v>
      </c>
      <c r="G345" s="61">
        <v>1.8</v>
      </c>
    </row>
    <row r="346" spans="1:7" x14ac:dyDescent="0.25">
      <c r="A346">
        <v>12</v>
      </c>
      <c r="B346">
        <v>344</v>
      </c>
      <c r="C346" s="20">
        <v>0</v>
      </c>
      <c r="D346" s="127">
        <f>'Varmepumpeberegning VP1'!X347</f>
        <v>9.0081678430174801</v>
      </c>
      <c r="E346" s="61">
        <v>1</v>
      </c>
      <c r="F346" s="61">
        <v>2</v>
      </c>
      <c r="G346" s="61">
        <v>1.8</v>
      </c>
    </row>
    <row r="347" spans="1:7" x14ac:dyDescent="0.25">
      <c r="A347">
        <v>12</v>
      </c>
      <c r="B347">
        <v>345</v>
      </c>
      <c r="C347" s="20">
        <v>0</v>
      </c>
      <c r="D347" s="127">
        <f>'Varmepumpeberegning VP1'!X348</f>
        <v>8.9194883596172705</v>
      </c>
      <c r="E347" s="61">
        <v>1</v>
      </c>
      <c r="F347" s="61">
        <v>2</v>
      </c>
      <c r="G347" s="61">
        <v>1.8</v>
      </c>
    </row>
    <row r="348" spans="1:7" x14ac:dyDescent="0.25">
      <c r="A348">
        <v>12</v>
      </c>
      <c r="B348">
        <v>346</v>
      </c>
      <c r="C348" s="20">
        <v>0</v>
      </c>
      <c r="D348" s="127">
        <f>'Varmepumpeberegning VP1'!X349</f>
        <v>8.8308088762170591</v>
      </c>
      <c r="E348" s="61">
        <v>1</v>
      </c>
      <c r="F348" s="61">
        <v>2</v>
      </c>
      <c r="G348" s="61">
        <v>1.8</v>
      </c>
    </row>
    <row r="349" spans="1:7" x14ac:dyDescent="0.25">
      <c r="A349">
        <v>12</v>
      </c>
      <c r="B349">
        <v>347</v>
      </c>
      <c r="C349" s="20">
        <v>0</v>
      </c>
      <c r="D349" s="127">
        <f>'Varmepumpeberegning VP1'!X350</f>
        <v>8.9194883596172705</v>
      </c>
      <c r="E349" s="61">
        <v>1</v>
      </c>
      <c r="F349" s="61">
        <v>2</v>
      </c>
      <c r="G349" s="61">
        <v>1.8</v>
      </c>
    </row>
    <row r="350" spans="1:7" x14ac:dyDescent="0.25">
      <c r="A350">
        <v>12</v>
      </c>
      <c r="B350">
        <v>348</v>
      </c>
      <c r="C350" s="20">
        <v>0</v>
      </c>
      <c r="D350" s="127">
        <f>'Varmepumpeberegning VP1'!X351</f>
        <v>8.6254633211387688</v>
      </c>
      <c r="E350" s="61">
        <v>1</v>
      </c>
      <c r="F350" s="61">
        <v>2</v>
      </c>
      <c r="G350" s="61">
        <v>1.8</v>
      </c>
    </row>
    <row r="351" spans="1:7" x14ac:dyDescent="0.25">
      <c r="A351">
        <v>12</v>
      </c>
      <c r="B351">
        <v>349</v>
      </c>
      <c r="C351" s="20">
        <v>0</v>
      </c>
      <c r="D351" s="127">
        <f>'Varmepumpeberegning VP1'!X352</f>
        <v>8.8308088762170591</v>
      </c>
      <c r="E351" s="61">
        <v>1</v>
      </c>
      <c r="F351" s="61">
        <v>2</v>
      </c>
      <c r="G351" s="61">
        <v>1.8</v>
      </c>
    </row>
    <row r="352" spans="1:7" x14ac:dyDescent="0.25">
      <c r="A352">
        <v>12</v>
      </c>
      <c r="B352">
        <v>350</v>
      </c>
      <c r="C352" s="20">
        <v>0</v>
      </c>
      <c r="D352" s="127">
        <f>'Varmepumpeberegning VP1'!X353</f>
        <v>9.2017685704053669</v>
      </c>
      <c r="E352" s="61">
        <v>1</v>
      </c>
      <c r="F352" s="61">
        <v>2</v>
      </c>
      <c r="G352" s="61">
        <v>1.8</v>
      </c>
    </row>
    <row r="353" spans="1:7" x14ac:dyDescent="0.25">
      <c r="A353">
        <v>12</v>
      </c>
      <c r="B353">
        <v>351</v>
      </c>
      <c r="C353" s="20">
        <v>0</v>
      </c>
      <c r="D353" s="127">
        <f>'Varmepumpeberegning VP1'!X354</f>
        <v>9.4116110583807178</v>
      </c>
      <c r="E353" s="61">
        <v>1</v>
      </c>
      <c r="F353" s="61">
        <v>2</v>
      </c>
      <c r="G353" s="61">
        <v>1.8</v>
      </c>
    </row>
    <row r="354" spans="1:7" x14ac:dyDescent="0.25">
      <c r="A354">
        <v>12</v>
      </c>
      <c r="B354">
        <v>352</v>
      </c>
      <c r="C354" s="20">
        <v>0</v>
      </c>
      <c r="D354" s="127">
        <f>'Varmepumpeberegning VP1'!X355</f>
        <v>9.2017685704053669</v>
      </c>
      <c r="E354" s="61">
        <v>1</v>
      </c>
      <c r="F354" s="61">
        <v>2</v>
      </c>
      <c r="G354" s="61">
        <v>1.8</v>
      </c>
    </row>
    <row r="355" spans="1:7" x14ac:dyDescent="0.25">
      <c r="A355">
        <v>12</v>
      </c>
      <c r="B355">
        <v>353</v>
      </c>
      <c r="C355" s="20">
        <v>0</v>
      </c>
      <c r="D355" s="127">
        <f>'Varmepumpeberegning VP1'!X356</f>
        <v>9.4116110583807178</v>
      </c>
      <c r="E355" s="61">
        <v>1</v>
      </c>
      <c r="F355" s="61">
        <v>2</v>
      </c>
      <c r="G355" s="61">
        <v>1.8</v>
      </c>
    </row>
    <row r="356" spans="1:7" x14ac:dyDescent="0.25">
      <c r="A356">
        <v>12</v>
      </c>
      <c r="B356">
        <v>354</v>
      </c>
      <c r="C356" s="20">
        <v>0</v>
      </c>
      <c r="D356" s="127">
        <f>'Varmepumpeberegning VP1'!X357</f>
        <v>9.2017685704053669</v>
      </c>
      <c r="E356" s="61">
        <v>1</v>
      </c>
      <c r="F356" s="61">
        <v>2</v>
      </c>
      <c r="G356" s="61">
        <v>1.8</v>
      </c>
    </row>
    <row r="357" spans="1:7" x14ac:dyDescent="0.25">
      <c r="A357">
        <v>12</v>
      </c>
      <c r="B357">
        <v>355</v>
      </c>
      <c r="C357" s="20">
        <v>0</v>
      </c>
      <c r="D357" s="127">
        <f>'Varmepumpeberegning VP1'!X358</f>
        <v>9.0081678430174801</v>
      </c>
      <c r="E357" s="61">
        <v>1</v>
      </c>
      <c r="F357" s="61">
        <v>2</v>
      </c>
      <c r="G357" s="61">
        <v>1.8</v>
      </c>
    </row>
    <row r="358" spans="1:7" x14ac:dyDescent="0.25">
      <c r="A358">
        <v>12</v>
      </c>
      <c r="B358">
        <v>356</v>
      </c>
      <c r="C358" s="20">
        <v>0</v>
      </c>
      <c r="D358" s="127">
        <f>'Varmepumpeberegning VP1'!X359</f>
        <v>9.2017685704053669</v>
      </c>
      <c r="E358" s="61">
        <v>1</v>
      </c>
      <c r="F358" s="61">
        <v>2</v>
      </c>
      <c r="G358" s="61">
        <v>1.8</v>
      </c>
    </row>
    <row r="359" spans="1:7" x14ac:dyDescent="0.25">
      <c r="A359">
        <v>12</v>
      </c>
      <c r="B359">
        <v>357</v>
      </c>
      <c r="C359" s="20">
        <v>0</v>
      </c>
      <c r="D359" s="127">
        <f>'Varmepumpeberegning VP1'!X360</f>
        <v>9.0081678430174801</v>
      </c>
      <c r="E359" s="61">
        <v>1</v>
      </c>
      <c r="F359" s="61">
        <v>2</v>
      </c>
      <c r="G359" s="61">
        <v>1.8</v>
      </c>
    </row>
    <row r="360" spans="1:7" x14ac:dyDescent="0.25">
      <c r="A360">
        <v>12</v>
      </c>
      <c r="B360">
        <v>358</v>
      </c>
      <c r="C360" s="20">
        <v>0</v>
      </c>
      <c r="D360" s="127">
        <f>'Varmepumpeberegning VP1'!X361</f>
        <v>9.0081678430174801</v>
      </c>
      <c r="E360" s="61">
        <v>1</v>
      </c>
      <c r="F360" s="61">
        <v>2</v>
      </c>
      <c r="G360" s="61">
        <v>1.8</v>
      </c>
    </row>
    <row r="361" spans="1:7" x14ac:dyDescent="0.25">
      <c r="A361">
        <v>12</v>
      </c>
      <c r="B361">
        <v>359</v>
      </c>
      <c r="C361" s="20">
        <v>0</v>
      </c>
      <c r="D361" s="127">
        <f>'Varmepumpeberegning VP1'!X362</f>
        <v>8.9194883596172705</v>
      </c>
      <c r="E361" s="61">
        <v>1</v>
      </c>
      <c r="F361" s="61">
        <v>2</v>
      </c>
      <c r="G361" s="61">
        <v>1.8</v>
      </c>
    </row>
    <row r="362" spans="1:7" x14ac:dyDescent="0.25">
      <c r="A362">
        <v>12</v>
      </c>
      <c r="B362">
        <v>360</v>
      </c>
      <c r="C362" s="20">
        <v>0</v>
      </c>
      <c r="D362" s="127">
        <f>'Varmepumpeberegning VP1'!X363</f>
        <v>9.2017685704053669</v>
      </c>
      <c r="E362" s="61">
        <v>1</v>
      </c>
      <c r="F362" s="61">
        <v>2</v>
      </c>
      <c r="G362" s="61">
        <v>1.8</v>
      </c>
    </row>
    <row r="363" spans="1:7" x14ac:dyDescent="0.25">
      <c r="A363">
        <v>12</v>
      </c>
      <c r="B363">
        <v>361</v>
      </c>
      <c r="C363" s="20">
        <v>0</v>
      </c>
      <c r="D363" s="127">
        <f>'Varmepumpeberegning VP1'!X364</f>
        <v>9.0968473264176914</v>
      </c>
      <c r="E363" s="61">
        <v>1</v>
      </c>
      <c r="F363" s="61">
        <v>2</v>
      </c>
      <c r="G363" s="61">
        <v>1.8</v>
      </c>
    </row>
    <row r="364" spans="1:7" x14ac:dyDescent="0.25">
      <c r="A364">
        <v>12</v>
      </c>
      <c r="B364">
        <v>362</v>
      </c>
      <c r="C364" s="20">
        <v>0</v>
      </c>
      <c r="D364" s="127">
        <f>'Varmepumpeberegning VP1'!X365</f>
        <v>8.8308088762170591</v>
      </c>
      <c r="E364" s="61">
        <v>1</v>
      </c>
      <c r="F364" s="61">
        <v>2</v>
      </c>
      <c r="G364" s="61">
        <v>1.8</v>
      </c>
    </row>
    <row r="365" spans="1:7" x14ac:dyDescent="0.25">
      <c r="A365">
        <v>12</v>
      </c>
      <c r="B365">
        <v>363</v>
      </c>
      <c r="C365" s="20">
        <v>0</v>
      </c>
      <c r="D365" s="127">
        <f>'Varmepumpeberegning VP1'!X366</f>
        <v>8.5227905435996245</v>
      </c>
      <c r="E365" s="61">
        <v>1</v>
      </c>
      <c r="F365" s="61">
        <v>2</v>
      </c>
      <c r="G365" s="61">
        <v>1.8</v>
      </c>
    </row>
    <row r="366" spans="1:7" x14ac:dyDescent="0.25">
      <c r="A366">
        <v>12</v>
      </c>
      <c r="B366">
        <v>364</v>
      </c>
      <c r="C366" s="20">
        <v>0</v>
      </c>
      <c r="D366" s="127">
        <f>'Varmepumpeberegning VP1'!X367</f>
        <v>8.9194883596172705</v>
      </c>
      <c r="E366" s="61">
        <v>1</v>
      </c>
      <c r="F366" s="61">
        <v>2</v>
      </c>
      <c r="G366" s="61">
        <v>1.8</v>
      </c>
    </row>
    <row r="367" spans="1:7" x14ac:dyDescent="0.25">
      <c r="A367">
        <v>12</v>
      </c>
      <c r="B367">
        <v>365</v>
      </c>
      <c r="C367" s="20">
        <v>0</v>
      </c>
      <c r="D367" s="127">
        <f>'Varmepumpeberegning VP1'!X368</f>
        <v>9.0968473264176914</v>
      </c>
      <c r="E367" s="61">
        <v>1</v>
      </c>
      <c r="F367" s="61">
        <v>2</v>
      </c>
      <c r="G367" s="61">
        <v>1.8</v>
      </c>
    </row>
    <row r="368" spans="1:7" x14ac:dyDescent="0.25">
      <c r="C368" s="19"/>
    </row>
    <row r="369" spans="3:3" x14ac:dyDescent="0.25">
      <c r="C369" s="20">
        <f>SUM(C3:C367)</f>
        <v>0</v>
      </c>
    </row>
    <row r="370" spans="3:3" x14ac:dyDescent="0.25">
      <c r="C370">
        <f>C369*24</f>
        <v>0</v>
      </c>
    </row>
  </sheetData>
  <mergeCells count="1">
    <mergeCell ref="A1:G1"/>
  </mergeCell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6B9C3-7937-46E5-AB4B-CA1F2D2208D4}">
  <sheetPr codeName="Ark9">
    <tabColor theme="8" tint="0.39997558519241921"/>
  </sheetPr>
  <dimension ref="A1:H7"/>
  <sheetViews>
    <sheetView workbookViewId="0">
      <selection activeCell="C14" sqref="C14"/>
    </sheetView>
  </sheetViews>
  <sheetFormatPr defaultRowHeight="15" x14ac:dyDescent="0.25"/>
  <cols>
    <col min="1" max="1" width="14.7109375" bestFit="1" customWidth="1"/>
    <col min="2" max="2" width="27.7109375" customWidth="1"/>
    <col min="3" max="3" width="20.42578125" bestFit="1" customWidth="1"/>
    <col min="4" max="4" width="18.28515625" customWidth="1"/>
    <col min="5" max="6" width="15.7109375" customWidth="1"/>
    <col min="7" max="7" width="14.7109375" customWidth="1"/>
  </cols>
  <sheetData>
    <row r="1" spans="1:8" x14ac:dyDescent="0.25">
      <c r="A1" s="300" t="s">
        <v>328</v>
      </c>
      <c r="B1" s="300" t="s">
        <v>329</v>
      </c>
      <c r="C1" s="300" t="s">
        <v>330</v>
      </c>
      <c r="D1" s="300" t="s">
        <v>331</v>
      </c>
      <c r="E1" s="300" t="s">
        <v>332</v>
      </c>
      <c r="F1" s="300" t="s">
        <v>333</v>
      </c>
      <c r="G1" s="300" t="s">
        <v>334</v>
      </c>
      <c r="H1" s="300" t="s">
        <v>122</v>
      </c>
    </row>
    <row r="2" spans="1:8" x14ac:dyDescent="0.25">
      <c r="A2">
        <v>1</v>
      </c>
      <c r="B2" t="s">
        <v>335</v>
      </c>
      <c r="C2" t="s">
        <v>336</v>
      </c>
      <c r="D2">
        <v>122</v>
      </c>
      <c r="E2">
        <v>20.58</v>
      </c>
      <c r="G2">
        <v>390</v>
      </c>
      <c r="H2">
        <f>G2+E2+D2</f>
        <v>532.57999999999993</v>
      </c>
    </row>
    <row r="3" spans="1:8" x14ac:dyDescent="0.25">
      <c r="A3">
        <v>1</v>
      </c>
      <c r="B3" t="s">
        <v>337</v>
      </c>
      <c r="C3" t="s">
        <v>338</v>
      </c>
      <c r="D3">
        <v>112.29</v>
      </c>
      <c r="E3">
        <v>32.851999999999997</v>
      </c>
      <c r="G3">
        <v>415</v>
      </c>
      <c r="H3">
        <f>G3+E3+D3</f>
        <v>560.14199999999994</v>
      </c>
    </row>
    <row r="4" spans="1:8" x14ac:dyDescent="0.25">
      <c r="A4">
        <v>1</v>
      </c>
      <c r="B4" t="s">
        <v>339</v>
      </c>
      <c r="C4" t="s">
        <v>340</v>
      </c>
      <c r="D4">
        <v>112</v>
      </c>
      <c r="E4">
        <v>57</v>
      </c>
      <c r="F4">
        <v>4</v>
      </c>
      <c r="G4">
        <v>450</v>
      </c>
      <c r="H4">
        <f>SUM(D4:G4)</f>
        <v>623</v>
      </c>
    </row>
    <row r="5" spans="1:8" x14ac:dyDescent="0.25">
      <c r="A5">
        <v>1</v>
      </c>
      <c r="B5" t="s">
        <v>341</v>
      </c>
      <c r="C5" t="s">
        <v>342</v>
      </c>
      <c r="D5">
        <v>112.2</v>
      </c>
      <c r="E5">
        <v>150</v>
      </c>
      <c r="F5">
        <v>4</v>
      </c>
      <c r="G5">
        <v>594</v>
      </c>
      <c r="H5">
        <f>SUM(D5:G5)</f>
        <v>860.2</v>
      </c>
    </row>
    <row r="6" spans="1:8" x14ac:dyDescent="0.25">
      <c r="A6">
        <v>1</v>
      </c>
      <c r="B6" t="s">
        <v>343</v>
      </c>
      <c r="C6" t="s">
        <v>344</v>
      </c>
      <c r="D6">
        <v>112.2</v>
      </c>
      <c r="E6">
        <v>173.5</v>
      </c>
      <c r="F6">
        <v>4</v>
      </c>
      <c r="G6">
        <v>550.4</v>
      </c>
      <c r="H6">
        <f>SUM(D6:G6)</f>
        <v>840.09999999999991</v>
      </c>
    </row>
    <row r="7" spans="1:8" x14ac:dyDescent="0.25">
      <c r="B7" t="s">
        <v>415</v>
      </c>
      <c r="D7">
        <v>22.6</v>
      </c>
      <c r="F7">
        <v>39</v>
      </c>
      <c r="G7">
        <v>77.3</v>
      </c>
      <c r="H7">
        <f>SUM(D7:G7)</f>
        <v>138.9</v>
      </c>
    </row>
  </sheetData>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B7AEB330F5AB5F43B244BD5EBF09EFCA" ma:contentTypeVersion="32" ma:contentTypeDescription="Opret et nyt dokument." ma:contentTypeScope="" ma:versionID="cc253e9e3474d4d80e27cdecf0cb7009">
  <xsd:schema xmlns:xsd="http://www.w3.org/2001/XMLSchema" xmlns:xs="http://www.w3.org/2001/XMLSchema" xmlns:p="http://schemas.microsoft.com/office/2006/metadata/properties" xmlns:ns2="fe121e20-e7f1-46f8-9cf0-3dcc1c9d6a71" xmlns:ns3="3cb11f44-5089-44be-a7dd-4fed73cd74f9" targetNamespace="http://schemas.microsoft.com/office/2006/metadata/properties" ma:root="true" ma:fieldsID="885cd499c0c6834674bccfbf2c06fd8f" ns2:_="" ns3:_="">
    <xsd:import namespace="fe121e20-e7f1-46f8-9cf0-3dcc1c9d6a71"/>
    <xsd:import namespace="3cb11f44-5089-44be-a7dd-4fed73cd74f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2:Datio" minOccurs="0"/>
                <xsd:element ref="ns2:oprettelsesdato" minOccurs="0"/>
                <xsd:element ref="ns2:Mappe_x0020_nr_x002e_" minOccurs="0"/>
                <xsd:element ref="ns2:MediaLengthInSeconds" minOccurs="0"/>
                <xsd:element ref="ns2:lcf76f155ced4ddcb4097134ff3c332f" minOccurs="0"/>
                <xsd:element ref="ns3:TaxCatchAll" minOccurs="0"/>
                <xsd:element ref="ns2:Note" minOccurs="0"/>
                <xsd:element ref="ns2:MediaServiceSearchProperties" minOccurs="0"/>
                <xsd:element ref="ns2:MediaServiceObjectDetectorVersions" minOccurs="0"/>
                <xsd:element ref="ns2:By" minOccurs="0"/>
                <xsd:element ref="ns2:_Flow_SignoffStatus" minOccurs="0"/>
                <xsd:element ref="ns2:_ApprovalAssignedTo" minOccurs="0"/>
                <xsd:element ref="ns2:_ApprovalRespondedBy" minOccurs="0"/>
                <xsd:element ref="ns2:_ApprovalSentBy" minOccurs="0"/>
                <xsd:element ref="ns2:_ApprovalStatus" minOccurs="0"/>
                <xsd:element ref="ns2:Delentreprise" minOccurs="0"/>
                <xsd:element ref="ns2:Dokumenttype"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e121e20-e7f1-46f8-9cf0-3dcc1c9d6a7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Datio" ma:index="20" nillable="true" ma:displayName="Dato" ma:format="DateTime" ma:internalName="Datio">
      <xsd:simpleType>
        <xsd:restriction base="dms:DateTime"/>
      </xsd:simpleType>
    </xsd:element>
    <xsd:element name="oprettelsesdato" ma:index="21" nillable="true" ma:displayName="oprettelsesdato" ma:format="DateTime" ma:internalName="oprettelsesdato">
      <xsd:simpleType>
        <xsd:restriction base="dms:DateTime"/>
      </xsd:simpleType>
    </xsd:element>
    <xsd:element name="Mappe_x0020_nr_x002e_" ma:index="22" nillable="true" ma:displayName="Mappe nr." ma:internalName="Mappe_x0020_nr_x002e_">
      <xsd:simpleType>
        <xsd:restriction base="dms:Number"/>
      </xsd:simpleType>
    </xsd:element>
    <xsd:element name="MediaLengthInSeconds" ma:index="23"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Billedmærker" ma:readOnly="false" ma:fieldId="{5cf76f15-5ced-4ddc-b409-7134ff3c332f}" ma:taxonomyMulti="true" ma:sspId="fd098e62-08d8-4b94-9d0e-c56b82300a5b" ma:termSetId="09814cd3-568e-fe90-9814-8d621ff8fb84" ma:anchorId="fba54fb3-c3e1-fe81-a776-ca4b69148c4d" ma:open="true" ma:isKeyword="false">
      <xsd:complexType>
        <xsd:sequence>
          <xsd:element ref="pc:Terms" minOccurs="0" maxOccurs="1"/>
        </xsd:sequence>
      </xsd:complexType>
    </xsd:element>
    <xsd:element name="Note" ma:index="27" nillable="true" ma:displayName="Note" ma:description="Evt. note til dokumentet&#10;(Flet oprettet af PalnEnergi)" ma:format="Dropdown" ma:internalName="Note">
      <xsd:simpleType>
        <xsd:restriction base="dms:Text">
          <xsd:maxLength value="255"/>
        </xsd:restriction>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MediaServiceObjectDetectorVersions" ma:index="29" nillable="true" ma:displayName="MediaServiceObjectDetectorVersions" ma:description="" ma:hidden="true" ma:indexed="true" ma:internalName="MediaServiceObjectDetectorVersions" ma:readOnly="true">
      <xsd:simpleType>
        <xsd:restriction base="dms:Text"/>
      </xsd:simpleType>
    </xsd:element>
    <xsd:element name="By" ma:index="30" nillable="true" ma:displayName="By" ma:description="Hvilken by" ma:format="Dropdown" ma:internalName="By">
      <xsd:simpleType>
        <xsd:restriction base="dms:Choice">
          <xsd:enumeration value="Helle1"/>
          <xsd:enumeration value="Helle2"/>
          <xsd:enumeration value="Helle3"/>
          <xsd:enumeration value="Alle"/>
        </xsd:restriction>
      </xsd:simpleType>
    </xsd:element>
    <xsd:element name="_Flow_SignoffStatus" ma:index="31" nillable="true" ma:displayName="Godkendelsesstatus" ma:internalName="_x0024_Resources_x003a_core_x002c_Signoff_Status">
      <xsd:simpleType>
        <xsd:restriction base="dms:Text">
          <xsd:maxLength value="255"/>
        </xsd:restriction>
      </xsd:simpleType>
    </xsd:element>
    <xsd:element name="_ApprovalAssignedTo" ma:index="32" nillable="true" ma:displayName="Godkendere" ma:list="UserInfo" ma:internalName="_ApprovalAssignedTo"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RespondedBy" ma:index="33" nillable="true" ma:displayName="Svar" ma:list="UserInfo" ma:internalName="_ApprovalRespondedBy"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entBy" ma:index="34" nillable="true" ma:displayName="Godkendelsesforfatter" ma:list="UserInfo" ma:internalName="_ApprovalSent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tatus" ma:index="35" nillable="true" ma:displayName="Godkendelsesstatus" ma:internalName="_ApprovalStatus" ma:readOnly="true">
      <xsd:simpleType>
        <xsd:restriction base="dms:Unknown"/>
      </xsd:simpleType>
    </xsd:element>
    <xsd:element name="Delentreprise" ma:index="36" nillable="true" ma:displayName="Delentreprise" ma:format="Dropdown" ma:internalName="Delentreprise">
      <xsd:simpleType>
        <xsd:restriction base="dms:Choice">
          <xsd:enumeration value="Varmepumpe"/>
          <xsd:enumeration value="Fjernvarmenet"/>
          <xsd:enumeration value="Lager"/>
        </xsd:restriction>
      </xsd:simpleType>
    </xsd:element>
    <xsd:element name="Dokumenttype" ma:index="37" nillable="true" ma:displayName="Dokumenttype" ma:format="Dropdown" ma:internalName="Dokumenttype">
      <xsd:simpleType>
        <xsd:restriction base="dms:Choice">
          <xsd:enumeration value="Udbudsmateriale"/>
          <xsd:enumeration value="Tilbud"/>
          <xsd:enumeration value="Kontrakt"/>
          <xsd:enumeration value="Møder og referater"/>
          <xsd:enumeration value="Valg 6"/>
        </xsd:restriction>
      </xsd:simpleType>
    </xsd:element>
    <xsd:element name="MediaServiceBillingMetadata" ma:index="3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cb11f44-5089-44be-a7dd-4fed73cd74f9" elementFormDefault="qualified">
    <xsd:import namespace="http://schemas.microsoft.com/office/2006/documentManagement/types"/>
    <xsd:import namespace="http://schemas.microsoft.com/office/infopath/2007/PartnerControls"/>
    <xsd:element name="SharedWithUsers" ma:index="10"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lt med detaljer" ma:internalName="SharedWithDetails" ma:readOnly="true">
      <xsd:simpleType>
        <xsd:restriction base="dms:Note">
          <xsd:maxLength value="255"/>
        </xsd:restriction>
      </xsd:simpleType>
    </xsd:element>
    <xsd:element name="TaxCatchAll" ma:index="26" nillable="true" ma:displayName="Taxonomy Catch All Column" ma:hidden="true" ma:list="{8de68d33-f25f-415c-9877-3568b0b6fe0e}" ma:internalName="TaxCatchAll" ma:showField="CatchAllData" ma:web="3cb11f44-5089-44be-a7dd-4fed73cd74f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Mappe_x0020_nr_x002e_ xmlns="fe121e20-e7f1-46f8-9cf0-3dcc1c9d6a71" xsi:nil="true"/>
    <Datio xmlns="fe121e20-e7f1-46f8-9cf0-3dcc1c9d6a71" xsi:nil="true"/>
    <oprettelsesdato xmlns="fe121e20-e7f1-46f8-9cf0-3dcc1c9d6a71" xsi:nil="true"/>
    <TaxCatchAll xmlns="3cb11f44-5089-44be-a7dd-4fed73cd74f9" xsi:nil="true"/>
    <Note xmlns="fe121e20-e7f1-46f8-9cf0-3dcc1c9d6a71" xsi:nil="true"/>
    <lcf76f155ced4ddcb4097134ff3c332f xmlns="fe121e20-e7f1-46f8-9cf0-3dcc1c9d6a71">
      <Terms xmlns="http://schemas.microsoft.com/office/infopath/2007/PartnerControls"/>
    </lcf76f155ced4ddcb4097134ff3c332f>
    <Delentreprise xmlns="fe121e20-e7f1-46f8-9cf0-3dcc1c9d6a71" xsi:nil="true"/>
    <Dokumenttype xmlns="fe121e20-e7f1-46f8-9cf0-3dcc1c9d6a71" xsi:nil="true"/>
    <_Flow_SignoffStatus xmlns="fe121e20-e7f1-46f8-9cf0-3dcc1c9d6a71" xsi:nil="true"/>
    <By xmlns="fe121e20-e7f1-46f8-9cf0-3dcc1c9d6a71" xsi:nil="true"/>
    <_ApprovalAssignedTo xmlns="fe121e20-e7f1-46f8-9cf0-3dcc1c9d6a71">
      <UserInfo>
        <DisplayName/>
        <AccountId xsi:nil="true"/>
        <AccountType/>
      </UserInfo>
    </_ApprovalAssignedTo>
    <_ApprovalStatus xmlns="fe121e20-e7f1-46f8-9cf0-3dcc1c9d6a71">0</_ApprovalStatus>
    <_ApprovalRespondedBy xmlns="fe121e20-e7f1-46f8-9cf0-3dcc1c9d6a71">
      <UserInfo>
        <DisplayName/>
        <AccountId xsi:nil="true"/>
        <AccountType/>
      </UserInfo>
    </_ApprovalRespondedBy>
    <_ApprovalSentBy xmlns="fe121e20-e7f1-46f8-9cf0-3dcc1c9d6a71">
      <UserInfo>
        <DisplayName/>
        <AccountId xsi:nil="true"/>
        <AccountType/>
      </UserInfo>
    </_ApprovalSentBy>
  </documentManagement>
</p:properties>
</file>

<file path=customXml/itemProps1.xml><?xml version="1.0" encoding="utf-8"?>
<ds:datastoreItem xmlns:ds="http://schemas.openxmlformats.org/officeDocument/2006/customXml" ds:itemID="{7B945666-9221-46C6-8B24-C75E22BED1EE}"/>
</file>

<file path=customXml/itemProps2.xml><?xml version="1.0" encoding="utf-8"?>
<ds:datastoreItem xmlns:ds="http://schemas.openxmlformats.org/officeDocument/2006/customXml" ds:itemID="{7C0EE760-1767-4ABF-829C-E75DFB76F848}">
  <ds:schemaRefs>
    <ds:schemaRef ds:uri="http://schemas.microsoft.com/sharepoint/v3/contenttype/forms"/>
  </ds:schemaRefs>
</ds:datastoreItem>
</file>

<file path=customXml/itemProps3.xml><?xml version="1.0" encoding="utf-8"?>
<ds:datastoreItem xmlns:ds="http://schemas.openxmlformats.org/officeDocument/2006/customXml" ds:itemID="{2D6A6F37-C780-4365-88D3-F9ACEAF50CB2}">
  <ds:schemaRefs>
    <ds:schemaRef ds:uri="http://schemas.microsoft.com/office/2006/metadata/properties"/>
    <ds:schemaRef ds:uri="http://schemas.microsoft.com/office/infopath/2007/PartnerControls"/>
    <ds:schemaRef ds:uri="fe121e20-e7f1-46f8-9cf0-3dcc1c9d6a71"/>
    <ds:schemaRef ds:uri="3cb11f44-5089-44be-a7dd-4fed73cd74f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6</vt:i4>
      </vt:variant>
    </vt:vector>
  </HeadingPairs>
  <TitlesOfParts>
    <vt:vector size="17" baseType="lpstr">
      <vt:lpstr>TJEK LISTE</vt:lpstr>
      <vt:lpstr>Tilbudsliste (benyttes ikke)</vt:lpstr>
      <vt:lpstr>Driftsdata LUFT VP</vt:lpstr>
      <vt:lpstr>Ark1</vt:lpstr>
      <vt:lpstr>Systemberegning VP1</vt:lpstr>
      <vt:lpstr>Varmebehov (benyttes ik)</vt:lpstr>
      <vt:lpstr>Varmepumpeberegning VP1</vt:lpstr>
      <vt:lpstr>Potentiel produktion</vt:lpstr>
      <vt:lpstr>Netselskaber</vt:lpstr>
      <vt:lpstr>Konstanter</vt:lpstr>
      <vt:lpstr>Bodsudregning</vt:lpstr>
      <vt:lpstr>Elfaktor</vt:lpstr>
      <vt:lpstr>Kelvin</vt:lpstr>
      <vt:lpstr>'Driftsdata LUFT VP'!Print_Area</vt:lpstr>
      <vt:lpstr>'Tilbudsliste (benyttes ikke)'!Print_Area</vt:lpstr>
      <vt:lpstr>Størrelsesfaktor</vt:lpstr>
      <vt:lpstr>Varmebehovsfaktor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Peter Hybertz Jarnved</dc:creator>
  <cp:keywords/>
  <dc:description/>
  <cp:lastModifiedBy>Niels van der Veer</cp:lastModifiedBy>
  <cp:revision/>
  <dcterms:created xsi:type="dcterms:W3CDTF">2021-11-11T12:28:00Z</dcterms:created>
  <dcterms:modified xsi:type="dcterms:W3CDTF">2026-02-23T09:32:52Z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0x010100B7AEB330F5AB5F43B244BD5EBF09EFCA</vt:lpwstr>
  </property>
  <property fmtid="{D5CDD505-2E9C-101B-9397-08002B2CF9AE}" pid="3" name="MediaServiceImageTags">
    <vt:lpwstr/>
  </property>
</Properties>
</file>