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365almere.sharepoint.com/sites/FC-Aanbesteding-Thema/Gedeelde documenten/Registratie/2025/01. Jan/IA2025.01.08 - Reinigen. inspecteren en correctief onderhoud daken/Projectdossier/02 Nota van Inlichtingen/1e NvI/"/>
    </mc:Choice>
  </mc:AlternateContent>
  <xr:revisionPtr revIDLastSave="4252" documentId="8_{BF572064-0FEE-48E7-9805-84D50EEB5B7F}" xr6:coauthVersionLast="47" xr6:coauthVersionMax="47" xr10:uidLastSave="{03EB496A-B9D9-495F-992E-134DDF8E81B0}"/>
  <bookViews>
    <workbookView xWindow="-28920" yWindow="-120" windowWidth="29040" windowHeight="15720" activeTab="2" xr2:uid="{8B7CE580-6B8C-47EF-84C2-921834331992}"/>
  </bookViews>
  <sheets>
    <sheet name="Invulinstructie" sheetId="3" r:id="rId1"/>
    <sheet name="Inschrijfstaat" sheetId="4" r:id="rId2"/>
    <sheet name="Invulblad Prijzen" sheetId="2" r:id="rId3"/>
    <sheet name="Perceel 1" sheetId="5" r:id="rId4"/>
    <sheet name="Perceel 2" sheetId="6" r:id="rId5"/>
    <sheet name="Perceel 3" sheetId="7" r:id="rId6"/>
    <sheet name="Diensten op afroep" sheetId="8" r:id="rId7"/>
  </sheets>
  <definedNames>
    <definedName name="_xlnm._FilterDatabase" localSheetId="3" hidden="1">'Perceel 1'!$A$1:$AU$375</definedName>
    <definedName name="_xlnm._FilterDatabase" localSheetId="4" hidden="1">'Perceel 2'!$A$1:$AT$375</definedName>
    <definedName name="_xlnm._FilterDatabase" localSheetId="5" hidden="1">'Perceel 3'!$A$1:$AT$375</definedName>
    <definedName name="opervlak_dak_1131" localSheetId="3">'Perceel 1'!$X$119</definedName>
    <definedName name="opervlak_dak_1131" localSheetId="4">'Perceel 2'!$X$119</definedName>
    <definedName name="opervlak_dak_1131" localSheetId="5">'Perceel 3'!$X$119</definedName>
    <definedName name="oppervlak_dak_0006" localSheetId="3">'Perceel 1'!$X$329</definedName>
    <definedName name="oppervlak_dak_0006" localSheetId="4">'Perceel 2'!$X$329</definedName>
    <definedName name="oppervlak_dak_0006" localSheetId="5">'Perceel 3'!$X$329</definedName>
    <definedName name="oppervlak_dak_0008" localSheetId="3">'Perceel 1'!$X$332</definedName>
    <definedName name="oppervlak_dak_0008" localSheetId="4">'Perceel 2'!$X$332</definedName>
    <definedName name="oppervlak_dak_0008" localSheetId="5">'Perceel 3'!$X$332</definedName>
    <definedName name="oppervlak_dak_0012" localSheetId="3">'Perceel 1'!$X$337</definedName>
    <definedName name="oppervlak_dak_0012" localSheetId="4">'Perceel 2'!$X$337</definedName>
    <definedName name="oppervlak_dak_0012" localSheetId="5">'Perceel 3'!$X$337</definedName>
    <definedName name="oppervlak_dak_0016" localSheetId="3">'Perceel 1'!$X$330</definedName>
    <definedName name="oppervlak_dak_0016" localSheetId="4">'Perceel 2'!$X$330</definedName>
    <definedName name="oppervlak_dak_0016" localSheetId="5">'Perceel 3'!$X$330</definedName>
    <definedName name="oppervlak_dak_0018" localSheetId="3">'Perceel 1'!$X$333</definedName>
    <definedName name="oppervlak_dak_0018" localSheetId="4">'Perceel 2'!$X$333</definedName>
    <definedName name="oppervlak_dak_0018" localSheetId="5">'Perceel 3'!$X$333</definedName>
    <definedName name="oppervlak_dak_0019" localSheetId="3">'Perceel 1'!$X$336</definedName>
    <definedName name="oppervlak_dak_0019" localSheetId="4">'Perceel 2'!$X$336</definedName>
    <definedName name="oppervlak_dak_0019" localSheetId="5">'Perceel 3'!$X$336</definedName>
    <definedName name="oppervlak_dak_0510I" localSheetId="3">'Perceel 1'!$X$15</definedName>
    <definedName name="oppervlak_dak_0510I" localSheetId="4">'Perceel 2'!$X$15</definedName>
    <definedName name="oppervlak_dak_0510I" localSheetId="5">'Perceel 3'!$X$15</definedName>
    <definedName name="oppervlak_dak_0510II" localSheetId="3">'Perceel 1'!$X$18</definedName>
    <definedName name="oppervlak_dak_0510II" localSheetId="4">'Perceel 2'!$X$18</definedName>
    <definedName name="oppervlak_dak_0510II" localSheetId="5">'Perceel 3'!$X$18</definedName>
    <definedName name="oppervlak_dak_1123" localSheetId="3">'Perceel 1'!$X$143</definedName>
    <definedName name="oppervlak_dak_1123" localSheetId="4">'Perceel 2'!$X$143</definedName>
    <definedName name="oppervlak_dak_1123" localSheetId="5">'Perceel 3'!$X$143</definedName>
    <definedName name="oppervlak_dak_1126" localSheetId="3">'Perceel 1'!$X$85</definedName>
    <definedName name="oppervlak_dak_1126" localSheetId="4">'Perceel 2'!$X$85</definedName>
    <definedName name="oppervlak_dak_1126" localSheetId="5">'Perceel 3'!$X$85</definedName>
    <definedName name="oppervlak_dak_1130" localSheetId="3">'Perceel 1'!$X$42</definedName>
    <definedName name="oppervlak_dak_1130" localSheetId="4">'Perceel 2'!$X$42</definedName>
    <definedName name="oppervlak_dak_1130" localSheetId="5">'Perceel 3'!$X$42</definedName>
    <definedName name="oppervlak_dak_1134" localSheetId="3">'Perceel 1'!$X$341</definedName>
    <definedName name="oppervlak_dak_1134" localSheetId="4">'Perceel 2'!$X$341</definedName>
    <definedName name="oppervlak_dak_1134" localSheetId="5">'Perceel 3'!$X$341</definedName>
    <definedName name="oppervlak_dak_1135" localSheetId="3">'Perceel 1'!$X$138</definedName>
    <definedName name="oppervlak_dak_1135" localSheetId="4">'Perceel 2'!$X$138</definedName>
    <definedName name="oppervlak_dak_1135" localSheetId="5">'Perceel 3'!$X$138</definedName>
    <definedName name="oppervlak_dak_1142" localSheetId="3">'Perceel 1'!$X$31</definedName>
    <definedName name="oppervlak_dak_1142" localSheetId="4">'Perceel 2'!$X$31</definedName>
    <definedName name="oppervlak_dak_1142" localSheetId="5">'Perceel 3'!$X$31</definedName>
    <definedName name="oppervlak_dak_1143" localSheetId="3">'Perceel 1'!$X$190</definedName>
    <definedName name="oppervlak_dak_1143" localSheetId="4">'Perceel 2'!$X$190</definedName>
    <definedName name="oppervlak_dak_1143" localSheetId="5">'Perceel 3'!$X$190</definedName>
    <definedName name="oppervlak_dak_1146" localSheetId="3">'Perceel 1'!$X$89</definedName>
    <definedName name="oppervlak_dak_1146" localSheetId="4">'Perceel 2'!$X$89</definedName>
    <definedName name="oppervlak_dak_1146" localSheetId="5">'Perceel 3'!$X$89</definedName>
    <definedName name="oppervlak_dak_1148" localSheetId="3">'Perceel 1'!$X$264</definedName>
    <definedName name="oppervlak_dak_1148" localSheetId="4">'Perceel 2'!$X$264</definedName>
    <definedName name="oppervlak_dak_1148" localSheetId="5">'Perceel 3'!$X$264</definedName>
    <definedName name="oppervlak_dak_1174" localSheetId="3">'Perceel 1'!$X$207</definedName>
    <definedName name="oppervlak_dak_1174" localSheetId="4">'Perceel 2'!$X$207</definedName>
    <definedName name="oppervlak_dak_1174" localSheetId="5">'Perceel 3'!$X$207</definedName>
    <definedName name="Oppervlak_dak_1176" localSheetId="3">'Perceel 1'!$X$224</definedName>
    <definedName name="Oppervlak_dak_1176" localSheetId="4">'Perceel 2'!$X$224</definedName>
    <definedName name="Oppervlak_dak_1176" localSheetId="5">'Perceel 3'!$X$224</definedName>
    <definedName name="oppervlak_dak_1177" localSheetId="3">'Perceel 1'!$X$256</definedName>
    <definedName name="oppervlak_dak_1177" localSheetId="4">'Perceel 2'!$X$256</definedName>
    <definedName name="oppervlak_dak_1177" localSheetId="5">'Perceel 3'!$X$256</definedName>
    <definedName name="oppervlak_dak_1178" localSheetId="3">'Perceel 1'!$X$220</definedName>
    <definedName name="oppervlak_dak_1178" localSheetId="4">'Perceel 2'!$X$220</definedName>
    <definedName name="oppervlak_dak_1178" localSheetId="5">'Perceel 3'!$X$220</definedName>
    <definedName name="oppervlak_dak_1184" localSheetId="3">'Perceel 1'!$X$76</definedName>
    <definedName name="oppervlak_dak_1184" localSheetId="4">'Perceel 2'!$X$76</definedName>
    <definedName name="oppervlak_dak_1184" localSheetId="5">'Perceel 3'!$X$76</definedName>
    <definedName name="oppervlak_dak_1190" localSheetId="3">'Perceel 1'!$X$128</definedName>
    <definedName name="oppervlak_dak_1190" localSheetId="4">'Perceel 2'!$X$128</definedName>
    <definedName name="oppervlak_dak_1190" localSheetId="5">'Perceel 3'!$X$128</definedName>
    <definedName name="oppervlak_dak_1197I" localSheetId="3">'Perceel 1'!$X$150</definedName>
    <definedName name="oppervlak_dak_1197I" localSheetId="4">'Perceel 2'!$X$150</definedName>
    <definedName name="oppervlak_dak_1197I" localSheetId="5">'Perceel 3'!$X$150</definedName>
    <definedName name="oppervlak_dak_1197II" localSheetId="3">'Perceel 1'!$X$148</definedName>
    <definedName name="oppervlak_dak_1197II" localSheetId="4">'Perceel 2'!$X$148</definedName>
    <definedName name="oppervlak_dak_1197II" localSheetId="5">'Perceel 3'!$X$148</definedName>
    <definedName name="oppervlak_dak_1199" localSheetId="3">'Perceel 1'!$X$248</definedName>
    <definedName name="oppervlak_dak_1199" localSheetId="4">'Perceel 2'!$X$248</definedName>
    <definedName name="oppervlak_dak_1199" localSheetId="5">'Perceel 3'!$X$248</definedName>
    <definedName name="oppervlak_dak_1223" localSheetId="3">'Perceel 1'!$X$144</definedName>
    <definedName name="oppervlak_dak_1223" localSheetId="4">'Perceel 2'!$X$144</definedName>
    <definedName name="oppervlak_dak_1223" localSheetId="5">'Perceel 3'!$X$144</definedName>
    <definedName name="oppervlak_dak_1242" localSheetId="3">'Perceel 1'!$X$83</definedName>
    <definedName name="oppervlak_dak_1242" localSheetId="4">'Perceel 2'!$X$83</definedName>
    <definedName name="oppervlak_dak_1242" localSheetId="5">'Perceel 3'!$X$83</definedName>
    <definedName name="oppervlak_dak_1244" localSheetId="3">'Perceel 1'!$X$40</definedName>
    <definedName name="oppervlak_dak_1244" localSheetId="4">'Perceel 2'!$X$40</definedName>
    <definedName name="oppervlak_dak_1244" localSheetId="5">'Perceel 3'!$X$40</definedName>
    <definedName name="oppervlak_dak_1245" localSheetId="3">'Perceel 1'!$X$120</definedName>
    <definedName name="oppervlak_dak_1245" localSheetId="4">'Perceel 2'!$X$120</definedName>
    <definedName name="oppervlak_dak_1245" localSheetId="5">'Perceel 3'!$X$120</definedName>
    <definedName name="oppervlak_dak_1246" localSheetId="3">'Perceel 1'!$X$340</definedName>
    <definedName name="oppervlak_dak_1246" localSheetId="4">'Perceel 2'!$X$340</definedName>
    <definedName name="oppervlak_dak_1246" localSheetId="5">'Perceel 3'!$X$340</definedName>
    <definedName name="oppervlak_dak_1249" localSheetId="3">'Perceel 1'!$X$137</definedName>
    <definedName name="oppervlak_dak_1249" localSheetId="4">'Perceel 2'!$X$137</definedName>
    <definedName name="oppervlak_dak_1249" localSheetId="5">'Perceel 3'!$X$137</definedName>
    <definedName name="oppervlak_dak_1250" localSheetId="3">'Perceel 1'!$X$192</definedName>
    <definedName name="oppervlak_dak_1250" localSheetId="4">'Perceel 2'!$X$192</definedName>
    <definedName name="oppervlak_dak_1250" localSheetId="5">'Perceel 3'!$X$192</definedName>
    <definedName name="oppervlak_dak_1252" localSheetId="3">'Perceel 1'!$X$94</definedName>
    <definedName name="oppervlak_dak_1252" localSheetId="4">'Perceel 2'!$X$94</definedName>
    <definedName name="oppervlak_dak_1252" localSheetId="5">'Perceel 3'!$X$94</definedName>
    <definedName name="oppervlak_dak_1280" localSheetId="3">'Perceel 1'!$X$208</definedName>
    <definedName name="oppervlak_dak_1280" localSheetId="4">'Perceel 2'!$X$208</definedName>
    <definedName name="oppervlak_dak_1280" localSheetId="5">'Perceel 3'!$X$208</definedName>
    <definedName name="oppervlak_dak_1281" localSheetId="3">'Perceel 1'!$X$223</definedName>
    <definedName name="oppervlak_dak_1281" localSheetId="4">'Perceel 2'!$X$223</definedName>
    <definedName name="oppervlak_dak_1281" localSheetId="5">'Perceel 3'!$X$223</definedName>
    <definedName name="oppervlak_dak_1282" localSheetId="3">'Perceel 1'!$X$254</definedName>
    <definedName name="oppervlak_dak_1282" localSheetId="4">'Perceel 2'!$X$254</definedName>
    <definedName name="oppervlak_dak_1282" localSheetId="5">'Perceel 3'!$X$254</definedName>
    <definedName name="oppervlak_dak_1284" localSheetId="3">'Perceel 1'!$X$219</definedName>
    <definedName name="oppervlak_dak_1284" localSheetId="4">'Perceel 2'!$X$219</definedName>
    <definedName name="oppervlak_dak_1284" localSheetId="5">'Perceel 3'!$X$219</definedName>
    <definedName name="oppervlak_dak_1288" localSheetId="3">'Perceel 1'!$X$75</definedName>
    <definedName name="oppervlak_dak_1288" localSheetId="4">'Perceel 2'!$X$75</definedName>
    <definedName name="oppervlak_dak_1288" localSheetId="5">'Perceel 3'!$X$75</definedName>
    <definedName name="oppervlak_dak_1292" localSheetId="3">'Perceel 1'!$X$249</definedName>
    <definedName name="oppervlak_dak_1292" localSheetId="4">'Perceel 2'!$X$249</definedName>
    <definedName name="oppervlak_dak_1292" localSheetId="5">'Perceel 3'!$X$249</definedName>
    <definedName name="oppervlak_dak_1390" localSheetId="3">'Perceel 1'!$X$129</definedName>
    <definedName name="oppervlak_dak_1390" localSheetId="4">'Perceel 2'!$X$129</definedName>
    <definedName name="oppervlak_dak_1390" localSheetId="5">'Perceel 3'!$X$129</definedName>
    <definedName name="oppervlak_dak_1396" localSheetId="3">'Perceel 1'!$X$32</definedName>
    <definedName name="oppervlak_dak_1396" localSheetId="4">'Perceel 2'!$X$32</definedName>
    <definedName name="oppervlak_dak_1396" localSheetId="5">'Perceel 3'!$X$32</definedName>
    <definedName name="oppervlak_dak_1397" localSheetId="3">'Perceel 1'!$X$149</definedName>
    <definedName name="oppervlak_dak_1397" localSheetId="4">'Perceel 2'!$X$149</definedName>
    <definedName name="oppervlak_dak_1397" localSheetId="5">'Perceel 3'!$X$149</definedName>
    <definedName name="oppervlak_dak_1527" localSheetId="3">'Perceel 1'!$X$88</definedName>
    <definedName name="oppervlak_dak_1527" localSheetId="4">'Perceel 2'!$X$88</definedName>
    <definedName name="oppervlak_dak_1527" localSheetId="5">'Perceel 3'!$X$88</definedName>
    <definedName name="oppervlak_dak_1756" localSheetId="3">'Perceel 1'!$X$362</definedName>
    <definedName name="oppervlak_dak_1756" localSheetId="4">'Perceel 2'!$X$362</definedName>
    <definedName name="oppervlak_dak_1756" localSheetId="5">'Perceel 3'!$X$362</definedName>
    <definedName name="oppervlak_dak_2426" localSheetId="3">'Perceel 1'!$X$84</definedName>
    <definedName name="oppervlak_dak_2426" localSheetId="4">'Perceel 2'!$X$84</definedName>
    <definedName name="oppervlak_dak_2426" localSheetId="5">'Perceel 3'!$X$84</definedName>
    <definedName name="Oppervlak_dak_2443" localSheetId="3">'Perceel 1'!$X$191</definedName>
    <definedName name="Oppervlak_dak_2443" localSheetId="4">'Perceel 2'!$X$191</definedName>
    <definedName name="Oppervlak_dak_2443" localSheetId="5">'Perceel 3'!$X$191</definedName>
    <definedName name="oppervlak_dak_2444" localSheetId="3">'Perceel 1'!$X$255</definedName>
    <definedName name="oppervlak_dak_2444" localSheetId="4">'Perceel 2'!$X$255</definedName>
    <definedName name="oppervlak_dak_2444" localSheetId="5">'Perceel 3'!$X$255</definedName>
    <definedName name="oppervlak_dak_2450" localSheetId="3">'Perceel 1'!$X$87</definedName>
    <definedName name="oppervlak_dak_2450" localSheetId="4">'Perceel 2'!$X$87</definedName>
    <definedName name="oppervlak_dak_2450" localSheetId="5">'Perceel 3'!$X$87</definedName>
    <definedName name="oppervlak_dak_2452I" localSheetId="3">'Perceel 1'!$X$93</definedName>
    <definedName name="oppervlak_dak_2452I" localSheetId="4">'Perceel 2'!$X$93</definedName>
    <definedName name="oppervlak_dak_2452I" localSheetId="5">'Perceel 3'!$X$93</definedName>
    <definedName name="oppervlak_dak_2459" localSheetId="3">'Perceel 1'!#REF!</definedName>
    <definedName name="oppervlak_dak_2459" localSheetId="4">'Perceel 2'!#REF!</definedName>
    <definedName name="oppervlak_dak_2459" localSheetId="5">'Perceel 3'!#REF!</definedName>
    <definedName name="Oppervlakte_0510" localSheetId="3">'Perceel 1'!$X$17</definedName>
    <definedName name="Oppervlakte_0510" localSheetId="4">'Perceel 2'!$X$17</definedName>
    <definedName name="Oppervlakte_0510" localSheetId="5">'Perceel 3'!$X$17</definedName>
    <definedName name="Oppervlakte_0510">#REF!</definedName>
    <definedName name="P1_Boldraadroosters__tegel_bladvangers_plaatsen_t.p.v._hwa">'Invulblad Prijzen'!$B$55</definedName>
    <definedName name="P1_Dakbedekking_deels_overlagen_kleiner_dan_5_m2">'Invulblad Prijzen'!$B$44</definedName>
    <definedName name="P1_Dakbedekking_deels_overlagen_tussen_10_20_m2">'Invulblad Prijzen'!$B$46</definedName>
    <definedName name="P1_Dakbedekking_deels_overlagen_tussen_5_10_m2">'Invulblad Prijzen'!$B$45</definedName>
    <definedName name="P1_Doorvoeren_tot_Ø_150_mm_opnieuw_waterdicht_inwerken">'Invulblad Prijzen'!$B$51</definedName>
    <definedName name="P1_Doorvoeren_tot_Ø_300_mm_opnieuw_waterdicht_inwerken">'Invulblad Prijzen'!$B$52</definedName>
    <definedName name="P1_Doorvoeren_tot_Ø_500_mm_opnieuw_waterdicht_inwerken">'Invulblad Prijzen'!$B$53</definedName>
    <definedName name="P1_Inspecteren_daken_en_goten_1x_per_jaar_gelijktijdig_met_reiniging_inclusief_inspectierapport_en_een_managementrapport">'Invulblad Prijzen'!$B$27</definedName>
    <definedName name="P1_keuren_dakveiligheid_per_man_uur">'Invulblad Prijzen'!$B$30</definedName>
    <definedName name="P1_Keuren_van_alle_aanwezige_dakveiligheidsvoorzieningen_zoals_onder_andere_ankers_veiligheidslijn_kabel__losse_ladders_t.b.v._toegangdaken_visueeel_controle_ladderopstelplaats__kooiladders__vaste_trappetjes_en_bevestigingen_inclusief_kleine_gebreken_verh">'Invulblad Prijzen'!$B$30</definedName>
    <definedName name="P1_Koppelstukjes_van_de_daktrimmen_voorzien_van_een_kitvoeg">'Invulblad Prijzen'!$B$54</definedName>
    <definedName name="P1_Lichtkoepels_demonteren_en_opslaan_op_het_dak_nieuwe_foamband_aanbrengen_opgeslagen_lichtkoepels_terug_monteren_tot_max_dagm._1.200_x_1.200_mm">'Invulblad Prijzen'!$B$57</definedName>
    <definedName name="P1_Loodwerk_van_opbouwtjes_waarnodig_inkorten_en_netjes_aankloppen">'Invulblad Prijzen'!$B$59</definedName>
    <definedName name="P1_Losse_voetlood_weer_vastzetten_met_loodproppen_en_opnieuw_afvoegen">'Invulblad Prijzen'!$B$58</definedName>
    <definedName name="P1_Meer_prijs_anti_mosbehandeling">'Invulblad Prijzen'!$B$24</definedName>
    <definedName name="P1_minder_prijs_reinigen_daken_bij_aanwezigheid_vaste_dakveiligheidsvoorzieningen">'Invulblad Prijzen'!$B$11</definedName>
    <definedName name="P1_Minder_prijs_reinigen_daken_en_goten_bij_aanwezigheid_na_aanbrengen_van_vaste_dakveiligheidsvoorzieningen__invullen_met_een___er_voor">'Invulblad Prijzen'!$B$11</definedName>
    <definedName name="P1_Nieuwe_randstroken_langs_dakranden_aanbrengen">'Invulblad Prijzen'!$B$48</definedName>
    <definedName name="P1_Nieuwe_randstroken_opgaand_werk_aanbrengen">'Invulblad Prijzen'!$B$47</definedName>
    <definedName name="P1_Nieuwe_randstroken_rond_unit_aanbrengen_tot_1.000_x_1.000_mm">'Invulblad Prijzen'!$B$50</definedName>
    <definedName name="P1_Nieuwe_randstroken_rond_unit_aanbrengen_tot_500_x_500_mm">'Invulblad Prijzen'!$B$49</definedName>
    <definedName name="P1_Onderzoek_calamiteit_zoals_bijvoorbeeld_lekkage_za__zo_en_feestdagen">'Invulblad Prijzen'!$B$39</definedName>
    <definedName name="P1_Onderzoek_lekkage_ma_t_m_vr_tussen_7_en_18_uur">'Invulblad Prijzen'!$B$35</definedName>
    <definedName name="P1_Onderzoek_lekkage_ma_t_m_vr_voor_7_uur_en_na_18_uur">'Invulblad Prijzen'!$B$37</definedName>
    <definedName name="P1_onderzoek_lekkage_ma_vr_tussen_7_18_uur">'Invulblad Prijzen'!$B$35</definedName>
    <definedName name="P1_onderzoek_lekkage_ma_vr_voor_7_na_18_uur">'Invulblad Prijzen'!$B$37</definedName>
    <definedName name="P1_Onderzoek_lekkage_za__zo_en_feestdagen">'Invulblad Prijzen'!$B$39</definedName>
    <definedName name="P1_onderzoek_lekkage_za_zo_feestdagen">'Invulblad Prijzen'!$B$39</definedName>
    <definedName name="P1_Opnieuw__inwerken_hemelwaterafvoer___noodoverloop___spuwer__bitumen">'Invulblad Prijzen'!$B$42</definedName>
    <definedName name="P1_Opnieuw_inwerken_hemelwaterafvoer_noodoverloop_spuwer_bitumen">'Invulblad Prijzen'!$B$42</definedName>
    <definedName name="P1_Opnieuw_inwerken_hemelwaterafvoer_noodoverloop_spuwer_kunststof">'Invulblad Prijzen'!$B$43</definedName>
    <definedName name="P1_PVC_steekstukken_demonteren_voorzien_van_kit_en_terug_monteren">'Invulblad Prijzen'!$B$62</definedName>
    <definedName name="P1_Reinigen_daken_incl._extra_maatregelen_veilig_werken_volgens_VCA__eventuele_vergunningen_leges___voorrijkosten__adminstratieve_kosten__fotorapportage_en_kleine_reparaties_¹">'Invulblad Prijzen'!$B$6</definedName>
    <definedName name="P1_reinigen_daken_met_vaste_dakveiligheid">'Invulblad Prijzen'!$B$13</definedName>
    <definedName name="P1_Reinigen_goten_incl._extra_maatregelen_veilig_werken_volgens_VCA__eventuele_vergunningen_leges___voorrijkosten__adminstratieve_kosten__fotorapportage_en_kleine_reparaties_¹">'Invulblad Prijzen'!$B$8</definedName>
    <definedName name="P1_reinigen_goten_met_vaste_dakveiligheid">'Invulblad Prijzen'!$B$15</definedName>
    <definedName name="P1_Reinigen_Lichtkoepel_180x180">'Invulblad Prijzen'!$B$20</definedName>
    <definedName name="P1_Reinigen_Lichtkoepel_50X50">'Invulblad Prijzen'!$B$18</definedName>
    <definedName name="P1_Reinigen_Lichtkoepel_60x200">'Invulblad Prijzen'!$B$19</definedName>
    <definedName name="P1_Reinigen_Lichtstraten_groter_dan_180x180">'Invulblad Prijzen'!$B$21</definedName>
    <definedName name="P1_Vervangen_dakveiligheidsanker_voor_zelfde_merk__o.a._Latchways_Daksafe_incl._inwerken_dakbedekking">'Invulblad Prijzen'!$B$63</definedName>
    <definedName name="P1_Vervangen_dakveiligheidslijn_voor_zelfde_merk_o.a._Latchways_Daksafe">'Invulblad Prijzen'!$B$64</definedName>
    <definedName name="P1_Vervangen_van_het_voetlood_t.p.v._metselwerk_alleen_met_toestemming_van_opdrachtgever">'Invulblad Prijzen'!$B$60</definedName>
    <definedName name="P1_Vervangen_van_het_voetlood_t.p.v._metselwerk_met_loodvervanger_alleen_met_toestemming_van_opdrachtgever">'Invulblad Prijzen'!$B$61</definedName>
    <definedName name="P1_Voetlood_nalopen__scheurtjes_herstellen_met_Batu_band">'Invulblad Prijzen'!$B$56</definedName>
    <definedName name="P1_voorrijkosten_per_melding">'Invulblad Prijzen'!$B$33</definedName>
    <definedName name="P2_Boldraadroosters__tegel_bladvangers_plaatsen_t.p.v._hwa">'Invulblad Prijzen'!$E$55</definedName>
    <definedName name="P2_Dakbedekking_deels_overlagen_kleiner_dan_5_m2">'Invulblad Prijzen'!$E$44</definedName>
    <definedName name="P2_Dakbedekking_deels_overlagen_tussen_10_20_m2">'Invulblad Prijzen'!$E$46</definedName>
    <definedName name="P2_Dakbedekking_deels_overlagen_tussen_5_10_m2">'Invulblad Prijzen'!$E$45</definedName>
    <definedName name="P2_Doorvoeren_tot_Ø_150_mm_opnieuw_waterdicht_inwerken">'Invulblad Prijzen'!$E$51</definedName>
    <definedName name="P2_Doorvoeren_tot_Ø_300_mm_opnieuw_waterdicht_inwerken">'Invulblad Prijzen'!$E$52</definedName>
    <definedName name="P2_Doorvoeren_tot_Ø_500_mm_opnieuw_waterdicht_inwerken">'Invulblad Prijzen'!$E$53</definedName>
    <definedName name="P2_Inspecteren_daken_en_goten_1x_per_jaar_gelijktijdig_met_reiniging_inclusief_inspectierapport_en_een_managementrapport">'Invulblad Prijzen'!$E$27</definedName>
    <definedName name="P2_keuren_dakveiligheid_per_man_uur">'Invulblad Prijzen'!$E$30</definedName>
    <definedName name="P2_Koppelstukjes_van_de_daktrimmen_voorzien_van_een_kitvoeg">'Invulblad Prijzen'!$E$54</definedName>
    <definedName name="P2_Lichtkoepels_demonteren_en_opslaan_op_het_dak_nieuwe_foamband_aanbrengen_opgeslagen_lichtkoepels_terug_monteren_tot_max_dagm._1.200_x_1.200_mm">'Invulblad Prijzen'!$E$57</definedName>
    <definedName name="P2_Loodwerk_van_opbouwtjes_waarnodig_inkorten_en_netjes_aankloppen">'Invulblad Prijzen'!$E$59</definedName>
    <definedName name="P2_Losse_voetlood_weer_vastzetten_met_loodproppen_en_opnieuw_afvoegen">'Invulblad Prijzen'!$E$58</definedName>
    <definedName name="P2_Meer_prijs_anti_mosbehandeling">'Invulblad Prijzen'!$E$24</definedName>
    <definedName name="P2_minder_prijs_reinigen_daken_bij_aanwezigheid_vaste_dakveiligheidsvoorzieningen">'Invulblad Prijzen'!$E$11</definedName>
    <definedName name="P2_Nieuwe_randstroken_langs_dakranden_aanbrengen">'Invulblad Prijzen'!$E$48</definedName>
    <definedName name="P2_Nieuwe_randstroken_opgaand_werk_aanbrengen">'Invulblad Prijzen'!$E$47</definedName>
    <definedName name="P2_Nieuwe_randstroken_rond_unit_aanbrengen_tot_1.000_x_1.000_mm">'Invulblad Prijzen'!$E$50</definedName>
    <definedName name="P2_Nieuwe_randstroken_rond_unit_aanbrengen_tot_500_x_500_mm">'Invulblad Prijzen'!$E$49</definedName>
    <definedName name="P2_onderzoek_lekkage_ma_vr_tussen_7_18_uur">'Invulblad Prijzen'!$E$35</definedName>
    <definedName name="P2_onderzoek_lekkage_ma_vr_voor_7_na_18_uur">'Invulblad Prijzen'!$E$37</definedName>
    <definedName name="P2_onderzoek_lekkage_za_zo_feestdagen">'Invulblad Prijzen'!$E$39</definedName>
    <definedName name="P2_Opnieuw_inwerken_hemelwaterafvoer_noodoverloop_spuwer_bitumen">'Invulblad Prijzen'!$E$42</definedName>
    <definedName name="P2_Opnieuw_inwerken_hemelwaterafvoer_noodoverloop_spuwer_kunststof">'Invulblad Prijzen'!$E$43</definedName>
    <definedName name="P2_PVC_steekstukken_demonteren_voorzien_van_kit_en_terug_monteren">'Invulblad Prijzen'!$E$62</definedName>
    <definedName name="P2_Reinigen_daken_incl._extra_maatregelen_veilig_werken_volgens_VCA__eventuele_vergunningen_leges___voorrijkosten__adminstratieve_kosten__fotorapportage_en_kleine_reparaties">'Invulblad Prijzen'!$E$6</definedName>
    <definedName name="P2_reinigen_daken_met_vaste_dakveiligheid">'Invulblad Prijzen'!$E$13</definedName>
    <definedName name="P2_Reinigen_goten_incl._extra_maatregelen_veilig_werken_volgens_VCA__eventuele_vergunningen_leges___voorrijkosten__adminstratieve_kosten__fotorapportage_en_kleine_reparaties">'Invulblad Prijzen'!$E$8</definedName>
    <definedName name="P2_reinigen_goten_met_vaste_dakveiligheid">'Invulblad Prijzen'!$E$15</definedName>
    <definedName name="P2_Reinigen_Lichtkoepel_180x180">'Invulblad Prijzen'!$E$20</definedName>
    <definedName name="P2_Reinigen_Lichtkoepel_50X50">'Invulblad Prijzen'!$E$18</definedName>
    <definedName name="P2_Reinigen_Lichtkoepel_60x200">'Invulblad Prijzen'!$E$19</definedName>
    <definedName name="P2_Reinigen_Lichtstraten_groter_dan_180x180">'Invulblad Prijzen'!$E$21</definedName>
    <definedName name="P2_Vervangen_dakveiligheidsanker_voor_zelfde_merk__o.a._Latchways_Daksafe_incl._inwerken_dakbedekking">'Invulblad Prijzen'!$E$63</definedName>
    <definedName name="P2_Vervangen_dakveiligheidslijn_voor_zelfde_merk_o.a._Latchways_Daksafe">'Invulblad Prijzen'!$E$64</definedName>
    <definedName name="P2_Vervangen_van_het_voetlood_t.p.v._metselwerk_alleen_met_toestemming_van_opdrachtgever">'Invulblad Prijzen'!$E$60</definedName>
    <definedName name="P2_Vervangen_van_het_voetlood_t.p.v._metselwerk_met_loodvervanger_alleen_met_toestemming_van_opdrachtgever">'Invulblad Prijzen'!$E$61</definedName>
    <definedName name="P2_Voetlood_nalopen__scheurtjes_herstellen_met_Batu_band">'Invulblad Prijzen'!$E$56</definedName>
    <definedName name="P2_voorrijkosten_per_melding">'Invulblad Prijzen'!$E$33</definedName>
    <definedName name="P3_Boldraadroosters__tegel_bladvangers_plaatsen_t.p.v._hwa">'Invulblad Prijzen'!$H$55</definedName>
    <definedName name="P3_Dakbedekking_deels_overlagen_kleiner_dan_5_m2">'Invulblad Prijzen'!$H$44</definedName>
    <definedName name="P3_Dakbedekking_deels_overlagen_tussen_10_20_m2">'Invulblad Prijzen'!$H$46</definedName>
    <definedName name="P3_Dakbedekking_deels_overlagen_tussen_5_10_m2">'Invulblad Prijzen'!$H$45</definedName>
    <definedName name="P3_Doorvoeren_tot_Ø_150_mm_opnieuw_waterdicht_inwerken">'Invulblad Prijzen'!$H$51</definedName>
    <definedName name="P3_Doorvoeren_tot_Ø_300_mm_opnieuw_waterdicht_inwerken">'Invulblad Prijzen'!$H$52</definedName>
    <definedName name="P3_Doorvoeren_tot_Ø_500_mm_opnieuw_waterdicht_inwerken">'Invulblad Prijzen'!$H$53</definedName>
    <definedName name="P3_Inspecteren_daken_en_goten_1x_per_jaar_gelijktijdig_met_reiniging_inclusief_inspectierapport_en_een_managementrapport">'Invulblad Prijzen'!$H$27</definedName>
    <definedName name="P3_keuren_dakveiligheid_per_man_uur">'Invulblad Prijzen'!$H$30</definedName>
    <definedName name="P3_Koppelstukjes_van_de_daktrimmen_voorzien_van_een_kitvoeg">'Invulblad Prijzen'!$H$54</definedName>
    <definedName name="P3_Lichtkoepels_demonteren_en_opslaan_op_het_dak_nieuwe_foamband_aanbrengen_opgeslagen_lichtkoepels_terug_monteren_tot_max_dagm._1.200_x_1.200_mm">'Invulblad Prijzen'!$H$57</definedName>
    <definedName name="P3_Loodwerk_van_opbouwtjes_waarnodig_inkorten_en_netjes_aankloppen">'Invulblad Prijzen'!$H$59</definedName>
    <definedName name="P3_Losse_voetlood_weer_vastzetten_met_loodproppen_en_opnieuw_afvoegen">'Invulblad Prijzen'!$H$58</definedName>
    <definedName name="P3_Meer_prijs_anti_mosbehandeling">'Invulblad Prijzen'!$H$24</definedName>
    <definedName name="P3_minder_prijs_reinigen_daken_bij_aanwezigheid_vaste_dakveiligheidsvoorzieningen">'Invulblad Prijzen'!$H$11</definedName>
    <definedName name="P3_Nieuwe_randstroken_langs_dakranden_aanbrengen">'Invulblad Prijzen'!$H$48</definedName>
    <definedName name="P3_Nieuwe_randstroken_opgaand_werk_aanbrengen">'Invulblad Prijzen'!$H$47</definedName>
    <definedName name="P3_Nieuwe_randstroken_rond_unit_aanbrengen_tot_1.000_x_1.000_mm">'Invulblad Prijzen'!$H$50</definedName>
    <definedName name="P3_Nieuwe_randstroken_rond_unit_aanbrengen_tot_500_x_500_mm">'Invulblad Prijzen'!$H$49</definedName>
    <definedName name="P3_onderzoek_lekkage_ma_vr_tussen_7_18_uur">'Invulblad Prijzen'!$H$35</definedName>
    <definedName name="P3_onderzoek_lekkage_ma_vr_voor_7_na_18_uur">'Invulblad Prijzen'!$H$37</definedName>
    <definedName name="P3_onderzoek_lekkage_za_zo_feestdagen">'Invulblad Prijzen'!$H$39</definedName>
    <definedName name="P3_Opnieuw_inwerken_hemelwaterafvoer_noodoverloop_spuwer_bitumen">'Invulblad Prijzen'!$H$42</definedName>
    <definedName name="P3_Opnieuw_inwerken_hemelwaterafvoer_noodoverloop_spuwer_kunststof">'Invulblad Prijzen'!$H$43</definedName>
    <definedName name="P3_PVC_steekstukken_demonteren_voorzien_van_kit_en_terug_monteren">'Invulblad Prijzen'!$H$62</definedName>
    <definedName name="P3_Reinigen_daken_incl._extra_maatregelen_veilig_werken_volgens_VCA_eventuele_vergunningen_leges_voorrijkosten_adminstratieve_kosten_fotorapportage_en_kleine_reparaties">'Invulblad Prijzen'!$H$6</definedName>
    <definedName name="P3_reinigen_daken_met_vaste_dakveiligheid">'Invulblad Prijzen'!$H$13</definedName>
    <definedName name="P3_Reinigen_goten_incl._extra_maatregelen_veilig_werken_volgens_VCA__eventuele_vergunningen_leges___voorrijkosten__adminstratieve_kosten__fotorapportage_en_kleine_reparaties">'Invulblad Prijzen'!$H$8</definedName>
    <definedName name="P3_reinigen_goten_met_vaste_dakveiligheid">'Invulblad Prijzen'!$H$15</definedName>
    <definedName name="P3_Reinigen_Lichtkoepel_180x180">'Invulblad Prijzen'!$H$20</definedName>
    <definedName name="P3_Reinigen_Lichtkoepel_50X50">'Invulblad Prijzen'!$H$18</definedName>
    <definedName name="P3_Reinigen_Lichtkoepel_60x200">'Invulblad Prijzen'!$H$19</definedName>
    <definedName name="P3_Reinigen_Lichtstraten_groter_dan_180x180">'Invulblad Prijzen'!$H$21</definedName>
    <definedName name="P3_Vervangen_dakveiligheidsanker_voor_zelfde_merk__o.a._Latchways_Daksafe_incl._inwerken_dakbedekking">'Invulblad Prijzen'!$H$63</definedName>
    <definedName name="P3_Vervangen_dakveiligheidslijn_voor_zelfde_merk_o.a._Latchways_Daksafe">'Invulblad Prijzen'!$H$64</definedName>
    <definedName name="P3_Vervangen_van_het_voetlood_t.p.v._metselwerk_alleen_met_toestemming_van_opdrachtgever">'Invulblad Prijzen'!$H$60</definedName>
    <definedName name="P3_Vervangen_van_het_voetlood_t.p.v._metselwerk_met_loodvervanger_alleen_met_toestemming_van_opdrachtgever">'Invulblad Prijzen'!$H$61</definedName>
    <definedName name="P3_Voetlood_nalopen__scheurtjes_herstellen_met_Batu_band">'Invulblad Prijzen'!$H$56</definedName>
    <definedName name="P3_voorrijkosten_per_melding">'Invulblad Prijzen'!$H$33</definedName>
    <definedName name="Reinigen_daken_bij_aanwezige_vaste_dakveiligheidsvoorzieningen_incl._extra_maatregelen_veilig_werken_volgens_VCA__eventuele_vergunningen_leges___voorrijkosten__adminstratieve_kosten__rapporten_en_kleine_reparaties_¹">'Invulblad Prijzen'!$B$13</definedName>
    <definedName name="Reinigen_daken_incl._extra_maatregelen_veilig_werken_volgens_VCA__eventuele_vergunningen_leges___voorrijkosten__adminstratieve_kosten__fotorapportage_en_kleine_reparaties_¹">'Invulblad Prijzen'!$B$6</definedName>
    <definedName name="Reinigen_daken_incl._extra_maatregelen_veilig_werken_volgens_VCA__eventuele_vergunningen_leges___voorrijkosten__adminstratieve_kosten__rapporten_en_kleine_reparaties_¹">'Invulblad Prijzen'!$B$6</definedName>
    <definedName name="Reinigen_goten_bij_aanwezige_vaste_dakveiligheidsvoorzieningen__incl._extra_maatregelen_veilig_werken_volgens_VCA__eventuele_vergunningen_leges___voorrijkosten__adminstratieve_kosten__rapporten_en_kleine_reparaties_¹">'Invulblad Prijzen'!$B$15</definedName>
    <definedName name="Reinigen_goten_incl._extra_maatregelen_veilig_werken_volgens_VCA__eventuele_vergunningen_leges___voorrijkosten__adminstratieve_kosten__rapporten_en_kleine_reparaties_¹">'Invulblad Prijzen'!$B$8</definedName>
    <definedName name="Voorrijkosten_per_incident_melding_incl._manuren_om_ter_plaatse_te_komen">'Invulblad Prijzen'!$B$33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8" i="5" l="1"/>
  <c r="AQ2" i="5"/>
  <c r="AM133" i="6" l="1"/>
  <c r="AR226" i="7"/>
  <c r="AP226" i="7"/>
  <c r="AO226" i="7"/>
  <c r="AS5" i="5"/>
  <c r="AQ5" i="5"/>
  <c r="AO5" i="5"/>
  <c r="AN5" i="5"/>
  <c r="AM5" i="5"/>
  <c r="AT5" i="5" l="1"/>
  <c r="D4" i="8"/>
  <c r="D6" i="8" s="1"/>
  <c r="D7" i="8" l="1"/>
  <c r="D5" i="8"/>
  <c r="B32" i="8" l="1"/>
  <c r="E32" i="8" s="1"/>
  <c r="B31" i="8"/>
  <c r="E31" i="8" s="1"/>
  <c r="B30" i="8"/>
  <c r="E30" i="8" s="1"/>
  <c r="B29" i="8"/>
  <c r="E29" i="8" s="1"/>
  <c r="B28" i="8"/>
  <c r="E28" i="8" s="1"/>
  <c r="B27" i="8"/>
  <c r="E27" i="8" s="1"/>
  <c r="B26" i="8"/>
  <c r="E26" i="8" s="1"/>
  <c r="B25" i="8"/>
  <c r="E25" i="8" s="1"/>
  <c r="B24" i="8"/>
  <c r="E24" i="8" s="1"/>
  <c r="B23" i="8"/>
  <c r="E23" i="8" s="1"/>
  <c r="B22" i="8"/>
  <c r="E22" i="8" s="1"/>
  <c r="B21" i="8"/>
  <c r="E21" i="8" s="1"/>
  <c r="B20" i="8"/>
  <c r="E20" i="8" s="1"/>
  <c r="B19" i="8"/>
  <c r="E19" i="8" s="1"/>
  <c r="B18" i="8"/>
  <c r="E18" i="8" s="1"/>
  <c r="B17" i="8"/>
  <c r="E17" i="8" s="1"/>
  <c r="B15" i="8"/>
  <c r="E15" i="8" s="1"/>
  <c r="B16" i="8"/>
  <c r="E16" i="8" s="1"/>
  <c r="B14" i="8"/>
  <c r="E14" i="8" s="1"/>
  <c r="B13" i="8"/>
  <c r="E13" i="8" s="1"/>
  <c r="B12" i="8"/>
  <c r="E12" i="8" s="1"/>
  <c r="B11" i="8"/>
  <c r="E11" i="8" s="1"/>
  <c r="B10" i="8"/>
  <c r="E10" i="8" s="1"/>
  <c r="B7" i="8"/>
  <c r="E7" i="8" s="1"/>
  <c r="B6" i="8"/>
  <c r="E6" i="8" s="1"/>
  <c r="B5" i="8"/>
  <c r="E5" i="8" s="1"/>
  <c r="B4" i="8"/>
  <c r="E4" i="8" s="1"/>
  <c r="X375" i="7"/>
  <c r="AB366" i="7"/>
  <c r="X366" i="7"/>
  <c r="AC365" i="7"/>
  <c r="AB365" i="7"/>
  <c r="AC364" i="7"/>
  <c r="AB364" i="7"/>
  <c r="AB363" i="7" s="1"/>
  <c r="AD363" i="7"/>
  <c r="AC363" i="7"/>
  <c r="X363" i="7"/>
  <c r="AB361" i="7"/>
  <c r="X361" i="7"/>
  <c r="X348" i="7"/>
  <c r="X345" i="7"/>
  <c r="AB344" i="7"/>
  <c r="X344" i="7"/>
  <c r="X339" i="7"/>
  <c r="X335" i="7"/>
  <c r="X331" i="7"/>
  <c r="X328" i="7"/>
  <c r="X278" i="7"/>
  <c r="W278" i="7"/>
  <c r="AA277" i="7"/>
  <c r="Z277" i="7"/>
  <c r="Y277" i="7"/>
  <c r="S277" i="7"/>
  <c r="AA276" i="7"/>
  <c r="Z276" i="7"/>
  <c r="Y276" i="7"/>
  <c r="Y278" i="7" s="1"/>
  <c r="S276" i="7"/>
  <c r="AA275" i="7"/>
  <c r="AA278" i="7" s="1"/>
  <c r="Z275" i="7"/>
  <c r="Y275" i="7"/>
  <c r="S275" i="7"/>
  <c r="AB265" i="7"/>
  <c r="Y265" i="7"/>
  <c r="AR264" i="7"/>
  <c r="AP264" i="7"/>
  <c r="AO264" i="7"/>
  <c r="AR263" i="7"/>
  <c r="AP263" i="7"/>
  <c r="AO263" i="7"/>
  <c r="AR262" i="7"/>
  <c r="AP262" i="7"/>
  <c r="AO262" i="7"/>
  <c r="AN262" i="7"/>
  <c r="AM262" i="7"/>
  <c r="AR261" i="7"/>
  <c r="AP261" i="7"/>
  <c r="AO261" i="7"/>
  <c r="AN261" i="7"/>
  <c r="AM261" i="7"/>
  <c r="AR260" i="7"/>
  <c r="AP260" i="7"/>
  <c r="AO260" i="7"/>
  <c r="AB260" i="7"/>
  <c r="X260" i="7"/>
  <c r="AR259" i="7"/>
  <c r="AP259" i="7"/>
  <c r="AO259" i="7"/>
  <c r="AN259" i="7"/>
  <c r="AM259" i="7"/>
  <c r="AR258" i="7"/>
  <c r="AP258" i="7"/>
  <c r="AO258" i="7"/>
  <c r="AN258" i="7"/>
  <c r="AM258" i="7"/>
  <c r="AR257" i="7"/>
  <c r="AP257" i="7"/>
  <c r="AO257" i="7"/>
  <c r="AN257" i="7"/>
  <c r="AM257" i="7"/>
  <c r="AR256" i="7"/>
  <c r="AO256" i="7"/>
  <c r="AN256" i="7"/>
  <c r="X256" i="7"/>
  <c r="AP256" i="7" s="1"/>
  <c r="AR255" i="7"/>
  <c r="AO255" i="7"/>
  <c r="AN255" i="7"/>
  <c r="X255" i="7"/>
  <c r="AP255" i="7" s="1"/>
  <c r="AR254" i="7"/>
  <c r="AO254" i="7"/>
  <c r="AN254" i="7"/>
  <c r="X254" i="7"/>
  <c r="AP254" i="7" s="1"/>
  <c r="AR252" i="7"/>
  <c r="AP252" i="7"/>
  <c r="AO252" i="7"/>
  <c r="AR251" i="7"/>
  <c r="AP251" i="7"/>
  <c r="AO251" i="7"/>
  <c r="AC251" i="7"/>
  <c r="AR250" i="7"/>
  <c r="AP250" i="7"/>
  <c r="AO250" i="7"/>
  <c r="AN250" i="7"/>
  <c r="AM250" i="7"/>
  <c r="AQ249" i="7"/>
  <c r="AR249" i="7" s="1"/>
  <c r="AO249" i="7"/>
  <c r="X249" i="7"/>
  <c r="AQ248" i="7"/>
  <c r="AP248" i="7"/>
  <c r="AO248" i="7"/>
  <c r="X248" i="7"/>
  <c r="AR247" i="7"/>
  <c r="AP247" i="7"/>
  <c r="AO247" i="7"/>
  <c r="AR246" i="7"/>
  <c r="AP246" i="7"/>
  <c r="AO246" i="7"/>
  <c r="AN246" i="7"/>
  <c r="AM246" i="7"/>
  <c r="AR245" i="7"/>
  <c r="AP245" i="7"/>
  <c r="AO245" i="7"/>
  <c r="AR244" i="7"/>
  <c r="AP244" i="7"/>
  <c r="AO244" i="7"/>
  <c r="AN244" i="7"/>
  <c r="AM244" i="7"/>
  <c r="AR243" i="7"/>
  <c r="AP243" i="7"/>
  <c r="AO243" i="7"/>
  <c r="AN243" i="7"/>
  <c r="AM243" i="7"/>
  <c r="AR242" i="7"/>
  <c r="AP242" i="7"/>
  <c r="AO242" i="7"/>
  <c r="AN242" i="7"/>
  <c r="AM242" i="7"/>
  <c r="AR241" i="7"/>
  <c r="AP241" i="7"/>
  <c r="AO241" i="7"/>
  <c r="AN241" i="7"/>
  <c r="AM241" i="7"/>
  <c r="AR240" i="7"/>
  <c r="AP240" i="7"/>
  <c r="AO240" i="7"/>
  <c r="AN240" i="7"/>
  <c r="AM240" i="7"/>
  <c r="AR239" i="7"/>
  <c r="AP239" i="7"/>
  <c r="AO239" i="7"/>
  <c r="AN239" i="7"/>
  <c r="AM239" i="7"/>
  <c r="AR238" i="7"/>
  <c r="AP238" i="7"/>
  <c r="AO238" i="7"/>
  <c r="AN238" i="7"/>
  <c r="AM238" i="7"/>
  <c r="AR237" i="7"/>
  <c r="AP237" i="7"/>
  <c r="AO237" i="7"/>
  <c r="AR236" i="7"/>
  <c r="AP236" i="7"/>
  <c r="AO236" i="7"/>
  <c r="AC236" i="7"/>
  <c r="AB236" i="7"/>
  <c r="AR235" i="7"/>
  <c r="AP235" i="7"/>
  <c r="AO235" i="7"/>
  <c r="AN235" i="7"/>
  <c r="AM235" i="7"/>
  <c r="AR234" i="7"/>
  <c r="AP234" i="7"/>
  <c r="AO234" i="7"/>
  <c r="AN234" i="7"/>
  <c r="AM234" i="7"/>
  <c r="X234" i="7"/>
  <c r="AR233" i="7"/>
  <c r="AP233" i="7"/>
  <c r="AO233" i="7"/>
  <c r="AN233" i="7"/>
  <c r="AM233" i="7"/>
  <c r="AR232" i="7"/>
  <c r="AP232" i="7"/>
  <c r="AO232" i="7"/>
  <c r="AR231" i="7"/>
  <c r="AP231" i="7"/>
  <c r="AO231" i="7"/>
  <c r="AN231" i="7"/>
  <c r="AM231" i="7"/>
  <c r="AR230" i="7"/>
  <c r="AP230" i="7"/>
  <c r="AO230" i="7"/>
  <c r="AN230" i="7"/>
  <c r="AM230" i="7"/>
  <c r="AR229" i="7"/>
  <c r="AP229" i="7"/>
  <c r="AO229" i="7"/>
  <c r="AN229" i="7"/>
  <c r="AM229" i="7"/>
  <c r="AR228" i="7"/>
  <c r="AP228" i="7"/>
  <c r="AO228" i="7"/>
  <c r="AR227" i="7"/>
  <c r="AP227" i="7"/>
  <c r="AO227" i="7"/>
  <c r="AC226" i="7"/>
  <c r="AB226" i="7"/>
  <c r="AR225" i="7"/>
  <c r="AP225" i="7"/>
  <c r="AO225" i="7"/>
  <c r="AR224" i="7"/>
  <c r="AO224" i="7"/>
  <c r="AN224" i="7"/>
  <c r="X224" i="7"/>
  <c r="AP224" i="7" s="1"/>
  <c r="AR223" i="7"/>
  <c r="AO223" i="7"/>
  <c r="AN223" i="7"/>
  <c r="AM223" i="7"/>
  <c r="X223" i="7"/>
  <c r="AP223" i="7" s="1"/>
  <c r="AR221" i="7"/>
  <c r="AP221" i="7"/>
  <c r="AO221" i="7"/>
  <c r="AN221" i="7"/>
  <c r="AM221" i="7"/>
  <c r="AQ220" i="7"/>
  <c r="AR220" i="7" s="1"/>
  <c r="AO220" i="7"/>
  <c r="X220" i="7"/>
  <c r="AQ219" i="7"/>
  <c r="AR219" i="7" s="1"/>
  <c r="AO219" i="7"/>
  <c r="X219" i="7"/>
  <c r="AR217" i="7"/>
  <c r="AP217" i="7"/>
  <c r="AO217" i="7"/>
  <c r="AR216" i="7"/>
  <c r="AP216" i="7"/>
  <c r="AO216" i="7"/>
  <c r="AC216" i="7"/>
  <c r="AB216" i="7"/>
  <c r="X216" i="7"/>
  <c r="AR215" i="7"/>
  <c r="AP215" i="7"/>
  <c r="AO215" i="7"/>
  <c r="AR214" i="7"/>
  <c r="AP214" i="7"/>
  <c r="AO214" i="7"/>
  <c r="AN214" i="7"/>
  <c r="AM214" i="7"/>
  <c r="AR213" i="7"/>
  <c r="AP213" i="7"/>
  <c r="AO213" i="7"/>
  <c r="AR212" i="7"/>
  <c r="AP212" i="7"/>
  <c r="AO212" i="7"/>
  <c r="AN212" i="7"/>
  <c r="AM212" i="7"/>
  <c r="AR211" i="7"/>
  <c r="AP211" i="7"/>
  <c r="AO211" i="7"/>
  <c r="AN211" i="7"/>
  <c r="AM211" i="7"/>
  <c r="X211" i="7"/>
  <c r="AR210" i="7"/>
  <c r="AP210" i="7"/>
  <c r="AO210" i="7"/>
  <c r="AR209" i="7"/>
  <c r="AP209" i="7"/>
  <c r="AO209" i="7"/>
  <c r="AR208" i="7"/>
  <c r="AQ208" i="7"/>
  <c r="AO208" i="7"/>
  <c r="X208" i="7"/>
  <c r="AP208" i="7" s="1"/>
  <c r="AR207" i="7"/>
  <c r="AQ207" i="7"/>
  <c r="AO207" i="7"/>
  <c r="X207" i="7"/>
  <c r="AP207" i="7" s="1"/>
  <c r="AR205" i="7"/>
  <c r="AP205" i="7"/>
  <c r="AO205" i="7"/>
  <c r="AN205" i="7"/>
  <c r="AM205" i="7"/>
  <c r="AR204" i="7"/>
  <c r="AP204" i="7"/>
  <c r="AO204" i="7"/>
  <c r="AN204" i="7"/>
  <c r="AM204" i="7"/>
  <c r="AH193" i="7"/>
  <c r="AG193" i="7"/>
  <c r="AF193" i="7"/>
  <c r="AE193" i="7"/>
  <c r="AR192" i="7"/>
  <c r="AO192" i="7"/>
  <c r="AN192" i="7"/>
  <c r="X192" i="7"/>
  <c r="AR191" i="7"/>
  <c r="AO191" i="7"/>
  <c r="AN191" i="7"/>
  <c r="X191" i="7"/>
  <c r="AM191" i="7" s="1"/>
  <c r="AR190" i="7"/>
  <c r="AO190" i="7"/>
  <c r="AN190" i="7"/>
  <c r="AM190" i="7"/>
  <c r="X190" i="7"/>
  <c r="AP190" i="7" s="1"/>
  <c r="AR189" i="7"/>
  <c r="AP189" i="7"/>
  <c r="AO189" i="7"/>
  <c r="AN189" i="7"/>
  <c r="AM189" i="7"/>
  <c r="AR188" i="7"/>
  <c r="AP188" i="7"/>
  <c r="AO188" i="7"/>
  <c r="AN188" i="7"/>
  <c r="X188" i="7"/>
  <c r="AM188" i="7" s="1"/>
  <c r="AR187" i="7"/>
  <c r="AO187" i="7"/>
  <c r="AN187" i="7"/>
  <c r="X187" i="7"/>
  <c r="AP187" i="7" s="1"/>
  <c r="AR186" i="7"/>
  <c r="AP186" i="7"/>
  <c r="AO186" i="7"/>
  <c r="AN186" i="7"/>
  <c r="AM186" i="7"/>
  <c r="AR185" i="7"/>
  <c r="AP185" i="7"/>
  <c r="AO185" i="7"/>
  <c r="AN185" i="7"/>
  <c r="AM185" i="7"/>
  <c r="AR184" i="7"/>
  <c r="AP184" i="7"/>
  <c r="AO184" i="7"/>
  <c r="AN184" i="7"/>
  <c r="AM184" i="7"/>
  <c r="AR183" i="7"/>
  <c r="AP183" i="7"/>
  <c r="AO183" i="7"/>
  <c r="AN183" i="7"/>
  <c r="AM183" i="7"/>
  <c r="AR182" i="7"/>
  <c r="AP182" i="7"/>
  <c r="AO182" i="7"/>
  <c r="AN182" i="7"/>
  <c r="AM182" i="7"/>
  <c r="AR181" i="7"/>
  <c r="AP181" i="7"/>
  <c r="AO181" i="7"/>
  <c r="AN181" i="7"/>
  <c r="AM181" i="7"/>
  <c r="AR180" i="7"/>
  <c r="AP180" i="7"/>
  <c r="AO180" i="7"/>
  <c r="AN180" i="7"/>
  <c r="AM180" i="7"/>
  <c r="AR179" i="7"/>
  <c r="AO179" i="7"/>
  <c r="AN179" i="7"/>
  <c r="X179" i="7"/>
  <c r="AR178" i="7"/>
  <c r="AP178" i="7"/>
  <c r="AO178" i="7"/>
  <c r="AR177" i="7"/>
  <c r="AP177" i="7"/>
  <c r="AO177" i="7"/>
  <c r="AN177" i="7"/>
  <c r="AM177" i="7"/>
  <c r="AR176" i="7"/>
  <c r="AP176" i="7"/>
  <c r="AO176" i="7"/>
  <c r="AN176" i="7"/>
  <c r="AM176" i="7"/>
  <c r="AR175" i="7"/>
  <c r="AP175" i="7"/>
  <c r="AO175" i="7"/>
  <c r="AR174" i="7"/>
  <c r="AO174" i="7"/>
  <c r="X174" i="7"/>
  <c r="AP174" i="7" s="1"/>
  <c r="AR173" i="7"/>
  <c r="AP173" i="7"/>
  <c r="AO173" i="7"/>
  <c r="AN173" i="7"/>
  <c r="AM173" i="7"/>
  <c r="AR172" i="7"/>
  <c r="AP172" i="7"/>
  <c r="AO172" i="7"/>
  <c r="AC172" i="7"/>
  <c r="AB172" i="7"/>
  <c r="X172" i="7"/>
  <c r="AR171" i="7"/>
  <c r="AP171" i="7"/>
  <c r="AO171" i="7"/>
  <c r="AR170" i="7"/>
  <c r="AP170" i="7"/>
  <c r="AO170" i="7"/>
  <c r="AC170" i="7"/>
  <c r="AB170" i="7"/>
  <c r="AR169" i="7"/>
  <c r="AP169" i="7"/>
  <c r="AO169" i="7"/>
  <c r="AR168" i="7"/>
  <c r="AP168" i="7"/>
  <c r="AO168" i="7"/>
  <c r="AN168" i="7"/>
  <c r="AM168" i="7"/>
  <c r="AR167" i="7"/>
  <c r="AP167" i="7"/>
  <c r="AO167" i="7"/>
  <c r="AR166" i="7"/>
  <c r="AP166" i="7"/>
  <c r="AO166" i="7"/>
  <c r="AN166" i="7"/>
  <c r="AM166" i="7"/>
  <c r="AR165" i="7"/>
  <c r="AP165" i="7"/>
  <c r="AO165" i="7"/>
  <c r="AN165" i="7"/>
  <c r="AM165" i="7"/>
  <c r="AR164" i="7"/>
  <c r="AP164" i="7"/>
  <c r="AO164" i="7"/>
  <c r="AN164" i="7"/>
  <c r="AM164" i="7"/>
  <c r="AR163" i="7"/>
  <c r="AP163" i="7"/>
  <c r="AO163" i="7"/>
  <c r="AN163" i="7"/>
  <c r="AM163" i="7"/>
  <c r="AR162" i="7"/>
  <c r="AP162" i="7"/>
  <c r="AO162" i="7"/>
  <c r="AN162" i="7"/>
  <c r="AM162" i="7"/>
  <c r="AR161" i="7"/>
  <c r="AP161" i="7"/>
  <c r="AO161" i="7"/>
  <c r="AN161" i="7"/>
  <c r="AM161" i="7"/>
  <c r="AR160" i="7"/>
  <c r="AP160" i="7"/>
  <c r="AO160" i="7"/>
  <c r="AN160" i="7"/>
  <c r="AM160" i="7"/>
  <c r="AR159" i="7"/>
  <c r="AP159" i="7"/>
  <c r="AO159" i="7"/>
  <c r="AR158" i="7"/>
  <c r="AP158" i="7"/>
  <c r="AO158" i="7"/>
  <c r="AR157" i="7"/>
  <c r="AP157" i="7"/>
  <c r="AO157" i="7"/>
  <c r="AN157" i="7"/>
  <c r="AM157" i="7"/>
  <c r="AR156" i="7"/>
  <c r="AP156" i="7"/>
  <c r="AO156" i="7"/>
  <c r="AN156" i="7"/>
  <c r="AM156" i="7"/>
  <c r="AR155" i="7"/>
  <c r="AP155" i="7"/>
  <c r="AO155" i="7"/>
  <c r="AN155" i="7"/>
  <c r="AM155" i="7"/>
  <c r="AR154" i="7"/>
  <c r="AO154" i="7"/>
  <c r="AN154" i="7"/>
  <c r="X154" i="7"/>
  <c r="AP154" i="7" s="1"/>
  <c r="AR153" i="7"/>
  <c r="AP153" i="7"/>
  <c r="AO153" i="7"/>
  <c r="AN153" i="7"/>
  <c r="AM153" i="7"/>
  <c r="AR152" i="7"/>
  <c r="AP152" i="7"/>
  <c r="AO152" i="7"/>
  <c r="AN152" i="7"/>
  <c r="AM152" i="7"/>
  <c r="AR151" i="7"/>
  <c r="AP151" i="7"/>
  <c r="AO151" i="7"/>
  <c r="AN151" i="7"/>
  <c r="AM151" i="7"/>
  <c r="AQ150" i="7"/>
  <c r="AR150" i="7" s="1"/>
  <c r="AO150" i="7"/>
  <c r="X150" i="7"/>
  <c r="AP150" i="7" s="1"/>
  <c r="AQ149" i="7"/>
  <c r="AR149" i="7" s="1"/>
  <c r="AO149" i="7"/>
  <c r="X149" i="7"/>
  <c r="AP149" i="7" s="1"/>
  <c r="AR148" i="7"/>
  <c r="AQ148" i="7"/>
  <c r="AO148" i="7"/>
  <c r="X148" i="7"/>
  <c r="AP148" i="7" s="1"/>
  <c r="AR146" i="7"/>
  <c r="AP146" i="7"/>
  <c r="AO146" i="7"/>
  <c r="AN146" i="7"/>
  <c r="AM146" i="7"/>
  <c r="AR145" i="7"/>
  <c r="AP145" i="7"/>
  <c r="AO145" i="7"/>
  <c r="AN145" i="7"/>
  <c r="AM145" i="7"/>
  <c r="AR144" i="7"/>
  <c r="AO144" i="7"/>
  <c r="AN144" i="7"/>
  <c r="X144" i="7"/>
  <c r="AP144" i="7" s="1"/>
  <c r="AR143" i="7"/>
  <c r="AO143" i="7"/>
  <c r="AN143" i="7"/>
  <c r="X143" i="7"/>
  <c r="AR141" i="7"/>
  <c r="AP141" i="7"/>
  <c r="AO141" i="7"/>
  <c r="AN141" i="7"/>
  <c r="AM141" i="7"/>
  <c r="AR140" i="7"/>
  <c r="AP140" i="7"/>
  <c r="AO140" i="7"/>
  <c r="AN140" i="7"/>
  <c r="AM140" i="7"/>
  <c r="AR139" i="7"/>
  <c r="AP139" i="7"/>
  <c r="AO139" i="7"/>
  <c r="AN139" i="7"/>
  <c r="AM139" i="7"/>
  <c r="AR138" i="7"/>
  <c r="AO138" i="7"/>
  <c r="AN138" i="7"/>
  <c r="AM138" i="7"/>
  <c r="X138" i="7"/>
  <c r="AP138" i="7" s="1"/>
  <c r="AR137" i="7"/>
  <c r="AP137" i="7"/>
  <c r="AO137" i="7"/>
  <c r="AN137" i="7"/>
  <c r="X137" i="7"/>
  <c r="AM137" i="7" s="1"/>
  <c r="AR135" i="7"/>
  <c r="AP135" i="7"/>
  <c r="AO135" i="7"/>
  <c r="AR134" i="7"/>
  <c r="AP134" i="7"/>
  <c r="AO134" i="7"/>
  <c r="AR133" i="7"/>
  <c r="AP133" i="7"/>
  <c r="AO133" i="7"/>
  <c r="AN133" i="7"/>
  <c r="X133" i="7"/>
  <c r="AM133" i="7" s="1"/>
  <c r="AR132" i="7"/>
  <c r="AP132" i="7"/>
  <c r="AO132" i="7"/>
  <c r="AR131" i="7"/>
  <c r="AP131" i="7"/>
  <c r="AO131" i="7"/>
  <c r="AR130" i="7"/>
  <c r="AP130" i="7"/>
  <c r="AO130" i="7"/>
  <c r="AB130" i="7"/>
  <c r="AR129" i="7"/>
  <c r="AQ129" i="7"/>
  <c r="AO129" i="7"/>
  <c r="X129" i="7"/>
  <c r="AP129" i="7" s="1"/>
  <c r="AQ128" i="7"/>
  <c r="AO128" i="7"/>
  <c r="X128" i="7"/>
  <c r="AP128" i="7" s="1"/>
  <c r="AR126" i="7"/>
  <c r="AP126" i="7"/>
  <c r="AO126" i="7"/>
  <c r="AN126" i="7"/>
  <c r="AM126" i="7"/>
  <c r="AR125" i="7"/>
  <c r="AP125" i="7"/>
  <c r="AO125" i="7"/>
  <c r="AR124" i="7"/>
  <c r="AP124" i="7"/>
  <c r="AO124" i="7"/>
  <c r="AR123" i="7"/>
  <c r="AP123" i="7"/>
  <c r="AO123" i="7"/>
  <c r="AR122" i="7"/>
  <c r="AP122" i="7"/>
  <c r="AO122" i="7"/>
  <c r="AN122" i="7"/>
  <c r="AM122" i="7"/>
  <c r="AR121" i="7"/>
  <c r="AP121" i="7"/>
  <c r="AO121" i="7"/>
  <c r="AQ120" i="7"/>
  <c r="AR120" i="7" s="1"/>
  <c r="AP120" i="7"/>
  <c r="AO120" i="7"/>
  <c r="X120" i="7"/>
  <c r="AR119" i="7"/>
  <c r="AQ119" i="7"/>
  <c r="AP119" i="7"/>
  <c r="AO119" i="7"/>
  <c r="X119" i="7"/>
  <c r="AR117" i="7"/>
  <c r="AP117" i="7"/>
  <c r="AO117" i="7"/>
  <c r="AN117" i="7"/>
  <c r="AM117" i="7"/>
  <c r="AR116" i="7"/>
  <c r="AP116" i="7"/>
  <c r="AO116" i="7"/>
  <c r="AC116" i="7"/>
  <c r="AC193" i="7" s="1"/>
  <c r="AB116" i="7"/>
  <c r="AB193" i="7" s="1"/>
  <c r="AR115" i="7"/>
  <c r="AO115" i="7"/>
  <c r="AM115" i="7"/>
  <c r="Y115" i="7"/>
  <c r="AN115" i="7" s="1"/>
  <c r="AR114" i="7"/>
  <c r="AO114" i="7"/>
  <c r="AN114" i="7"/>
  <c r="X114" i="7"/>
  <c r="AP114" i="7" s="1"/>
  <c r="AR113" i="7"/>
  <c r="AP113" i="7"/>
  <c r="AO113" i="7"/>
  <c r="AN113" i="7"/>
  <c r="AM113" i="7"/>
  <c r="X113" i="7"/>
  <c r="AR112" i="7"/>
  <c r="AO112" i="7"/>
  <c r="AN112" i="7"/>
  <c r="X112" i="7"/>
  <c r="AP112" i="7" s="1"/>
  <c r="AR111" i="7"/>
  <c r="AP111" i="7"/>
  <c r="AO111" i="7"/>
  <c r="Y111" i="7"/>
  <c r="AN111" i="7" s="1"/>
  <c r="X111" i="7"/>
  <c r="AM111" i="7" s="1"/>
  <c r="AR110" i="7"/>
  <c r="AO110" i="7"/>
  <c r="AN110" i="7"/>
  <c r="X110" i="7"/>
  <c r="AR109" i="7"/>
  <c r="AP109" i="7"/>
  <c r="AO109" i="7"/>
  <c r="AN109" i="7"/>
  <c r="AM109" i="7"/>
  <c r="X109" i="7"/>
  <c r="AR108" i="7"/>
  <c r="AP108" i="7"/>
  <c r="AO108" i="7"/>
  <c r="AN108" i="7"/>
  <c r="AM108" i="7"/>
  <c r="AR107" i="7"/>
  <c r="AP107" i="7"/>
  <c r="AO107" i="7"/>
  <c r="AN107" i="7"/>
  <c r="AM107" i="7"/>
  <c r="AR102" i="7"/>
  <c r="AO102" i="7"/>
  <c r="AN102" i="7"/>
  <c r="AM102" i="7"/>
  <c r="X102" i="7"/>
  <c r="AP102" i="7" s="1"/>
  <c r="AR96" i="7"/>
  <c r="AP96" i="7"/>
  <c r="AO96" i="7"/>
  <c r="AR95" i="7"/>
  <c r="AP95" i="7"/>
  <c r="AO95" i="7"/>
  <c r="AR94" i="7"/>
  <c r="AO94" i="7"/>
  <c r="AN94" i="7"/>
  <c r="X94" i="7"/>
  <c r="AR93" i="7"/>
  <c r="AO93" i="7"/>
  <c r="AN93" i="7"/>
  <c r="X93" i="7"/>
  <c r="AP93" i="7" s="1"/>
  <c r="AR91" i="7"/>
  <c r="AP91" i="7"/>
  <c r="AO91" i="7"/>
  <c r="AN91" i="7"/>
  <c r="AM91" i="7"/>
  <c r="AR90" i="7"/>
  <c r="AP90" i="7"/>
  <c r="AO90" i="7"/>
  <c r="AN90" i="7"/>
  <c r="AM90" i="7"/>
  <c r="AR89" i="7"/>
  <c r="AO89" i="7"/>
  <c r="AN89" i="7"/>
  <c r="X89" i="7"/>
  <c r="AP89" i="7" s="1"/>
  <c r="AR88" i="7"/>
  <c r="AO88" i="7"/>
  <c r="AN88" i="7"/>
  <c r="X88" i="7"/>
  <c r="AP88" i="7" s="1"/>
  <c r="AR87" i="7"/>
  <c r="AO87" i="7"/>
  <c r="AN87" i="7"/>
  <c r="X87" i="7"/>
  <c r="AM87" i="7" s="1"/>
  <c r="AR85" i="7"/>
  <c r="AP85" i="7"/>
  <c r="AO85" i="7"/>
  <c r="AN85" i="7"/>
  <c r="X85" i="7"/>
  <c r="AM85" i="7" s="1"/>
  <c r="AR84" i="7"/>
  <c r="AO84" i="7"/>
  <c r="AN84" i="7"/>
  <c r="AM84" i="7"/>
  <c r="X84" i="7"/>
  <c r="AP84" i="7" s="1"/>
  <c r="AR83" i="7"/>
  <c r="AO83" i="7"/>
  <c r="AN83" i="7"/>
  <c r="X83" i="7"/>
  <c r="AP83" i="7" s="1"/>
  <c r="AR81" i="7"/>
  <c r="AP81" i="7"/>
  <c r="AO81" i="7"/>
  <c r="AN81" i="7"/>
  <c r="AM81" i="7"/>
  <c r="AR80" i="7"/>
  <c r="AP80" i="7"/>
  <c r="AO80" i="7"/>
  <c r="AR79" i="7"/>
  <c r="AP79" i="7"/>
  <c r="AO79" i="7"/>
  <c r="AR78" i="7"/>
  <c r="AP78" i="7"/>
  <c r="AO78" i="7"/>
  <c r="AN78" i="7"/>
  <c r="AM78" i="7"/>
  <c r="AR77" i="7"/>
  <c r="AP77" i="7"/>
  <c r="AO77" i="7"/>
  <c r="AR76" i="7"/>
  <c r="AO76" i="7"/>
  <c r="X76" i="7"/>
  <c r="AP76" i="7" s="1"/>
  <c r="AR75" i="7"/>
  <c r="AO75" i="7"/>
  <c r="X75" i="7"/>
  <c r="AP75" i="7" s="1"/>
  <c r="AR73" i="7"/>
  <c r="AP73" i="7"/>
  <c r="AO73" i="7"/>
  <c r="AN73" i="7"/>
  <c r="AM73" i="7"/>
  <c r="AR72" i="7"/>
  <c r="AO72" i="7"/>
  <c r="AN72" i="7"/>
  <c r="AM72" i="7"/>
  <c r="X72" i="7"/>
  <c r="AP72" i="7" s="1"/>
  <c r="AR71" i="7"/>
  <c r="AP71" i="7"/>
  <c r="AO71" i="7"/>
  <c r="AN71" i="7"/>
  <c r="AM71" i="7"/>
  <c r="AR70" i="7"/>
  <c r="AP70" i="7"/>
  <c r="AO70" i="7"/>
  <c r="AR69" i="7"/>
  <c r="AP69" i="7"/>
  <c r="AO69" i="7"/>
  <c r="AN69" i="7"/>
  <c r="AM69" i="7"/>
  <c r="AR68" i="7"/>
  <c r="AP68" i="7"/>
  <c r="AO68" i="7"/>
  <c r="AC68" i="7"/>
  <c r="AR67" i="7"/>
  <c r="AP67" i="7"/>
  <c r="AO67" i="7"/>
  <c r="AN67" i="7"/>
  <c r="AM67" i="7"/>
  <c r="AR66" i="7"/>
  <c r="AP66" i="7"/>
  <c r="AO66" i="7"/>
  <c r="AN66" i="7"/>
  <c r="AM66" i="7"/>
  <c r="AR65" i="7"/>
  <c r="AP65" i="7"/>
  <c r="AO65" i="7"/>
  <c r="AN65" i="7"/>
  <c r="AM65" i="7"/>
  <c r="X65" i="7"/>
  <c r="AR64" i="7"/>
  <c r="AP64" i="7"/>
  <c r="AO64" i="7"/>
  <c r="AN64" i="7"/>
  <c r="AM64" i="7"/>
  <c r="AR63" i="7"/>
  <c r="AP63" i="7"/>
  <c r="AO63" i="7"/>
  <c r="AN63" i="7"/>
  <c r="AM63" i="7"/>
  <c r="AR62" i="7"/>
  <c r="AP62" i="7"/>
  <c r="AO62" i="7"/>
  <c r="AN62" i="7"/>
  <c r="AM62" i="7"/>
  <c r="AR61" i="7"/>
  <c r="AO61" i="7"/>
  <c r="AN61" i="7"/>
  <c r="X61" i="7"/>
  <c r="AP61" i="7" s="1"/>
  <c r="AR60" i="7"/>
  <c r="AP60" i="7"/>
  <c r="AO60" i="7"/>
  <c r="AN60" i="7"/>
  <c r="AM60" i="7"/>
  <c r="AR59" i="7"/>
  <c r="AP59" i="7"/>
  <c r="AO59" i="7"/>
  <c r="AN59" i="7"/>
  <c r="AM59" i="7"/>
  <c r="AR58" i="7"/>
  <c r="AP58" i="7"/>
  <c r="AO58" i="7"/>
  <c r="AN58" i="7"/>
  <c r="AM58" i="7"/>
  <c r="AR57" i="7"/>
  <c r="AP57" i="7"/>
  <c r="AO57" i="7"/>
  <c r="AN57" i="7"/>
  <c r="AM57" i="7"/>
  <c r="AR56" i="7"/>
  <c r="AP56" i="7"/>
  <c r="AO56" i="7"/>
  <c r="AN56" i="7"/>
  <c r="AM56" i="7"/>
  <c r="AQ55" i="7"/>
  <c r="AR55" i="7" s="1"/>
  <c r="AP55" i="7"/>
  <c r="AO55" i="7"/>
  <c r="AC55" i="7"/>
  <c r="X55" i="7"/>
  <c r="AQ54" i="7"/>
  <c r="AR54" i="7" s="1"/>
  <c r="AO54" i="7"/>
  <c r="AC54" i="7"/>
  <c r="AC97" i="7" s="1"/>
  <c r="AB54" i="7"/>
  <c r="X54" i="7"/>
  <c r="AB53" i="7"/>
  <c r="AB55" i="7" s="1"/>
  <c r="AR52" i="7"/>
  <c r="AP52" i="7"/>
  <c r="AO52" i="7"/>
  <c r="AR51" i="7"/>
  <c r="AP51" i="7"/>
  <c r="AO51" i="7"/>
  <c r="AR50" i="7"/>
  <c r="AP50" i="7"/>
  <c r="AO50" i="7"/>
  <c r="AN50" i="7"/>
  <c r="AM50" i="7"/>
  <c r="AR49" i="7"/>
  <c r="AP49" i="7"/>
  <c r="AO49" i="7"/>
  <c r="AR48" i="7"/>
  <c r="AP48" i="7"/>
  <c r="AO48" i="7"/>
  <c r="AR47" i="7"/>
  <c r="AP47" i="7"/>
  <c r="AO47" i="7"/>
  <c r="AR46" i="7"/>
  <c r="AO46" i="7"/>
  <c r="AM46" i="7"/>
  <c r="Y46" i="7"/>
  <c r="AN46" i="7" s="1"/>
  <c r="AR45" i="7"/>
  <c r="AP45" i="7"/>
  <c r="AO45" i="7"/>
  <c r="AR44" i="7"/>
  <c r="AP44" i="7"/>
  <c r="AO44" i="7"/>
  <c r="AR43" i="7"/>
  <c r="AP43" i="7"/>
  <c r="AO43" i="7"/>
  <c r="AN43" i="7"/>
  <c r="AM43" i="7"/>
  <c r="AQ42" i="7"/>
  <c r="AR42" i="7" s="1"/>
  <c r="AO42" i="7"/>
  <c r="X42" i="7"/>
  <c r="AP42" i="7" s="1"/>
  <c r="AR41" i="7"/>
  <c r="AQ41" i="7"/>
  <c r="AO41" i="7"/>
  <c r="X41" i="7"/>
  <c r="AP41" i="7" s="1"/>
  <c r="AR40" i="7"/>
  <c r="AQ40" i="7"/>
  <c r="AO40" i="7"/>
  <c r="X40" i="7"/>
  <c r="AP40" i="7" s="1"/>
  <c r="AR38" i="7"/>
  <c r="AP38" i="7"/>
  <c r="AO38" i="7"/>
  <c r="AN38" i="7"/>
  <c r="AM38" i="7"/>
  <c r="AR37" i="7"/>
  <c r="AP37" i="7"/>
  <c r="AO37" i="7"/>
  <c r="AR36" i="7"/>
  <c r="AP36" i="7"/>
  <c r="AO36" i="7"/>
  <c r="AN36" i="7"/>
  <c r="AM36" i="7"/>
  <c r="AR35" i="7"/>
  <c r="AO35" i="7"/>
  <c r="X35" i="7"/>
  <c r="AR34" i="7"/>
  <c r="AP34" i="7"/>
  <c r="AO34" i="7"/>
  <c r="AN34" i="7"/>
  <c r="AM34" i="7"/>
  <c r="AR33" i="7"/>
  <c r="AP33" i="7"/>
  <c r="AO33" i="7"/>
  <c r="AR32" i="7"/>
  <c r="AP32" i="7"/>
  <c r="AO32" i="7"/>
  <c r="X32" i="7"/>
  <c r="AR31" i="7"/>
  <c r="AO31" i="7"/>
  <c r="X31" i="7"/>
  <c r="AP31" i="7" s="1"/>
  <c r="AR29" i="7"/>
  <c r="AP29" i="7"/>
  <c r="AO29" i="7"/>
  <c r="AR28" i="7"/>
  <c r="AP28" i="7"/>
  <c r="AO28" i="7"/>
  <c r="AN28" i="7"/>
  <c r="AM28" i="7"/>
  <c r="AR27" i="7"/>
  <c r="AP27" i="7"/>
  <c r="AO27" i="7"/>
  <c r="AN27" i="7"/>
  <c r="AM27" i="7"/>
  <c r="AQ26" i="7"/>
  <c r="AR26" i="7" s="1"/>
  <c r="AP26" i="7"/>
  <c r="AG26" i="7"/>
  <c r="AO26" i="7" s="1"/>
  <c r="AB26" i="7"/>
  <c r="X26" i="7"/>
  <c r="AQ25" i="7"/>
  <c r="AR25" i="7" s="1"/>
  <c r="AG25" i="7"/>
  <c r="AO25" i="7" s="1"/>
  <c r="AB25" i="7"/>
  <c r="X25" i="7"/>
  <c r="AR23" i="7"/>
  <c r="AP23" i="7"/>
  <c r="AO23" i="7"/>
  <c r="AR22" i="7"/>
  <c r="AP22" i="7"/>
  <c r="AO22" i="7"/>
  <c r="AN22" i="7"/>
  <c r="AM22" i="7"/>
  <c r="AR21" i="7"/>
  <c r="AP21" i="7"/>
  <c r="AO21" i="7"/>
  <c r="AN21" i="7"/>
  <c r="AM21" i="7"/>
  <c r="AR20" i="7"/>
  <c r="AP20" i="7"/>
  <c r="AO20" i="7"/>
  <c r="AN20" i="7"/>
  <c r="AM20" i="7"/>
  <c r="AR19" i="7"/>
  <c r="AP19" i="7"/>
  <c r="AO19" i="7"/>
  <c r="AB19" i="7"/>
  <c r="X17" i="7"/>
  <c r="X16" i="7"/>
  <c r="X14" i="7" s="1"/>
  <c r="AR14" i="7"/>
  <c r="AO14" i="7"/>
  <c r="AR13" i="7"/>
  <c r="AP13" i="7"/>
  <c r="AO13" i="7"/>
  <c r="AN13" i="7"/>
  <c r="AM13" i="7"/>
  <c r="AR12" i="7"/>
  <c r="AP12" i="7"/>
  <c r="AO12" i="7"/>
  <c r="AR11" i="7"/>
  <c r="AP11" i="7"/>
  <c r="AO11" i="7"/>
  <c r="AN11" i="7"/>
  <c r="AM11" i="7"/>
  <c r="X10" i="7"/>
  <c r="AR8" i="7"/>
  <c r="AO8" i="7"/>
  <c r="AN8" i="7"/>
  <c r="X8" i="7"/>
  <c r="AP8" i="7" s="1"/>
  <c r="AR7" i="7"/>
  <c r="AP7" i="7"/>
  <c r="AO7" i="7"/>
  <c r="AN7" i="7"/>
  <c r="AM7" i="7"/>
  <c r="X7" i="7"/>
  <c r="AR6" i="7"/>
  <c r="AP6" i="7"/>
  <c r="AO6" i="7"/>
  <c r="AN6" i="7"/>
  <c r="AM6" i="7"/>
  <c r="AR5" i="7"/>
  <c r="AP5" i="7"/>
  <c r="AO5" i="7"/>
  <c r="AN5" i="7"/>
  <c r="AM5" i="7"/>
  <c r="AR4" i="7"/>
  <c r="AP4" i="7"/>
  <c r="AO4" i="7"/>
  <c r="AR3" i="7"/>
  <c r="AO3" i="7"/>
  <c r="X3" i="7"/>
  <c r="AP3" i="7" s="1"/>
  <c r="AR2" i="7"/>
  <c r="AP2" i="7"/>
  <c r="AO2" i="7"/>
  <c r="X375" i="6"/>
  <c r="AB366" i="6"/>
  <c r="X366" i="6"/>
  <c r="AC365" i="6"/>
  <c r="AB365" i="6"/>
  <c r="AC364" i="6"/>
  <c r="AC363" i="6" s="1"/>
  <c r="AB364" i="6"/>
  <c r="AB363" i="6" s="1"/>
  <c r="AD363" i="6"/>
  <c r="X363" i="6"/>
  <c r="AB361" i="6"/>
  <c r="X361" i="6"/>
  <c r="X348" i="6"/>
  <c r="X345" i="6"/>
  <c r="AB344" i="6"/>
  <c r="X344" i="6"/>
  <c r="X339" i="6"/>
  <c r="X335" i="6"/>
  <c r="X331" i="6"/>
  <c r="X328" i="6"/>
  <c r="X278" i="6"/>
  <c r="W278" i="6"/>
  <c r="AA277" i="6"/>
  <c r="Z277" i="6"/>
  <c r="Y277" i="6"/>
  <c r="S277" i="6"/>
  <c r="AA276" i="6"/>
  <c r="Z276" i="6"/>
  <c r="Y276" i="6"/>
  <c r="S276" i="6"/>
  <c r="AA275" i="6"/>
  <c r="Z275" i="6"/>
  <c r="Y275" i="6"/>
  <c r="S275" i="6"/>
  <c r="S278" i="6" s="1"/>
  <c r="AC265" i="6"/>
  <c r="AR264" i="6"/>
  <c r="AP264" i="6"/>
  <c r="AO264" i="6"/>
  <c r="AR263" i="6"/>
  <c r="AP263" i="6"/>
  <c r="AO263" i="6"/>
  <c r="AR262" i="6"/>
  <c r="AP262" i="6"/>
  <c r="AO262" i="6"/>
  <c r="AN262" i="6"/>
  <c r="AM262" i="6"/>
  <c r="AR261" i="6"/>
  <c r="AP261" i="6"/>
  <c r="AO261" i="6"/>
  <c r="AN261" i="6"/>
  <c r="AM261" i="6"/>
  <c r="AR260" i="6"/>
  <c r="AO260" i="6"/>
  <c r="AB260" i="6"/>
  <c r="X260" i="6"/>
  <c r="AP260" i="6" s="1"/>
  <c r="AR259" i="6"/>
  <c r="AP259" i="6"/>
  <c r="AO259" i="6"/>
  <c r="AN259" i="6"/>
  <c r="AM259" i="6"/>
  <c r="AR258" i="6"/>
  <c r="AP258" i="6"/>
  <c r="AO258" i="6"/>
  <c r="AN258" i="6"/>
  <c r="AM258" i="6"/>
  <c r="AR257" i="6"/>
  <c r="AP257" i="6"/>
  <c r="AO257" i="6"/>
  <c r="AN257" i="6"/>
  <c r="AM257" i="6"/>
  <c r="AR256" i="6"/>
  <c r="AO256" i="6"/>
  <c r="AN256" i="6"/>
  <c r="X256" i="6"/>
  <c r="AM256" i="6" s="1"/>
  <c r="AR255" i="6"/>
  <c r="AO255" i="6"/>
  <c r="AN255" i="6"/>
  <c r="X255" i="6"/>
  <c r="AP255" i="6" s="1"/>
  <c r="AR254" i="6"/>
  <c r="AO254" i="6"/>
  <c r="AN254" i="6"/>
  <c r="X254" i="6"/>
  <c r="AP254" i="6" s="1"/>
  <c r="AR252" i="6"/>
  <c r="AP252" i="6"/>
  <c r="AO252" i="6"/>
  <c r="AR251" i="6"/>
  <c r="AP251" i="6"/>
  <c r="AO251" i="6"/>
  <c r="AC251" i="6"/>
  <c r="AR250" i="6"/>
  <c r="AP250" i="6"/>
  <c r="AO250" i="6"/>
  <c r="AN250" i="6"/>
  <c r="AM250" i="6"/>
  <c r="AQ249" i="6"/>
  <c r="AR249" i="6" s="1"/>
  <c r="AO249" i="6"/>
  <c r="X249" i="6"/>
  <c r="AQ248" i="6"/>
  <c r="AR248" i="6" s="1"/>
  <c r="AO248" i="6"/>
  <c r="X248" i="6"/>
  <c r="AR247" i="6"/>
  <c r="AP247" i="6"/>
  <c r="AO247" i="6"/>
  <c r="AR246" i="6"/>
  <c r="AP246" i="6"/>
  <c r="AO246" i="6"/>
  <c r="AN246" i="6"/>
  <c r="AM246" i="6"/>
  <c r="AR245" i="6"/>
  <c r="AP245" i="6"/>
  <c r="AO245" i="6"/>
  <c r="AR244" i="6"/>
  <c r="AP244" i="6"/>
  <c r="AO244" i="6"/>
  <c r="AN244" i="6"/>
  <c r="AM244" i="6"/>
  <c r="AR243" i="6"/>
  <c r="AP243" i="6"/>
  <c r="AO243" i="6"/>
  <c r="AN243" i="6"/>
  <c r="AM243" i="6"/>
  <c r="AR242" i="6"/>
  <c r="AP242" i="6"/>
  <c r="AO242" i="6"/>
  <c r="AN242" i="6"/>
  <c r="AM242" i="6"/>
  <c r="AR241" i="6"/>
  <c r="AP241" i="6"/>
  <c r="AO241" i="6"/>
  <c r="AN241" i="6"/>
  <c r="AM241" i="6"/>
  <c r="AR240" i="6"/>
  <c r="AP240" i="6"/>
  <c r="AO240" i="6"/>
  <c r="AN240" i="6"/>
  <c r="AM240" i="6"/>
  <c r="AR239" i="6"/>
  <c r="AP239" i="6"/>
  <c r="AO239" i="6"/>
  <c r="AN239" i="6"/>
  <c r="AM239" i="6"/>
  <c r="AR238" i="6"/>
  <c r="AP238" i="6"/>
  <c r="AO238" i="6"/>
  <c r="AN238" i="6"/>
  <c r="AM238" i="6"/>
  <c r="AR237" i="6"/>
  <c r="AP237" i="6"/>
  <c r="AO237" i="6"/>
  <c r="AR236" i="6"/>
  <c r="AP236" i="6"/>
  <c r="AO236" i="6"/>
  <c r="AC236" i="6"/>
  <c r="AB236" i="6"/>
  <c r="AR235" i="6"/>
  <c r="AP235" i="6"/>
  <c r="AO235" i="6"/>
  <c r="AN235" i="6"/>
  <c r="AM235" i="6"/>
  <c r="AR234" i="6"/>
  <c r="AP234" i="6"/>
  <c r="AO234" i="6"/>
  <c r="AN234" i="6"/>
  <c r="AM234" i="6"/>
  <c r="X234" i="6"/>
  <c r="AR233" i="6"/>
  <c r="AP233" i="6"/>
  <c r="AO233" i="6"/>
  <c r="AN233" i="6"/>
  <c r="AM233" i="6"/>
  <c r="AR232" i="6"/>
  <c r="AP232" i="6"/>
  <c r="AO232" i="6"/>
  <c r="AR231" i="6"/>
  <c r="AP231" i="6"/>
  <c r="AO231" i="6"/>
  <c r="AN231" i="6"/>
  <c r="AM231" i="6"/>
  <c r="AR230" i="6"/>
  <c r="AP230" i="6"/>
  <c r="AO230" i="6"/>
  <c r="AN230" i="6"/>
  <c r="AM230" i="6"/>
  <c r="AR229" i="6"/>
  <c r="AP229" i="6"/>
  <c r="AO229" i="6"/>
  <c r="AN229" i="6"/>
  <c r="AM229" i="6"/>
  <c r="AR228" i="6"/>
  <c r="AP228" i="6"/>
  <c r="AO228" i="6"/>
  <c r="AR227" i="6"/>
  <c r="AP227" i="6"/>
  <c r="AO227" i="6"/>
  <c r="AR226" i="6"/>
  <c r="AO226" i="6"/>
  <c r="AC226" i="6"/>
  <c r="AB226" i="6"/>
  <c r="Y226" i="6"/>
  <c r="Y265" i="6" s="1"/>
  <c r="AR225" i="6"/>
  <c r="AP225" i="6"/>
  <c r="AO225" i="6"/>
  <c r="AR224" i="6"/>
  <c r="AO224" i="6"/>
  <c r="AN224" i="6"/>
  <c r="X224" i="6"/>
  <c r="AP224" i="6" s="1"/>
  <c r="AR223" i="6"/>
  <c r="AO223" i="6"/>
  <c r="AN223" i="6"/>
  <c r="X223" i="6"/>
  <c r="AP223" i="6" s="1"/>
  <c r="AR221" i="6"/>
  <c r="AP221" i="6"/>
  <c r="AO221" i="6"/>
  <c r="AN221" i="6"/>
  <c r="AM221" i="6"/>
  <c r="AQ220" i="6"/>
  <c r="AR220" i="6" s="1"/>
  <c r="AO220" i="6"/>
  <c r="X220" i="6"/>
  <c r="AP220" i="6" s="1"/>
  <c r="AQ219" i="6"/>
  <c r="AR219" i="6" s="1"/>
  <c r="AO219" i="6"/>
  <c r="X219" i="6"/>
  <c r="AP219" i="6" s="1"/>
  <c r="AR217" i="6"/>
  <c r="AP217" i="6"/>
  <c r="AO217" i="6"/>
  <c r="AR216" i="6"/>
  <c r="AO216" i="6"/>
  <c r="AC216" i="6"/>
  <c r="AB216" i="6"/>
  <c r="AB265" i="6" s="1"/>
  <c r="X216" i="6"/>
  <c r="AR215" i="6"/>
  <c r="AP215" i="6"/>
  <c r="AO215" i="6"/>
  <c r="AR214" i="6"/>
  <c r="AP214" i="6"/>
  <c r="AO214" i="6"/>
  <c r="AN214" i="6"/>
  <c r="AM214" i="6"/>
  <c r="AR213" i="6"/>
  <c r="AP213" i="6"/>
  <c r="AO213" i="6"/>
  <c r="AR212" i="6"/>
  <c r="AP212" i="6"/>
  <c r="AO212" i="6"/>
  <c r="AN212" i="6"/>
  <c r="AM212" i="6"/>
  <c r="AR211" i="6"/>
  <c r="AO211" i="6"/>
  <c r="AN211" i="6"/>
  <c r="X211" i="6"/>
  <c r="AP211" i="6" s="1"/>
  <c r="AR210" i="6"/>
  <c r="AP210" i="6"/>
  <c r="AO210" i="6"/>
  <c r="AA210" i="6"/>
  <c r="AR209" i="6"/>
  <c r="AP209" i="6"/>
  <c r="AO209" i="6"/>
  <c r="AQ208" i="6"/>
  <c r="AR208" i="6" s="1"/>
  <c r="AO208" i="6"/>
  <c r="X208" i="6"/>
  <c r="AP208" i="6" s="1"/>
  <c r="AQ207" i="6"/>
  <c r="AO207" i="6"/>
  <c r="X207" i="6"/>
  <c r="AP207" i="6" s="1"/>
  <c r="AR205" i="6"/>
  <c r="AP205" i="6"/>
  <c r="AO205" i="6"/>
  <c r="AN205" i="6"/>
  <c r="AM205" i="6"/>
  <c r="AR204" i="6"/>
  <c r="AP204" i="6"/>
  <c r="AO204" i="6"/>
  <c r="AN204" i="6"/>
  <c r="AM204" i="6"/>
  <c r="AH193" i="6"/>
  <c r="AG193" i="6"/>
  <c r="AF193" i="6"/>
  <c r="AE193" i="6"/>
  <c r="AR192" i="6"/>
  <c r="AO192" i="6"/>
  <c r="AN192" i="6"/>
  <c r="X192" i="6"/>
  <c r="AM192" i="6" s="1"/>
  <c r="AR191" i="6"/>
  <c r="AO191" i="6"/>
  <c r="AN191" i="6"/>
  <c r="X191" i="6"/>
  <c r="AM191" i="6" s="1"/>
  <c r="AR190" i="6"/>
  <c r="AO190" i="6"/>
  <c r="AN190" i="6"/>
  <c r="X190" i="6"/>
  <c r="AM190" i="6" s="1"/>
  <c r="AR189" i="6"/>
  <c r="AP189" i="6"/>
  <c r="AO189" i="6"/>
  <c r="AN189" i="6"/>
  <c r="AM189" i="6"/>
  <c r="AR188" i="6"/>
  <c r="AO188" i="6"/>
  <c r="AN188" i="6"/>
  <c r="AM188" i="6"/>
  <c r="X188" i="6"/>
  <c r="AP188" i="6" s="1"/>
  <c r="AR187" i="6"/>
  <c r="AO187" i="6"/>
  <c r="AN187" i="6"/>
  <c r="X187" i="6"/>
  <c r="AR186" i="6"/>
  <c r="AP186" i="6"/>
  <c r="AO186" i="6"/>
  <c r="AN186" i="6"/>
  <c r="AM186" i="6"/>
  <c r="AR185" i="6"/>
  <c r="AP185" i="6"/>
  <c r="AO185" i="6"/>
  <c r="AN185" i="6"/>
  <c r="AM185" i="6"/>
  <c r="AR184" i="6"/>
  <c r="AP184" i="6"/>
  <c r="AO184" i="6"/>
  <c r="AN184" i="6"/>
  <c r="AM184" i="6"/>
  <c r="AR183" i="6"/>
  <c r="AP183" i="6"/>
  <c r="AO183" i="6"/>
  <c r="AN183" i="6"/>
  <c r="AM183" i="6"/>
  <c r="AR182" i="6"/>
  <c r="AP182" i="6"/>
  <c r="AO182" i="6"/>
  <c r="AN182" i="6"/>
  <c r="AM182" i="6"/>
  <c r="AR181" i="6"/>
  <c r="AP181" i="6"/>
  <c r="AO181" i="6"/>
  <c r="AN181" i="6"/>
  <c r="AM181" i="6"/>
  <c r="AR180" i="6"/>
  <c r="AP180" i="6"/>
  <c r="AO180" i="6"/>
  <c r="AN180" i="6"/>
  <c r="AM180" i="6"/>
  <c r="AR179" i="6"/>
  <c r="AO179" i="6"/>
  <c r="AN179" i="6"/>
  <c r="AM179" i="6"/>
  <c r="X179" i="6"/>
  <c r="AP179" i="6" s="1"/>
  <c r="AR178" i="6"/>
  <c r="AP178" i="6"/>
  <c r="AO178" i="6"/>
  <c r="AR177" i="6"/>
  <c r="AP177" i="6"/>
  <c r="AO177" i="6"/>
  <c r="AN177" i="6"/>
  <c r="AM177" i="6"/>
  <c r="AR176" i="6"/>
  <c r="AP176" i="6"/>
  <c r="AO176" i="6"/>
  <c r="AN176" i="6"/>
  <c r="AM176" i="6"/>
  <c r="AR175" i="6"/>
  <c r="AP175" i="6"/>
  <c r="AO175" i="6"/>
  <c r="AR174" i="6"/>
  <c r="AO174" i="6"/>
  <c r="X174" i="6"/>
  <c r="AR173" i="6"/>
  <c r="AP173" i="6"/>
  <c r="AO173" i="6"/>
  <c r="AN173" i="6"/>
  <c r="AM173" i="6"/>
  <c r="AR172" i="6"/>
  <c r="AO172" i="6"/>
  <c r="AC172" i="6"/>
  <c r="AB172" i="6"/>
  <c r="X172" i="6"/>
  <c r="AR171" i="6"/>
  <c r="AP171" i="6"/>
  <c r="AO171" i="6"/>
  <c r="AR170" i="6"/>
  <c r="AP170" i="6"/>
  <c r="AO170" i="6"/>
  <c r="AC170" i="6"/>
  <c r="AB170" i="6"/>
  <c r="AR169" i="6"/>
  <c r="AP169" i="6"/>
  <c r="AO169" i="6"/>
  <c r="AR168" i="6"/>
  <c r="AP168" i="6"/>
  <c r="AO168" i="6"/>
  <c r="AN168" i="6"/>
  <c r="AM168" i="6"/>
  <c r="AR167" i="6"/>
  <c r="AP167" i="6"/>
  <c r="AO167" i="6"/>
  <c r="AR166" i="6"/>
  <c r="AP166" i="6"/>
  <c r="AO166" i="6"/>
  <c r="AN166" i="6"/>
  <c r="AM166" i="6"/>
  <c r="AR165" i="6"/>
  <c r="AP165" i="6"/>
  <c r="AO165" i="6"/>
  <c r="AN165" i="6"/>
  <c r="AM165" i="6"/>
  <c r="AR164" i="6"/>
  <c r="AP164" i="6"/>
  <c r="AO164" i="6"/>
  <c r="AN164" i="6"/>
  <c r="AM164" i="6"/>
  <c r="AR163" i="6"/>
  <c r="AP163" i="6"/>
  <c r="AO163" i="6"/>
  <c r="AN163" i="6"/>
  <c r="AM163" i="6"/>
  <c r="AR162" i="6"/>
  <c r="AP162" i="6"/>
  <c r="AO162" i="6"/>
  <c r="AN162" i="6"/>
  <c r="AM162" i="6"/>
  <c r="AR161" i="6"/>
  <c r="AP161" i="6"/>
  <c r="AO161" i="6"/>
  <c r="AN161" i="6"/>
  <c r="AM161" i="6"/>
  <c r="AR160" i="6"/>
  <c r="AP160" i="6"/>
  <c r="AO160" i="6"/>
  <c r="AN160" i="6"/>
  <c r="AM160" i="6"/>
  <c r="AR159" i="6"/>
  <c r="AP159" i="6"/>
  <c r="AO159" i="6"/>
  <c r="AR158" i="6"/>
  <c r="AP158" i="6"/>
  <c r="AO158" i="6"/>
  <c r="AR157" i="6"/>
  <c r="AP157" i="6"/>
  <c r="AO157" i="6"/>
  <c r="AN157" i="6"/>
  <c r="AM157" i="6"/>
  <c r="AR156" i="6"/>
  <c r="AP156" i="6"/>
  <c r="AO156" i="6"/>
  <c r="AN156" i="6"/>
  <c r="AM156" i="6"/>
  <c r="AR155" i="6"/>
  <c r="AP155" i="6"/>
  <c r="AO155" i="6"/>
  <c r="AN155" i="6"/>
  <c r="AM155" i="6"/>
  <c r="AR154" i="6"/>
  <c r="AP154" i="6"/>
  <c r="AO154" i="6"/>
  <c r="AN154" i="6"/>
  <c r="AM154" i="6"/>
  <c r="X154" i="6"/>
  <c r="AR153" i="6"/>
  <c r="AP153" i="6"/>
  <c r="AO153" i="6"/>
  <c r="AN153" i="6"/>
  <c r="AM153" i="6"/>
  <c r="AR152" i="6"/>
  <c r="AP152" i="6"/>
  <c r="AO152" i="6"/>
  <c r="AN152" i="6"/>
  <c r="AM152" i="6"/>
  <c r="AR151" i="6"/>
  <c r="AP151" i="6"/>
  <c r="AO151" i="6"/>
  <c r="AN151" i="6"/>
  <c r="AM151" i="6"/>
  <c r="AQ150" i="6"/>
  <c r="AR150" i="6" s="1"/>
  <c r="AO150" i="6"/>
  <c r="X150" i="6"/>
  <c r="AQ149" i="6"/>
  <c r="AR149" i="6" s="1"/>
  <c r="AO149" i="6"/>
  <c r="X149" i="6"/>
  <c r="AQ148" i="6"/>
  <c r="AR148" i="6" s="1"/>
  <c r="AO148" i="6"/>
  <c r="X148" i="6"/>
  <c r="AR146" i="6"/>
  <c r="AP146" i="6"/>
  <c r="AO146" i="6"/>
  <c r="AN146" i="6"/>
  <c r="AM146" i="6"/>
  <c r="AR145" i="6"/>
  <c r="AP145" i="6"/>
  <c r="AO145" i="6"/>
  <c r="AN145" i="6"/>
  <c r="AM145" i="6"/>
  <c r="AR144" i="6"/>
  <c r="AO144" i="6"/>
  <c r="AN144" i="6"/>
  <c r="AM144" i="6"/>
  <c r="X144" i="6"/>
  <c r="AP144" i="6" s="1"/>
  <c r="AR143" i="6"/>
  <c r="AO143" i="6"/>
  <c r="AN143" i="6"/>
  <c r="X143" i="6"/>
  <c r="AP143" i="6" s="1"/>
  <c r="AR141" i="6"/>
  <c r="AP141" i="6"/>
  <c r="AO141" i="6"/>
  <c r="AN141" i="6"/>
  <c r="AM141" i="6"/>
  <c r="AR140" i="6"/>
  <c r="AP140" i="6"/>
  <c r="AO140" i="6"/>
  <c r="AN140" i="6"/>
  <c r="AM140" i="6"/>
  <c r="AR139" i="6"/>
  <c r="AP139" i="6"/>
  <c r="AO139" i="6"/>
  <c r="AN139" i="6"/>
  <c r="AM139" i="6"/>
  <c r="AR138" i="6"/>
  <c r="AO138" i="6"/>
  <c r="AN138" i="6"/>
  <c r="X138" i="6"/>
  <c r="AP138" i="6" s="1"/>
  <c r="AR137" i="6"/>
  <c r="AO137" i="6"/>
  <c r="AN137" i="6"/>
  <c r="X137" i="6"/>
  <c r="AP137" i="6" s="1"/>
  <c r="AR135" i="6"/>
  <c r="AP135" i="6"/>
  <c r="AO135" i="6"/>
  <c r="AR134" i="6"/>
  <c r="AP134" i="6"/>
  <c r="AO134" i="6"/>
  <c r="AR133" i="6"/>
  <c r="AO133" i="6"/>
  <c r="AN133" i="6"/>
  <c r="X133" i="6"/>
  <c r="AP133" i="6" s="1"/>
  <c r="AR132" i="6"/>
  <c r="AP132" i="6"/>
  <c r="AO132" i="6"/>
  <c r="AR131" i="6"/>
  <c r="AP131" i="6"/>
  <c r="AO131" i="6"/>
  <c r="AR130" i="6"/>
  <c r="AP130" i="6"/>
  <c r="AO130" i="6"/>
  <c r="AB130" i="6"/>
  <c r="AQ129" i="6"/>
  <c r="AR129" i="6" s="1"/>
  <c r="AO129" i="6"/>
  <c r="X129" i="6"/>
  <c r="AQ128" i="6"/>
  <c r="AR128" i="6" s="1"/>
  <c r="AO128" i="6"/>
  <c r="X128" i="6"/>
  <c r="AR126" i="6"/>
  <c r="AP126" i="6"/>
  <c r="AO126" i="6"/>
  <c r="AN126" i="6"/>
  <c r="AM126" i="6"/>
  <c r="AR125" i="6"/>
  <c r="AP125" i="6"/>
  <c r="AO125" i="6"/>
  <c r="AR124" i="6"/>
  <c r="AP124" i="6"/>
  <c r="AO124" i="6"/>
  <c r="AR123" i="6"/>
  <c r="AP123" i="6"/>
  <c r="AO123" i="6"/>
  <c r="AR122" i="6"/>
  <c r="AP122" i="6"/>
  <c r="AO122" i="6"/>
  <c r="AN122" i="6"/>
  <c r="AM122" i="6"/>
  <c r="AR121" i="6"/>
  <c r="AP121" i="6"/>
  <c r="AO121" i="6"/>
  <c r="AQ120" i="6"/>
  <c r="AR120" i="6" s="1"/>
  <c r="AO120" i="6"/>
  <c r="X120" i="6"/>
  <c r="AQ119" i="6"/>
  <c r="AO119" i="6"/>
  <c r="X119" i="6"/>
  <c r="AP119" i="6" s="1"/>
  <c r="AR117" i="6"/>
  <c r="AP117" i="6"/>
  <c r="AO117" i="6"/>
  <c r="AN117" i="6"/>
  <c r="AM117" i="6"/>
  <c r="AR116" i="6"/>
  <c r="AP116" i="6"/>
  <c r="AO116" i="6"/>
  <c r="AC116" i="6"/>
  <c r="AC193" i="6" s="1"/>
  <c r="AB116" i="6"/>
  <c r="AB193" i="6" s="1"/>
  <c r="AR115" i="6"/>
  <c r="AP115" i="6"/>
  <c r="AO115" i="6"/>
  <c r="AN115" i="6"/>
  <c r="AM115" i="6"/>
  <c r="Y115" i="6"/>
  <c r="AR114" i="6"/>
  <c r="AO114" i="6"/>
  <c r="AN114" i="6"/>
  <c r="X114" i="6"/>
  <c r="AR113" i="6"/>
  <c r="AO113" i="6"/>
  <c r="AN113" i="6"/>
  <c r="X113" i="6"/>
  <c r="AP113" i="6" s="1"/>
  <c r="AR112" i="6"/>
  <c r="AP112" i="6"/>
  <c r="AO112" i="6"/>
  <c r="AN112" i="6"/>
  <c r="AM112" i="6"/>
  <c r="X112" i="6"/>
  <c r="AR111" i="6"/>
  <c r="AO111" i="6"/>
  <c r="AM111" i="6"/>
  <c r="Y111" i="6"/>
  <c r="AN111" i="6" s="1"/>
  <c r="X111" i="6"/>
  <c r="AP111" i="6" s="1"/>
  <c r="AR110" i="6"/>
  <c r="AO110" i="6"/>
  <c r="AN110" i="6"/>
  <c r="AM110" i="6"/>
  <c r="X110" i="6"/>
  <c r="AP110" i="6" s="1"/>
  <c r="AR109" i="6"/>
  <c r="AP109" i="6"/>
  <c r="AO109" i="6"/>
  <c r="AN109" i="6"/>
  <c r="X109" i="6"/>
  <c r="AM109" i="6" s="1"/>
  <c r="AR108" i="6"/>
  <c r="AP108" i="6"/>
  <c r="AO108" i="6"/>
  <c r="AN108" i="6"/>
  <c r="AM108" i="6"/>
  <c r="AR107" i="6"/>
  <c r="AP107" i="6"/>
  <c r="AO107" i="6"/>
  <c r="AN107" i="6"/>
  <c r="AM107" i="6"/>
  <c r="AR102" i="6"/>
  <c r="AO102" i="6"/>
  <c r="AN102" i="6"/>
  <c r="X102" i="6"/>
  <c r="AR96" i="6"/>
  <c r="AP96" i="6"/>
  <c r="AO96" i="6"/>
  <c r="AR95" i="6"/>
  <c r="AP95" i="6"/>
  <c r="AO95" i="6"/>
  <c r="AR94" i="6"/>
  <c r="AO94" i="6"/>
  <c r="AN94" i="6"/>
  <c r="X94" i="6"/>
  <c r="AP94" i="6" s="1"/>
  <c r="AR93" i="6"/>
  <c r="AO93" i="6"/>
  <c r="AN93" i="6"/>
  <c r="X93" i="6"/>
  <c r="AM93" i="6" s="1"/>
  <c r="AR91" i="6"/>
  <c r="AP91" i="6"/>
  <c r="AO91" i="6"/>
  <c r="AN91" i="6"/>
  <c r="AM91" i="6"/>
  <c r="AR90" i="6"/>
  <c r="AP90" i="6"/>
  <c r="AO90" i="6"/>
  <c r="AN90" i="6"/>
  <c r="AM90" i="6"/>
  <c r="AR89" i="6"/>
  <c r="AO89" i="6"/>
  <c r="AN89" i="6"/>
  <c r="X89" i="6"/>
  <c r="AP89" i="6" s="1"/>
  <c r="AR88" i="6"/>
  <c r="AO88" i="6"/>
  <c r="AN88" i="6"/>
  <c r="X88" i="6"/>
  <c r="AM88" i="6" s="1"/>
  <c r="AR87" i="6"/>
  <c r="AO87" i="6"/>
  <c r="AN87" i="6"/>
  <c r="X87" i="6"/>
  <c r="AP87" i="6" s="1"/>
  <c r="AR85" i="6"/>
  <c r="AO85" i="6"/>
  <c r="AN85" i="6"/>
  <c r="X85" i="6"/>
  <c r="AM85" i="6" s="1"/>
  <c r="AR84" i="6"/>
  <c r="AO84" i="6"/>
  <c r="AN84" i="6"/>
  <c r="X84" i="6"/>
  <c r="AM84" i="6" s="1"/>
  <c r="AR83" i="6"/>
  <c r="AO83" i="6"/>
  <c r="AN83" i="6"/>
  <c r="X83" i="6"/>
  <c r="AP83" i="6" s="1"/>
  <c r="AR81" i="6"/>
  <c r="AP81" i="6"/>
  <c r="AO81" i="6"/>
  <c r="AN81" i="6"/>
  <c r="AM81" i="6"/>
  <c r="AR80" i="6"/>
  <c r="AP80" i="6"/>
  <c r="AO80" i="6"/>
  <c r="AR79" i="6"/>
  <c r="AP79" i="6"/>
  <c r="AO79" i="6"/>
  <c r="AR78" i="6"/>
  <c r="AP78" i="6"/>
  <c r="AO78" i="6"/>
  <c r="AN78" i="6"/>
  <c r="AM78" i="6"/>
  <c r="AR77" i="6"/>
  <c r="AP77" i="6"/>
  <c r="AO77" i="6"/>
  <c r="AR76" i="6"/>
  <c r="AO76" i="6"/>
  <c r="X76" i="6"/>
  <c r="AP76" i="6" s="1"/>
  <c r="AR75" i="6"/>
  <c r="AO75" i="6"/>
  <c r="X75" i="6"/>
  <c r="AP75" i="6" s="1"/>
  <c r="AR73" i="6"/>
  <c r="AP73" i="6"/>
  <c r="AO73" i="6"/>
  <c r="AN73" i="6"/>
  <c r="AM73" i="6"/>
  <c r="AR72" i="6"/>
  <c r="AP72" i="6"/>
  <c r="AO72" i="6"/>
  <c r="AN72" i="6"/>
  <c r="AM72" i="6"/>
  <c r="X72" i="6"/>
  <c r="AR71" i="6"/>
  <c r="AP71" i="6"/>
  <c r="AO71" i="6"/>
  <c r="AN71" i="6"/>
  <c r="AM71" i="6"/>
  <c r="AR70" i="6"/>
  <c r="AP70" i="6"/>
  <c r="AO70" i="6"/>
  <c r="AR69" i="6"/>
  <c r="AP69" i="6"/>
  <c r="AO69" i="6"/>
  <c r="AN69" i="6"/>
  <c r="AM69" i="6"/>
  <c r="AR68" i="6"/>
  <c r="AP68" i="6"/>
  <c r="AO68" i="6"/>
  <c r="AC68" i="6"/>
  <c r="AR67" i="6"/>
  <c r="AP67" i="6"/>
  <c r="AO67" i="6"/>
  <c r="AN67" i="6"/>
  <c r="AM67" i="6"/>
  <c r="AR66" i="6"/>
  <c r="AP66" i="6"/>
  <c r="AO66" i="6"/>
  <c r="AN66" i="6"/>
  <c r="AM66" i="6"/>
  <c r="AR65" i="6"/>
  <c r="AO65" i="6"/>
  <c r="AN65" i="6"/>
  <c r="X65" i="6"/>
  <c r="AP65" i="6" s="1"/>
  <c r="AR64" i="6"/>
  <c r="AP64" i="6"/>
  <c r="AO64" i="6"/>
  <c r="AN64" i="6"/>
  <c r="AM64" i="6"/>
  <c r="AR63" i="6"/>
  <c r="AP63" i="6"/>
  <c r="AO63" i="6"/>
  <c r="AN63" i="6"/>
  <c r="AM63" i="6"/>
  <c r="AR62" i="6"/>
  <c r="AP62" i="6"/>
  <c r="AO62" i="6"/>
  <c r="AN62" i="6"/>
  <c r="AM62" i="6"/>
  <c r="AR61" i="6"/>
  <c r="AO61" i="6"/>
  <c r="AN61" i="6"/>
  <c r="X61" i="6"/>
  <c r="AR60" i="6"/>
  <c r="AP60" i="6"/>
  <c r="AO60" i="6"/>
  <c r="AN60" i="6"/>
  <c r="AM60" i="6"/>
  <c r="AR59" i="6"/>
  <c r="AP59" i="6"/>
  <c r="AO59" i="6"/>
  <c r="AN59" i="6"/>
  <c r="AM59" i="6"/>
  <c r="AR58" i="6"/>
  <c r="AP58" i="6"/>
  <c r="AO58" i="6"/>
  <c r="AN58" i="6"/>
  <c r="AM58" i="6"/>
  <c r="AR57" i="6"/>
  <c r="AP57" i="6"/>
  <c r="AO57" i="6"/>
  <c r="AN57" i="6"/>
  <c r="AM57" i="6"/>
  <c r="AR56" i="6"/>
  <c r="AP56" i="6"/>
  <c r="AO56" i="6"/>
  <c r="AN56" i="6"/>
  <c r="AM56" i="6"/>
  <c r="AQ55" i="6"/>
  <c r="AR55" i="6" s="1"/>
  <c r="AO55" i="6"/>
  <c r="AC55" i="6"/>
  <c r="AB55" i="6"/>
  <c r="X55" i="6"/>
  <c r="AQ54" i="6"/>
  <c r="AR54" i="6" s="1"/>
  <c r="AO54" i="6"/>
  <c r="AC54" i="6"/>
  <c r="AC97" i="6" s="1"/>
  <c r="X54" i="6"/>
  <c r="AP54" i="6" s="1"/>
  <c r="AB53" i="6"/>
  <c r="AB54" i="6" s="1"/>
  <c r="AR52" i="6"/>
  <c r="AP52" i="6"/>
  <c r="AO52" i="6"/>
  <c r="AR51" i="6"/>
  <c r="AP51" i="6"/>
  <c r="AO51" i="6"/>
  <c r="AR50" i="6"/>
  <c r="AP50" i="6"/>
  <c r="AO50" i="6"/>
  <c r="AN50" i="6"/>
  <c r="AM50" i="6"/>
  <c r="AR49" i="6"/>
  <c r="AP49" i="6"/>
  <c r="AO49" i="6"/>
  <c r="AR48" i="6"/>
  <c r="AP48" i="6"/>
  <c r="AO48" i="6"/>
  <c r="AR47" i="6"/>
  <c r="AP47" i="6"/>
  <c r="AO47" i="6"/>
  <c r="AR46" i="6"/>
  <c r="AO46" i="6"/>
  <c r="AM46" i="6"/>
  <c r="Y46" i="6"/>
  <c r="AP46" i="6" s="1"/>
  <c r="AR45" i="6"/>
  <c r="AP45" i="6"/>
  <c r="AO45" i="6"/>
  <c r="AR44" i="6"/>
  <c r="AP44" i="6"/>
  <c r="AO44" i="6"/>
  <c r="AR43" i="6"/>
  <c r="AP43" i="6"/>
  <c r="AO43" i="6"/>
  <c r="AN43" i="6"/>
  <c r="AM43" i="6"/>
  <c r="AQ42" i="6"/>
  <c r="AR42" i="6" s="1"/>
  <c r="AO42" i="6"/>
  <c r="X42" i="6"/>
  <c r="AQ41" i="6"/>
  <c r="AR41" i="6" s="1"/>
  <c r="AO41" i="6"/>
  <c r="X41" i="6"/>
  <c r="AQ40" i="6"/>
  <c r="AR40" i="6" s="1"/>
  <c r="AO40" i="6"/>
  <c r="X40" i="6"/>
  <c r="AR38" i="6"/>
  <c r="AP38" i="6"/>
  <c r="AO38" i="6"/>
  <c r="AN38" i="6"/>
  <c r="AM38" i="6"/>
  <c r="AR37" i="6"/>
  <c r="AP37" i="6"/>
  <c r="AO37" i="6"/>
  <c r="AR36" i="6"/>
  <c r="AP36" i="6"/>
  <c r="AO36" i="6"/>
  <c r="AN36" i="6"/>
  <c r="AM36" i="6"/>
  <c r="AR35" i="6"/>
  <c r="AP35" i="6"/>
  <c r="AO35" i="6"/>
  <c r="X35" i="6"/>
  <c r="AR34" i="6"/>
  <c r="AP34" i="6"/>
  <c r="AO34" i="6"/>
  <c r="AN34" i="6"/>
  <c r="AM34" i="6"/>
  <c r="AR33" i="6"/>
  <c r="AP33" i="6"/>
  <c r="AO33" i="6"/>
  <c r="AR32" i="6"/>
  <c r="AP32" i="6"/>
  <c r="AO32" i="6"/>
  <c r="X32" i="6"/>
  <c r="AR31" i="6"/>
  <c r="AO31" i="6"/>
  <c r="X31" i="6"/>
  <c r="AP31" i="6" s="1"/>
  <c r="AR29" i="6"/>
  <c r="AP29" i="6"/>
  <c r="AO29" i="6"/>
  <c r="AR28" i="6"/>
  <c r="AP28" i="6"/>
  <c r="AO28" i="6"/>
  <c r="AN28" i="6"/>
  <c r="AM28" i="6"/>
  <c r="AR27" i="6"/>
  <c r="AP27" i="6"/>
  <c r="AO27" i="6"/>
  <c r="AN27" i="6"/>
  <c r="AM27" i="6"/>
  <c r="AQ26" i="6"/>
  <c r="AR26" i="6" s="1"/>
  <c r="AG26" i="6"/>
  <c r="AO26" i="6" s="1"/>
  <c r="AB26" i="6"/>
  <c r="X26" i="6"/>
  <c r="AQ25" i="6"/>
  <c r="AP25" i="6"/>
  <c r="AG25" i="6"/>
  <c r="AO25" i="6" s="1"/>
  <c r="AB25" i="6"/>
  <c r="X25" i="6"/>
  <c r="AR23" i="6"/>
  <c r="AP23" i="6"/>
  <c r="AO23" i="6"/>
  <c r="AR22" i="6"/>
  <c r="AP22" i="6"/>
  <c r="AO22" i="6"/>
  <c r="AN22" i="6"/>
  <c r="AM22" i="6"/>
  <c r="AR21" i="6"/>
  <c r="AP21" i="6"/>
  <c r="AO21" i="6"/>
  <c r="AN21" i="6"/>
  <c r="AM21" i="6"/>
  <c r="AR20" i="6"/>
  <c r="AP20" i="6"/>
  <c r="AO20" i="6"/>
  <c r="AN20" i="6"/>
  <c r="AM20" i="6"/>
  <c r="AR19" i="6"/>
  <c r="AP19" i="6"/>
  <c r="AO19" i="6"/>
  <c r="AB19" i="6"/>
  <c r="X17" i="6"/>
  <c r="X16" i="6"/>
  <c r="X14" i="6" s="1"/>
  <c r="AP14" i="6" s="1"/>
  <c r="AR14" i="6"/>
  <c r="AO14" i="6"/>
  <c r="AR13" i="6"/>
  <c r="AP13" i="6"/>
  <c r="AO13" i="6"/>
  <c r="AN13" i="6"/>
  <c r="AM13" i="6"/>
  <c r="AR12" i="6"/>
  <c r="AP12" i="6"/>
  <c r="AO12" i="6"/>
  <c r="AR11" i="6"/>
  <c r="AP11" i="6"/>
  <c r="AO11" i="6"/>
  <c r="AN11" i="6"/>
  <c r="AM11" i="6"/>
  <c r="X10" i="6"/>
  <c r="X8" i="6" s="1"/>
  <c r="AM8" i="6" s="1"/>
  <c r="AR8" i="6"/>
  <c r="AO8" i="6"/>
  <c r="AN8" i="6"/>
  <c r="AR7" i="6"/>
  <c r="AP7" i="6"/>
  <c r="AO7" i="6"/>
  <c r="AN7" i="6"/>
  <c r="X7" i="6"/>
  <c r="AM7" i="6" s="1"/>
  <c r="AR6" i="6"/>
  <c r="AP6" i="6"/>
  <c r="AO6" i="6"/>
  <c r="AN6" i="6"/>
  <c r="AM6" i="6"/>
  <c r="AR5" i="6"/>
  <c r="AP5" i="6"/>
  <c r="AO5" i="6"/>
  <c r="AN5" i="6"/>
  <c r="AM5" i="6"/>
  <c r="AR4" i="6"/>
  <c r="AP4" i="6"/>
  <c r="AO4" i="6"/>
  <c r="AR3" i="6"/>
  <c r="AP3" i="6"/>
  <c r="AO3" i="6"/>
  <c r="X3" i="6"/>
  <c r="AR2" i="6"/>
  <c r="AP2" i="6"/>
  <c r="AO2" i="6"/>
  <c r="X375" i="5"/>
  <c r="AB366" i="5"/>
  <c r="X366" i="5"/>
  <c r="AC365" i="5"/>
  <c r="AB365" i="5"/>
  <c r="AC364" i="5"/>
  <c r="AB364" i="5"/>
  <c r="AD363" i="5"/>
  <c r="AC363" i="5"/>
  <c r="X363" i="5"/>
  <c r="AB361" i="5"/>
  <c r="X361" i="5"/>
  <c r="X348" i="5"/>
  <c r="X345" i="5"/>
  <c r="AB344" i="5"/>
  <c r="X344" i="5"/>
  <c r="X339" i="5"/>
  <c r="X335" i="5"/>
  <c r="X331" i="5"/>
  <c r="X328" i="5"/>
  <c r="X278" i="5"/>
  <c r="W278" i="5"/>
  <c r="AA277" i="5"/>
  <c r="Z277" i="5"/>
  <c r="Y277" i="5"/>
  <c r="S277" i="5"/>
  <c r="AA276" i="5"/>
  <c r="Z276" i="5"/>
  <c r="Y276" i="5"/>
  <c r="S276" i="5"/>
  <c r="AA275" i="5"/>
  <c r="Z275" i="5"/>
  <c r="Y275" i="5"/>
  <c r="S275" i="5"/>
  <c r="AS264" i="5"/>
  <c r="AQ264" i="5"/>
  <c r="AO264" i="5"/>
  <c r="AS263" i="5"/>
  <c r="AQ263" i="5"/>
  <c r="AO263" i="5"/>
  <c r="AS262" i="5"/>
  <c r="AQ262" i="5"/>
  <c r="AO262" i="5"/>
  <c r="AN262" i="5"/>
  <c r="AM262" i="5"/>
  <c r="AS261" i="5"/>
  <c r="AQ261" i="5"/>
  <c r="AO261" i="5"/>
  <c r="AN261" i="5"/>
  <c r="AM261" i="5"/>
  <c r="AS260" i="5"/>
  <c r="AO260" i="5"/>
  <c r="AB260" i="5"/>
  <c r="X260" i="5"/>
  <c r="AQ260" i="5" s="1"/>
  <c r="AS259" i="5"/>
  <c r="AQ259" i="5"/>
  <c r="AO259" i="5"/>
  <c r="AN259" i="5"/>
  <c r="AM259" i="5"/>
  <c r="AS258" i="5"/>
  <c r="AQ258" i="5"/>
  <c r="AO258" i="5"/>
  <c r="AN258" i="5"/>
  <c r="AM258" i="5"/>
  <c r="AS257" i="5"/>
  <c r="AQ257" i="5"/>
  <c r="AO257" i="5"/>
  <c r="AN257" i="5"/>
  <c r="AM257" i="5"/>
  <c r="AS256" i="5"/>
  <c r="AO256" i="5"/>
  <c r="AN256" i="5"/>
  <c r="X256" i="5"/>
  <c r="AM256" i="5" s="1"/>
  <c r="AS255" i="5"/>
  <c r="AO255" i="5"/>
  <c r="AN255" i="5"/>
  <c r="X255" i="5"/>
  <c r="AQ255" i="5" s="1"/>
  <c r="AS254" i="5"/>
  <c r="AO254" i="5"/>
  <c r="AN254" i="5"/>
  <c r="X254" i="5"/>
  <c r="AQ254" i="5" s="1"/>
  <c r="AS252" i="5"/>
  <c r="AQ252" i="5"/>
  <c r="AO252" i="5"/>
  <c r="AS251" i="5"/>
  <c r="AQ251" i="5"/>
  <c r="AO251" i="5"/>
  <c r="AC251" i="5"/>
  <c r="AS250" i="5"/>
  <c r="AQ250" i="5"/>
  <c r="AO250" i="5"/>
  <c r="AN250" i="5"/>
  <c r="AM250" i="5"/>
  <c r="AR249" i="5"/>
  <c r="AS249" i="5" s="1"/>
  <c r="AO249" i="5"/>
  <c r="X249" i="5"/>
  <c r="AQ249" i="5" s="1"/>
  <c r="AR248" i="5"/>
  <c r="AS248" i="5" s="1"/>
  <c r="AO248" i="5"/>
  <c r="X248" i="5"/>
  <c r="AQ248" i="5" s="1"/>
  <c r="AS247" i="5"/>
  <c r="AQ247" i="5"/>
  <c r="AO247" i="5"/>
  <c r="AS246" i="5"/>
  <c r="AQ246" i="5"/>
  <c r="AO246" i="5"/>
  <c r="AN246" i="5"/>
  <c r="AM246" i="5"/>
  <c r="AS245" i="5"/>
  <c r="AQ245" i="5"/>
  <c r="AO245" i="5"/>
  <c r="AS244" i="5"/>
  <c r="AQ244" i="5"/>
  <c r="AO244" i="5"/>
  <c r="AN244" i="5"/>
  <c r="AM244" i="5"/>
  <c r="AS243" i="5"/>
  <c r="AQ243" i="5"/>
  <c r="AO243" i="5"/>
  <c r="AN243" i="5"/>
  <c r="AM243" i="5"/>
  <c r="AS242" i="5"/>
  <c r="AQ242" i="5"/>
  <c r="AO242" i="5"/>
  <c r="AN242" i="5"/>
  <c r="AM242" i="5"/>
  <c r="AS241" i="5"/>
  <c r="AQ241" i="5"/>
  <c r="AO241" i="5"/>
  <c r="AN241" i="5"/>
  <c r="AM241" i="5"/>
  <c r="AS240" i="5"/>
  <c r="AQ240" i="5"/>
  <c r="AO240" i="5"/>
  <c r="AN240" i="5"/>
  <c r="AM240" i="5"/>
  <c r="AS239" i="5"/>
  <c r="AQ239" i="5"/>
  <c r="AO239" i="5"/>
  <c r="AN239" i="5"/>
  <c r="AM239" i="5"/>
  <c r="AS238" i="5"/>
  <c r="AQ238" i="5"/>
  <c r="AO238" i="5"/>
  <c r="AN238" i="5"/>
  <c r="AM238" i="5"/>
  <c r="AS237" i="5"/>
  <c r="AQ237" i="5"/>
  <c r="AO237" i="5"/>
  <c r="AS236" i="5"/>
  <c r="AQ236" i="5"/>
  <c r="AO236" i="5"/>
  <c r="AC236" i="5"/>
  <c r="AB236" i="5"/>
  <c r="AS235" i="5"/>
  <c r="AQ235" i="5"/>
  <c r="AO235" i="5"/>
  <c r="AN235" i="5"/>
  <c r="AM235" i="5"/>
  <c r="AS234" i="5"/>
  <c r="AQ234" i="5"/>
  <c r="AO234" i="5"/>
  <c r="AN234" i="5"/>
  <c r="X234" i="5"/>
  <c r="AM234" i="5" s="1"/>
  <c r="AS233" i="5"/>
  <c r="AQ233" i="5"/>
  <c r="AO233" i="5"/>
  <c r="AN233" i="5"/>
  <c r="AM233" i="5"/>
  <c r="AS232" i="5"/>
  <c r="AQ232" i="5"/>
  <c r="AO232" i="5"/>
  <c r="AS231" i="5"/>
  <c r="AQ231" i="5"/>
  <c r="AO231" i="5"/>
  <c r="AN231" i="5"/>
  <c r="AM231" i="5"/>
  <c r="AS230" i="5"/>
  <c r="AQ230" i="5"/>
  <c r="AO230" i="5"/>
  <c r="AN230" i="5"/>
  <c r="AM230" i="5"/>
  <c r="AS229" i="5"/>
  <c r="AQ229" i="5"/>
  <c r="AO229" i="5"/>
  <c r="AN229" i="5"/>
  <c r="AM229" i="5"/>
  <c r="AS228" i="5"/>
  <c r="AQ228" i="5"/>
  <c r="AO228" i="5"/>
  <c r="AS227" i="5"/>
  <c r="AQ227" i="5"/>
  <c r="AO227" i="5"/>
  <c r="AS226" i="5"/>
  <c r="AO226" i="5"/>
  <c r="AC226" i="5"/>
  <c r="AB226" i="5"/>
  <c r="Y226" i="5"/>
  <c r="AQ226" i="5" s="1"/>
  <c r="AS225" i="5"/>
  <c r="AQ225" i="5"/>
  <c r="AO225" i="5"/>
  <c r="AS224" i="5"/>
  <c r="AO224" i="5"/>
  <c r="AN224" i="5"/>
  <c r="X224" i="5"/>
  <c r="AM224" i="5" s="1"/>
  <c r="AS223" i="5"/>
  <c r="AO223" i="5"/>
  <c r="AN223" i="5"/>
  <c r="X223" i="5"/>
  <c r="AQ223" i="5" s="1"/>
  <c r="AS221" i="5"/>
  <c r="AQ221" i="5"/>
  <c r="AO221" i="5"/>
  <c r="AN221" i="5"/>
  <c r="AM221" i="5"/>
  <c r="AR220" i="5"/>
  <c r="AS220" i="5" s="1"/>
  <c r="AO220" i="5"/>
  <c r="X220" i="5"/>
  <c r="AQ220" i="5" s="1"/>
  <c r="AR219" i="5"/>
  <c r="AS219" i="5" s="1"/>
  <c r="AO219" i="5"/>
  <c r="X219" i="5"/>
  <c r="AQ219" i="5" s="1"/>
  <c r="AS217" i="5"/>
  <c r="AQ217" i="5"/>
  <c r="AO217" i="5"/>
  <c r="AS216" i="5"/>
  <c r="AO216" i="5"/>
  <c r="AC216" i="5"/>
  <c r="AC265" i="5" s="1"/>
  <c r="AB216" i="5"/>
  <c r="X216" i="5"/>
  <c r="AQ216" i="5" s="1"/>
  <c r="AS215" i="5"/>
  <c r="AQ215" i="5"/>
  <c r="AO215" i="5"/>
  <c r="AS214" i="5"/>
  <c r="AQ214" i="5"/>
  <c r="AO214" i="5"/>
  <c r="AN214" i="5"/>
  <c r="AM214" i="5"/>
  <c r="AS213" i="5"/>
  <c r="AQ213" i="5"/>
  <c r="AO213" i="5"/>
  <c r="AS212" i="5"/>
  <c r="AQ212" i="5"/>
  <c r="AO212" i="5"/>
  <c r="AN212" i="5"/>
  <c r="AM212" i="5"/>
  <c r="AS211" i="5"/>
  <c r="AQ211" i="5"/>
  <c r="AO211" i="5"/>
  <c r="AN211" i="5"/>
  <c r="X211" i="5"/>
  <c r="AM211" i="5" s="1"/>
  <c r="AS210" i="5"/>
  <c r="AQ210" i="5"/>
  <c r="AO210" i="5"/>
  <c r="AA210" i="5"/>
  <c r="AS209" i="5"/>
  <c r="AQ209" i="5"/>
  <c r="AO209" i="5"/>
  <c r="AR208" i="5"/>
  <c r="AS208" i="5" s="1"/>
  <c r="AO208" i="5"/>
  <c r="X208" i="5"/>
  <c r="AQ208" i="5" s="1"/>
  <c r="AR207" i="5"/>
  <c r="AO207" i="5"/>
  <c r="X207" i="5"/>
  <c r="AS205" i="5"/>
  <c r="AQ205" i="5"/>
  <c r="AO205" i="5"/>
  <c r="AN205" i="5"/>
  <c r="AM205" i="5"/>
  <c r="AS204" i="5"/>
  <c r="AQ204" i="5"/>
  <c r="AO204" i="5"/>
  <c r="AN204" i="5"/>
  <c r="AM204" i="5"/>
  <c r="AH193" i="5"/>
  <c r="AG193" i="5"/>
  <c r="AF193" i="5"/>
  <c r="AE193" i="5"/>
  <c r="AS192" i="5"/>
  <c r="AO192" i="5"/>
  <c r="AN192" i="5"/>
  <c r="X192" i="5"/>
  <c r="AQ192" i="5" s="1"/>
  <c r="AS191" i="5"/>
  <c r="AO191" i="5"/>
  <c r="AN191" i="5"/>
  <c r="X191" i="5"/>
  <c r="AQ191" i="5" s="1"/>
  <c r="AS190" i="5"/>
  <c r="AO190" i="5"/>
  <c r="AN190" i="5"/>
  <c r="X190" i="5"/>
  <c r="AM190" i="5" s="1"/>
  <c r="AS189" i="5"/>
  <c r="AQ189" i="5"/>
  <c r="AO189" i="5"/>
  <c r="AN189" i="5"/>
  <c r="AM189" i="5"/>
  <c r="AS188" i="5"/>
  <c r="AQ188" i="5"/>
  <c r="AO188" i="5"/>
  <c r="AN188" i="5"/>
  <c r="X188" i="5"/>
  <c r="AM188" i="5" s="1"/>
  <c r="AS187" i="5"/>
  <c r="AO187" i="5"/>
  <c r="AN187" i="5"/>
  <c r="X187" i="5"/>
  <c r="AQ187" i="5" s="1"/>
  <c r="AS186" i="5"/>
  <c r="AQ186" i="5"/>
  <c r="AO186" i="5"/>
  <c r="AN186" i="5"/>
  <c r="AM186" i="5"/>
  <c r="AS185" i="5"/>
  <c r="AQ185" i="5"/>
  <c r="AO185" i="5"/>
  <c r="AN185" i="5"/>
  <c r="AM185" i="5"/>
  <c r="AS184" i="5"/>
  <c r="AQ184" i="5"/>
  <c r="AO184" i="5"/>
  <c r="AN184" i="5"/>
  <c r="AM184" i="5"/>
  <c r="AS183" i="5"/>
  <c r="AQ183" i="5"/>
  <c r="AO183" i="5"/>
  <c r="AN183" i="5"/>
  <c r="AM183" i="5"/>
  <c r="AS182" i="5"/>
  <c r="AQ182" i="5"/>
  <c r="AO182" i="5"/>
  <c r="AN182" i="5"/>
  <c r="AM182" i="5"/>
  <c r="AS181" i="5"/>
  <c r="AQ181" i="5"/>
  <c r="AO181" i="5"/>
  <c r="AN181" i="5"/>
  <c r="AM181" i="5"/>
  <c r="AS180" i="5"/>
  <c r="AQ180" i="5"/>
  <c r="AO180" i="5"/>
  <c r="AN180" i="5"/>
  <c r="AM180" i="5"/>
  <c r="AS179" i="5"/>
  <c r="AO179" i="5"/>
  <c r="AN179" i="5"/>
  <c r="X179" i="5"/>
  <c r="AQ179" i="5" s="1"/>
  <c r="AS178" i="5"/>
  <c r="AQ178" i="5"/>
  <c r="AO178" i="5"/>
  <c r="AS177" i="5"/>
  <c r="AQ177" i="5"/>
  <c r="AO177" i="5"/>
  <c r="AN177" i="5"/>
  <c r="AM177" i="5"/>
  <c r="AS176" i="5"/>
  <c r="AQ176" i="5"/>
  <c r="AO176" i="5"/>
  <c r="AN176" i="5"/>
  <c r="AM176" i="5"/>
  <c r="AS175" i="5"/>
  <c r="AQ175" i="5"/>
  <c r="AO175" i="5"/>
  <c r="AS174" i="5"/>
  <c r="AO174" i="5"/>
  <c r="X174" i="5"/>
  <c r="AQ174" i="5" s="1"/>
  <c r="AS173" i="5"/>
  <c r="AQ173" i="5"/>
  <c r="AO173" i="5"/>
  <c r="AN173" i="5"/>
  <c r="AM173" i="5"/>
  <c r="AS172" i="5"/>
  <c r="AO172" i="5"/>
  <c r="AC172" i="5"/>
  <c r="AB172" i="5"/>
  <c r="X172" i="5"/>
  <c r="AQ172" i="5" s="1"/>
  <c r="AS171" i="5"/>
  <c r="AQ171" i="5"/>
  <c r="AO171" i="5"/>
  <c r="AS170" i="5"/>
  <c r="AQ170" i="5"/>
  <c r="AO170" i="5"/>
  <c r="AC170" i="5"/>
  <c r="AB170" i="5"/>
  <c r="AS169" i="5"/>
  <c r="AQ169" i="5"/>
  <c r="AO169" i="5"/>
  <c r="AS168" i="5"/>
  <c r="AQ168" i="5"/>
  <c r="AO168" i="5"/>
  <c r="AN168" i="5"/>
  <c r="AM168" i="5"/>
  <c r="AS167" i="5"/>
  <c r="AQ167" i="5"/>
  <c r="AO167" i="5"/>
  <c r="AS166" i="5"/>
  <c r="AQ166" i="5"/>
  <c r="AO166" i="5"/>
  <c r="AN166" i="5"/>
  <c r="AM166" i="5"/>
  <c r="AS165" i="5"/>
  <c r="AQ165" i="5"/>
  <c r="AO165" i="5"/>
  <c r="AN165" i="5"/>
  <c r="AM165" i="5"/>
  <c r="AS164" i="5"/>
  <c r="AQ164" i="5"/>
  <c r="AO164" i="5"/>
  <c r="AN164" i="5"/>
  <c r="AM164" i="5"/>
  <c r="AS163" i="5"/>
  <c r="AQ163" i="5"/>
  <c r="AO163" i="5"/>
  <c r="AN163" i="5"/>
  <c r="AM163" i="5"/>
  <c r="AS162" i="5"/>
  <c r="AQ162" i="5"/>
  <c r="AO162" i="5"/>
  <c r="AN162" i="5"/>
  <c r="AM162" i="5"/>
  <c r="AS161" i="5"/>
  <c r="AQ161" i="5"/>
  <c r="AO161" i="5"/>
  <c r="AN161" i="5"/>
  <c r="AM161" i="5"/>
  <c r="AS160" i="5"/>
  <c r="AQ160" i="5"/>
  <c r="AO160" i="5"/>
  <c r="AN160" i="5"/>
  <c r="AM160" i="5"/>
  <c r="AS159" i="5"/>
  <c r="AQ159" i="5"/>
  <c r="AO159" i="5"/>
  <c r="AS158" i="5"/>
  <c r="AQ158" i="5"/>
  <c r="AO158" i="5"/>
  <c r="AS157" i="5"/>
  <c r="AQ157" i="5"/>
  <c r="AO157" i="5"/>
  <c r="AN157" i="5"/>
  <c r="AM157" i="5"/>
  <c r="AS156" i="5"/>
  <c r="AQ156" i="5"/>
  <c r="AO156" i="5"/>
  <c r="AN156" i="5"/>
  <c r="AM156" i="5"/>
  <c r="AS155" i="5"/>
  <c r="AQ155" i="5"/>
  <c r="AO155" i="5"/>
  <c r="AN155" i="5"/>
  <c r="AM155" i="5"/>
  <c r="AS154" i="5"/>
  <c r="AO154" i="5"/>
  <c r="AN154" i="5"/>
  <c r="AM154" i="5"/>
  <c r="X154" i="5"/>
  <c r="AQ154" i="5" s="1"/>
  <c r="AS153" i="5"/>
  <c r="AQ153" i="5"/>
  <c r="AO153" i="5"/>
  <c r="AN153" i="5"/>
  <c r="AM153" i="5"/>
  <c r="AS152" i="5"/>
  <c r="AQ152" i="5"/>
  <c r="AO152" i="5"/>
  <c r="AN152" i="5"/>
  <c r="AM152" i="5"/>
  <c r="AS151" i="5"/>
  <c r="AQ151" i="5"/>
  <c r="AO151" i="5"/>
  <c r="AN151" i="5"/>
  <c r="AM151" i="5"/>
  <c r="AR150" i="5"/>
  <c r="AS150" i="5" s="1"/>
  <c r="AO150" i="5"/>
  <c r="X150" i="5"/>
  <c r="AQ150" i="5" s="1"/>
  <c r="AR149" i="5"/>
  <c r="AS149" i="5" s="1"/>
  <c r="AO149" i="5"/>
  <c r="X149" i="5"/>
  <c r="AQ149" i="5" s="1"/>
  <c r="AR148" i="5"/>
  <c r="AS148" i="5" s="1"/>
  <c r="AO148" i="5"/>
  <c r="X148" i="5"/>
  <c r="AQ148" i="5" s="1"/>
  <c r="AS146" i="5"/>
  <c r="AQ146" i="5"/>
  <c r="AO146" i="5"/>
  <c r="AN146" i="5"/>
  <c r="AM146" i="5"/>
  <c r="AS145" i="5"/>
  <c r="AQ145" i="5"/>
  <c r="AO145" i="5"/>
  <c r="AN145" i="5"/>
  <c r="AM145" i="5"/>
  <c r="AS144" i="5"/>
  <c r="AO144" i="5"/>
  <c r="AN144" i="5"/>
  <c r="X144" i="5"/>
  <c r="AQ144" i="5" s="1"/>
  <c r="AS143" i="5"/>
  <c r="AO143" i="5"/>
  <c r="AN143" i="5"/>
  <c r="X143" i="5"/>
  <c r="AQ143" i="5" s="1"/>
  <c r="AS141" i="5"/>
  <c r="AQ141" i="5"/>
  <c r="AO141" i="5"/>
  <c r="AN141" i="5"/>
  <c r="AM141" i="5"/>
  <c r="AS140" i="5"/>
  <c r="AQ140" i="5"/>
  <c r="AO140" i="5"/>
  <c r="AN140" i="5"/>
  <c r="AM140" i="5"/>
  <c r="AS139" i="5"/>
  <c r="AQ139" i="5"/>
  <c r="AO139" i="5"/>
  <c r="AN139" i="5"/>
  <c r="AM139" i="5"/>
  <c r="AS138" i="5"/>
  <c r="AO138" i="5"/>
  <c r="AN138" i="5"/>
  <c r="X138" i="5"/>
  <c r="AQ138" i="5" s="1"/>
  <c r="AS137" i="5"/>
  <c r="AO137" i="5"/>
  <c r="AN137" i="5"/>
  <c r="X137" i="5"/>
  <c r="AQ137" i="5" s="1"/>
  <c r="AS135" i="5"/>
  <c r="AQ135" i="5"/>
  <c r="AO135" i="5"/>
  <c r="AS134" i="5"/>
  <c r="AQ134" i="5"/>
  <c r="AO134" i="5"/>
  <c r="AS133" i="5"/>
  <c r="AO133" i="5"/>
  <c r="AN133" i="5"/>
  <c r="AM133" i="5"/>
  <c r="X133" i="5"/>
  <c r="AQ133" i="5" s="1"/>
  <c r="AS132" i="5"/>
  <c r="AQ132" i="5"/>
  <c r="AO132" i="5"/>
  <c r="AS131" i="5"/>
  <c r="AQ131" i="5"/>
  <c r="AO131" i="5"/>
  <c r="AS130" i="5"/>
  <c r="AQ130" i="5"/>
  <c r="AO130" i="5"/>
  <c r="AB130" i="5"/>
  <c r="AR129" i="5"/>
  <c r="AS129" i="5" s="1"/>
  <c r="AO129" i="5"/>
  <c r="X129" i="5"/>
  <c r="AQ129" i="5" s="1"/>
  <c r="AR128" i="5"/>
  <c r="AS128" i="5" s="1"/>
  <c r="AO128" i="5"/>
  <c r="X128" i="5"/>
  <c r="AQ128" i="5" s="1"/>
  <c r="AS126" i="5"/>
  <c r="AQ126" i="5"/>
  <c r="AO126" i="5"/>
  <c r="AN126" i="5"/>
  <c r="AM126" i="5"/>
  <c r="AS125" i="5"/>
  <c r="AQ125" i="5"/>
  <c r="AO125" i="5"/>
  <c r="AS124" i="5"/>
  <c r="AQ124" i="5"/>
  <c r="AO124" i="5"/>
  <c r="AS123" i="5"/>
  <c r="AQ123" i="5"/>
  <c r="AO123" i="5"/>
  <c r="AS122" i="5"/>
  <c r="AQ122" i="5"/>
  <c r="AO122" i="5"/>
  <c r="AN122" i="5"/>
  <c r="AM122" i="5"/>
  <c r="AS121" i="5"/>
  <c r="AQ121" i="5"/>
  <c r="AO121" i="5"/>
  <c r="AR120" i="5"/>
  <c r="AS120" i="5" s="1"/>
  <c r="AO120" i="5"/>
  <c r="X120" i="5"/>
  <c r="AR119" i="5"/>
  <c r="AO119" i="5"/>
  <c r="X119" i="5"/>
  <c r="AQ119" i="5" s="1"/>
  <c r="AS117" i="5"/>
  <c r="AQ117" i="5"/>
  <c r="AO117" i="5"/>
  <c r="AN117" i="5"/>
  <c r="AM117" i="5"/>
  <c r="AS116" i="5"/>
  <c r="AQ116" i="5"/>
  <c r="AO116" i="5"/>
  <c r="AC116" i="5"/>
  <c r="AC193" i="5" s="1"/>
  <c r="AB116" i="5"/>
  <c r="AB193" i="5" s="1"/>
  <c r="AS115" i="5"/>
  <c r="AO115" i="5"/>
  <c r="AM115" i="5"/>
  <c r="Y115" i="5"/>
  <c r="AN115" i="5" s="1"/>
  <c r="AS114" i="5"/>
  <c r="AO114" i="5"/>
  <c r="AN114" i="5"/>
  <c r="X114" i="5"/>
  <c r="AQ114" i="5" s="1"/>
  <c r="AS113" i="5"/>
  <c r="AO113" i="5"/>
  <c r="AN113" i="5"/>
  <c r="X113" i="5"/>
  <c r="AM113" i="5" s="1"/>
  <c r="AS112" i="5"/>
  <c r="AQ112" i="5"/>
  <c r="AO112" i="5"/>
  <c r="AN112" i="5"/>
  <c r="AM112" i="5"/>
  <c r="X112" i="5"/>
  <c r="AS111" i="5"/>
  <c r="AO111" i="5"/>
  <c r="Y111" i="5"/>
  <c r="AN111" i="5" s="1"/>
  <c r="X111" i="5"/>
  <c r="AM111" i="5" s="1"/>
  <c r="AS110" i="5"/>
  <c r="AO110" i="5"/>
  <c r="AN110" i="5"/>
  <c r="AM110" i="5"/>
  <c r="X110" i="5"/>
  <c r="AQ110" i="5" s="1"/>
  <c r="AS109" i="5"/>
  <c r="AQ109" i="5"/>
  <c r="AO109" i="5"/>
  <c r="AN109" i="5"/>
  <c r="X109" i="5"/>
  <c r="AM109" i="5" s="1"/>
  <c r="AS108" i="5"/>
  <c r="AQ108" i="5"/>
  <c r="AO108" i="5"/>
  <c r="AN108" i="5"/>
  <c r="AM108" i="5"/>
  <c r="AS107" i="5"/>
  <c r="AQ107" i="5"/>
  <c r="AO107" i="5"/>
  <c r="AN107" i="5"/>
  <c r="AM107" i="5"/>
  <c r="AS102" i="5"/>
  <c r="AO102" i="5"/>
  <c r="AN102" i="5"/>
  <c r="X102" i="5"/>
  <c r="AM102" i="5" s="1"/>
  <c r="AS96" i="5"/>
  <c r="AQ96" i="5"/>
  <c r="AO96" i="5"/>
  <c r="AS95" i="5"/>
  <c r="AQ95" i="5"/>
  <c r="AO95" i="5"/>
  <c r="AS94" i="5"/>
  <c r="AO94" i="5"/>
  <c r="AN94" i="5"/>
  <c r="X94" i="5"/>
  <c r="AQ94" i="5" s="1"/>
  <c r="AS93" i="5"/>
  <c r="AO93" i="5"/>
  <c r="AN93" i="5"/>
  <c r="X93" i="5"/>
  <c r="AM93" i="5" s="1"/>
  <c r="AS91" i="5"/>
  <c r="AQ91" i="5"/>
  <c r="AO91" i="5"/>
  <c r="AN91" i="5"/>
  <c r="AM91" i="5"/>
  <c r="AS90" i="5"/>
  <c r="AQ90" i="5"/>
  <c r="AO90" i="5"/>
  <c r="AN90" i="5"/>
  <c r="AM90" i="5"/>
  <c r="AS89" i="5"/>
  <c r="AO89" i="5"/>
  <c r="AN89" i="5"/>
  <c r="X89" i="5"/>
  <c r="AM89" i="5" s="1"/>
  <c r="AS88" i="5"/>
  <c r="AO88" i="5"/>
  <c r="AN88" i="5"/>
  <c r="X88" i="5"/>
  <c r="AM88" i="5" s="1"/>
  <c r="AT88" i="5" s="1"/>
  <c r="AS87" i="5"/>
  <c r="AO87" i="5"/>
  <c r="AN87" i="5"/>
  <c r="X87" i="5"/>
  <c r="AQ87" i="5" s="1"/>
  <c r="AS85" i="5"/>
  <c r="AO85" i="5"/>
  <c r="AN85" i="5"/>
  <c r="X85" i="5"/>
  <c r="AM85" i="5" s="1"/>
  <c r="AS84" i="5"/>
  <c r="AO84" i="5"/>
  <c r="AN84" i="5"/>
  <c r="X84" i="5"/>
  <c r="AQ84" i="5" s="1"/>
  <c r="AS83" i="5"/>
  <c r="AO83" i="5"/>
  <c r="AN83" i="5"/>
  <c r="X83" i="5"/>
  <c r="AQ83" i="5" s="1"/>
  <c r="AS81" i="5"/>
  <c r="AQ81" i="5"/>
  <c r="AO81" i="5"/>
  <c r="AN81" i="5"/>
  <c r="AM81" i="5"/>
  <c r="AS80" i="5"/>
  <c r="AQ80" i="5"/>
  <c r="AO80" i="5"/>
  <c r="AS79" i="5"/>
  <c r="AQ79" i="5"/>
  <c r="AO79" i="5"/>
  <c r="AS78" i="5"/>
  <c r="AQ78" i="5"/>
  <c r="AO78" i="5"/>
  <c r="AN78" i="5"/>
  <c r="AM78" i="5"/>
  <c r="AS77" i="5"/>
  <c r="AQ77" i="5"/>
  <c r="AO77" i="5"/>
  <c r="AS76" i="5"/>
  <c r="AO76" i="5"/>
  <c r="X76" i="5"/>
  <c r="AQ76" i="5" s="1"/>
  <c r="AS75" i="5"/>
  <c r="AO75" i="5"/>
  <c r="X75" i="5"/>
  <c r="AQ75" i="5" s="1"/>
  <c r="AS73" i="5"/>
  <c r="AQ73" i="5"/>
  <c r="AO73" i="5"/>
  <c r="AN73" i="5"/>
  <c r="AM73" i="5"/>
  <c r="AS72" i="5"/>
  <c r="AO72" i="5"/>
  <c r="AN72" i="5"/>
  <c r="AM72" i="5"/>
  <c r="AT72" i="5" s="1"/>
  <c r="X72" i="5"/>
  <c r="AQ72" i="5" s="1"/>
  <c r="AS71" i="5"/>
  <c r="AQ71" i="5"/>
  <c r="AO71" i="5"/>
  <c r="AN71" i="5"/>
  <c r="AM71" i="5"/>
  <c r="AS70" i="5"/>
  <c r="AQ70" i="5"/>
  <c r="AO70" i="5"/>
  <c r="AS69" i="5"/>
  <c r="AQ69" i="5"/>
  <c r="AO69" i="5"/>
  <c r="AN69" i="5"/>
  <c r="AM69" i="5"/>
  <c r="AS68" i="5"/>
  <c r="AQ68" i="5"/>
  <c r="AO68" i="5"/>
  <c r="AC68" i="5"/>
  <c r="AS67" i="5"/>
  <c r="AQ67" i="5"/>
  <c r="AO67" i="5"/>
  <c r="AN67" i="5"/>
  <c r="AM67" i="5"/>
  <c r="AS66" i="5"/>
  <c r="AQ66" i="5"/>
  <c r="AO66" i="5"/>
  <c r="AN66" i="5"/>
  <c r="AM66" i="5"/>
  <c r="AS65" i="5"/>
  <c r="AQ65" i="5"/>
  <c r="AO65" i="5"/>
  <c r="AN65" i="5"/>
  <c r="X65" i="5"/>
  <c r="AM65" i="5" s="1"/>
  <c r="AS64" i="5"/>
  <c r="AQ64" i="5"/>
  <c r="AO64" i="5"/>
  <c r="AN64" i="5"/>
  <c r="AM64" i="5"/>
  <c r="AS63" i="5"/>
  <c r="AQ63" i="5"/>
  <c r="AO63" i="5"/>
  <c r="AN63" i="5"/>
  <c r="AM63" i="5"/>
  <c r="AS62" i="5"/>
  <c r="AQ62" i="5"/>
  <c r="AO62" i="5"/>
  <c r="AN62" i="5"/>
  <c r="AM62" i="5"/>
  <c r="AS61" i="5"/>
  <c r="AO61" i="5"/>
  <c r="AN61" i="5"/>
  <c r="X61" i="5"/>
  <c r="AQ61" i="5" s="1"/>
  <c r="AS60" i="5"/>
  <c r="AQ60" i="5"/>
  <c r="AO60" i="5"/>
  <c r="AN60" i="5"/>
  <c r="AM60" i="5"/>
  <c r="AS59" i="5"/>
  <c r="AQ59" i="5"/>
  <c r="AO59" i="5"/>
  <c r="AN59" i="5"/>
  <c r="AM59" i="5"/>
  <c r="AS58" i="5"/>
  <c r="AQ58" i="5"/>
  <c r="AO58" i="5"/>
  <c r="AN58" i="5"/>
  <c r="AM58" i="5"/>
  <c r="AS57" i="5"/>
  <c r="AQ57" i="5"/>
  <c r="AO57" i="5"/>
  <c r="AN57" i="5"/>
  <c r="AM57" i="5"/>
  <c r="AS56" i="5"/>
  <c r="AQ56" i="5"/>
  <c r="AO56" i="5"/>
  <c r="AN56" i="5"/>
  <c r="AM56" i="5"/>
  <c r="AR55" i="5"/>
  <c r="AS55" i="5" s="1"/>
  <c r="AO55" i="5"/>
  <c r="AC55" i="5"/>
  <c r="X55" i="5"/>
  <c r="AQ55" i="5" s="1"/>
  <c r="AR54" i="5"/>
  <c r="AS54" i="5" s="1"/>
  <c r="AO54" i="5"/>
  <c r="AC54" i="5"/>
  <c r="X54" i="5"/>
  <c r="AQ54" i="5" s="1"/>
  <c r="AB53" i="5"/>
  <c r="AB55" i="5" s="1"/>
  <c r="AS52" i="5"/>
  <c r="AQ52" i="5"/>
  <c r="AO52" i="5"/>
  <c r="AS51" i="5"/>
  <c r="AQ51" i="5"/>
  <c r="AO51" i="5"/>
  <c r="AS50" i="5"/>
  <c r="AQ50" i="5"/>
  <c r="AO50" i="5"/>
  <c r="AN50" i="5"/>
  <c r="AM50" i="5"/>
  <c r="AS49" i="5"/>
  <c r="AQ49" i="5"/>
  <c r="AO49" i="5"/>
  <c r="AS48" i="5"/>
  <c r="AQ48" i="5"/>
  <c r="AO48" i="5"/>
  <c r="AS47" i="5"/>
  <c r="AQ47" i="5"/>
  <c r="AO47" i="5"/>
  <c r="AS46" i="5"/>
  <c r="AQ46" i="5"/>
  <c r="AO46" i="5"/>
  <c r="AN46" i="5"/>
  <c r="AM46" i="5"/>
  <c r="Y46" i="5"/>
  <c r="Y97" i="5" s="1"/>
  <c r="AS45" i="5"/>
  <c r="AQ45" i="5"/>
  <c r="AO45" i="5"/>
  <c r="AS44" i="5"/>
  <c r="AQ44" i="5"/>
  <c r="AO44" i="5"/>
  <c r="AS43" i="5"/>
  <c r="AQ43" i="5"/>
  <c r="AO43" i="5"/>
  <c r="AN43" i="5"/>
  <c r="AM43" i="5"/>
  <c r="AR42" i="5"/>
  <c r="AS42" i="5" s="1"/>
  <c r="AO42" i="5"/>
  <c r="X42" i="5"/>
  <c r="AQ42" i="5" s="1"/>
  <c r="AR41" i="5"/>
  <c r="AS41" i="5" s="1"/>
  <c r="AO41" i="5"/>
  <c r="X41" i="5"/>
  <c r="AQ41" i="5" s="1"/>
  <c r="AR40" i="5"/>
  <c r="AS40" i="5" s="1"/>
  <c r="AO40" i="5"/>
  <c r="X40" i="5"/>
  <c r="AQ40" i="5" s="1"/>
  <c r="AS38" i="5"/>
  <c r="AQ38" i="5"/>
  <c r="AO38" i="5"/>
  <c r="AN38" i="5"/>
  <c r="AM38" i="5"/>
  <c r="AS37" i="5"/>
  <c r="AQ37" i="5"/>
  <c r="AO37" i="5"/>
  <c r="AS36" i="5"/>
  <c r="AQ36" i="5"/>
  <c r="AO36" i="5"/>
  <c r="AN36" i="5"/>
  <c r="AM36" i="5"/>
  <c r="AS35" i="5"/>
  <c r="AO35" i="5"/>
  <c r="X35" i="5"/>
  <c r="AQ35" i="5" s="1"/>
  <c r="AS34" i="5"/>
  <c r="AQ34" i="5"/>
  <c r="AO34" i="5"/>
  <c r="AN34" i="5"/>
  <c r="AM34" i="5"/>
  <c r="AS33" i="5"/>
  <c r="AQ33" i="5"/>
  <c r="AO33" i="5"/>
  <c r="AS32" i="5"/>
  <c r="AO32" i="5"/>
  <c r="X32" i="5"/>
  <c r="AS31" i="5"/>
  <c r="AO31" i="5"/>
  <c r="X31" i="5"/>
  <c r="AQ31" i="5" s="1"/>
  <c r="AS29" i="5"/>
  <c r="AQ29" i="5"/>
  <c r="AO29" i="5"/>
  <c r="AS28" i="5"/>
  <c r="AQ28" i="5"/>
  <c r="AO28" i="5"/>
  <c r="AN28" i="5"/>
  <c r="AM28" i="5"/>
  <c r="AS27" i="5"/>
  <c r="AQ27" i="5"/>
  <c r="AO27" i="5"/>
  <c r="AN27" i="5"/>
  <c r="AM27" i="5"/>
  <c r="AR26" i="5"/>
  <c r="AS26" i="5" s="1"/>
  <c r="AG26" i="5"/>
  <c r="AO26" i="5" s="1"/>
  <c r="AB26" i="5"/>
  <c r="X26" i="5"/>
  <c r="AQ26" i="5" s="1"/>
  <c r="AR25" i="5"/>
  <c r="AG25" i="5"/>
  <c r="AO25" i="5" s="1"/>
  <c r="AB25" i="5"/>
  <c r="X25" i="5"/>
  <c r="AQ25" i="5" s="1"/>
  <c r="AS23" i="5"/>
  <c r="AQ23" i="5"/>
  <c r="AO23" i="5"/>
  <c r="AS22" i="5"/>
  <c r="AQ22" i="5"/>
  <c r="AO22" i="5"/>
  <c r="AN22" i="5"/>
  <c r="AM22" i="5"/>
  <c r="AS21" i="5"/>
  <c r="AQ21" i="5"/>
  <c r="AO21" i="5"/>
  <c r="AN21" i="5"/>
  <c r="AM21" i="5"/>
  <c r="AS20" i="5"/>
  <c r="AQ20" i="5"/>
  <c r="AO20" i="5"/>
  <c r="AN20" i="5"/>
  <c r="AM20" i="5"/>
  <c r="AS19" i="5"/>
  <c r="AQ19" i="5"/>
  <c r="AO19" i="5"/>
  <c r="AB19" i="5"/>
  <c r="X17" i="5"/>
  <c r="X16" i="5"/>
  <c r="X14" i="5" s="1"/>
  <c r="AS14" i="5"/>
  <c r="AO14" i="5"/>
  <c r="AS13" i="5"/>
  <c r="AQ13" i="5"/>
  <c r="AO13" i="5"/>
  <c r="AN13" i="5"/>
  <c r="AM13" i="5"/>
  <c r="AS12" i="5"/>
  <c r="AQ12" i="5"/>
  <c r="AO12" i="5"/>
  <c r="AS11" i="5"/>
  <c r="AQ11" i="5"/>
  <c r="AO11" i="5"/>
  <c r="AN11" i="5"/>
  <c r="AM11" i="5"/>
  <c r="X10" i="5"/>
  <c r="X8" i="5" s="1"/>
  <c r="AS8" i="5"/>
  <c r="AO8" i="5"/>
  <c r="AN8" i="5"/>
  <c r="AS7" i="5"/>
  <c r="AO7" i="5"/>
  <c r="AN7" i="5"/>
  <c r="X7" i="5"/>
  <c r="AQ7" i="5" s="1"/>
  <c r="AS6" i="5"/>
  <c r="AQ6" i="5"/>
  <c r="AO6" i="5"/>
  <c r="AN6" i="5"/>
  <c r="AM6" i="5"/>
  <c r="AS4" i="5"/>
  <c r="AQ4" i="5"/>
  <c r="AO4" i="5"/>
  <c r="AS3" i="5"/>
  <c r="AO3" i="5"/>
  <c r="X3" i="5"/>
  <c r="AS2" i="5"/>
  <c r="AO2" i="5"/>
  <c r="B15" i="2"/>
  <c r="AN95" i="7" s="1"/>
  <c r="E15" i="2"/>
  <c r="AN169" i="7" s="1"/>
  <c r="B13" i="2"/>
  <c r="E13" i="2"/>
  <c r="AM178" i="7" s="1"/>
  <c r="AM179" i="5" l="1"/>
  <c r="AB363" i="5"/>
  <c r="AQ113" i="5"/>
  <c r="AQ115" i="5"/>
  <c r="AB265" i="5"/>
  <c r="Y265" i="5"/>
  <c r="AP192" i="6"/>
  <c r="AM255" i="6"/>
  <c r="AP256" i="6"/>
  <c r="Z278" i="6"/>
  <c r="AP8" i="6"/>
  <c r="AP88" i="6"/>
  <c r="AS88" i="6" s="1"/>
  <c r="AA278" i="6"/>
  <c r="AQ88" i="5"/>
  <c r="AP84" i="6"/>
  <c r="AM223" i="6"/>
  <c r="AM94" i="6"/>
  <c r="AQ193" i="6"/>
  <c r="AB97" i="6"/>
  <c r="AB267" i="6" s="1"/>
  <c r="AP190" i="6"/>
  <c r="AS190" i="6" s="1"/>
  <c r="S278" i="5"/>
  <c r="AM192" i="5"/>
  <c r="AT192" i="5" s="1"/>
  <c r="Z278" i="5"/>
  <c r="AM94" i="5"/>
  <c r="AQ190" i="5"/>
  <c r="AT190" i="5" s="1"/>
  <c r="AM87" i="5"/>
  <c r="AM223" i="5"/>
  <c r="AT223" i="5" s="1"/>
  <c r="AQ102" i="5"/>
  <c r="AT102" i="5" s="1"/>
  <c r="AQ89" i="5"/>
  <c r="AT89" i="5" s="1"/>
  <c r="AQ256" i="5"/>
  <c r="AT256" i="5" s="1"/>
  <c r="AS65" i="7"/>
  <c r="AT46" i="5"/>
  <c r="AT57" i="5"/>
  <c r="AS111" i="6"/>
  <c r="AS133" i="6"/>
  <c r="AS115" i="6"/>
  <c r="AS63" i="7"/>
  <c r="AS155" i="7"/>
  <c r="AT64" i="5"/>
  <c r="AS109" i="6"/>
  <c r="AS112" i="6"/>
  <c r="AS155" i="6"/>
  <c r="AS141" i="7"/>
  <c r="AT60" i="5"/>
  <c r="AT242" i="5"/>
  <c r="AS161" i="6"/>
  <c r="AS239" i="7"/>
  <c r="AS21" i="7"/>
  <c r="AM4" i="7"/>
  <c r="AS4" i="7" s="1"/>
  <c r="AM4" i="5"/>
  <c r="AS11" i="7"/>
  <c r="AS36" i="7"/>
  <c r="AM172" i="6"/>
  <c r="AM167" i="5"/>
  <c r="AT167" i="5" s="1"/>
  <c r="AM120" i="6"/>
  <c r="AM134" i="6"/>
  <c r="AS134" i="6" s="1"/>
  <c r="AM159" i="5"/>
  <c r="AT159" i="5" s="1"/>
  <c r="AM125" i="6"/>
  <c r="AS125" i="6" s="1"/>
  <c r="AM158" i="6"/>
  <c r="AS158" i="6" s="1"/>
  <c r="AM175" i="7"/>
  <c r="AS175" i="7" s="1"/>
  <c r="AM116" i="5"/>
  <c r="AT116" i="5" s="1"/>
  <c r="AM131" i="5"/>
  <c r="AT131" i="5" s="1"/>
  <c r="AM135" i="7"/>
  <c r="AS135" i="7" s="1"/>
  <c r="AS261" i="7"/>
  <c r="AN120" i="5"/>
  <c r="AN129" i="6"/>
  <c r="AN175" i="6"/>
  <c r="AN178" i="7"/>
  <c r="AN125" i="5"/>
  <c r="AN134" i="5"/>
  <c r="AN130" i="7"/>
  <c r="AN121" i="7"/>
  <c r="AN150" i="6"/>
  <c r="AN169" i="6"/>
  <c r="AN158" i="7"/>
  <c r="AN31" i="5"/>
  <c r="AN33" i="5"/>
  <c r="AN42" i="5"/>
  <c r="AN68" i="5"/>
  <c r="AM77" i="5"/>
  <c r="AT77" i="5" s="1"/>
  <c r="AN80" i="5"/>
  <c r="AM95" i="5"/>
  <c r="AT95" i="5" s="1"/>
  <c r="AN2" i="6"/>
  <c r="AM12" i="6"/>
  <c r="AS12" i="6" s="1"/>
  <c r="AM29" i="6"/>
  <c r="AS29" i="6" s="1"/>
  <c r="AM51" i="6"/>
  <c r="AS51" i="6" s="1"/>
  <c r="AN76" i="6"/>
  <c r="AM96" i="6"/>
  <c r="AS96" i="6" s="1"/>
  <c r="AN4" i="7"/>
  <c r="AN14" i="7"/>
  <c r="AM45" i="7"/>
  <c r="AS45" i="7" s="1"/>
  <c r="AM55" i="7"/>
  <c r="AS55" i="7" s="1"/>
  <c r="AM80" i="7"/>
  <c r="AS80" i="7" s="1"/>
  <c r="AM3" i="5"/>
  <c r="AM12" i="5"/>
  <c r="AT12" i="5" s="1"/>
  <c r="AM19" i="5"/>
  <c r="AM29" i="5"/>
  <c r="AT29" i="5" s="1"/>
  <c r="AM44" i="5"/>
  <c r="AT44" i="5" s="1"/>
  <c r="AM47" i="5"/>
  <c r="AT47" i="5" s="1"/>
  <c r="AM70" i="5"/>
  <c r="AT70" i="5" s="1"/>
  <c r="AN77" i="5"/>
  <c r="AN95" i="5"/>
  <c r="AN12" i="6"/>
  <c r="AM19" i="6"/>
  <c r="AS19" i="6" s="1"/>
  <c r="AN29" i="6"/>
  <c r="AM32" i="6"/>
  <c r="AS32" i="6" s="1"/>
  <c r="AM35" i="6"/>
  <c r="AS35" i="6" s="1"/>
  <c r="AM48" i="6"/>
  <c r="AS48" i="6" s="1"/>
  <c r="AN51" i="6"/>
  <c r="AN96" i="6"/>
  <c r="AN40" i="7"/>
  <c r="AN45" i="7"/>
  <c r="AM47" i="7"/>
  <c r="AS47" i="7" s="1"/>
  <c r="AN55" i="7"/>
  <c r="AM77" i="7"/>
  <c r="AS77" i="7" s="1"/>
  <c r="AN80" i="7"/>
  <c r="AN3" i="5"/>
  <c r="AN12" i="5"/>
  <c r="AN19" i="5"/>
  <c r="AM25" i="5"/>
  <c r="AN29" i="5"/>
  <c r="AM35" i="5"/>
  <c r="AT35" i="5" s="1"/>
  <c r="AN44" i="5"/>
  <c r="AN47" i="5"/>
  <c r="AM52" i="5"/>
  <c r="AT52" i="5" s="1"/>
  <c r="AN54" i="5"/>
  <c r="AN70" i="5"/>
  <c r="AM79" i="5"/>
  <c r="AT79" i="5" s="1"/>
  <c r="AM4" i="6"/>
  <c r="AS4" i="6" s="1"/>
  <c r="AM14" i="6"/>
  <c r="AS14" i="6" s="1"/>
  <c r="AN19" i="6"/>
  <c r="AN32" i="6"/>
  <c r="AN35" i="6"/>
  <c r="AN41" i="6"/>
  <c r="AN48" i="6"/>
  <c r="AM80" i="6"/>
  <c r="AS80" i="6" s="1"/>
  <c r="AM23" i="7"/>
  <c r="AS23" i="7" s="1"/>
  <c r="AN25" i="7"/>
  <c r="AN31" i="7"/>
  <c r="AN47" i="7"/>
  <c r="AM52" i="7"/>
  <c r="AS52" i="7" s="1"/>
  <c r="AN75" i="7"/>
  <c r="AN77" i="7"/>
  <c r="AM2" i="5"/>
  <c r="AT2" i="5" s="1"/>
  <c r="AN14" i="5"/>
  <c r="AM32" i="5"/>
  <c r="AN35" i="5"/>
  <c r="AM49" i="5"/>
  <c r="AT49" i="5" s="1"/>
  <c r="AN52" i="5"/>
  <c r="AM76" i="5"/>
  <c r="AT76" i="5" s="1"/>
  <c r="AN79" i="5"/>
  <c r="AN4" i="6"/>
  <c r="AN14" i="6"/>
  <c r="AM37" i="6"/>
  <c r="AS37" i="6" s="1"/>
  <c r="AM45" i="6"/>
  <c r="AS45" i="6" s="1"/>
  <c r="AM77" i="6"/>
  <c r="AS77" i="6" s="1"/>
  <c r="AN80" i="6"/>
  <c r="AM95" i="6"/>
  <c r="AS95" i="6" s="1"/>
  <c r="AM3" i="7"/>
  <c r="AS3" i="7" s="1"/>
  <c r="AN23" i="7"/>
  <c r="AM33" i="7"/>
  <c r="AS33" i="7" s="1"/>
  <c r="AN42" i="7"/>
  <c r="AM44" i="7"/>
  <c r="AS44" i="7" s="1"/>
  <c r="AM49" i="7"/>
  <c r="AS49" i="7" s="1"/>
  <c r="AN52" i="7"/>
  <c r="AN54" i="7"/>
  <c r="AM68" i="7"/>
  <c r="AS68" i="7" s="1"/>
  <c r="AM79" i="7"/>
  <c r="AS79" i="7" s="1"/>
  <c r="AM96" i="7"/>
  <c r="AS96" i="7" s="1"/>
  <c r="AN2" i="5"/>
  <c r="AN26" i="5"/>
  <c r="AN32" i="5"/>
  <c r="AM37" i="5"/>
  <c r="AT37" i="5" s="1"/>
  <c r="AN41" i="5"/>
  <c r="AN49" i="5"/>
  <c r="AN76" i="5"/>
  <c r="AN26" i="6"/>
  <c r="AN37" i="6"/>
  <c r="AN45" i="6"/>
  <c r="AM47" i="6"/>
  <c r="AS47" i="6" s="1"/>
  <c r="AM68" i="6"/>
  <c r="AS68" i="6" s="1"/>
  <c r="AN75" i="6"/>
  <c r="AN77" i="6"/>
  <c r="AN95" i="6"/>
  <c r="AN3" i="7"/>
  <c r="AM26" i="7"/>
  <c r="AS26" i="7" s="1"/>
  <c r="AM29" i="7"/>
  <c r="AS29" i="7" s="1"/>
  <c r="AN33" i="7"/>
  <c r="AN44" i="7"/>
  <c r="AN49" i="7"/>
  <c r="AN68" i="7"/>
  <c r="AN79" i="7"/>
  <c r="AN96" i="7"/>
  <c r="AM23" i="5"/>
  <c r="AT23" i="5" s="1"/>
  <c r="AN25" i="5"/>
  <c r="AN37" i="5"/>
  <c r="AM51" i="5"/>
  <c r="AT51" i="5" s="1"/>
  <c r="AM96" i="5"/>
  <c r="AT96" i="5" s="1"/>
  <c r="AM3" i="6"/>
  <c r="AS3" i="6" s="1"/>
  <c r="AM23" i="6"/>
  <c r="AS23" i="6" s="1"/>
  <c r="AM25" i="6"/>
  <c r="AN47" i="6"/>
  <c r="AM52" i="6"/>
  <c r="AS52" i="6" s="1"/>
  <c r="AM54" i="6"/>
  <c r="AS54" i="6" s="1"/>
  <c r="AN55" i="6"/>
  <c r="AN68" i="6"/>
  <c r="AM79" i="6"/>
  <c r="AS79" i="6" s="1"/>
  <c r="AM2" i="7"/>
  <c r="AS2" i="7" s="1"/>
  <c r="AN29" i="7"/>
  <c r="AM35" i="7"/>
  <c r="AM51" i="7"/>
  <c r="AS51" i="7" s="1"/>
  <c r="AM70" i="7"/>
  <c r="AS70" i="7" s="1"/>
  <c r="AN4" i="5"/>
  <c r="AN23" i="5"/>
  <c r="AM45" i="5"/>
  <c r="AT45" i="5" s="1"/>
  <c r="AM48" i="5"/>
  <c r="AT48" i="5" s="1"/>
  <c r="AN51" i="5"/>
  <c r="AM75" i="5"/>
  <c r="AT75" i="5" s="1"/>
  <c r="AN96" i="5"/>
  <c r="AN3" i="6"/>
  <c r="AN23" i="6"/>
  <c r="AN25" i="6"/>
  <c r="AN31" i="6"/>
  <c r="AM33" i="6"/>
  <c r="AS33" i="6" s="1"/>
  <c r="AN40" i="6"/>
  <c r="AN42" i="6"/>
  <c r="AM44" i="6"/>
  <c r="AS44" i="6" s="1"/>
  <c r="AM49" i="6"/>
  <c r="AS49" i="6" s="1"/>
  <c r="AN52" i="6"/>
  <c r="AN54" i="6"/>
  <c r="AM70" i="6"/>
  <c r="AS70" i="6" s="1"/>
  <c r="AN79" i="6"/>
  <c r="AN2" i="7"/>
  <c r="AM12" i="7"/>
  <c r="AS12" i="7" s="1"/>
  <c r="AM19" i="7"/>
  <c r="AS19" i="7" s="1"/>
  <c r="AM32" i="7"/>
  <c r="AS32" i="7" s="1"/>
  <c r="AN35" i="7"/>
  <c r="AM37" i="7"/>
  <c r="AS37" i="7" s="1"/>
  <c r="AN41" i="7"/>
  <c r="AM48" i="7"/>
  <c r="AS48" i="7" s="1"/>
  <c r="AN51" i="7"/>
  <c r="AN70" i="7"/>
  <c r="AN76" i="7"/>
  <c r="AM95" i="7"/>
  <c r="AS95" i="7" s="1"/>
  <c r="AM31" i="5"/>
  <c r="AT31" i="5" s="1"/>
  <c r="AM33" i="5"/>
  <c r="AN40" i="5"/>
  <c r="AN45" i="5"/>
  <c r="AN48" i="5"/>
  <c r="AN55" i="5"/>
  <c r="AM68" i="5"/>
  <c r="AT68" i="5" s="1"/>
  <c r="AN75" i="5"/>
  <c r="AM80" i="5"/>
  <c r="AT80" i="5" s="1"/>
  <c r="AM2" i="6"/>
  <c r="AS2" i="6" s="1"/>
  <c r="AN33" i="6"/>
  <c r="AN44" i="6"/>
  <c r="AN49" i="6"/>
  <c r="AN70" i="6"/>
  <c r="AN12" i="7"/>
  <c r="AN19" i="7"/>
  <c r="AN26" i="7"/>
  <c r="AN32" i="7"/>
  <c r="AN37" i="7"/>
  <c r="AN48" i="7"/>
  <c r="AN116" i="5"/>
  <c r="AN131" i="5"/>
  <c r="AN159" i="5"/>
  <c r="AN167" i="5"/>
  <c r="AM170" i="5"/>
  <c r="AT170" i="5" s="1"/>
  <c r="AN174" i="5"/>
  <c r="AM116" i="6"/>
  <c r="AS116" i="6" s="1"/>
  <c r="AN120" i="6"/>
  <c r="AN125" i="6"/>
  <c r="AM131" i="6"/>
  <c r="AS131" i="6" s="1"/>
  <c r="AN134" i="6"/>
  <c r="AN158" i="6"/>
  <c r="AM116" i="7"/>
  <c r="AS116" i="7" s="1"/>
  <c r="AM123" i="7"/>
  <c r="AS123" i="7" s="1"/>
  <c r="AM132" i="7"/>
  <c r="AS132" i="7" s="1"/>
  <c r="AN135" i="7"/>
  <c r="AN148" i="7"/>
  <c r="AN175" i="7"/>
  <c r="AM119" i="5"/>
  <c r="AM124" i="5"/>
  <c r="AT124" i="5" s="1"/>
  <c r="AN128" i="5"/>
  <c r="AM169" i="5"/>
  <c r="AT169" i="5" s="1"/>
  <c r="AN170" i="5"/>
  <c r="AN116" i="6"/>
  <c r="AN131" i="6"/>
  <c r="AN116" i="7"/>
  <c r="AM120" i="7"/>
  <c r="AS120" i="7" s="1"/>
  <c r="AN123" i="7"/>
  <c r="AN129" i="7"/>
  <c r="AN132" i="7"/>
  <c r="AN150" i="7"/>
  <c r="AM171" i="7"/>
  <c r="AS171" i="7" s="1"/>
  <c r="AM172" i="7"/>
  <c r="AS172" i="7" s="1"/>
  <c r="AN119" i="5"/>
  <c r="AM121" i="5"/>
  <c r="AT121" i="5" s="1"/>
  <c r="AN124" i="5"/>
  <c r="AM130" i="5"/>
  <c r="AT130" i="5" s="1"/>
  <c r="AN148" i="5"/>
  <c r="AM158" i="5"/>
  <c r="AT158" i="5" s="1"/>
  <c r="AN169" i="5"/>
  <c r="AM178" i="5"/>
  <c r="AT178" i="5" s="1"/>
  <c r="AM119" i="6"/>
  <c r="AM124" i="6"/>
  <c r="AS124" i="6" s="1"/>
  <c r="AN128" i="6"/>
  <c r="AN149" i="6"/>
  <c r="AM171" i="6"/>
  <c r="AS171" i="6" s="1"/>
  <c r="AN172" i="6"/>
  <c r="AM119" i="7"/>
  <c r="AS119" i="7" s="1"/>
  <c r="AN120" i="7"/>
  <c r="AM125" i="7"/>
  <c r="AS125" i="7" s="1"/>
  <c r="AM134" i="7"/>
  <c r="AS134" i="7" s="1"/>
  <c r="AN171" i="7"/>
  <c r="AN172" i="7"/>
  <c r="AN121" i="5"/>
  <c r="AN130" i="5"/>
  <c r="AM135" i="5"/>
  <c r="AT135" i="5" s="1"/>
  <c r="AN150" i="5"/>
  <c r="AN158" i="5"/>
  <c r="AM175" i="5"/>
  <c r="AT175" i="5" s="1"/>
  <c r="AN178" i="5"/>
  <c r="AN119" i="6"/>
  <c r="AM121" i="6"/>
  <c r="AS121" i="6" s="1"/>
  <c r="AN124" i="6"/>
  <c r="AM130" i="6"/>
  <c r="AS130" i="6" s="1"/>
  <c r="AN171" i="6"/>
  <c r="AN174" i="6"/>
  <c r="AN119" i="7"/>
  <c r="AN125" i="7"/>
  <c r="AM131" i="7"/>
  <c r="AS131" i="7" s="1"/>
  <c r="AN134" i="7"/>
  <c r="AM159" i="7"/>
  <c r="AS159" i="7" s="1"/>
  <c r="AM167" i="7"/>
  <c r="AS167" i="7" s="1"/>
  <c r="AM123" i="5"/>
  <c r="AT123" i="5" s="1"/>
  <c r="AM132" i="5"/>
  <c r="AT132" i="5" s="1"/>
  <c r="AN135" i="5"/>
  <c r="AN175" i="5"/>
  <c r="AN121" i="6"/>
  <c r="AN130" i="6"/>
  <c r="AM135" i="6"/>
  <c r="AS135" i="6" s="1"/>
  <c r="AM159" i="6"/>
  <c r="AS159" i="6" s="1"/>
  <c r="AM167" i="6"/>
  <c r="AS167" i="6" s="1"/>
  <c r="AN131" i="7"/>
  <c r="AN159" i="7"/>
  <c r="AN167" i="7"/>
  <c r="AM170" i="7"/>
  <c r="AS170" i="7" s="1"/>
  <c r="AN174" i="7"/>
  <c r="AN123" i="5"/>
  <c r="AN129" i="5"/>
  <c r="AN132" i="5"/>
  <c r="AM171" i="5"/>
  <c r="AT171" i="5" s="1"/>
  <c r="AM172" i="5"/>
  <c r="AT172" i="5" s="1"/>
  <c r="AM123" i="6"/>
  <c r="AS123" i="6" s="1"/>
  <c r="AM132" i="6"/>
  <c r="AS132" i="6" s="1"/>
  <c r="AN135" i="6"/>
  <c r="AN148" i="6"/>
  <c r="AN159" i="6"/>
  <c r="AN167" i="6"/>
  <c r="AM170" i="6"/>
  <c r="AS170" i="6" s="1"/>
  <c r="AM178" i="6"/>
  <c r="AS178" i="6" s="1"/>
  <c r="AM124" i="7"/>
  <c r="AS124" i="7" s="1"/>
  <c r="AN128" i="7"/>
  <c r="AN149" i="7"/>
  <c r="AM169" i="7"/>
  <c r="AS169" i="7" s="1"/>
  <c r="AN170" i="7"/>
  <c r="AM120" i="5"/>
  <c r="AM125" i="5"/>
  <c r="AT125" i="5" s="1"/>
  <c r="AM134" i="5"/>
  <c r="AT134" i="5" s="1"/>
  <c r="AN149" i="5"/>
  <c r="AN171" i="5"/>
  <c r="AN172" i="5"/>
  <c r="AN123" i="6"/>
  <c r="AN132" i="6"/>
  <c r="AM169" i="6"/>
  <c r="AS169" i="6" s="1"/>
  <c r="AN170" i="6"/>
  <c r="AM175" i="6"/>
  <c r="AS175" i="6" s="1"/>
  <c r="AN178" i="6"/>
  <c r="AM121" i="7"/>
  <c r="AS121" i="7" s="1"/>
  <c r="AN124" i="7"/>
  <c r="AM130" i="7"/>
  <c r="AS130" i="7" s="1"/>
  <c r="AM158" i="7"/>
  <c r="AS158" i="7" s="1"/>
  <c r="AS212" i="7"/>
  <c r="AS231" i="7"/>
  <c r="AS234" i="7"/>
  <c r="AS211" i="7"/>
  <c r="AS257" i="6"/>
  <c r="AT258" i="5"/>
  <c r="AS246" i="6"/>
  <c r="AS244" i="6"/>
  <c r="AS212" i="6"/>
  <c r="AS241" i="7"/>
  <c r="AS238" i="7"/>
  <c r="AS258" i="7"/>
  <c r="AS180" i="6"/>
  <c r="AS122" i="6"/>
  <c r="AS177" i="6"/>
  <c r="AS163" i="7"/>
  <c r="AS152" i="7"/>
  <c r="AS157" i="7"/>
  <c r="AS108" i="7"/>
  <c r="AS173" i="7"/>
  <c r="AS34" i="7"/>
  <c r="AS5" i="7"/>
  <c r="AS50" i="6"/>
  <c r="AS78" i="7"/>
  <c r="AS20" i="6"/>
  <c r="AS64" i="6"/>
  <c r="AS67" i="7"/>
  <c r="AS161" i="7"/>
  <c r="AS162" i="6"/>
  <c r="AS180" i="7"/>
  <c r="AS117" i="7"/>
  <c r="AS138" i="7"/>
  <c r="AS186" i="7"/>
  <c r="AS139" i="7"/>
  <c r="AS122" i="7"/>
  <c r="AS146" i="7"/>
  <c r="AS189" i="7"/>
  <c r="AS181" i="7"/>
  <c r="AS176" i="7"/>
  <c r="AS178" i="7"/>
  <c r="AS38" i="7"/>
  <c r="AS28" i="7"/>
  <c r="AS27" i="7"/>
  <c r="AS60" i="7"/>
  <c r="AS22" i="6"/>
  <c r="AS90" i="6"/>
  <c r="E34" i="8"/>
  <c r="AM31" i="7"/>
  <c r="AS31" i="7" s="1"/>
  <c r="AM76" i="7"/>
  <c r="AS76" i="7" s="1"/>
  <c r="AS168" i="7"/>
  <c r="AM224" i="7"/>
  <c r="AS224" i="7" s="1"/>
  <c r="AS91" i="7"/>
  <c r="AS7" i="7"/>
  <c r="AS13" i="7"/>
  <c r="AS69" i="7"/>
  <c r="AM89" i="7"/>
  <c r="AS89" i="7" s="1"/>
  <c r="AM93" i="7"/>
  <c r="AS93" i="7" s="1"/>
  <c r="AS109" i="7"/>
  <c r="AS162" i="7"/>
  <c r="AS184" i="7"/>
  <c r="AS233" i="7"/>
  <c r="AS240" i="7"/>
  <c r="AS246" i="7"/>
  <c r="AS262" i="7"/>
  <c r="AM256" i="7"/>
  <c r="AS256" i="7" s="1"/>
  <c r="AR97" i="7"/>
  <c r="AS56" i="7"/>
  <c r="AS72" i="7"/>
  <c r="AP87" i="7"/>
  <c r="AS87" i="7" s="1"/>
  <c r="AS113" i="7"/>
  <c r="AM144" i="7"/>
  <c r="AS144" i="7" s="1"/>
  <c r="AM255" i="7"/>
  <c r="AS255" i="7" s="1"/>
  <c r="AS6" i="7"/>
  <c r="AS64" i="7"/>
  <c r="AS126" i="7"/>
  <c r="AQ193" i="7"/>
  <c r="AS140" i="7"/>
  <c r="AS165" i="7"/>
  <c r="AS182" i="7"/>
  <c r="AS243" i="7"/>
  <c r="AP249" i="7"/>
  <c r="AQ265" i="7"/>
  <c r="AS58" i="7"/>
  <c r="AS85" i="7"/>
  <c r="AR128" i="7"/>
  <c r="AR193" i="7" s="1"/>
  <c r="AS214" i="7"/>
  <c r="AS229" i="7"/>
  <c r="AM8" i="7"/>
  <c r="AS8" i="7" s="1"/>
  <c r="AS190" i="7"/>
  <c r="AO193" i="7"/>
  <c r="AS221" i="7"/>
  <c r="AS250" i="7"/>
  <c r="Z278" i="7"/>
  <c r="AP143" i="7"/>
  <c r="AM143" i="7"/>
  <c r="AP25" i="7"/>
  <c r="AM25" i="7"/>
  <c r="AM192" i="7"/>
  <c r="AP192" i="7"/>
  <c r="AM94" i="7"/>
  <c r="AP94" i="7"/>
  <c r="AM179" i="7"/>
  <c r="AP179" i="7"/>
  <c r="AM14" i="7"/>
  <c r="AP14" i="7"/>
  <c r="AS84" i="7"/>
  <c r="AS137" i="7"/>
  <c r="AM254" i="7"/>
  <c r="AS254" i="7" s="1"/>
  <c r="AS102" i="7"/>
  <c r="AT22" i="5"/>
  <c r="AT50" i="5"/>
  <c r="AT62" i="5"/>
  <c r="X97" i="7"/>
  <c r="R275" i="7" s="1"/>
  <c r="AM110" i="7"/>
  <c r="AP110" i="7"/>
  <c r="AP220" i="7"/>
  <c r="AS43" i="7"/>
  <c r="AS90" i="7"/>
  <c r="X193" i="7"/>
  <c r="R276" i="7" s="1"/>
  <c r="AP115" i="7"/>
  <c r="AS115" i="7" s="1"/>
  <c r="AS153" i="7"/>
  <c r="AS183" i="7"/>
  <c r="AP191" i="7"/>
  <c r="AS191" i="7" s="1"/>
  <c r="AC265" i="7"/>
  <c r="AC267" i="7" s="1"/>
  <c r="AS230" i="7"/>
  <c r="AT140" i="5"/>
  <c r="AT145" i="5"/>
  <c r="AT160" i="5"/>
  <c r="AT168" i="5"/>
  <c r="AT177" i="5"/>
  <c r="AS168" i="6"/>
  <c r="AS20" i="7"/>
  <c r="AP35" i="7"/>
  <c r="AP46" i="7"/>
  <c r="AS46" i="7" s="1"/>
  <c r="AS71" i="7"/>
  <c r="Y97" i="7"/>
  <c r="AS151" i="7"/>
  <c r="AS164" i="7"/>
  <c r="AS185" i="7"/>
  <c r="AS188" i="7"/>
  <c r="AS235" i="7"/>
  <c r="AS242" i="7"/>
  <c r="AS257" i="7"/>
  <c r="AT34" i="5"/>
  <c r="AT36" i="5"/>
  <c r="AT139" i="5"/>
  <c r="AT156" i="5"/>
  <c r="AT176" i="5"/>
  <c r="AT211" i="5"/>
  <c r="AT241" i="5"/>
  <c r="AS242" i="6"/>
  <c r="AB97" i="7"/>
  <c r="AB267" i="7" s="1"/>
  <c r="AS57" i="7"/>
  <c r="AM75" i="7"/>
  <c r="AS75" i="7" s="1"/>
  <c r="AM83" i="7"/>
  <c r="AS83" i="7" s="1"/>
  <c r="AM88" i="7"/>
  <c r="AS88" i="7" s="1"/>
  <c r="AM112" i="7"/>
  <c r="AS112" i="7" s="1"/>
  <c r="AM154" i="7"/>
  <c r="AS154" i="7" s="1"/>
  <c r="AS205" i="7"/>
  <c r="AO265" i="7"/>
  <c r="AP219" i="7"/>
  <c r="AT238" i="5"/>
  <c r="AS34" i="6"/>
  <c r="S278" i="7"/>
  <c r="AS204" i="6"/>
  <c r="AS239" i="6"/>
  <c r="AS160" i="7"/>
  <c r="AO97" i="7"/>
  <c r="AS22" i="7"/>
  <c r="AS50" i="7"/>
  <c r="AS66" i="7"/>
  <c r="AS73" i="7"/>
  <c r="AS81" i="7"/>
  <c r="AQ97" i="7"/>
  <c r="AS111" i="7"/>
  <c r="AS133" i="7"/>
  <c r="AS145" i="7"/>
  <c r="AS166" i="7"/>
  <c r="X265" i="7"/>
  <c r="AS223" i="7"/>
  <c r="AS244" i="7"/>
  <c r="AS259" i="7"/>
  <c r="AS139" i="6"/>
  <c r="AS144" i="6"/>
  <c r="AS185" i="6"/>
  <c r="AS235" i="6"/>
  <c r="AP54" i="7"/>
  <c r="AM54" i="7"/>
  <c r="AS59" i="7"/>
  <c r="AS62" i="7"/>
  <c r="AS107" i="7"/>
  <c r="AS156" i="7"/>
  <c r="AS177" i="7"/>
  <c r="Y193" i="7"/>
  <c r="Y267" i="7" s="1"/>
  <c r="AS204" i="7"/>
  <c r="AT185" i="5"/>
  <c r="AT221" i="5"/>
  <c r="AT239" i="5"/>
  <c r="AT240" i="5"/>
  <c r="AT250" i="5"/>
  <c r="AS7" i="6"/>
  <c r="AS46" i="6"/>
  <c r="AS62" i="6"/>
  <c r="AS262" i="6"/>
  <c r="AS166" i="6"/>
  <c r="AS183" i="6"/>
  <c r="AM40" i="7"/>
  <c r="AS40" i="7" s="1"/>
  <c r="AM41" i="7"/>
  <c r="AS41" i="7" s="1"/>
  <c r="AM42" i="7"/>
  <c r="AS42" i="7" s="1"/>
  <c r="AM61" i="7"/>
  <c r="AS61" i="7" s="1"/>
  <c r="AM114" i="7"/>
  <c r="AS114" i="7" s="1"/>
  <c r="AM128" i="7"/>
  <c r="AM129" i="7"/>
  <c r="AS129" i="7" s="1"/>
  <c r="AM148" i="7"/>
  <c r="AS148" i="7" s="1"/>
  <c r="AM149" i="7"/>
  <c r="AS149" i="7" s="1"/>
  <c r="AM150" i="7"/>
  <c r="AS150" i="7" s="1"/>
  <c r="AM174" i="7"/>
  <c r="AS174" i="7" s="1"/>
  <c r="AM187" i="7"/>
  <c r="AS187" i="7" s="1"/>
  <c r="AR248" i="7"/>
  <c r="AT27" i="5"/>
  <c r="AS154" i="6"/>
  <c r="AS165" i="6"/>
  <c r="AS240" i="6"/>
  <c r="AS250" i="6"/>
  <c r="AS27" i="6"/>
  <c r="AS60" i="6"/>
  <c r="AS69" i="6"/>
  <c r="AS192" i="6"/>
  <c r="AS57" i="6"/>
  <c r="AS63" i="6"/>
  <c r="AM87" i="6"/>
  <c r="AS87" i="6" s="1"/>
  <c r="AS141" i="6"/>
  <c r="AS151" i="6"/>
  <c r="AS160" i="6"/>
  <c r="AS163" i="6"/>
  <c r="AS182" i="6"/>
  <c r="AM224" i="6"/>
  <c r="AS224" i="6" s="1"/>
  <c r="AS231" i="6"/>
  <c r="AS258" i="6"/>
  <c r="AM31" i="6"/>
  <c r="AS31" i="6" s="1"/>
  <c r="AS43" i="6"/>
  <c r="AS71" i="6"/>
  <c r="AS107" i="6"/>
  <c r="AM138" i="6"/>
  <c r="AS138" i="6" s="1"/>
  <c r="AS233" i="6"/>
  <c r="AS255" i="6"/>
  <c r="AS223" i="6"/>
  <c r="AS56" i="6"/>
  <c r="AS81" i="6"/>
  <c r="AP120" i="6"/>
  <c r="AS145" i="6"/>
  <c r="AS173" i="6"/>
  <c r="AS181" i="6"/>
  <c r="AS186" i="6"/>
  <c r="X265" i="6"/>
  <c r="R277" i="6" s="1"/>
  <c r="AS229" i="6"/>
  <c r="AS6" i="6"/>
  <c r="AS66" i="6"/>
  <c r="AS78" i="6"/>
  <c r="AS91" i="6"/>
  <c r="AP93" i="6"/>
  <c r="AS93" i="6" s="1"/>
  <c r="AP191" i="6"/>
  <c r="AS191" i="6" s="1"/>
  <c r="AS221" i="6"/>
  <c r="AS230" i="6"/>
  <c r="AS13" i="6"/>
  <c r="AS28" i="6"/>
  <c r="AS36" i="6"/>
  <c r="AS38" i="6"/>
  <c r="AS58" i="6"/>
  <c r="AS72" i="6"/>
  <c r="AS84" i="6"/>
  <c r="AP85" i="6"/>
  <c r="AS85" i="6" s="1"/>
  <c r="AS140" i="6"/>
  <c r="AS152" i="6"/>
  <c r="AS156" i="6"/>
  <c r="AS164" i="6"/>
  <c r="AS214" i="6"/>
  <c r="AS238" i="6"/>
  <c r="AS241" i="6"/>
  <c r="AS259" i="6"/>
  <c r="AS5" i="6"/>
  <c r="AS59" i="6"/>
  <c r="AS73" i="6"/>
  <c r="AS94" i="6"/>
  <c r="AS126" i="6"/>
  <c r="AS146" i="6"/>
  <c r="AS153" i="6"/>
  <c r="AS205" i="6"/>
  <c r="Y278" i="6"/>
  <c r="AP55" i="6"/>
  <c r="AM55" i="6"/>
  <c r="AM148" i="6"/>
  <c r="AP148" i="6"/>
  <c r="AS188" i="6"/>
  <c r="AQ97" i="6"/>
  <c r="AP174" i="6"/>
  <c r="AM174" i="6"/>
  <c r="AM26" i="6"/>
  <c r="AP26" i="6"/>
  <c r="X193" i="6"/>
  <c r="R276" i="6" s="1"/>
  <c r="AP114" i="6"/>
  <c r="AM114" i="6"/>
  <c r="AS176" i="6"/>
  <c r="AP187" i="6"/>
  <c r="AM187" i="6"/>
  <c r="AC267" i="6"/>
  <c r="AO97" i="6"/>
  <c r="AP216" i="6"/>
  <c r="AP40" i="6"/>
  <c r="AM40" i="6"/>
  <c r="AS67" i="6"/>
  <c r="AS108" i="6"/>
  <c r="AS117" i="6"/>
  <c r="AP149" i="6"/>
  <c r="AM149" i="6"/>
  <c r="AS179" i="6"/>
  <c r="AS184" i="6"/>
  <c r="AS189" i="6"/>
  <c r="AS234" i="6"/>
  <c r="AS256" i="6"/>
  <c r="AM61" i="6"/>
  <c r="AP61" i="6"/>
  <c r="AS8" i="6"/>
  <c r="AP41" i="6"/>
  <c r="AM41" i="6"/>
  <c r="AM150" i="6"/>
  <c r="AP150" i="6"/>
  <c r="X97" i="6"/>
  <c r="R275" i="6" s="1"/>
  <c r="AS11" i="6"/>
  <c r="AO193" i="6"/>
  <c r="AP128" i="6"/>
  <c r="AM128" i="6"/>
  <c r="AS21" i="6"/>
  <c r="AM42" i="6"/>
  <c r="AP42" i="6"/>
  <c r="AS110" i="6"/>
  <c r="AP129" i="6"/>
  <c r="AM129" i="6"/>
  <c r="AS157" i="6"/>
  <c r="AO265" i="6"/>
  <c r="AQ265" i="6"/>
  <c r="AS243" i="6"/>
  <c r="AS261" i="6"/>
  <c r="AT63" i="5"/>
  <c r="AT90" i="5"/>
  <c r="AT146" i="5"/>
  <c r="AT151" i="5"/>
  <c r="AT154" i="5"/>
  <c r="AT162" i="5"/>
  <c r="AT180" i="5"/>
  <c r="AT186" i="5"/>
  <c r="AT188" i="5"/>
  <c r="AT257" i="5"/>
  <c r="AT261" i="5"/>
  <c r="AR25" i="6"/>
  <c r="AM83" i="6"/>
  <c r="AS83" i="6" s="1"/>
  <c r="Y97" i="6"/>
  <c r="AM137" i="6"/>
  <c r="AS137" i="6" s="1"/>
  <c r="AM143" i="6"/>
  <c r="AS143" i="6" s="1"/>
  <c r="AP172" i="6"/>
  <c r="AP226" i="6"/>
  <c r="AP248" i="6"/>
  <c r="AP249" i="6"/>
  <c r="AM254" i="6"/>
  <c r="AS254" i="6" s="1"/>
  <c r="AT13" i="5"/>
  <c r="AM65" i="6"/>
  <c r="AS65" i="6" s="1"/>
  <c r="AM76" i="6"/>
  <c r="AS76" i="6" s="1"/>
  <c r="AM89" i="6"/>
  <c r="AS89" i="6" s="1"/>
  <c r="AM102" i="6"/>
  <c r="AM113" i="6"/>
  <c r="AS113" i="6" s="1"/>
  <c r="AR119" i="6"/>
  <c r="Y193" i="6"/>
  <c r="AR207" i="6"/>
  <c r="AM211" i="6"/>
  <c r="AM75" i="6"/>
  <c r="AS75" i="6" s="1"/>
  <c r="AT11" i="5"/>
  <c r="AT71" i="5"/>
  <c r="AT155" i="5"/>
  <c r="AT163" i="5"/>
  <c r="AT204" i="5"/>
  <c r="AT229" i="5"/>
  <c r="AT235" i="5"/>
  <c r="AT246" i="5"/>
  <c r="AT262" i="5"/>
  <c r="AN46" i="6"/>
  <c r="AT28" i="5"/>
  <c r="AT117" i="5"/>
  <c r="AT164" i="5"/>
  <c r="AT166" i="5"/>
  <c r="AT234" i="5"/>
  <c r="AT259" i="5"/>
  <c r="AP102" i="6"/>
  <c r="AT20" i="5"/>
  <c r="AT66" i="5"/>
  <c r="AT69" i="5"/>
  <c r="AO193" i="5"/>
  <c r="AT108" i="5"/>
  <c r="AT112" i="5"/>
  <c r="AT165" i="5"/>
  <c r="AT183" i="5"/>
  <c r="AT244" i="5"/>
  <c r="AM191" i="5"/>
  <c r="AT191" i="5" s="1"/>
  <c r="AC97" i="5"/>
  <c r="AC267" i="5" s="1"/>
  <c r="AT126" i="5"/>
  <c r="X265" i="5"/>
  <c r="AR97" i="5"/>
  <c r="AT38" i="5"/>
  <c r="AT65" i="5"/>
  <c r="AT107" i="5"/>
  <c r="AT113" i="5"/>
  <c r="AT141" i="5"/>
  <c r="AT161" i="5"/>
  <c r="AM255" i="5"/>
  <c r="AT255" i="5" s="1"/>
  <c r="AT6" i="5"/>
  <c r="AT21" i="5"/>
  <c r="AT59" i="5"/>
  <c r="AT81" i="5"/>
  <c r="AT153" i="5"/>
  <c r="AT157" i="5"/>
  <c r="AT179" i="5"/>
  <c r="AT231" i="5"/>
  <c r="AT233" i="5"/>
  <c r="AR193" i="5"/>
  <c r="AQ32" i="5"/>
  <c r="AT67" i="5"/>
  <c r="AT78" i="5"/>
  <c r="AQ85" i="5"/>
  <c r="AT85" i="5" s="1"/>
  <c r="AT91" i="5"/>
  <c r="AQ93" i="5"/>
  <c r="AT93" i="5" s="1"/>
  <c r="AT109" i="5"/>
  <c r="AT115" i="5"/>
  <c r="AQ120" i="5"/>
  <c r="AM138" i="5"/>
  <c r="AT138" i="5" s="1"/>
  <c r="AM144" i="5"/>
  <c r="AT144" i="5" s="1"/>
  <c r="AT173" i="5"/>
  <c r="AT182" i="5"/>
  <c r="AT184" i="5"/>
  <c r="AT205" i="5"/>
  <c r="AQ207" i="5"/>
  <c r="AT212" i="5"/>
  <c r="AT230" i="5"/>
  <c r="Y278" i="5"/>
  <c r="AM84" i="5"/>
  <c r="AT84" i="5" s="1"/>
  <c r="AT122" i="5"/>
  <c r="AT181" i="5"/>
  <c r="AT189" i="5"/>
  <c r="AR265" i="5"/>
  <c r="AO97" i="5"/>
  <c r="AM26" i="5"/>
  <c r="AT26" i="5" s="1"/>
  <c r="AT43" i="5"/>
  <c r="AT56" i="5"/>
  <c r="AT58" i="5"/>
  <c r="AT73" i="5"/>
  <c r="AT152" i="5"/>
  <c r="AO265" i="5"/>
  <c r="AT214" i="5"/>
  <c r="AQ224" i="5"/>
  <c r="AT224" i="5" s="1"/>
  <c r="AT243" i="5"/>
  <c r="AA278" i="5"/>
  <c r="AM8" i="5"/>
  <c r="AQ8" i="5"/>
  <c r="AT87" i="5"/>
  <c r="AT94" i="5"/>
  <c r="AT133" i="5"/>
  <c r="AT110" i="5"/>
  <c r="X97" i="5"/>
  <c r="R275" i="5" s="1"/>
  <c r="AQ14" i="5"/>
  <c r="AM14" i="5"/>
  <c r="AM7" i="5"/>
  <c r="AT7" i="5" s="1"/>
  <c r="AS25" i="5"/>
  <c r="AB54" i="5"/>
  <c r="AB97" i="5" s="1"/>
  <c r="AB267" i="5" s="1"/>
  <c r="AM83" i="5"/>
  <c r="AT83" i="5" s="1"/>
  <c r="AQ111" i="5"/>
  <c r="AM137" i="5"/>
  <c r="AT137" i="5" s="1"/>
  <c r="AM143" i="5"/>
  <c r="AT143" i="5" s="1"/>
  <c r="AM254" i="5"/>
  <c r="AT254" i="5" s="1"/>
  <c r="AQ3" i="5"/>
  <c r="AM40" i="5"/>
  <c r="AT40" i="5" s="1"/>
  <c r="AM41" i="5"/>
  <c r="AT41" i="5" s="1"/>
  <c r="AM42" i="5"/>
  <c r="AT42" i="5" s="1"/>
  <c r="AM54" i="5"/>
  <c r="AT54" i="5" s="1"/>
  <c r="AM61" i="5"/>
  <c r="AT61" i="5" s="1"/>
  <c r="AM114" i="5"/>
  <c r="AT114" i="5" s="1"/>
  <c r="AM128" i="5"/>
  <c r="AT128" i="5" s="1"/>
  <c r="AM129" i="5"/>
  <c r="AT129" i="5" s="1"/>
  <c r="AM148" i="5"/>
  <c r="AT148" i="5" s="1"/>
  <c r="AM149" i="5"/>
  <c r="AT149" i="5" s="1"/>
  <c r="AM150" i="5"/>
  <c r="AT150" i="5" s="1"/>
  <c r="AM174" i="5"/>
  <c r="AT174" i="5" s="1"/>
  <c r="AM187" i="5"/>
  <c r="AT187" i="5" s="1"/>
  <c r="X193" i="5"/>
  <c r="R276" i="5" s="1"/>
  <c r="AS119" i="5"/>
  <c r="AS193" i="5" s="1"/>
  <c r="Y193" i="5"/>
  <c r="Y267" i="5" s="1"/>
  <c r="AS207" i="5"/>
  <c r="AS265" i="5" s="1"/>
  <c r="AM55" i="5"/>
  <c r="AT55" i="5" s="1"/>
  <c r="Y267" i="6" l="1"/>
  <c r="X267" i="5"/>
  <c r="AT25" i="5"/>
  <c r="AS120" i="6"/>
  <c r="AT32" i="5"/>
  <c r="AS172" i="6"/>
  <c r="AT33" i="5"/>
  <c r="AS119" i="6"/>
  <c r="AT19" i="5"/>
  <c r="AS25" i="6"/>
  <c r="AT120" i="5"/>
  <c r="AS25" i="7"/>
  <c r="AS128" i="7"/>
  <c r="AT3" i="5"/>
  <c r="AT4" i="5"/>
  <c r="C6" i="4"/>
  <c r="C5" i="4"/>
  <c r="C7" i="4"/>
  <c r="AT14" i="5"/>
  <c r="AS35" i="7"/>
  <c r="AN193" i="5"/>
  <c r="AN193" i="6"/>
  <c r="AN193" i="7"/>
  <c r="AN97" i="5"/>
  <c r="AN97" i="7"/>
  <c r="AN97" i="6"/>
  <c r="AP97" i="7"/>
  <c r="AS143" i="7"/>
  <c r="AS192" i="7"/>
  <c r="AP265" i="7"/>
  <c r="AP193" i="7"/>
  <c r="AM193" i="7"/>
  <c r="AR265" i="7"/>
  <c r="AS94" i="7"/>
  <c r="AS179" i="7"/>
  <c r="R277" i="7"/>
  <c r="R278" i="7" s="1"/>
  <c r="X267" i="7"/>
  <c r="AP97" i="6"/>
  <c r="AS110" i="7"/>
  <c r="AT119" i="5"/>
  <c r="AS54" i="7"/>
  <c r="AM97" i="7"/>
  <c r="AS14" i="7"/>
  <c r="AP193" i="6"/>
  <c r="AP265" i="6"/>
  <c r="AS129" i="6"/>
  <c r="AS40" i="6"/>
  <c r="AS61" i="6"/>
  <c r="AS128" i="6"/>
  <c r="AS174" i="6"/>
  <c r="AS55" i="6"/>
  <c r="AR193" i="6"/>
  <c r="AS114" i="6"/>
  <c r="AR97" i="6"/>
  <c r="AS26" i="6"/>
  <c r="AS187" i="6"/>
  <c r="AS150" i="6"/>
  <c r="X267" i="6"/>
  <c r="AQ193" i="5"/>
  <c r="AS41" i="6"/>
  <c r="AS149" i="6"/>
  <c r="AM193" i="6"/>
  <c r="AS102" i="6"/>
  <c r="AS97" i="5"/>
  <c r="AS148" i="6"/>
  <c r="AM97" i="6"/>
  <c r="AR265" i="6"/>
  <c r="AS211" i="6"/>
  <c r="AS42" i="6"/>
  <c r="R278" i="6"/>
  <c r="R277" i="5"/>
  <c r="R278" i="5" s="1"/>
  <c r="AQ97" i="5"/>
  <c r="AQ265" i="5"/>
  <c r="AT8" i="5"/>
  <c r="AM193" i="5"/>
  <c r="AT111" i="5"/>
  <c r="AM97" i="5"/>
  <c r="H15" i="2"/>
  <c r="AN226" i="7" s="1"/>
  <c r="H13" i="2"/>
  <c r="AM226" i="7" s="1"/>
  <c r="AS226" i="7" l="1"/>
  <c r="AT97" i="5"/>
  <c r="B5" i="4" s="1"/>
  <c r="D5" i="4" s="1"/>
  <c r="AN260" i="7"/>
  <c r="AN207" i="7"/>
  <c r="AN264" i="6"/>
  <c r="AN252" i="6"/>
  <c r="AN247" i="6"/>
  <c r="AN249" i="5"/>
  <c r="AN236" i="5"/>
  <c r="AN217" i="5"/>
  <c r="AN263" i="7"/>
  <c r="AN249" i="7"/>
  <c r="AN232" i="7"/>
  <c r="AN220" i="7"/>
  <c r="AN213" i="7"/>
  <c r="AN210" i="7"/>
  <c r="AN217" i="6"/>
  <c r="AN263" i="5"/>
  <c r="AN252" i="5"/>
  <c r="AN247" i="5"/>
  <c r="AN252" i="7"/>
  <c r="AN236" i="7"/>
  <c r="AN227" i="7"/>
  <c r="AN217" i="7"/>
  <c r="AN245" i="6"/>
  <c r="AN237" i="6"/>
  <c r="AN228" i="6"/>
  <c r="AN225" i="6"/>
  <c r="AN209" i="6"/>
  <c r="AN228" i="5"/>
  <c r="AN219" i="5"/>
  <c r="AN209" i="5"/>
  <c r="AN247" i="7"/>
  <c r="AN208" i="7"/>
  <c r="AN260" i="6"/>
  <c r="AN248" i="6"/>
  <c r="AN219" i="6"/>
  <c r="AN245" i="5"/>
  <c r="AN237" i="5"/>
  <c r="AN226" i="5"/>
  <c r="AN225" i="5"/>
  <c r="AN215" i="5"/>
  <c r="AN207" i="5"/>
  <c r="AN264" i="7"/>
  <c r="AN215" i="6"/>
  <c r="AN210" i="6"/>
  <c r="AN207" i="6"/>
  <c r="AN264" i="5"/>
  <c r="AN248" i="5"/>
  <c r="AN216" i="5"/>
  <c r="AN210" i="5"/>
  <c r="AN245" i="7"/>
  <c r="AN237" i="7"/>
  <c r="AN228" i="7"/>
  <c r="AN219" i="7"/>
  <c r="AN263" i="6"/>
  <c r="AN251" i="6"/>
  <c r="AN220" i="6"/>
  <c r="AN216" i="6"/>
  <c r="AN220" i="5"/>
  <c r="AN213" i="5"/>
  <c r="AN248" i="7"/>
  <c r="AN209" i="7"/>
  <c r="AN232" i="6"/>
  <c r="AN213" i="6"/>
  <c r="AN208" i="6"/>
  <c r="AN251" i="5"/>
  <c r="AN232" i="5"/>
  <c r="AN251" i="7"/>
  <c r="AN225" i="7"/>
  <c r="AN216" i="7"/>
  <c r="AN215" i="7"/>
  <c r="AN249" i="6"/>
  <c r="AN236" i="6"/>
  <c r="AN227" i="6"/>
  <c r="AN260" i="5"/>
  <c r="AN227" i="5"/>
  <c r="AN208" i="5"/>
  <c r="AN226" i="6"/>
  <c r="AM251" i="7"/>
  <c r="AS251" i="7" s="1"/>
  <c r="AM225" i="7"/>
  <c r="AS225" i="7" s="1"/>
  <c r="AM216" i="7"/>
  <c r="AS216" i="7" s="1"/>
  <c r="AM215" i="7"/>
  <c r="AS215" i="7" s="1"/>
  <c r="AM236" i="6"/>
  <c r="AS236" i="6" s="1"/>
  <c r="AM227" i="6"/>
  <c r="AS227" i="6" s="1"/>
  <c r="AM227" i="5"/>
  <c r="AT227" i="5" s="1"/>
  <c r="AM260" i="7"/>
  <c r="AS260" i="7" s="1"/>
  <c r="AM207" i="7"/>
  <c r="AM264" i="6"/>
  <c r="AS264" i="6" s="1"/>
  <c r="AM252" i="6"/>
  <c r="AS252" i="6" s="1"/>
  <c r="AM247" i="6"/>
  <c r="AS247" i="6" s="1"/>
  <c r="AM236" i="5"/>
  <c r="AT236" i="5" s="1"/>
  <c r="AM217" i="5"/>
  <c r="AT217" i="5" s="1"/>
  <c r="AM263" i="7"/>
  <c r="AS263" i="7" s="1"/>
  <c r="AM232" i="7"/>
  <c r="AS232" i="7" s="1"/>
  <c r="AM213" i="7"/>
  <c r="AS213" i="7" s="1"/>
  <c r="AM210" i="7"/>
  <c r="AS210" i="7" s="1"/>
  <c r="AM217" i="6"/>
  <c r="AS217" i="6" s="1"/>
  <c r="AM263" i="5"/>
  <c r="AT263" i="5" s="1"/>
  <c r="AM252" i="5"/>
  <c r="AT252" i="5" s="1"/>
  <c r="AM247" i="5"/>
  <c r="AT247" i="5" s="1"/>
  <c r="AM252" i="7"/>
  <c r="AS252" i="7" s="1"/>
  <c r="AM236" i="7"/>
  <c r="AS236" i="7" s="1"/>
  <c r="AM227" i="7"/>
  <c r="AS227" i="7" s="1"/>
  <c r="AM217" i="7"/>
  <c r="AS217" i="7" s="1"/>
  <c r="AM245" i="6"/>
  <c r="AS245" i="6" s="1"/>
  <c r="AM237" i="6"/>
  <c r="AS237" i="6" s="1"/>
  <c r="AM228" i="6"/>
  <c r="AS228" i="6" s="1"/>
  <c r="AM226" i="6"/>
  <c r="AS226" i="6" s="1"/>
  <c r="AM225" i="6"/>
  <c r="AS225" i="6" s="1"/>
  <c r="AM209" i="6"/>
  <c r="AS209" i="6" s="1"/>
  <c r="AM228" i="5"/>
  <c r="AT228" i="5" s="1"/>
  <c r="AM219" i="5"/>
  <c r="AT219" i="5" s="1"/>
  <c r="AM209" i="5"/>
  <c r="AT209" i="5" s="1"/>
  <c r="AM247" i="7"/>
  <c r="AS247" i="7" s="1"/>
  <c r="AM219" i="6"/>
  <c r="AS219" i="6" s="1"/>
  <c r="AM245" i="5"/>
  <c r="AT245" i="5" s="1"/>
  <c r="AM237" i="5"/>
  <c r="AT237" i="5" s="1"/>
  <c r="AM226" i="5"/>
  <c r="AT226" i="5" s="1"/>
  <c r="AM225" i="5"/>
  <c r="AT225" i="5" s="1"/>
  <c r="AM215" i="5"/>
  <c r="AT215" i="5" s="1"/>
  <c r="AM264" i="7"/>
  <c r="AS264" i="7" s="1"/>
  <c r="AM215" i="6"/>
  <c r="AS215" i="6" s="1"/>
  <c r="AM210" i="6"/>
  <c r="AS210" i="6" s="1"/>
  <c r="AM207" i="6"/>
  <c r="AM264" i="5"/>
  <c r="AT264" i="5" s="1"/>
  <c r="AM210" i="5"/>
  <c r="AT210" i="5" s="1"/>
  <c r="AM245" i="7"/>
  <c r="AS245" i="7" s="1"/>
  <c r="AM237" i="7"/>
  <c r="AS237" i="7" s="1"/>
  <c r="AM228" i="7"/>
  <c r="AS228" i="7" s="1"/>
  <c r="AM263" i="6"/>
  <c r="AS263" i="6" s="1"/>
  <c r="AM251" i="6"/>
  <c r="AS251" i="6" s="1"/>
  <c r="AM213" i="5"/>
  <c r="AT213" i="5" s="1"/>
  <c r="AM209" i="7"/>
  <c r="AS209" i="7" s="1"/>
  <c r="AM232" i="6"/>
  <c r="AS232" i="6" s="1"/>
  <c r="AM213" i="6"/>
  <c r="AS213" i="6" s="1"/>
  <c r="AM208" i="6"/>
  <c r="AS208" i="6" s="1"/>
  <c r="AM251" i="5"/>
  <c r="AT251" i="5" s="1"/>
  <c r="AM232" i="5"/>
  <c r="AT232" i="5" s="1"/>
  <c r="AM248" i="7"/>
  <c r="AS248" i="7" s="1"/>
  <c r="AM219" i="7"/>
  <c r="AS219" i="7" s="1"/>
  <c r="AM220" i="6"/>
  <c r="AS220" i="6" s="1"/>
  <c r="AM208" i="5"/>
  <c r="AT208" i="5" s="1"/>
  <c r="AM220" i="7"/>
  <c r="AS220" i="7" s="1"/>
  <c r="AM249" i="5"/>
  <c r="AT249" i="5" s="1"/>
  <c r="AM248" i="5"/>
  <c r="AT248" i="5" s="1"/>
  <c r="AM216" i="5"/>
  <c r="AT216" i="5" s="1"/>
  <c r="AM207" i="5"/>
  <c r="AM248" i="6"/>
  <c r="AS248" i="6" s="1"/>
  <c r="AM249" i="6"/>
  <c r="AS249" i="6" s="1"/>
  <c r="AM208" i="7"/>
  <c r="AS208" i="7" s="1"/>
  <c r="AM260" i="5"/>
  <c r="AT260" i="5" s="1"/>
  <c r="AM216" i="6"/>
  <c r="AS216" i="6" s="1"/>
  <c r="AM260" i="6"/>
  <c r="AS260" i="6" s="1"/>
  <c r="AM220" i="5"/>
  <c r="AT220" i="5" s="1"/>
  <c r="AM249" i="7"/>
  <c r="AS249" i="7" s="1"/>
  <c r="AS97" i="7"/>
  <c r="AS193" i="7"/>
  <c r="AT193" i="5"/>
  <c r="AS193" i="6"/>
  <c r="B6" i="4" s="1"/>
  <c r="D6" i="4" s="1"/>
  <c r="AS97" i="6"/>
  <c r="AN265" i="6" l="1"/>
  <c r="AS207" i="7"/>
  <c r="AS265" i="7" s="1"/>
  <c r="B7" i="4" s="1"/>
  <c r="D7" i="4" s="1"/>
  <c r="D8" i="4" s="1"/>
  <c r="AM265" i="7"/>
  <c r="AN265" i="5"/>
  <c r="AM265" i="5"/>
  <c r="AT207" i="5"/>
  <c r="AT265" i="5" s="1"/>
  <c r="AS207" i="6"/>
  <c r="AS265" i="6" s="1"/>
  <c r="AM265" i="6"/>
  <c r="AN265" i="7"/>
</calcChain>
</file>

<file path=xl/sharedStrings.xml><?xml version="1.0" encoding="utf-8"?>
<sst xmlns="http://schemas.openxmlformats.org/spreadsheetml/2006/main" count="13837" uniqueCount="2352">
  <si>
    <t>Invulinstructie</t>
  </si>
  <si>
    <t>Openbare Europese Aanbesteding Reinigen, inspecteren en correctief onderhoud daken
Gemeente Almere met kenmerk IA2025.01.08</t>
  </si>
  <si>
    <t xml:space="preserve">Opdrachtnemer dient ten behoeve van deze aanbesteding dit Tarievenblad in te vullen. </t>
  </si>
  <si>
    <t>Inschrijver bij het invullen van het Tarievenblad dient rekening te houden met de volgende voorschriften:</t>
  </si>
  <si>
    <t xml:space="preserve">- Opdrachtnemer dient uitsluitend gebruik te maken van dit model. Opdrachtnemer mag geen wijzigingen aanbrengen in het Tarievenblad, zoals het toevoegen/verwijderen van regels. </t>
  </si>
  <si>
    <t>- U dient in alle tabbladen alleen de groen gearceerde velden in te vullen.</t>
  </si>
  <si>
    <t xml:space="preserve">- U dient de prijzen in te vullen voor de percelen waar u voor wilt inschrijven. </t>
  </si>
  <si>
    <t>- Het is mogelijk om één perceel in te vullen en de bedragen daarna te kopieren naar de andere percelen zonder dat eventuele vooringeprogammeerde formules in de andere bladen worden beinvloed. In de objectenlijsten en het verzamelblad kunt u de totalen terug vinden.</t>
  </si>
  <si>
    <t>- Alle ingediende prijzen dienen in Euro’s te zijn.</t>
  </si>
  <si>
    <t xml:space="preserve">- Alle ingediende prijzen zijn per eenheid en exclusief BTW. </t>
  </si>
  <si>
    <t>- Er mogen geen negatieve of 0-prijzen worden ingediend, tenzij nadrukkelijk omschreven in het Tarievenblad</t>
  </si>
  <si>
    <t xml:space="preserve">- De prijzen zijn all-in, wat in ieder geval betekent inclusief eventuele opslagen en inclusief alle kosten zoals (niet limitatief): voorrijkosten, 
voorzieningen veilig werken, 
vergunningen, 
fotorapportages, 
kleine reparaties, 
(arbeids-)middelen, 
werkkleding,
vervoerskosten, 
winst en overhead, 
kwaliteitskeuringen, 
(her)opleidingen, 
Administratieve kosten, etc. 
Er kunnen geen separate kosten bij de gemeente in rekening worden gebracht. </t>
  </si>
  <si>
    <t>- De prijzen kunnen uitsluitend tussentijds aangepast worden conform de voorwaarden als beschreven in de Overeenkomst.</t>
  </si>
  <si>
    <t xml:space="preserve">- De prijs die Inschrijver opgeeft in het Tarievenblad is leidend en wordt beoordeeld conform de beschreven procedure in de Offerteaanvraag. Indien de prijs die Inschrijver opgeeft in TenderNed afwijkt, is de opgegeven prijs in het Tarievenblad leidend. </t>
  </si>
  <si>
    <t>- De in het Tarievenblad opgenomen aantallen en afnames zijn indicatief en bedoeld ten behoeve van de beoordeling. Aan deze getallen kunnen door inschrijvers geen rechten worden ontleend.</t>
  </si>
  <si>
    <t>Legenda van de gebruikte kleuren in de tabbladen:</t>
  </si>
  <si>
    <t>= Dak van het totale complex</t>
  </si>
  <si>
    <t>= Objecten die onder dit dak vallen</t>
  </si>
  <si>
    <t>= In te vullen cellen</t>
  </si>
  <si>
    <t>Inschrijfstaat</t>
  </si>
  <si>
    <t>Openbare Europese Aanbesteding Reinigen, inspecteren en correctief onderhoud daken Gemeente Almere met kenmerk IA2025.01.08</t>
  </si>
  <si>
    <t>Onderdeel</t>
  </si>
  <si>
    <t>Totaalprijs per perceel (Reinigen, inspectie en keuren dakveiligheid),</t>
  </si>
  <si>
    <t>Totaalprijs Diensten op afroep</t>
  </si>
  <si>
    <t>Totaalbedrag  per perceel</t>
  </si>
  <si>
    <t>Wat zijn uw voorkeurspercelen?
Vul in 1, 2 of 3, waarbij 1 uw eerste voorkeur heeft.</t>
  </si>
  <si>
    <t>Perceel 1</t>
  </si>
  <si>
    <t>Perceel 2</t>
  </si>
  <si>
    <t>Perceel 3</t>
  </si>
  <si>
    <t>Totaalbedrag gehele opdracht</t>
  </si>
  <si>
    <t>Datum:</t>
  </si>
  <si>
    <t>Handtekening rechtsgeldig vertegenwoordiger:</t>
  </si>
  <si>
    <t>Naam:</t>
  </si>
  <si>
    <t>Functie:</t>
  </si>
  <si>
    <t>Organisatie:</t>
  </si>
  <si>
    <t xml:space="preserve">Invulblad </t>
  </si>
  <si>
    <t>Prijs</t>
  </si>
  <si>
    <t>Eenheid</t>
  </si>
  <si>
    <t>Reinigen daken waar nog geen vaste dakveiligheidsvoorzieningen aanwezig zijn:</t>
  </si>
  <si>
    <t>Reinigen daken, all-in prijs</t>
  </si>
  <si>
    <t>m²</t>
  </si>
  <si>
    <t>Reinigen goten, all-in prijs</t>
  </si>
  <si>
    <t>m¹</t>
  </si>
  <si>
    <t>Reinigen daken waar vaste dakveiligheidsvoorzieningen aanwezig zijn:</t>
  </si>
  <si>
    <t>Minder prijs reinigen daken en goten bij aanwezigheid/na aanbrengen van vaste dakveiligheidsvoorzieningen (invullen met een - er voor)</t>
  </si>
  <si>
    <t>Reinigen daken bij aanwezige vaste dakveiligheidsvoorzieningen, all-in prijs</t>
  </si>
  <si>
    <t>Reinigen goten bij aanwezige vaste dakveiligheidsvoorzieningen, all-in prijs</t>
  </si>
  <si>
    <t>Reinigen Lichtkoepels en dakstraten met water en zachte borstel:</t>
  </si>
  <si>
    <t>Reinigen Lichtkoepel 50X50, all-in prijs</t>
  </si>
  <si>
    <t>Reinigen Lichtkoepel 60x200, all-in prijs</t>
  </si>
  <si>
    <t>Reinigen Lichtkoepel 180x180, all-in prijs</t>
  </si>
  <si>
    <t>Reinigen Lichtstraten &gt; 180x180, all-in prijs</t>
  </si>
  <si>
    <t>Anti-mosbehandeling</t>
  </si>
  <si>
    <t>Prijs anti-mosbehandeling/anti-groene aanslag met een biologisch afbreekbaar middel</t>
  </si>
  <si>
    <t>Inspecteren daken en goten inclusief inspectierapport en een managementrapport</t>
  </si>
  <si>
    <t>Meerprijs inspecteren daken en goten 1x per jaar gelijktijdig met reiniging inclusief inspectierapport en een managementrapport</t>
  </si>
  <si>
    <t>m² dak of m¹ goot</t>
  </si>
  <si>
    <t>Dakveiligheidsvoorzieningen keuren, rapporteren en afgifte garantiecertificaat</t>
  </si>
  <si>
    <t>Keuren van alle aanwezige dakveiligheidsvoorzieningen zoals onder andere ankers,  veiligheidslijn/kabel, losse ladders t.b.v. toegangdaken, visueeel controle ladderopstelplaats, kooiladders, vaste trappetjes en bevestigingen inclusief kleine gebreken verhelpen waaronder bijvoorbeeld de bevestiging (onafhankelijk van welk merk of type), , all-in prijs</t>
  </si>
  <si>
    <t>per manuur*²</t>
  </si>
  <si>
    <t>Diensten op afroep</t>
  </si>
  <si>
    <t>Perceel 1, 2 en 3</t>
  </si>
  <si>
    <t>Voorrijkosten per incident/melding incl. manuren om ter plaatse te komen</t>
  </si>
  <si>
    <t>per melding</t>
  </si>
  <si>
    <t>Onderzoek calamiteit zoals bijvoorbeeld lekkage ma t/m vr tussen 7 en 18 uur</t>
  </si>
  <si>
    <t>Onderzoek calamiteit zoals bijvoorbeeld lekkage ma t/m vr voor 7 uur en na 18 uur</t>
  </si>
  <si>
    <t>Onderzoek calamiteit zoals bijvoorbeeld lekkage za, zo en feestdagen</t>
  </si>
  <si>
    <t>Herstel gebreken*³</t>
  </si>
  <si>
    <t>Opnieuw  inwerken hemelwaterafvoer / noodoverloop / spuwer (bitumen)</t>
  </si>
  <si>
    <t>p/st</t>
  </si>
  <si>
    <t>Opnieuw  inwerken hemelwaterafvoer / noodoverloop / spuwer (kunststof)</t>
  </si>
  <si>
    <t>Dakbedekking deels overlagen (&lt;5 m2).</t>
  </si>
  <si>
    <t>p/m²</t>
  </si>
  <si>
    <t>Dakbedekking deels overlagen (5-10 m2).</t>
  </si>
  <si>
    <t>Dakbedekking deels overlagen (10&gt;20 m2).</t>
  </si>
  <si>
    <t>Nieuwe randstroken opgaand werk aanbrengen</t>
  </si>
  <si>
    <t>p/m¹</t>
  </si>
  <si>
    <t>Nieuwe randstroken langs dakranden aanbrengen</t>
  </si>
  <si>
    <t>Nieuwe randstroken rond unit aanbrengen tot 500 x 500 mm</t>
  </si>
  <si>
    <t>Nieuwe randstroken rond unit aanbrengen tot 1.000 x 1.000 mm</t>
  </si>
  <si>
    <t>Doorvoeren tot Ø 150 mm opnieuw waterdicht inwerken</t>
  </si>
  <si>
    <t>Doorvoeren tot Ø 300 mm opnieuw waterdicht inwerken</t>
  </si>
  <si>
    <t>Doorvoeren tot Ø 500 mm opnieuw waterdicht inwerken</t>
  </si>
  <si>
    <t xml:space="preserve">Koppelstukjes van de daktrimmen voorzien van een kitvoeg. </t>
  </si>
  <si>
    <t>Boldraadroosters/(tegel)bladvangers plaatsen t.p.v. hwa's.</t>
  </si>
  <si>
    <t>Voetlood nalopen, scheurtjes herstellen met Batu-band</t>
  </si>
  <si>
    <t>Lichtkoepels demonteren en opslaan op het dak, nieuwe foamband aanbrengen, opgeslagen lichtkoepels terug monteren (tot max dagm. 1.200 x 1.200 mm.</t>
  </si>
  <si>
    <t>Losse voetlood weer vastzetten met loodproppen en opnieuw afvoegen.</t>
  </si>
  <si>
    <t>Loodwerk van opbouwtjes waarnodig inkorten en netjes aankloppen</t>
  </si>
  <si>
    <t>Vervangen van het voetlood t.p.v. metselwerk (alleen met toestemming van opdrachtgever)</t>
  </si>
  <si>
    <t>Vervangen van het voetlood t.p.v. metselwerk met loodvervanger (alleen met toestemming van opdrachtgever)</t>
  </si>
  <si>
    <t>PVC steekstukken demonteren, voorzien van kit en terug monteren</t>
  </si>
  <si>
    <t>Vervangen dakveiligheidsanker voor zelfde merk (o.a. Latchways, Daksafe) incl. inwerken dakbedekking</t>
  </si>
  <si>
    <t>Vervangen dakveiligheidslijn voor zelfde merk (o.a. Latchways, Daksafe)</t>
  </si>
  <si>
    <t>*¹ Onder kleine reparaties wordt verstaan kleine gebreken waar tot ca. 1 m² dakbedekking voor nodig is om te herstellen.</t>
  </si>
  <si>
    <t>*² Uren verrekenen per kwartier (alleen uren voor het onderzoek als men ter plaatse is, uren voor herstel zitten in opgave onder herstel gebreken en uren om ter plaatse te komen in de voorrijkosten).</t>
  </si>
  <si>
    <t>*³ incl. manuren, materiaal, materieel, vergunningen en rapporten.</t>
  </si>
  <si>
    <t>Aannemer contract</t>
  </si>
  <si>
    <t>Perceel</t>
  </si>
  <si>
    <t>actief</t>
  </si>
  <si>
    <t>gebruiker</t>
  </si>
  <si>
    <t>sec gebruiker</t>
  </si>
  <si>
    <t>aanvulling</t>
  </si>
  <si>
    <r>
      <t xml:space="preserve">Grootboeknummer Reinigen </t>
    </r>
    <r>
      <rPr>
        <b/>
        <sz val="10"/>
        <color theme="0"/>
        <rFont val="Arial"/>
        <family val="2"/>
      </rPr>
      <t>De verplichting ophogen tot het aangegeven bedrag. Staat er nog een bedrag op de order dit inmindering brengen, zodat het aangegeven bedrag in totaal op de verplichting over blijft. Het jaartal in de naam dient te beginnen met 26. Indien nodig tekst aanpassen.</t>
    </r>
  </si>
  <si>
    <t>Grootboeknummer herstel</t>
  </si>
  <si>
    <t>Ordernummer</t>
  </si>
  <si>
    <t>Ordernummer meerwerk tot en met €750,-</t>
  </si>
  <si>
    <t>Routecode t.b.v. factuur</t>
  </si>
  <si>
    <t>Accounth.</t>
  </si>
  <si>
    <t>Object nr</t>
  </si>
  <si>
    <t>Naam</t>
  </si>
  <si>
    <t>Adres</t>
  </si>
  <si>
    <t>Postcode</t>
  </si>
  <si>
    <t>Wijknaam</t>
  </si>
  <si>
    <t>Stadsdeel</t>
  </si>
  <si>
    <t>Contactpersoon op locatie</t>
  </si>
  <si>
    <t>Telefoonnummer</t>
  </si>
  <si>
    <t>E-mailadres</t>
  </si>
  <si>
    <t>Bouw-jaar</t>
  </si>
  <si>
    <t>m² dak</t>
  </si>
  <si>
    <t>m¹ goot zo ver bekend</t>
  </si>
  <si>
    <t>Zonnepanelen op het dak</t>
  </si>
  <si>
    <t>Vaste dakveilig-heidsvoor-zieningen aanwezig</t>
  </si>
  <si>
    <t>dakveilig-heidsankers stuk</t>
  </si>
  <si>
    <t>dakveilig-heidslijn  m¹</t>
  </si>
  <si>
    <t>(kooi-) ladders en trapjes</t>
  </si>
  <si>
    <t>Lichtkoepel 50X50</t>
  </si>
  <si>
    <t>Lichtkoepel 60x200</t>
  </si>
  <si>
    <t>Lichtkoepel 180x180</t>
  </si>
  <si>
    <t>Lichtstraten &gt; 180x180</t>
  </si>
  <si>
    <t>Garantie daken  renovatie jaar of bouwjaar tot einde</t>
  </si>
  <si>
    <t>garantie verstrekker</t>
  </si>
  <si>
    <t>Opmerkingen</t>
  </si>
  <si>
    <t>Benodigde uren keuren dakveiligheid per kwartier verrekenbaar (kwartier = 0,25)</t>
  </si>
  <si>
    <t>Totaal prijs per object per jaar</t>
  </si>
  <si>
    <t>ja</t>
  </si>
  <si>
    <t>VGB</t>
  </si>
  <si>
    <t>600973.4310L</t>
  </si>
  <si>
    <t>600973.4320L</t>
  </si>
  <si>
    <t>STB-V-AC16 (Edwin)</t>
  </si>
  <si>
    <t>Roelofs E.A.</t>
  </si>
  <si>
    <t>0580 </t>
  </si>
  <si>
    <t>Argonweg 81 - Recyclingperron Argonweg 81</t>
  </si>
  <si>
    <t>Argonweg 81  </t>
  </si>
  <si>
    <t>1362 AD </t>
  </si>
  <si>
    <t>Overig Almere Poort </t>
  </si>
  <si>
    <t>Almere Poort</t>
  </si>
  <si>
    <t>A.D. (Angelique) Scholten</t>
  </si>
  <si>
    <t>06-52886061 / 036-5458182</t>
  </si>
  <si>
    <t>ascholten@almere.nl</t>
  </si>
  <si>
    <t>Latchways</t>
  </si>
  <si>
    <t>1 toegangs-ladder tot dak</t>
  </si>
  <si>
    <t>602047.4310</t>
  </si>
  <si>
    <t>602047.4320</t>
  </si>
  <si>
    <t>STB-V-AB16 (Mitch)</t>
  </si>
  <si>
    <t>Lamboo, M.S.</t>
  </si>
  <si>
    <t>4125 </t>
  </si>
  <si>
    <t>Argonweg 107 - Brandweerkazerne Poort</t>
  </si>
  <si>
    <t>Argonweg 107</t>
  </si>
  <si>
    <t>Hogekant</t>
  </si>
  <si>
    <t>Regionale Brandweer Flevoland: Vincent Bouwman</t>
  </si>
  <si>
    <t>06-23199713</t>
  </si>
  <si>
    <t xml:space="preserve">V.Bouwman@BrandweerFlevoland.nl </t>
  </si>
  <si>
    <t>2021-2031</t>
  </si>
  <si>
    <t>602233.4310L</t>
  </si>
  <si>
    <t>Muiderzandweg 2 - Gymzaal Muiderzandweg</t>
  </si>
  <si>
    <t>Muiderzandweg  2</t>
  </si>
  <si>
    <t>1361 BS</t>
  </si>
  <si>
    <t>Duin</t>
  </si>
  <si>
    <t>Tussen 8 en 17 uur meldpunt Vastgoedbedrijf en tussen 17 en 8 uur meldkamer bewakingsdienst</t>
  </si>
  <si>
    <t>meldpunt Vastgoedbedrijf (036) 547 18 12 en meldpunt bewakingsdienst (020) 311 95 00</t>
  </si>
  <si>
    <t>meldpuntvastgoedbedrijf@almere.nl</t>
  </si>
  <si>
    <t>26-01-2022 tot en met 25-01-2032</t>
  </si>
  <si>
    <t>Koopmans</t>
  </si>
  <si>
    <t>ASG</t>
  </si>
  <si>
    <t>602623.4310L</t>
  </si>
  <si>
    <t>Graauw, D. de</t>
  </si>
  <si>
    <t>Muiderzandweg 4 - PO De Zeeraket</t>
  </si>
  <si>
    <t>Muiderzandweg  4</t>
  </si>
  <si>
    <t>Directeur</t>
  </si>
  <si>
    <t>036-7670221</t>
  </si>
  <si>
    <t>directie@dezeeraket.asg.nl</t>
  </si>
  <si>
    <t>600714.4310L</t>
  </si>
  <si>
    <t>600714.4320L</t>
  </si>
  <si>
    <t>1115 </t>
  </si>
  <si>
    <t>Bosgouw 237 - Gymzaal Bosgouw 237</t>
  </si>
  <si>
    <t>Bosgouw 237  </t>
  </si>
  <si>
    <t>1352 GW </t>
  </si>
  <si>
    <t>De Gouwen </t>
  </si>
  <si>
    <t>Almere Haven</t>
  </si>
  <si>
    <t>600867.4310L</t>
  </si>
  <si>
    <t>STB-V-AG16 (Giovanni)</t>
  </si>
  <si>
    <t>Tepper, M.</t>
  </si>
  <si>
    <t>0712</t>
  </si>
  <si>
    <t>Sluis 1 - Sluisgarage</t>
  </si>
  <si>
    <t>Sluis 1</t>
  </si>
  <si>
    <t>1357 NZ</t>
  </si>
  <si>
    <t>Centrum Almere Haven </t>
  </si>
  <si>
    <t>A.A. (Anthonie) Dam</t>
  </si>
  <si>
    <t>06-10934473 / 036-5484069</t>
  </si>
  <si>
    <t>aadam@almere.nl</t>
  </si>
  <si>
    <t>Let op de parkeerdekken zijn opgenomen in een andere overeenkomst.</t>
  </si>
  <si>
    <t>601109.4310L</t>
  </si>
  <si>
    <t>601109.4320L</t>
  </si>
  <si>
    <t>0911, 0911B en 0915</t>
  </si>
  <si>
    <t>Diverse Stranddouches en -toiletten</t>
  </si>
  <si>
    <t>0911 en 0911B</t>
  </si>
  <si>
    <t>Gooimeerdijk West - Stranddouches en -toiletten Zwemstrand Haven 1x  bij strandweg 16 (27m²) (en de ander aan de andere kant van het strand vlakbij bosjes naar Surfstrand  wordt gesloopt/vervalt(50m²)</t>
  </si>
  <si>
    <t>Gooimeerdijk West</t>
  </si>
  <si>
    <t>1353 CZ</t>
  </si>
  <si>
    <t>0915 </t>
  </si>
  <si>
    <t>Almeerderstrand - Stranddouches en -toiletten Almeerderstrand 2x  (AP6 één vlakbij Ijmeerdijk 1A, de laatste AP9 op dit strand vlakbij IJmeerdijk 3)</t>
  </si>
  <si>
    <t>Almeerderstrand (IJmeerdijk)</t>
  </si>
  <si>
    <t>1309 BA</t>
  </si>
  <si>
    <t>601582.4310L</t>
  </si>
  <si>
    <t>601582.4320L</t>
  </si>
  <si>
    <t>1217 </t>
  </si>
  <si>
    <t>Bosgouw 235 - PO De Flierefluiter</t>
  </si>
  <si>
    <t>Bosgouw 235  </t>
  </si>
  <si>
    <t>Directie (2x): L. van Hamersveld en M. Goores</t>
  </si>
  <si>
    <t>06-42133674 / 036-5212693 06-45540622 / Algemeen 036-5312332</t>
  </si>
  <si>
    <t>directie@flierefluiter.asg.nl</t>
  </si>
  <si>
    <t>18-5-2024 tot en met 17-5-2034</t>
  </si>
  <si>
    <t>Van Venrooy</t>
  </si>
  <si>
    <t>600715.4310L</t>
  </si>
  <si>
    <t>600715.4320L</t>
  </si>
  <si>
    <t>1111 </t>
  </si>
  <si>
    <t>Buitenhof 95 - Gymzaal Buitenhof 95</t>
  </si>
  <si>
    <t>Buitenhof 95</t>
  </si>
  <si>
    <t>1354 GR </t>
  </si>
  <si>
    <t>De Hoven </t>
  </si>
  <si>
    <t>Daksafe</t>
  </si>
  <si>
    <t>601614.4310L</t>
  </si>
  <si>
    <t>601614.4320L</t>
  </si>
  <si>
    <t>1212 </t>
  </si>
  <si>
    <t>Buitenhof 93 - PO De Polderhof</t>
  </si>
  <si>
    <t>Buitenhof 93  </t>
  </si>
  <si>
    <t>Directie: K. Draisma</t>
  </si>
  <si>
    <t>06-25243021 / 036-5310271</t>
  </si>
  <si>
    <t>directie@polderhof.asg-almere.nl</t>
  </si>
  <si>
    <t>600979.4310L</t>
  </si>
  <si>
    <t>600979.4320L</t>
  </si>
  <si>
    <t>0510, 0511,0513</t>
  </si>
  <si>
    <t>Diverse gebouwen De Steiger (bedrijfsgebouw Stadsreiniging, bedrijfsgebouw De Steiger 223, Voertuigenloods 1 en zoutopslag (excl. nieuwe voertuigenloods)</t>
  </si>
  <si>
    <t>De Steiger 221, 222, 223 </t>
  </si>
  <si>
    <t>1351 AX </t>
  </si>
  <si>
    <t>De Steiger </t>
  </si>
  <si>
    <t>1981, 1982, 1984 en 1999</t>
  </si>
  <si>
    <t>0511 </t>
  </si>
  <si>
    <t>De Steiger 221 - Zoutloods De Steiger</t>
  </si>
  <si>
    <t>De Steiger 221  </t>
  </si>
  <si>
    <t>0512  </t>
  </si>
  <si>
    <t>De Steiger 221 - Voertuigenloods De Steiger</t>
  </si>
  <si>
    <t>2018-2028</t>
  </si>
  <si>
    <t>0510 </t>
  </si>
  <si>
    <t>De Steiger 221- Bedrijfsgebouw Stadsreiniging</t>
  </si>
  <si>
    <t>De Steiger 221</t>
  </si>
  <si>
    <t>0513</t>
  </si>
  <si>
    <t>De Steiger 223 - Bedrijfsgebouw De Steiger</t>
  </si>
  <si>
    <t>De Steiger 222, 223</t>
  </si>
  <si>
    <t>Kingdom Impact mevr. C. Graanoogst (kantoor), Service team vastgoed dhr. W. van Elten (loods achterzijde), Geo-data dhr. F. Burren (loods zijgevel)</t>
  </si>
  <si>
    <t>Kingdom Impact mevr. C. Graanoogst 06-43551899 (kantoor), Service team vastgoed dhr. W. van Elten 06-52886163 (loods achterzijde), Geo-data dhr. F. Burren 06-25432988 (loods zijgevel)</t>
  </si>
  <si>
    <t>info@kingdomimpact.nl, wjcvelten@almere.nl, fburren@almere.nl</t>
  </si>
  <si>
    <t>601669.4310L</t>
  </si>
  <si>
    <t>601669.4320L</t>
  </si>
  <si>
    <t>0542</t>
  </si>
  <si>
    <t>Upcyclecentrum Almere Haven</t>
  </si>
  <si>
    <t>De Steiger 113</t>
  </si>
  <si>
    <t>1351 AK</t>
  </si>
  <si>
    <t>M. Blume</t>
  </si>
  <si>
    <t>06-13258471</t>
  </si>
  <si>
    <t>mjblume@almere.nl</t>
  </si>
  <si>
    <t>gevelladder 2x</t>
  </si>
  <si>
    <t>602815.4310L</t>
  </si>
  <si>
    <t>0543</t>
  </si>
  <si>
    <t>De Steiger 110 - Circulair Ambachtscentrum Stadsreiniging</t>
  </si>
  <si>
    <t>De Steiger 110</t>
  </si>
  <si>
    <t>Nog niet bekend, dus meldpunt:Tussen 8 en 17 uur meldpunt Vastgoedbedrijf en tussen 17 en 8 uur meldkamer bewakingsdienst</t>
  </si>
  <si>
    <t>601134.4310L</t>
  </si>
  <si>
    <t>601134.4320L</t>
  </si>
  <si>
    <t>STB-V-AD16 (Sabrina)</t>
  </si>
  <si>
    <t>Wijk van S.S.</t>
  </si>
  <si>
    <t>2520 </t>
  </si>
  <si>
    <t>KDV Goedewerf 1</t>
  </si>
  <si>
    <t>Goedewerf 1  </t>
  </si>
  <si>
    <t>1357 AM </t>
  </si>
  <si>
    <t>De Werven </t>
  </si>
  <si>
    <t>M. Valk</t>
  </si>
  <si>
    <t>06-11710915</t>
  </si>
  <si>
    <t>martijn.valk@kidsfoundation.nl</t>
  </si>
  <si>
    <t>601133.4310L</t>
  </si>
  <si>
    <t>601133.4320L</t>
  </si>
  <si>
    <t>2453 </t>
  </si>
  <si>
    <t>BSO Goedewerf 1A</t>
  </si>
  <si>
    <t>Goedewerf 1A</t>
  </si>
  <si>
    <t>601149.4310L</t>
  </si>
  <si>
    <t>601149.4320L</t>
  </si>
  <si>
    <r>
      <t>Roelofs E.A./</t>
    </r>
    <r>
      <rPr>
        <sz val="10"/>
        <color rgb="FFFF0000"/>
        <rFont val="Arial"/>
        <family val="2"/>
      </rPr>
      <t xml:space="preserve"> Lamboo, M.S.</t>
    </r>
  </si>
  <si>
    <t>2473 </t>
  </si>
  <si>
    <t>Buurtcentrum Amerika inclusief Sportzaal Henry Stanleystraat 3</t>
  </si>
  <si>
    <t>Henry Stanleystraat 1-3</t>
  </si>
  <si>
    <t>1363 LB </t>
  </si>
  <si>
    <t>Columbuskwartier</t>
  </si>
  <si>
    <t>R. Westman en J. Booi</t>
  </si>
  <si>
    <t>06-21243129</t>
  </si>
  <si>
    <t>rwestman@deschoor.nl en amerika@deschoor.nl</t>
  </si>
  <si>
    <t>SKOFV</t>
  </si>
  <si>
    <t>1196, 0040</t>
  </si>
  <si>
    <t>Verlengde Duinvalleiweg 317 - PO De Duinvlinder en Verlengde Duinvalleiweg 319 - Gymzaal Verlengde Duinvalleiweg 319</t>
  </si>
  <si>
    <t>Verlengde Duinvalleiweg 317 - 319</t>
  </si>
  <si>
    <t>1361 BR</t>
  </si>
  <si>
    <t>j</t>
  </si>
  <si>
    <t>2x dakluik met trap</t>
  </si>
  <si>
    <t>Dak te betreden middels 2 dakluiken</t>
  </si>
  <si>
    <t>0040</t>
  </si>
  <si>
    <t>Verlengde Duinvalleiweg 317 - PO De Duinvlinder (18%)</t>
  </si>
  <si>
    <t>Verlengde Duinvalleiweg 317</t>
  </si>
  <si>
    <t>Verlengde Duinvalleiweg	319 - Gymzaal Verlengde Duinvalleiweg 319 (82%)</t>
  </si>
  <si>
    <t xml:space="preserve">Verlengde Duinvalleiweg  319 </t>
  </si>
  <si>
    <t>Rooij-Sahidi, T. van</t>
  </si>
  <si>
    <t>Strandvonder 5 - StrandLab</t>
  </si>
  <si>
    <t>Strandvonder 5 (Voorheen IJmeerdijk 1B)</t>
  </si>
  <si>
    <t>1361 AL</t>
  </si>
  <si>
    <t>Gevelbeplating steekt ca 60cm uit boven dakrand</t>
  </si>
  <si>
    <t>2020-2030</t>
  </si>
  <si>
    <t>600602.4310L</t>
  </si>
  <si>
    <t>600602.4320L</t>
  </si>
  <si>
    <t>4140 </t>
  </si>
  <si>
    <t>Strandbewakingpost Almeerse Reddingsbrigade Almerestrand</t>
  </si>
  <si>
    <t>IJmeerdijk - Almeerderstrand  </t>
  </si>
  <si>
    <t>Raymond van de Hoek</t>
  </si>
  <si>
    <t>06-86807732</t>
  </si>
  <si>
    <t>BC-G@AlmeerseReddingsBrigade.nl</t>
  </si>
  <si>
    <t>601076.4310L</t>
  </si>
  <si>
    <t>601076.4320L</t>
  </si>
  <si>
    <t>2102 </t>
  </si>
  <si>
    <t>Zwembad Stad  </t>
  </si>
  <si>
    <t>J.S. Bachweg 3  </t>
  </si>
  <si>
    <t>1323 BA </t>
  </si>
  <si>
    <t>Muziekwijk </t>
  </si>
  <si>
    <t>Almere Stad</t>
  </si>
  <si>
    <t>R. (Roger) van Dam</t>
  </si>
  <si>
    <t>036-5371135</t>
  </si>
  <si>
    <t>rogervandam@optisport.nl</t>
  </si>
  <si>
    <t>gevelladder</t>
  </si>
  <si>
    <t>2016-2026</t>
  </si>
  <si>
    <t>Elro</t>
  </si>
  <si>
    <t>PRO</t>
  </si>
  <si>
    <t>STB-V-AE16 (Marloes)</t>
  </si>
  <si>
    <t>Tepper M.</t>
  </si>
  <si>
    <t>1142, 1396</t>
  </si>
  <si>
    <t>VSO PrO Almere Bachweg 7 incl. gymzaal AA J.S. Bachweg 7</t>
  </si>
  <si>
    <t>J.S. Bachweg 7  </t>
  </si>
  <si>
    <t>601557.4310L</t>
  </si>
  <si>
    <t>601557.4320L</t>
  </si>
  <si>
    <t>1142 </t>
  </si>
  <si>
    <t>Gymzaal AA J.S. Bachweg 7 (14%)</t>
  </si>
  <si>
    <t>H. Broos</t>
  </si>
  <si>
    <t>06-40465461</t>
  </si>
  <si>
    <t>info@praktijkonderwijsalmere.nl</t>
  </si>
  <si>
    <t>601556.4310L</t>
  </si>
  <si>
    <t>601556.4320L</t>
  </si>
  <si>
    <t>1396 </t>
  </si>
  <si>
    <t>VSO PrO Almere Bachweg 7 (86%)</t>
  </si>
  <si>
    <t>E.F. Hoek en H. Broos</t>
  </si>
  <si>
    <t>06-25617099 / 06-40465461 036-5336194</t>
  </si>
  <si>
    <t>601123.4310L</t>
  </si>
  <si>
    <t>601123.4320L</t>
  </si>
  <si>
    <t>2406 </t>
  </si>
  <si>
    <t>Buurtcentrum Meenten &amp; Grienden incl. KDV - Peutergroep Jaagmeent </t>
  </si>
  <si>
    <t>Jaagmeent 189  </t>
  </si>
  <si>
    <t>1356 AT </t>
  </si>
  <si>
    <t>De Meenten </t>
  </si>
  <si>
    <t>R. Westman, J. Hulst en B. Elshout (KDV)</t>
  </si>
  <si>
    <t>06-21243129 / 036-5370343 / 06-58084640</t>
  </si>
  <si>
    <t>rwestman@deschoor.nl, forum@deschoor.nl, belshout@woonzorgflevoland.nl</t>
  </si>
  <si>
    <t>26-04-2023 / 25-04-2033</t>
  </si>
  <si>
    <t>600727.4310L</t>
  </si>
  <si>
    <t>600727.4320L</t>
  </si>
  <si>
    <t>1114 </t>
  </si>
  <si>
    <t>Gymzaal Jaagmeent 190</t>
  </si>
  <si>
    <t>Jaagmeent 190  </t>
  </si>
  <si>
    <t>601797.4310L</t>
  </si>
  <si>
    <t>601797.4320L</t>
  </si>
  <si>
    <t>voormalig Polititiebureau Haven</t>
  </si>
  <si>
    <t>Bivak 1</t>
  </si>
  <si>
    <t>1353 AA</t>
  </si>
  <si>
    <t>Centrum Almere Haven</t>
  </si>
  <si>
    <t>M. Oosterwijk</t>
  </si>
  <si>
    <t xml:space="preserve">06-22776692 </t>
  </si>
  <si>
    <t xml:space="preserve">m.oosterwijk@cameloteurope.com </t>
  </si>
  <si>
    <t>1 gevelladder dak 6 2x opstapje en 1x LOP</t>
  </si>
  <si>
    <t>601132.4310L</t>
  </si>
  <si>
    <t>601132.4320L</t>
  </si>
  <si>
    <t>2409 </t>
  </si>
  <si>
    <t>Jongerencentrum Trapnotov </t>
  </si>
  <si>
    <t>Kerkstraat 52  </t>
  </si>
  <si>
    <t>1354 AB </t>
  </si>
  <si>
    <t>R. Westman</t>
  </si>
  <si>
    <t>06-21243129 / 036-5278538</t>
  </si>
  <si>
    <t>rwestman@deschoor.nl</t>
  </si>
  <si>
    <t>601079.4310L</t>
  </si>
  <si>
    <t>601079.4320L</t>
  </si>
  <si>
    <t>2363 </t>
  </si>
  <si>
    <t>Sportgebouw Havas (handbal)  </t>
  </si>
  <si>
    <t>Klein-Brandt Sportpark 1  </t>
  </si>
  <si>
    <t>1312 JW </t>
  </si>
  <si>
    <t>R. Bleij</t>
  </si>
  <si>
    <t>06-45037888</t>
  </si>
  <si>
    <t>r.bleij@kpnmail.nl</t>
  </si>
  <si>
    <t>601573.4310L</t>
  </si>
  <si>
    <t>601573.4320L</t>
  </si>
  <si>
    <t>1216 </t>
  </si>
  <si>
    <t>Gebouw Klipgriend 3  </t>
  </si>
  <si>
    <t>Klipgriend 3  </t>
  </si>
  <si>
    <t>1356 GA </t>
  </si>
  <si>
    <t>De Grienden </t>
  </si>
  <si>
    <t>Partou kinderopvang en PO de Regenboog</t>
  </si>
  <si>
    <t>036-7676599 en 036-5314937</t>
  </si>
  <si>
    <t>klipgriend@partou.nl en dir.regenboog@prisma-almere.nl</t>
  </si>
  <si>
    <t>1244, 2429, 1130</t>
  </si>
  <si>
    <t>PO Syncope incl. gymzaal Kornetstraat 19 en PSZ Kornetstraat 17</t>
  </si>
  <si>
    <t>Kornetstraat 17, 19</t>
  </si>
  <si>
    <t>gevel-ladder</t>
  </si>
  <si>
    <t>601580.4310L</t>
  </si>
  <si>
    <t>601580.4320L</t>
  </si>
  <si>
    <t>1244 </t>
  </si>
  <si>
    <t>Kornetstraat 19 - PO De Syncope (81%)</t>
  </si>
  <si>
    <t>Kornetstraat 19  </t>
  </si>
  <si>
    <t>1312 XE </t>
  </si>
  <si>
    <t>M. Vrakking en B. Galesloot</t>
  </si>
  <si>
    <t>06-46272494 / 036-5361277 06-36157405</t>
  </si>
  <si>
    <t>info@obssyncope.nl ? administratie@syncope.asg.nl ??</t>
  </si>
  <si>
    <t>BOKO</t>
  </si>
  <si>
    <t>Kornetstraat 17 - PSZ Kornetstraat 17 (4%)</t>
  </si>
  <si>
    <t>Kornetstraat 17 </t>
  </si>
  <si>
    <t>600739.4310L</t>
  </si>
  <si>
    <t>600739.4320L</t>
  </si>
  <si>
    <t>1130 </t>
  </si>
  <si>
    <t>Kornetstraat 17 - Gymzaal Kornetstraat 17 (15%)</t>
  </si>
  <si>
    <t>601607.4310L</t>
  </si>
  <si>
    <t>601607.4320L</t>
  </si>
  <si>
    <t>Tepper M. (Danny)</t>
  </si>
  <si>
    <t>1237 </t>
  </si>
  <si>
    <t>PO Vuurvogel Ravelplantsoen</t>
  </si>
  <si>
    <t>Ravelplantsoen 5  </t>
  </si>
  <si>
    <t>1323 ET </t>
  </si>
  <si>
    <t>A. Koelman en Y. Dohle</t>
  </si>
  <si>
    <t>036-5360465 en 06-21860302 / 036-8480793</t>
  </si>
  <si>
    <t>directie@vuurvogel.asg.nl</t>
  </si>
  <si>
    <t>Strijland</t>
  </si>
  <si>
    <t>600669.4310L</t>
  </si>
  <si>
    <t>600669.4320L</t>
  </si>
  <si>
    <t>1710 </t>
  </si>
  <si>
    <t xml:space="preserve">VOH Siltwierde 2( per 28-1-'22  voorheen Leemwierde 132) </t>
  </si>
  <si>
    <t>Siltwierde 2</t>
  </si>
  <si>
    <t>1353 LP </t>
  </si>
  <si>
    <t>De Wierden </t>
  </si>
  <si>
    <t>Kindercentrum 't Speelpleintje: R.F. Scholte en Juniorcollege: J. Imminga</t>
  </si>
  <si>
    <t>06-40106290 en 06-44024889</t>
  </si>
  <si>
    <t>info@kindercentrumspeelpleintje.nl en jacqueline@juniorcollegealmere.nl</t>
  </si>
  <si>
    <t>600670.4310L</t>
  </si>
  <si>
    <t>600670.4320L</t>
  </si>
  <si>
    <t>1451 </t>
  </si>
  <si>
    <t>VOH Lierstraat 1</t>
  </si>
  <si>
    <t>Lierstraat 1  </t>
  </si>
  <si>
    <t>1312 JZ </t>
  </si>
  <si>
    <t>C. Broerse van Chantal's Dance Centre</t>
  </si>
  <si>
    <t>06-26640584</t>
  </si>
  <si>
    <t>info@chantalsdancecentre.nl / chantal.broerse89@gmail.com</t>
  </si>
  <si>
    <t>Schadenberg</t>
  </si>
  <si>
    <t>Stichting Vrijeschool</t>
  </si>
  <si>
    <t>601560.4310</t>
  </si>
  <si>
    <t>601560.4320</t>
  </si>
  <si>
    <t>0026</t>
  </si>
  <si>
    <t>PO Vrijeschool Lierstraat</t>
  </si>
  <si>
    <t>Lierstraat 7</t>
  </si>
  <si>
    <t>J. Hinten (concierge)</t>
  </si>
  <si>
    <t>06 86 87 73 85</t>
  </si>
  <si>
    <t>j.hinten@vrijeschool-almere.nl</t>
  </si>
  <si>
    <t>601138.4310L</t>
  </si>
  <si>
    <t>601138.4320L</t>
  </si>
  <si>
    <r>
      <t>Wijk van S.</t>
    </r>
    <r>
      <rPr>
        <b/>
        <sz val="10"/>
        <color rgb="FFFF0000"/>
        <rFont val="Arial"/>
        <family val="2"/>
      </rPr>
      <t>S.</t>
    </r>
  </si>
  <si>
    <t>2526 </t>
  </si>
  <si>
    <t>KDV Lierstraat 11</t>
  </si>
  <si>
    <t>Lierstraat 11  </t>
  </si>
  <si>
    <t>Stichting De Lentemorgen: F. Aarts</t>
  </si>
  <si>
    <t xml:space="preserve"> 036-5255957</t>
  </si>
  <si>
    <t>lentemorgen11@gmail.com ? Ik heb f.aarts@delentemorgen.nl</t>
  </si>
  <si>
    <t>4 op/afstapjes</t>
  </si>
  <si>
    <t>Stichtng Eduvier</t>
  </si>
  <si>
    <t>601572.4310L</t>
  </si>
  <si>
    <t>601572.4320L</t>
  </si>
  <si>
    <t>1395 </t>
  </si>
  <si>
    <t>(V)SO Nautilus College (Eduvier)</t>
  </si>
  <si>
    <t>Lierstraat 17  </t>
  </si>
  <si>
    <t>B. Gubbels</t>
  </si>
  <si>
    <t xml:space="preserve">06-22911176 / 036-5368233
</t>
  </si>
  <si>
    <t xml:space="preserve">b.gubbels@eduvier.nl
</t>
  </si>
  <si>
    <t>601086.4310L</t>
  </si>
  <si>
    <t>601086.4320L</t>
  </si>
  <si>
    <t>2454 </t>
  </si>
  <si>
    <t>Cultuurgebouw De Glasbak</t>
  </si>
  <si>
    <t>Lierstraat 21  </t>
  </si>
  <si>
    <t>R. Westman en E. Budding</t>
  </si>
  <si>
    <t>06-21243129 / 036-5370343 / 036-5464895</t>
  </si>
  <si>
    <t>rwestman@deschoor.nl en glasbak@deschoor.nl</t>
  </si>
  <si>
    <t>601059.4310L</t>
  </si>
  <si>
    <t>601059.4320L</t>
  </si>
  <si>
    <t>0195 </t>
  </si>
  <si>
    <t>Kantoorgebouw L. Armstrongweg 90</t>
  </si>
  <si>
    <t>Louis Armstrongweg 90  </t>
  </si>
  <si>
    <t>1311 RL </t>
  </si>
  <si>
    <t>DSD: C.F. Cheung en Stichting Zorggroep Almere: C. Rosendahl-van Truijen</t>
  </si>
  <si>
    <t>06-52532830 / 036-5399404 036-5454075</t>
  </si>
  <si>
    <t>cfcheung@almere.nl / supportdesk@zorggroep-almere.nl</t>
  </si>
  <si>
    <t>Marco Poloroute 54 - PSZ De Kleine Columbus</t>
  </si>
  <si>
    <t>Marco Poloroute 54</t>
  </si>
  <si>
    <t>1363 LA </t>
  </si>
  <si>
    <t>601603.4310L</t>
  </si>
  <si>
    <t>601603.4320L</t>
  </si>
  <si>
    <t>1290 </t>
  </si>
  <si>
    <t>Marco Poloroute 56 - PO De Columbusschool</t>
  </si>
  <si>
    <t>Marco Poloroute 56  </t>
  </si>
  <si>
    <t>A. Iwema en D. van der Kolff</t>
  </si>
  <si>
    <t>036-7670150 / 06-52328923</t>
  </si>
  <si>
    <t>directie@columbusschool.asg.nl</t>
  </si>
  <si>
    <t>1293 en 1195</t>
  </si>
  <si>
    <t>PO Aquamarijn en gymzaal Meerveldplein 4</t>
  </si>
  <si>
    <t>Meerveldplein 4 en 6</t>
  </si>
  <si>
    <t>1359 HM</t>
  </si>
  <si>
    <t>twee-delige opsteek-ladder</t>
  </si>
  <si>
    <t>22-7-2016_2026</t>
  </si>
  <si>
    <t>Dolfsma (Wedeflex)</t>
  </si>
  <si>
    <t>601754.4310L</t>
  </si>
  <si>
    <t>601754.4320L</t>
  </si>
  <si>
    <t>PO Aquamarijn (84%)</t>
  </si>
  <si>
    <t>Meerveldplein 6</t>
  </si>
  <si>
    <t>E. Verstegen en I. Schwab</t>
  </si>
  <si>
    <t>036 531 7155 / 06-49784718</t>
  </si>
  <si>
    <t>directie@aquamarijn.asg.nl</t>
  </si>
  <si>
    <t>1-7-2016_2026</t>
  </si>
  <si>
    <t>600747.4310L</t>
  </si>
  <si>
    <t>600747.4320L</t>
  </si>
  <si>
    <t>Daalder G. wordt Lamboo, M.S.</t>
  </si>
  <si>
    <t>Gymzaal Meerveldplein 4 (16%)</t>
  </si>
  <si>
    <t>Meerveldplein 4</t>
  </si>
  <si>
    <t>601081.4310L</t>
  </si>
  <si>
    <t>601081.4320L</t>
  </si>
  <si>
    <t>2354 </t>
  </si>
  <si>
    <t>Sportgebouw NAJADEN (handbal)</t>
  </si>
  <si>
    <t>Meerveldstraat 54  </t>
  </si>
  <si>
    <t>1359 HZ </t>
  </si>
  <si>
    <t>Vereniging Najaden: E. Nieboer</t>
  </si>
  <si>
    <t>06-25057584 / 036-5316454</t>
  </si>
  <si>
    <t>secretaris@najaden.nl</t>
  </si>
  <si>
    <t>602238.4310</t>
  </si>
  <si>
    <t>602238.4320</t>
  </si>
  <si>
    <t>Jeugdland Haven </t>
  </si>
  <si>
    <t>Uithof 51</t>
  </si>
  <si>
    <t>1353 XB</t>
  </si>
  <si>
    <t>Stichting de Schoor: R. Westman</t>
  </si>
  <si>
    <t>Wagenbouw bouwsystemen</t>
  </si>
  <si>
    <t>601583.4310L</t>
  </si>
  <si>
    <t>601583.4320L</t>
  </si>
  <si>
    <t>1230 </t>
  </si>
  <si>
    <t>PO Vrijeschool Monteverdistraat</t>
  </si>
  <si>
    <t>Monteverdistraat 5  </t>
  </si>
  <si>
    <t>1323 AE </t>
  </si>
  <si>
    <t>601139.4310L</t>
  </si>
  <si>
    <t>601139.4320L</t>
  </si>
  <si>
    <t>2449 </t>
  </si>
  <si>
    <t>Gebouw Musicalstraat 1</t>
  </si>
  <si>
    <t>Musicalstraat 1  </t>
  </si>
  <si>
    <t>1323 VR </t>
  </si>
  <si>
    <t>Holy Passion Church Kerkgenootschap: R. Spoelma</t>
  </si>
  <si>
    <t>06-16822809</t>
  </si>
  <si>
    <t>r.spoelma1961@kpnmail.nl</t>
  </si>
  <si>
    <t>601324.4310L</t>
  </si>
  <si>
    <t>601324.4320L</t>
  </si>
  <si>
    <t>Sportpark De Marken (incl. kleedkamers in noodgebouw)</t>
  </si>
  <si>
    <t>Sportpark de Marken 4  </t>
  </si>
  <si>
    <t>1355 ES </t>
  </si>
  <si>
    <t>De Marken</t>
  </si>
  <si>
    <t>Secretaris Flevo Phantoms</t>
  </si>
  <si>
    <t>06 252 04 022</t>
  </si>
  <si>
    <t>info@flevo-phantoms.nl</t>
  </si>
  <si>
    <t>601082.4310L</t>
  </si>
  <si>
    <t>601082.4320L</t>
  </si>
  <si>
    <t>2355 </t>
  </si>
  <si>
    <t>Sportgebouw FC Almere (voetbal)</t>
  </si>
  <si>
    <t>Sportpark de Marken 8  </t>
  </si>
  <si>
    <t>W. Schaart en A. Mengers</t>
  </si>
  <si>
    <t>06-22402667 en 06-52334527</t>
  </si>
  <si>
    <t>secretariaat@fcalmere.com ??</t>
  </si>
  <si>
    <t>600674.4310L</t>
  </si>
  <si>
    <t>600674.4320L</t>
  </si>
  <si>
    <t>1463 </t>
  </si>
  <si>
    <t>TOH Operetteweg 96 - 8 st. (los)</t>
  </si>
  <si>
    <t>Operetteweg 96  </t>
  </si>
  <si>
    <t>1323 VE </t>
  </si>
  <si>
    <t>N.Kaddouri</t>
  </si>
  <si>
    <t>06-39104360</t>
  </si>
  <si>
    <t>n.kaddouri@aliman.nl</t>
  </si>
  <si>
    <t>600722.4310L</t>
  </si>
  <si>
    <t>600722.4320L</t>
  </si>
  <si>
    <t>1129 </t>
  </si>
  <si>
    <t>Gymzaal Ravelplantsoen 7</t>
  </si>
  <si>
    <t>Ravelplantsoen 7  </t>
  </si>
  <si>
    <t>601127.4310L</t>
  </si>
  <si>
    <t>601127.4320L</t>
  </si>
  <si>
    <t>6202 </t>
  </si>
  <si>
    <t>Speeltuin De Speelhaven  inclusief bijgebouw</t>
  </si>
  <si>
    <t>Schoolstraat 259  </t>
  </si>
  <si>
    <t>1354 HX </t>
  </si>
  <si>
    <t>Stichting de Schoor: R. Westman en F. van der Pool</t>
  </si>
  <si>
    <t>06-21243129 / 036-5278538 036-5332190</t>
  </si>
  <si>
    <t>601061.4310L</t>
  </si>
  <si>
    <t>601061.4320L</t>
  </si>
  <si>
    <t>1001 </t>
  </si>
  <si>
    <t>Gebouw Sluis 3</t>
  </si>
  <si>
    <t>Sluis 3</t>
  </si>
  <si>
    <t>MonTom: T. Meinders &amp; M. Hamadi</t>
  </si>
  <si>
    <t>T. Meinders: 0611781880 M. Hamadi: 0615623778</t>
  </si>
  <si>
    <t>601769.4310</t>
  </si>
  <si>
    <t>601769.4320</t>
  </si>
  <si>
    <t>0525</t>
  </si>
  <si>
    <t>Drijvend Sanitairgebouw Almere Haven</t>
  </si>
  <si>
    <t>Sluis 5</t>
  </si>
  <si>
    <t>Strandbewakingspost Almeerse Reddingsbrigade Surfstrand</t>
  </si>
  <si>
    <t>Surfstrand Haven 1</t>
  </si>
  <si>
    <t>600742.4310L</t>
  </si>
  <si>
    <t>600742.4320L</t>
  </si>
  <si>
    <t>1113 </t>
  </si>
  <si>
    <t>Gymzaal Vrijmark 111</t>
  </si>
  <si>
    <t>Vrijmark 111  </t>
  </si>
  <si>
    <t>1355 GK </t>
  </si>
  <si>
    <t>De Marken </t>
  </si>
  <si>
    <t>2019-2029</t>
  </si>
  <si>
    <t>Janssen de Jong Bouw Oost B.V.</t>
  </si>
  <si>
    <t>601063.4310L</t>
  </si>
  <si>
    <t>601063.4320L</t>
  </si>
  <si>
    <t>2445 </t>
  </si>
  <si>
    <t>Gebouw Vrijmark 227</t>
  </si>
  <si>
    <t>Vrijmark 227  </t>
  </si>
  <si>
    <t>1355 GX </t>
  </si>
  <si>
    <t>B.V.L. &amp; S./Leefbaarheid: D.M. de Geus en C. Braniff, Stadsruimte: A. Delfos en J. de Koning, VIP Kidz: S. Mollers, De Groene Reus Coöperatie UA: J. Verwaard, Christels Sewing Box: C. Braniff en Dance Academy Almere: S. Tulis</t>
  </si>
  <si>
    <t>B.V.L. &amp; S./Leefbaarheid: 06-10012033, 036-5484335, Stadsruimte: 06-51029078, 036-5484224, 06-22546771, 036-5277056, VIP Kidz: 06 -40784459, De Groene Reus Coöperatie UA: 06 -11112808, Christels Sewing Box: 06-45788458 en Dance Academy Almere: 06-46418926</t>
  </si>
  <si>
    <t>B.V.L. &amp; S./Leefbaarheid: ddegeus@almere.nl en huisvandemarken@gmail.com, Stadsruimte: adelfos@almere.nl en J. jdkoning@almere.nl, VIP Kidz: sabinemollers@gmail.com, De Groene Reus Coöperatie UA: jaap.verwaard@gmail.com, Christels Sewing Box: christels.winkel@yahoo.com en Dance Academy Almere: shiratulis@gmail.com</t>
  </si>
  <si>
    <t>601611.4310L</t>
  </si>
  <si>
    <t>601611.4320L</t>
  </si>
  <si>
    <t>1219 </t>
  </si>
  <si>
    <t>PO De Flierefluiter dependance</t>
  </si>
  <si>
    <t>Uithof 1  </t>
  </si>
  <si>
    <t>1353 XA </t>
  </si>
  <si>
    <t>M. Goores en L. van Hamersveld</t>
  </si>
  <si>
    <t>06-45540622, 036-5312332 06-42133674, 036-5212693</t>
  </si>
  <si>
    <t xml:space="preserve">j </t>
  </si>
  <si>
    <t>601597.4310L</t>
  </si>
  <si>
    <t>601597.4320L</t>
  </si>
  <si>
    <t>1215 </t>
  </si>
  <si>
    <t>PO De Klaverweide </t>
  </si>
  <si>
    <t>Rietmeent 136  </t>
  </si>
  <si>
    <t>1357 CM </t>
  </si>
  <si>
    <t>L. Dagloonder en M. Janssen</t>
  </si>
  <si>
    <t>06-27276113, 036-5312268 06-19270528</t>
  </si>
  <si>
    <t>directie@klaverweide.asg.nl</t>
  </si>
  <si>
    <t>601103,4310L</t>
  </si>
  <si>
    <t>601103.4320L</t>
  </si>
  <si>
    <r>
      <t>Wijk van S.</t>
    </r>
    <r>
      <rPr>
        <b/>
        <sz val="10"/>
        <rFont val="Arial"/>
        <family val="2"/>
      </rPr>
      <t>S.</t>
    </r>
  </si>
  <si>
    <t>0242 </t>
  </si>
  <si>
    <t>Het Klokhuis</t>
  </si>
  <si>
    <t>Dettifosspad 7</t>
  </si>
  <si>
    <t>1363 BZ</t>
  </si>
  <si>
    <t>Stichting Stad en Natuur Almere: C. van Kesteren</t>
  </si>
  <si>
    <t>06-43508052, 036-5475050</t>
  </si>
  <si>
    <t>info@stadennatuur.nl of cvkesteren@stadennatuur.nl</t>
  </si>
  <si>
    <t>601315.4310L</t>
  </si>
  <si>
    <t>601315.4320L</t>
  </si>
  <si>
    <t>TOH Adriaen Blockstraat 9</t>
  </si>
  <si>
    <t>Adriaen Blockstraat 9</t>
  </si>
  <si>
    <t>1363 LT </t>
  </si>
  <si>
    <t>KBS de Droomspiegel Daltononderwijs - SKOFV: S. Bley</t>
  </si>
  <si>
    <t>06-33318183, 052-2252299</t>
  </si>
  <si>
    <t>s.bley@onderwijsbureau-meppel.nl</t>
  </si>
  <si>
    <t>De Columbusschool dependance incl. sportzaal</t>
  </si>
  <si>
    <t>Nederlandhof 3 en Nederlandstraat 84</t>
  </si>
  <si>
    <t>601587.4310L</t>
  </si>
  <si>
    <t>601587.4320L</t>
  </si>
  <si>
    <t>1288 </t>
  </si>
  <si>
    <t>PO De Columbusschool dependance (50%)</t>
  </si>
  <si>
    <t>Nederlandhof 3  </t>
  </si>
  <si>
    <t>1363 DC </t>
  </si>
  <si>
    <t>Europakwartier west</t>
  </si>
  <si>
    <t>600649.4310L</t>
  </si>
  <si>
    <t>600649.4320L</t>
  </si>
  <si>
    <t>1184 </t>
  </si>
  <si>
    <t>Sportzaal Nederlandstraat 84 (50%)</t>
  </si>
  <si>
    <t>Nederlandstraat 84</t>
  </si>
  <si>
    <t>1363 DB</t>
  </si>
  <si>
    <t>601550.4310L</t>
  </si>
  <si>
    <t>9266550030.4300L.51010</t>
  </si>
  <si>
    <t>0030 </t>
  </si>
  <si>
    <t>Nederlandhof 5 - PO De Columbusschool dependance</t>
  </si>
  <si>
    <t>Nederlandhof 5  </t>
  </si>
  <si>
    <t>602106.4310L</t>
  </si>
  <si>
    <t>602106.4320L</t>
  </si>
  <si>
    <t>Pierre de Coubertinlaan 23  – TOH (10 klassen)</t>
  </si>
  <si>
    <t xml:space="preserve"> Pierre de Coubertinlaan 23</t>
  </si>
  <si>
    <t>1362 LA</t>
  </si>
  <si>
    <t>overig Almere Poort </t>
  </si>
  <si>
    <t>Stichting Leger des Heils,  Femke Bakker</t>
  </si>
  <si>
    <t>Femke Bakker 06-38242494</t>
  </si>
  <si>
    <t>femke.bakker@legerdesheils.nl</t>
  </si>
  <si>
    <r>
      <rPr>
        <sz val="10"/>
        <color rgb="FFFF0000"/>
        <rFont val="Arial"/>
        <family val="2"/>
      </rPr>
      <t>Beperkte dakgarantie vanaf 1-12-2024 t/m 30-11-2029</t>
    </r>
    <r>
      <rPr>
        <sz val="10"/>
        <rFont val="Arial"/>
        <family val="2"/>
      </rPr>
      <t xml:space="preserve"> en algemeen 2020-2030</t>
    </r>
  </si>
  <si>
    <r>
      <rPr>
        <sz val="10"/>
        <color rgb="FFFF0000"/>
        <rFont val="Arial"/>
        <family val="2"/>
      </rPr>
      <t>Beperkte dakgarantie Van Dijk Dakwerken (niet onder LBK)</t>
    </r>
    <r>
      <rPr>
        <sz val="10"/>
        <rFont val="Arial"/>
        <family val="2"/>
      </rPr>
      <t xml:space="preserve"> en Algemene garantie Wagenbouw bouwsystemen</t>
    </r>
  </si>
  <si>
    <t>601073.4310L</t>
  </si>
  <si>
    <t>601073.4320L</t>
  </si>
  <si>
    <t>2207 </t>
  </si>
  <si>
    <t>Topsportcentrum Poort </t>
  </si>
  <si>
    <t>Pierre de Coubertinplein 4 </t>
  </si>
  <si>
    <t>1362 LB</t>
  </si>
  <si>
    <t>Robin de Clerk en Rogier Siemons</t>
  </si>
  <si>
    <t>Robin de Clerk 06-31914812 en Rogier Siemons 06-27399642</t>
  </si>
  <si>
    <t>rclerk@almere.nl rsiemons@almere.nl</t>
  </si>
  <si>
    <t>601067.4310L</t>
  </si>
  <si>
    <t>601067.4320L</t>
  </si>
  <si>
    <t>Sportcomplex Olympiakwartier</t>
  </si>
  <si>
    <t>Pierre de Coubertinplein 6</t>
  </si>
  <si>
    <t>600788.4310L</t>
  </si>
  <si>
    <t>600788.4320L</t>
  </si>
  <si>
    <t>1243 </t>
  </si>
  <si>
    <t>VOH Billie Holidaystraat 17</t>
  </si>
  <si>
    <t>Billie Holidaystraat 17  </t>
  </si>
  <si>
    <t>1311 PN </t>
  </si>
  <si>
    <t>Kinderdagverblijf Dikkertje Dap: Monique Barbé</t>
  </si>
  <si>
    <t>06 - 51630737, 036-5367253</t>
  </si>
  <si>
    <t>moniquebarbe@hotmail.nl info@dikkertjedap.nl</t>
  </si>
  <si>
    <t>1242, 2426, 1126</t>
  </si>
  <si>
    <t>Buurtcentrum De Bazuin incl. Peuterspeelzaal Tinkelbel, gymzaal Luitstraat 5 en PO Montessorischool Muziekwijk</t>
  </si>
  <si>
    <t>Luitstraat 1 en 5 en Contrabasweg 38</t>
  </si>
  <si>
    <t>1312 LG </t>
  </si>
  <si>
    <t>601574.4310L</t>
  </si>
  <si>
    <t>601574.4320L</t>
  </si>
  <si>
    <t>1242 </t>
  </si>
  <si>
    <t>PO Montessori Muziekwijk (59%)</t>
  </si>
  <si>
    <t>Contrabasweg 38  </t>
  </si>
  <si>
    <t>1312 LL </t>
  </si>
  <si>
    <t xml:space="preserve">
J. Kooiman</t>
  </si>
  <si>
    <t>06-51967576, 036-5376591</t>
  </si>
  <si>
    <t>directie@montessoristad.asg.nl</t>
  </si>
  <si>
    <t>601112.4310L</t>
  </si>
  <si>
    <t>601112.4320L</t>
  </si>
  <si>
    <t>2426 </t>
  </si>
  <si>
    <r>
      <t>Buurtcentrum De Bazuin </t>
    </r>
    <r>
      <rPr>
        <b/>
        <sz val="10"/>
        <rFont val="Arial"/>
        <family val="2"/>
      </rPr>
      <t>incl. Peuterspeelzaal Tinkelbel</t>
    </r>
    <r>
      <rPr>
        <sz val="10"/>
        <rFont val="Arial"/>
        <family val="2"/>
      </rPr>
      <t xml:space="preserve"> (21%)</t>
    </r>
  </si>
  <si>
    <t>Luitstraat 1  </t>
  </si>
  <si>
    <t>Stichting De Schoor: R. Westman</t>
  </si>
  <si>
    <t xml:space="preserve">06-21243129, 036-527853 Algemeen: 036-5278500 </t>
  </si>
  <si>
    <t xml:space="preserve">rwestman@deschoor.nl info@deschoor.nl </t>
  </si>
  <si>
    <t>600730.4310L</t>
  </si>
  <si>
    <t>600730.4320L</t>
  </si>
  <si>
    <t>1126 </t>
  </si>
  <si>
    <r>
      <t xml:space="preserve">Gymzaal Luitstraat </t>
    </r>
    <r>
      <rPr>
        <b/>
        <sz val="10"/>
        <rFont val="Arial"/>
        <family val="2"/>
      </rPr>
      <t>5</t>
    </r>
    <r>
      <rPr>
        <sz val="10"/>
        <rFont val="Arial"/>
        <family val="2"/>
      </rPr>
      <t xml:space="preserve"> (20%)</t>
    </r>
  </si>
  <si>
    <t>Luitstraat 5  </t>
  </si>
  <si>
    <t>2450, 1527, 1146</t>
  </si>
  <si>
    <t>Buurtcentrum Het Boegbeeld incl. incl. BSO/KDV de Lolifantjes, Sportzaal Prozastraat 123 en VOH Prozastraat 121A</t>
  </si>
  <si>
    <t>Prozastraat 121, 121A en 123 </t>
  </si>
  <si>
    <t>1321 GZ </t>
  </si>
  <si>
    <t>Literatuurwijk </t>
  </si>
  <si>
    <t>601117.4310L</t>
  </si>
  <si>
    <t>601117.4320L</t>
  </si>
  <si>
    <t>2450 </t>
  </si>
  <si>
    <t>Buurtcentrum Het Boegbeeld, incl. BSO/KDV de Lolifantjes (31%)</t>
  </si>
  <si>
    <t>Prozastraat 121  </t>
  </si>
  <si>
    <t>Stichting De Schoor: R. Westman en BSO/KDV de Lolifantjes: S. Sari</t>
  </si>
  <si>
    <t>06-21243129, 036-527853 Algemeen: 036-5278500 en BSO/KDV de Lolifantjes: 06-51430203</t>
  </si>
  <si>
    <t>rwestman@deschoor.nl info@deschoor.nl en melekciq@hotmail.com</t>
  </si>
  <si>
    <t>600678.4310L</t>
  </si>
  <si>
    <t>600678.4320L</t>
  </si>
  <si>
    <t>1527 </t>
  </si>
  <si>
    <t>VOH Prozastraat 121A (15%)</t>
  </si>
  <si>
    <t>Prozastraat 121A  </t>
  </si>
  <si>
    <t xml:space="preserve"> JGZ Almere: K. van der Velde en Stichting Koninklijke Kentalis: H.Swartjes en D. As</t>
  </si>
  <si>
    <t>JGZ Almere: 06-12866814 en Stichting Koninklijke Kentalis: 073-5588912 H. Swartjes 0613502097</t>
  </si>
  <si>
    <t>k.vandervelde@jgzalmere.nl en h.swartjes@kentalis.nl / d.as@kentalis.nl</t>
  </si>
  <si>
    <r>
      <t xml:space="preserve">terras in voorjaar maart anti-mosbehandeling </t>
    </r>
    <r>
      <rPr>
        <sz val="10"/>
        <color rgb="FFFF0000"/>
        <rFont val="Arial"/>
        <family val="2"/>
      </rPr>
      <t>en anti-groene aanslag in september/oktober</t>
    </r>
  </si>
  <si>
    <t>600653.4310L</t>
  </si>
  <si>
    <t>600653.4320L</t>
  </si>
  <si>
    <t>1146 </t>
  </si>
  <si>
    <t>Sportzaal Prozastraat 123 (54%)</t>
  </si>
  <si>
    <t>Prozastraat 123  </t>
  </si>
  <si>
    <t>600666.4310L</t>
  </si>
  <si>
    <t>600666.4320L</t>
  </si>
  <si>
    <t>1530 </t>
  </si>
  <si>
    <t>TOH J.J. Slauerhoffstraat 51</t>
  </si>
  <si>
    <t>J.J. Slauerhoffstraat 51  </t>
  </si>
  <si>
    <t>1321 HE </t>
  </si>
  <si>
    <t>Jos Homan</t>
  </si>
  <si>
    <t>06-51856874</t>
  </si>
  <si>
    <t>j.homan@eduvier.nl</t>
  </si>
  <si>
    <t>600682.4310L</t>
  </si>
  <si>
    <t>600682.4320L</t>
  </si>
  <si>
    <t>1755 </t>
  </si>
  <si>
    <t>TOH A. Roland Holststraat 54</t>
  </si>
  <si>
    <t>A. Roland Holststraat 54  </t>
  </si>
  <si>
    <t>1321 RX </t>
  </si>
  <si>
    <t>F. van der Meer en S. Kojic</t>
  </si>
  <si>
    <t>036-5360566 en 06-11833147</t>
  </si>
  <si>
    <t>directie@letterland.asg.nl</t>
  </si>
  <si>
    <t>2452, 1252</t>
  </si>
  <si>
    <t>BSO/PSZ A. Roland Holststraat 58 en PO Letterland</t>
  </si>
  <si>
    <t>A. Roland Holststraat 58  </t>
  </si>
  <si>
    <t>601148.4310L</t>
  </si>
  <si>
    <t>601148.4320L</t>
  </si>
  <si>
    <t>2452 </t>
  </si>
  <si>
    <t>BSO/PSZ A. Roland Holststraat 58 (9%)</t>
  </si>
  <si>
    <t>Beheerder Uk/Stichting de Schoor - Welzijnswerk Almere</t>
  </si>
  <si>
    <t>036-5367736 / 036-5278500</t>
  </si>
  <si>
    <t>edwin.eerens@smallsteps.info / info@deschoor.nl</t>
  </si>
  <si>
    <t>601600.4310L</t>
  </si>
  <si>
    <t>601600.4320L</t>
  </si>
  <si>
    <t>1252 </t>
  </si>
  <si>
    <t>PO Letterland (91%)</t>
  </si>
  <si>
    <t>602240.4310L</t>
  </si>
  <si>
    <t>Boreasplein 2 - De Notelaar</t>
  </si>
  <si>
    <t>Boreasplein 2</t>
  </si>
  <si>
    <t>1363 SM</t>
  </si>
  <si>
    <t>Homeruskwartier</t>
  </si>
  <si>
    <t>Directeur E. Merks</t>
  </si>
  <si>
    <t>06-43010569/06-55718444</t>
  </si>
  <si>
    <t>directie@odyssee.asg.nl</t>
  </si>
  <si>
    <t>Hoofdaannemer Jorritsma Bouw onderaannemer (dak) Witteveen</t>
  </si>
  <si>
    <t>Prisma</t>
  </si>
  <si>
    <t>VVE</t>
  </si>
  <si>
    <t>601621.4310L</t>
  </si>
  <si>
    <t>601621.4320L</t>
  </si>
  <si>
    <t>0034</t>
  </si>
  <si>
    <t>Sterrenschool De Ruimte incl. sportzaal, buurtcentrum en KDV</t>
  </si>
  <si>
    <r>
      <t>Nimfenplein 1</t>
    </r>
    <r>
      <rPr>
        <b/>
        <sz val="10"/>
        <rFont val="Arial"/>
        <family val="2"/>
      </rPr>
      <t xml:space="preserve">-3 </t>
    </r>
  </si>
  <si>
    <t>1363 SV</t>
  </si>
  <si>
    <t>Partou Kinderopvang BV, buurtcentrum: Stichting De Schoor, 1 ruimte is gemeente en De Ruimte: F. Groot en M. Swart</t>
  </si>
  <si>
    <t>Buurtcentrum - De Schoor: 06-21243129 / 036-5278538 De Ruimte: 036 7671688 06-11320785, 036 7671688</t>
  </si>
  <si>
    <t>Buurtcentrum - De Schoor: rwestman@deschoor.nl De Ruimte: dir.ruimte@prisma-almere.nl / f.groot@sterrenschoolderuimte.nl m.swart@sterrenschoolderuimte.nl</t>
  </si>
  <si>
    <t>86 objecten</t>
  </si>
  <si>
    <t>Totalen Perceel 1</t>
  </si>
  <si>
    <t>0922, 0923, 0924 en 0925</t>
  </si>
  <si>
    <t>0922 </t>
  </si>
  <si>
    <t>Weerwater/Atlantisstrand - Stranddouches en -toiletten Fantasiestrand 1x ( Aan de andere kant van het strand t.o.v. Bergsmapad 1)</t>
  </si>
  <si>
    <t>Weerwater/Atlantisstrand</t>
  </si>
  <si>
    <t>Overig Almere Stad</t>
  </si>
  <si>
    <t>0923 </t>
  </si>
  <si>
    <t>Weerwater/Lumièrestrand - Stranddouches en -toiletten Lumièrestrand 1x</t>
  </si>
  <si>
    <t>Weerwater/Lumièrestrand</t>
  </si>
  <si>
    <t>Filmwijk </t>
  </si>
  <si>
    <t>0924 </t>
  </si>
  <si>
    <t>Noorderplassen - Stranddouches en -toiletten Noorderplassenstrand 1x</t>
  </si>
  <si>
    <t>Noorderplassen</t>
  </si>
  <si>
    <r>
      <t>Noorderplass</t>
    </r>
    <r>
      <rPr>
        <b/>
        <sz val="10"/>
        <rFont val="Arial"/>
        <family val="2"/>
      </rPr>
      <t>e</t>
    </r>
    <r>
      <rPr>
        <sz val="10"/>
        <rFont val="Arial"/>
        <family val="2"/>
      </rPr>
      <t>n</t>
    </r>
  </si>
  <si>
    <t>0925 </t>
  </si>
  <si>
    <t>Strand in Zicht - Stranddouches en -toiletten Strand in Zicht Noorderplassen 1x</t>
  </si>
  <si>
    <t>Strand in Zicht</t>
  </si>
  <si>
    <t>Stad en Natuur</t>
  </si>
  <si>
    <t>601101.4310L</t>
  </si>
  <si>
    <t>601101.4320L</t>
  </si>
  <si>
    <t>0220 </t>
  </si>
  <si>
    <t>Hoofdgebouw De Kemphaan  </t>
  </si>
  <si>
    <t>Kemphaanpad 4-10 </t>
  </si>
  <si>
    <t>1358 AC </t>
  </si>
  <si>
    <t>overig Almere Hout </t>
  </si>
  <si>
    <t>Almere Hout</t>
  </si>
  <si>
    <t>familie &amp; pannenkoeken restaurant de kemphaan</t>
  </si>
  <si>
    <t>R. Wierda 0622264337</t>
  </si>
  <si>
    <t>riemerwierda@gmail.com</t>
  </si>
  <si>
    <t>601104.4310L</t>
  </si>
  <si>
    <t>601104.4320L</t>
  </si>
  <si>
    <t>0210 </t>
  </si>
  <si>
    <t>Kantoorgebouw Stad &amp; Natuur Almere (bij Stadsboerderij)  </t>
  </si>
  <si>
    <t>Kemphaanstraat 1  </t>
  </si>
  <si>
    <t>1358 AD </t>
  </si>
  <si>
    <t>Stad en Natuur, de heer C. van Kesteren en L. Bronkhorst</t>
  </si>
  <si>
    <t>06-43508052 / 036-5475050 06-24811754 / 036-5475050</t>
  </si>
  <si>
    <t>cvkesteren@stadennatuur.nl (In Planon staat deze verkeerd, ze zijn de t vergeten) en lbronkhorst@stadennatuur.nl</t>
  </si>
  <si>
    <t>602277.4310</t>
  </si>
  <si>
    <t>Archerpad 8 - Floriadepaviljoen</t>
  </si>
  <si>
    <t>Archerpad 8</t>
  </si>
  <si>
    <t>1324 ZZ</t>
  </si>
  <si>
    <t>Marjolijn van Oosterom (gastvrouw PRICE)</t>
  </si>
  <si>
    <t>mavoosterom@almere.nl</t>
  </si>
  <si>
    <t>600861.4310</t>
  </si>
  <si>
    <t>600861.4320</t>
  </si>
  <si>
    <t>Amelo G.K.</t>
  </si>
  <si>
    <t>0721</t>
  </si>
  <si>
    <t>Muntgarage (daken trappenhuizen, op/afritten en eventueel aanwezige bakgoten/luifels)</t>
  </si>
  <si>
    <t>Muntmeesterhof 2</t>
  </si>
  <si>
    <t>1315 HL</t>
  </si>
  <si>
    <t>Centrum Almere Stad </t>
  </si>
  <si>
    <t>06-10934473, 036-5484069</t>
  </si>
  <si>
    <t>600860.4310</t>
  </si>
  <si>
    <t>600860.4320</t>
  </si>
  <si>
    <t>0722</t>
  </si>
  <si>
    <t>Metropoolgarage (daken trappenhuizen, op/afritten en eventueel aanwezige bakgoten/luifels)</t>
  </si>
  <si>
    <t>Regisseurstraat 3</t>
  </si>
  <si>
    <t>1315 LT</t>
  </si>
  <si>
    <t>600862.4310</t>
  </si>
  <si>
    <t>600862.4320</t>
  </si>
  <si>
    <t>0723</t>
  </si>
  <si>
    <t>Regisseurgarage (daken trappenhuizen, op/afritten en eventueel aanwezige bakgoten/luifels)</t>
  </si>
  <si>
    <t>Regisseurstraat 7</t>
  </si>
  <si>
    <t>600866.4310</t>
  </si>
  <si>
    <t>600866.4320</t>
  </si>
  <si>
    <t>0724</t>
  </si>
  <si>
    <t>Schoutgarage (daken trappenhuizen, op/afritten en eventueel aanwezige bakgoten/luifels)</t>
  </si>
  <si>
    <t>Schoutstraat 108</t>
  </si>
  <si>
    <t>1315 EZ</t>
  </si>
  <si>
    <t>600855.4310L</t>
  </si>
  <si>
    <t>600855.4320L</t>
  </si>
  <si>
    <t>0725 </t>
  </si>
  <si>
    <t>Flevogarage (daken trappenhuizen, op/afritten en eventueel aanwezige bakgoten/luifels)</t>
  </si>
  <si>
    <t>Krakeling 100</t>
  </si>
  <si>
    <t>1315 CC</t>
  </si>
  <si>
    <t>Let op de parkeerdekken zijn opgenomen in een andere overeenkomst</t>
  </si>
  <si>
    <t>600844.4310L</t>
  </si>
  <si>
    <t>600844.4320L</t>
  </si>
  <si>
    <t>0760</t>
  </si>
  <si>
    <t>Fietsenstalling Schrijverstraat</t>
  </si>
  <si>
    <t>Schrijverstraat 7</t>
  </si>
  <si>
    <t>1315HW</t>
  </si>
  <si>
    <t>601087.4310L</t>
  </si>
  <si>
    <t>601087.4320L</t>
  </si>
  <si>
    <t>3410 </t>
  </si>
  <si>
    <t>Kunstlinie</t>
  </si>
  <si>
    <t>Esplanade 10 / 12  </t>
  </si>
  <si>
    <t>1315 TA </t>
  </si>
  <si>
    <t>Stichting Almeerse Theaters via dhr. Sven Batenburg</t>
  </si>
  <si>
    <t>036 5484008</t>
  </si>
  <si>
    <t xml:space="preserve">sbatenburg@almere.nl </t>
  </si>
  <si>
    <t>601077.4310L</t>
  </si>
  <si>
    <t>601077.4320L</t>
  </si>
  <si>
    <t>2360 </t>
  </si>
  <si>
    <t>Sportgebouw AVA`81 (atletiek)</t>
  </si>
  <si>
    <t>Estafettelaan 1-3</t>
  </si>
  <si>
    <t>1318 EG </t>
  </si>
  <si>
    <t>Tussen de Vaarten </t>
  </si>
  <si>
    <t>Bestuur</t>
  </si>
  <si>
    <t xml:space="preserve"> 06-51273888</t>
  </si>
  <si>
    <t>bestuur@almere81.nl en thom.bogaard@gmail.com</t>
  </si>
  <si>
    <t>1131, 1245</t>
  </si>
  <si>
    <t>PO De Polygoon incl. gymzaal AA Polygoon</t>
  </si>
  <si>
    <t>Hollywoodlaan 107-109  </t>
  </si>
  <si>
    <t>1325 KA </t>
  </si>
  <si>
    <t>601605.4310L</t>
  </si>
  <si>
    <t>601605.4320L</t>
  </si>
  <si>
    <t>1131 </t>
  </si>
  <si>
    <t>Gymzaal AA Polygoon  (21%)</t>
  </si>
  <si>
    <t>Hollywoodlaan 107  </t>
  </si>
  <si>
    <t>M. Prent en G. Verdoorn</t>
  </si>
  <si>
    <t>06-53802493, 036-5375592 06-41913695</t>
  </si>
  <si>
    <t>directie@polygoon.asg-almere.nl</t>
  </si>
  <si>
    <t>601612.4310L</t>
  </si>
  <si>
    <t>601612.4320L</t>
  </si>
  <si>
    <t>1245 </t>
  </si>
  <si>
    <t>PO De Polygoon (79%)</t>
  </si>
  <si>
    <t>Hollywoodlaan 109  </t>
  </si>
  <si>
    <t>601040.4310L</t>
  </si>
  <si>
    <t>601040.4320L</t>
  </si>
  <si>
    <t>1460 </t>
  </si>
  <si>
    <t>VOH/Gebiedskantoor Stad</t>
  </si>
  <si>
    <t>Hollywoodlaan 109B  </t>
  </si>
  <si>
    <t>B.V.L. &amp; S./Leefbaarheid: M. van Dijk - de Kroon en Stichting Triade-Vitree: I. Smit en K. Hooijenga</t>
  </si>
  <si>
    <t>B.V.L. &amp; S./Leefbaarheid: 06-12996035, 036-5484159 en Stichting Triade-Vitree: 06-30384319, 088-1787249, 06-34007336</t>
  </si>
  <si>
    <t>B.V.L. &amp; S./Leefbaarheid: mvdijkdkroon@almere.nl en Stichting Triade-Vitree: ismit@triade-flevoland.nl en k.hooijenga@vitree.nl</t>
  </si>
  <si>
    <t>600672.4310L</t>
  </si>
  <si>
    <t>600672.4320L</t>
  </si>
  <si>
    <t>1472 </t>
  </si>
  <si>
    <t>TOH Marathonlaan 11 </t>
  </si>
  <si>
    <t>Marathonlaan 11  </t>
  </si>
  <si>
    <t>1318 ED </t>
  </si>
  <si>
    <t>S. Baudoin</t>
  </si>
  <si>
    <t>06 34386391</t>
  </si>
  <si>
    <t xml:space="preserve"> s.baudoin@almere-speciaal.nl</t>
  </si>
  <si>
    <t>601084.4310L</t>
  </si>
  <si>
    <t>601084.4320L</t>
  </si>
  <si>
    <t>2206 </t>
  </si>
  <si>
    <t>Sportgebouw FBK park</t>
  </si>
  <si>
    <t>Marathonlaan 12</t>
  </si>
  <si>
    <t>1318 EE</t>
  </si>
  <si>
    <t>kooi-ladder + gevel-ladder</t>
  </si>
  <si>
    <t>601153.4310L</t>
  </si>
  <si>
    <t>601153.4320L</t>
  </si>
  <si>
    <t>Kinderrevalidatiecentrum De Trappenberg</t>
  </si>
  <si>
    <t>Marathonlaan 5</t>
  </si>
  <si>
    <t>Stichting Merem Behandelcentra: E. de Boer</t>
  </si>
  <si>
    <t>06-23529879, 035-6881411</t>
  </si>
  <si>
    <t>kinderrevalidatiealmere@trappenberg.merem.nl en  EBoer@merem.nl</t>
  </si>
  <si>
    <t>602026.4310L</t>
  </si>
  <si>
    <t>602026.4320L</t>
  </si>
  <si>
    <t>2428 </t>
  </si>
  <si>
    <t>VVE Marktmeesterstraat (incl. Jongerencentrum/Podium De Meester en winkel)</t>
  </si>
  <si>
    <t>Rentmeesterstraat 2 en Marktmeesterstraat 18</t>
  </si>
  <si>
    <t>1315 JS </t>
  </si>
  <si>
    <t xml:space="preserve">Stichting De Schoor: 06-21243129 / 036-5278538 </t>
  </si>
  <si>
    <t>Stichting De Schoor: rwestman@deschoor.nl</t>
  </si>
  <si>
    <t>kooi-ladder en VersiRail Handrail</t>
  </si>
  <si>
    <t>601152.4310L</t>
  </si>
  <si>
    <t>601152.4320L</t>
  </si>
  <si>
    <t>2440 </t>
  </si>
  <si>
    <t>Gebouw Schrijverstraat 3</t>
  </si>
  <si>
    <t>Schrijverstraat 3  </t>
  </si>
  <si>
    <t>1315 HW </t>
  </si>
  <si>
    <t>Stichting Tactus verslavingszorg: J. Spoelman</t>
  </si>
  <si>
    <t>06-51939831, 036-5476100</t>
  </si>
  <si>
    <t>info@amethistverslavingszorg.nl of vragen@tactus.nl</t>
  </si>
  <si>
    <t>1190, 1390</t>
  </si>
  <si>
    <t>PO De Bombardon incl. gymzaal AA De Bombardon</t>
  </si>
  <si>
    <t>Simon van Collemstraat 7  </t>
  </si>
  <si>
    <t>1325 NA </t>
  </si>
  <si>
    <t>2 gevel-ladders</t>
  </si>
  <si>
    <t>2015-2025</t>
  </si>
  <si>
    <t>Dolfsma</t>
  </si>
  <si>
    <t>601596.4310L</t>
  </si>
  <si>
    <t>601596.4320L</t>
  </si>
  <si>
    <t>1190 </t>
  </si>
  <si>
    <t>Gymzaal AA De Bombardon (4,25%)</t>
  </si>
  <si>
    <t>601588.4310L</t>
  </si>
  <si>
    <t>601588.4320L</t>
  </si>
  <si>
    <t>1390 </t>
  </si>
  <si>
    <t>PO De Bombardon (95,75%)</t>
  </si>
  <si>
    <t>W. Moorman en R. Madani</t>
  </si>
  <si>
    <t>06-10907644, 036-5373560 06-14542883</t>
  </si>
  <si>
    <t>w.moorman@bombardon.asg.nl bbr.madani@bombardon.asg.nl</t>
  </si>
  <si>
    <t>601044.4310L</t>
  </si>
  <si>
    <t>601044.4320L</t>
  </si>
  <si>
    <t>0120 </t>
  </si>
  <si>
    <t>Stadhuis</t>
  </si>
  <si>
    <t>Stadhuisplein 1  </t>
  </si>
  <si>
    <t>1315 HR </t>
  </si>
  <si>
    <t>dhr. Sven Batenburg of Bas Boot</t>
  </si>
  <si>
    <t>Sven 036-5484008 of Bas 06-25744032</t>
  </si>
  <si>
    <t>sbatenburg@almere.nl of bboot@almere.nl</t>
  </si>
  <si>
    <t>4 kooi-ladders + 2 losse ladders</t>
  </si>
  <si>
    <t xml:space="preserve">Trouwzaal 01-09-2024_31-08-2034 </t>
  </si>
  <si>
    <t>Trouwzaal Patina</t>
  </si>
  <si>
    <t>601098.4310L</t>
  </si>
  <si>
    <t>601098.4320L</t>
  </si>
  <si>
    <t>3230 </t>
  </si>
  <si>
    <t>De Nieuwe Bibliotheek</t>
  </si>
  <si>
    <t>Stadhuisplein 101  </t>
  </si>
  <si>
    <t>1315 XC </t>
  </si>
  <si>
    <t>dhr. Sven Batenburg</t>
  </si>
  <si>
    <t>036-5484009</t>
  </si>
  <si>
    <t>sbatenburg@almere.nl</t>
  </si>
  <si>
    <t>601088.4310L</t>
  </si>
  <si>
    <t>601088.4320L</t>
  </si>
  <si>
    <t>3300 </t>
  </si>
  <si>
    <t>De Voetnoot </t>
  </si>
  <si>
    <t>Stadhuisplein 2  en Schrijverstraat 1</t>
  </si>
  <si>
    <t>1315 HT </t>
  </si>
  <si>
    <t>Pick up the pieces VOF: Patrick Mezas (beheerder vanuit huurderscommissie)</t>
  </si>
  <si>
    <t>Pick up the pieces VOF: Patrick Mezas: 036-7441040 of 06-13205488</t>
  </si>
  <si>
    <t>patrick@cafeop2.nl prmezas@gmail.com</t>
  </si>
  <si>
    <t>602388.4310L</t>
  </si>
  <si>
    <t>602388.4320</t>
  </si>
  <si>
    <t>9005</t>
  </si>
  <si>
    <t>Odeonstraat 580</t>
  </si>
  <si>
    <t>1325 AL</t>
  </si>
  <si>
    <t>2017-2027</t>
  </si>
  <si>
    <t>600599.4310L</t>
  </si>
  <si>
    <t>600599.4320L</t>
  </si>
  <si>
    <t>Brandweerkazerne Veluwse Kant</t>
  </si>
  <si>
    <t>Veluwezoom 52</t>
  </si>
  <si>
    <t>1327 AH</t>
  </si>
  <si>
    <t>Veluwsekant</t>
  </si>
  <si>
    <t>601062.4310L</t>
  </si>
  <si>
    <t>601062.4320L</t>
  </si>
  <si>
    <t>2441 </t>
  </si>
  <si>
    <t>Verzamelgebouw De Hoek </t>
  </si>
  <si>
    <t>Wagenmakerbaan 37, 39, 41, 43, 45, 47, 49, 51, 53, 57  </t>
  </si>
  <si>
    <t>1315 BC </t>
  </si>
  <si>
    <t>VMCA Vrijwilligers en Mantelzorg Centrale Almere, Stichting Abri, Stichting SOGA, Het Nederlandse Rode Kruis en Stichting De Hoek: alles via E. Weteringe</t>
  </si>
  <si>
    <t>036-5341404</t>
  </si>
  <si>
    <t>e.weteringe@vmca.nl</t>
  </si>
  <si>
    <t>Patina</t>
  </si>
  <si>
    <t>1249, 1135</t>
  </si>
  <si>
    <t>PO De Caleidoscoop incl. Gymzaal Walt Disneyplantsoen 74</t>
  </si>
  <si>
    <t>Walt Disneyplantsoen 72-74  </t>
  </si>
  <si>
    <t>1325 SX </t>
  </si>
  <si>
    <t>601608.4310L</t>
  </si>
  <si>
    <t>601608.4320L</t>
  </si>
  <si>
    <t>1249 </t>
  </si>
  <si>
    <t>PO De Caleidoscoop (84%)</t>
  </si>
  <si>
    <t>Walt Disneyplantsoen 72  </t>
  </si>
  <si>
    <t>J. Dronkers en A. Zijlstra</t>
  </si>
  <si>
    <t>06-10090592, 036-5353 419 036-5353419</t>
  </si>
  <si>
    <t>directie@caleidoscoop.asg.nl</t>
  </si>
  <si>
    <t>600709.4310L</t>
  </si>
  <si>
    <t>600709.4320L</t>
  </si>
  <si>
    <t>1135 </t>
  </si>
  <si>
    <t>Gymzaal Walt Disneyplantsoen 74 (16%)</t>
  </si>
  <si>
    <t>Walt Disneyplantsoen 74  </t>
  </si>
  <si>
    <t>601116.4310L</t>
  </si>
  <si>
    <t>601116.4320L</t>
  </si>
  <si>
    <t>2448 </t>
  </si>
  <si>
    <t>Buurtcentrum Filmwijkcentrum </t>
  </si>
  <si>
    <t>Walt Disneyplantsoen 76  </t>
  </si>
  <si>
    <t>Stichting de Schoor: R. Westman en R. van Dijk</t>
  </si>
  <si>
    <t>06-21243129 / 036-5278538 036-5320659</t>
  </si>
  <si>
    <t>600685.4310L</t>
  </si>
  <si>
    <t>600685.4320L</t>
  </si>
  <si>
    <t>1462 </t>
  </si>
  <si>
    <t>VOH Walt Disneyplantsoen 88</t>
  </si>
  <si>
    <t>Walt Disneyplantsoen 88  </t>
  </si>
  <si>
    <t>Taalcentrum Almere: T. Klein Koerkamp</t>
  </si>
  <si>
    <t>06-39466221</t>
  </si>
  <si>
    <t>info@taalcentrumalmere.nl</t>
  </si>
  <si>
    <t>601130.4310L</t>
  </si>
  <si>
    <t>601130.4320L</t>
  </si>
  <si>
    <t>2470 </t>
  </si>
  <si>
    <t>Jeugdland Stad  </t>
  </si>
  <si>
    <t>Weg 1940-1945 8  </t>
  </si>
  <si>
    <t>1318 EL </t>
  </si>
  <si>
    <t>Verzetswijk </t>
  </si>
  <si>
    <t xml:space="preserve">06-21243129 / 036-5278538 </t>
  </si>
  <si>
    <t>1123, 1223</t>
  </si>
  <si>
    <t>PO Het Samenspel Midden, incl. Gymzaal Amsterdamweg 11</t>
  </si>
  <si>
    <t>Amsterdamweg 11  </t>
  </si>
  <si>
    <t>1324 RL </t>
  </si>
  <si>
    <t>Stedenwijk </t>
  </si>
  <si>
    <t>600743.4310L</t>
  </si>
  <si>
    <t>600743.4320L</t>
  </si>
  <si>
    <t>1123 </t>
  </si>
  <si>
    <t>Gymzaal Amsterdamweg 11 +Dojo (35%)</t>
  </si>
  <si>
    <t>601598.4310L</t>
  </si>
  <si>
    <t>601598.4320L</t>
  </si>
  <si>
    <t>1223 </t>
  </si>
  <si>
    <t>PO Het Samenspel Midden (65%)</t>
  </si>
  <si>
    <t>P. Defourny en F. Aangeenbrug</t>
  </si>
  <si>
    <t>06 38116736, 036-5335291 036-5348110</t>
  </si>
  <si>
    <t>directie@samenspel.asg.nl</t>
  </si>
  <si>
    <t>600651.4310L</t>
  </si>
  <si>
    <t>600651.4320L</t>
  </si>
  <si>
    <t>1127 </t>
  </si>
  <si>
    <t>Sportzaal Basilicumweg 200</t>
  </si>
  <si>
    <t>Basilicumweg 200  </t>
  </si>
  <si>
    <t>1313 EH </t>
  </si>
  <si>
    <t>Kruidenwijk </t>
  </si>
  <si>
    <t>601584.4310L</t>
  </si>
  <si>
    <t>601584.4320L</t>
  </si>
  <si>
    <t>1236 </t>
  </si>
  <si>
    <t>PO Heliotroop</t>
  </si>
  <si>
    <t>Beemdgrasstraat 12  </t>
  </si>
  <si>
    <t>1313 CM </t>
  </si>
  <si>
    <t>P. Wijngaarden en M. van Doorn</t>
  </si>
  <si>
    <t>036-7670460 en 06-41849206</t>
  </si>
  <si>
    <t>directie@heliotroop.asg-almere.nl</t>
  </si>
  <si>
    <t>1197, 1397</t>
  </si>
  <si>
    <t>PO De Watertuin, incl. Gymzaal AA De Watertuin</t>
  </si>
  <si>
    <t>Churchillweg 3-5-7</t>
  </si>
  <si>
    <t>1314 RA </t>
  </si>
  <si>
    <t>Staatsliedenwijk </t>
  </si>
  <si>
    <t>600719.4310L</t>
  </si>
  <si>
    <t>600719.4320L</t>
  </si>
  <si>
    <t>1197 </t>
  </si>
  <si>
    <t>Gymzaal AA - De Watertuin 3 (8,1%)</t>
  </si>
  <si>
    <t>Churchillweg 3  </t>
  </si>
  <si>
    <t>W. Meijer</t>
  </si>
  <si>
    <t>06-12833201, 036-5333548</t>
  </si>
  <si>
    <t>wim.meijer@watertuin.asg.nl</t>
  </si>
  <si>
    <t>01-06-2023 tot en met 31-05-2033 Hoge dak</t>
  </si>
  <si>
    <t>Schadenberg Hoge dak</t>
  </si>
  <si>
    <t>601604.4310L</t>
  </si>
  <si>
    <t>601604.4320L</t>
  </si>
  <si>
    <t>1397 </t>
  </si>
  <si>
    <t>SBO De Watertuin  (83,8%)</t>
  </si>
  <si>
    <t>Gymzaal AA - De Watertuin 5 (8,1%)</t>
  </si>
  <si>
    <t>Churchillweg 5</t>
  </si>
  <si>
    <t>601599.4310L</t>
  </si>
  <si>
    <t>601599.4320L</t>
  </si>
  <si>
    <t>1224 </t>
  </si>
  <si>
    <t>PO De Achtbaan </t>
  </si>
  <si>
    <t>Dordrechtplein 2  </t>
  </si>
  <si>
    <t>1324 VD </t>
  </si>
  <si>
    <t>M. van Twiller en M. van den Eshof</t>
  </si>
  <si>
    <t>06-14306788 / 06-48937035, 036-7670540</t>
  </si>
  <si>
    <t>directie@achtbaan.asg.nl</t>
  </si>
  <si>
    <t>600724.4310L</t>
  </si>
  <si>
    <t>600724.4320L</t>
  </si>
  <si>
    <t>1122 </t>
  </si>
  <si>
    <t>Gymzaal Harderwijkoever 1</t>
  </si>
  <si>
    <t>Harderwijkoever 1  </t>
  </si>
  <si>
    <t>1324 HA </t>
  </si>
  <si>
    <t>601105.4310L</t>
  </si>
  <si>
    <t>601105.4320L</t>
  </si>
  <si>
    <t>0235 </t>
  </si>
  <si>
    <t>Kinderboerderij Den Uylpark</t>
  </si>
  <si>
    <t>Heerenveenpad 43  </t>
  </si>
  <si>
    <t>1324 CB </t>
  </si>
  <si>
    <t>Stichting Stad en Natuur: C. van Kesteren</t>
  </si>
  <si>
    <t>06-43508052, 036-5475050 / Algemeen 036-5475060</t>
  </si>
  <si>
    <t>cvkesteren@stadennatuur.nl info@stadennatuur.nl</t>
  </si>
  <si>
    <t>600754.4310L</t>
  </si>
  <si>
    <t>601570.4310</t>
  </si>
  <si>
    <t>0004 </t>
  </si>
  <si>
    <t>TOH Hoornstraat 1</t>
  </si>
  <si>
    <t>Hoornstraat 1  </t>
  </si>
  <si>
    <t>1324 SH </t>
  </si>
  <si>
    <t>Ch van der Aa - Chrétien</t>
  </si>
  <si>
    <t>06-10927583</t>
  </si>
  <si>
    <t>C.vanderAa@taalcentrumalmere.nl</t>
  </si>
  <si>
    <t>601071.4310L</t>
  </si>
  <si>
    <t>601071.4320L</t>
  </si>
  <si>
    <t>2203 </t>
  </si>
  <si>
    <t>Sporthal Waterwijk</t>
  </si>
  <si>
    <t>IJsselmeerweg 48  </t>
  </si>
  <si>
    <t>1316 RK </t>
  </si>
  <si>
    <t>Waterwijk </t>
  </si>
  <si>
    <t>601119.4310L</t>
  </si>
  <si>
    <t>601119.4320L</t>
  </si>
  <si>
    <t>2417 </t>
  </si>
  <si>
    <t>Buurtcentrum 't Kardoes</t>
  </si>
  <si>
    <t>J.G. Suurhoffstraat 45  </t>
  </si>
  <si>
    <t>1314 NR </t>
  </si>
  <si>
    <t>06-21243129, 036-527853 Algemeen 036-5278500</t>
  </si>
  <si>
    <t>rwestman@deschoor.nl info@deschoor.nl</t>
  </si>
  <si>
    <t>601125.4310L</t>
  </si>
  <si>
    <t>601125.4320L</t>
  </si>
  <si>
    <t>2419 </t>
  </si>
  <si>
    <t>Buurtcentrum - Stedenpunt incl. Kinderopvang Kiekeboe VOF</t>
  </si>
  <si>
    <t>Kampenweg 3  </t>
  </si>
  <si>
    <t>1324 SB </t>
  </si>
  <si>
    <t>601070.4310L</t>
  </si>
  <si>
    <t>601070.4320L</t>
  </si>
  <si>
    <t>2202 </t>
  </si>
  <si>
    <t>Sporthal Stedenwijk</t>
  </si>
  <si>
    <t>Kampenweg 7  </t>
  </si>
  <si>
    <t>601619.4310L</t>
  </si>
  <si>
    <t>601619.4320L</t>
  </si>
  <si>
    <t>Brede school Noorderplassen (Kraaiennest) - (PO De Windwijzer incl. PSZ Het Schippertje, De Ontdekking, Sportzaal en BSO Kraaiennest)</t>
  </si>
  <si>
    <t>Kraaiennest 2 / 4 / 6 / 8 / 10</t>
  </si>
  <si>
    <t>1319 DA </t>
  </si>
  <si>
    <t>Noorderplassen </t>
  </si>
  <si>
    <t>De Ontdekking: H. Vrind/H. Van Kooten en PO De Windwijzer: S. Bouwhuis</t>
  </si>
  <si>
    <t>036-5487050 en 036-5240540</t>
  </si>
  <si>
    <t>h.vankooten@ontdekking.asg.nl en dir.windwijzer@prisma-almere.nl</t>
  </si>
  <si>
    <t>600668.4310L</t>
  </si>
  <si>
    <t>600668.4320L</t>
  </si>
  <si>
    <t>TOH Kraaiennest 12</t>
  </si>
  <si>
    <t>Kraaiennest 12</t>
  </si>
  <si>
    <t>H. van Kooten</t>
  </si>
  <si>
    <t>06-53613078</t>
  </si>
  <si>
    <t>h.vankooten@ontdekking.asg.nl</t>
  </si>
  <si>
    <t>fa. Wagenbouw</t>
  </si>
  <si>
    <t>601120.4310L</t>
  </si>
  <si>
    <t>601120.4320L</t>
  </si>
  <si>
    <t>2442 </t>
  </si>
  <si>
    <t>Buurtcentrum Het Karwij  </t>
  </si>
  <si>
    <t>Lavendelplantsoen 59  </t>
  </si>
  <si>
    <t>1313 EX </t>
  </si>
  <si>
    <t>06-21243129, 036-527853 Algemeen: 036-5278500</t>
  </si>
  <si>
    <t>rwestman@deschoor.nl info@deschoor.nl ?</t>
  </si>
  <si>
    <t>601578.4310L</t>
  </si>
  <si>
    <t>601578.4320L</t>
  </si>
  <si>
    <t>1221 </t>
  </si>
  <si>
    <t>PO Het Samenspel Noord</t>
  </si>
  <si>
    <t>Leeuwardenplein 34  </t>
  </si>
  <si>
    <t>1324 BH </t>
  </si>
  <si>
    <t>600723.4310L</t>
  </si>
  <si>
    <t>600723.4320L</t>
  </si>
  <si>
    <t>1121 </t>
  </si>
  <si>
    <t xml:space="preserve">Gymzaal Leeuwardenplein 36 </t>
  </si>
  <si>
    <t>Leeuwardenplein 36  </t>
  </si>
  <si>
    <t>601113.4310L</t>
  </si>
  <si>
    <t>601113.4320L</t>
  </si>
  <si>
    <t>2421 </t>
  </si>
  <si>
    <t>Buurtcentrum De Draaikolk, incl. PSZ Bodhi Kinderopvang VOF</t>
  </si>
  <si>
    <t>Lekstraat 2  </t>
  </si>
  <si>
    <t>1316 EM </t>
  </si>
  <si>
    <t>Stichting De Schoor: R. Westman / E. Kooi en Bodhi Kinderopvang VOF: M. Knoop</t>
  </si>
  <si>
    <t>036-5302084/085  Algemeen 036-5278500 en Bodhi Kinderopvang VOF: 06-11450304</t>
  </si>
  <si>
    <t>rwestman@deschoor.nl draaikolk@deschoor.nl  mirna.knoop@hotmail.com</t>
  </si>
  <si>
    <t>601590.4310L</t>
  </si>
  <si>
    <t>601590.4320L</t>
  </si>
  <si>
    <t>1225 </t>
  </si>
  <si>
    <t>PO De Kameleon  </t>
  </si>
  <si>
    <t>Lingestraat 34  </t>
  </si>
  <si>
    <t>1316 CS </t>
  </si>
  <si>
    <t>H. Manders en J. Janssen</t>
  </si>
  <si>
    <t>06-36543049, 036-5332686 / 06-53403212, 036-5314690</t>
  </si>
  <si>
    <t>directie@kameleon.asg.nl</t>
  </si>
  <si>
    <t>600728.4310L</t>
  </si>
  <si>
    <t>600728.4320L</t>
  </si>
  <si>
    <t>1124 </t>
  </si>
  <si>
    <t>Gymzaal Lingestraat 38</t>
  </si>
  <si>
    <t>Lingestraat 38  </t>
  </si>
  <si>
    <t>600598.4310L</t>
  </si>
  <si>
    <t>600598.4320L</t>
  </si>
  <si>
    <t>4110 </t>
  </si>
  <si>
    <t>Markerkant 15 13 - Noodopvanglocatie (voormalige Brandweerkazerne Stad)</t>
  </si>
  <si>
    <t>Markerkant 15 13  </t>
  </si>
  <si>
    <t>1314 AT </t>
  </si>
  <si>
    <t>Markerkant </t>
  </si>
  <si>
    <t>Ed Schippers</t>
  </si>
  <si>
    <t>06-51056285</t>
  </si>
  <si>
    <t xml:space="preserve">
eschippers@almere.nl</t>
  </si>
  <si>
    <t>Kooi-ladder + 2 gevel-ladders</t>
  </si>
  <si>
    <t>600734.4310L</t>
  </si>
  <si>
    <t>600734.4320L</t>
  </si>
  <si>
    <t>1128 </t>
  </si>
  <si>
    <t>Gymzaal Pijnackerpad 1</t>
  </si>
  <si>
    <t>Pijnackerpad 1  </t>
  </si>
  <si>
    <t>1324 VA </t>
  </si>
  <si>
    <t>600737.4310L</t>
  </si>
  <si>
    <t>600737.4320L</t>
  </si>
  <si>
    <t>1156 </t>
  </si>
  <si>
    <t>Gymzaal Randstad 22 113A</t>
  </si>
  <si>
    <t>Randstad 22 113 A </t>
  </si>
  <si>
    <t>1316 BW </t>
  </si>
  <si>
    <t>Randstad </t>
  </si>
  <si>
    <t>601575.4310L</t>
  </si>
  <si>
    <t>601575.4320L</t>
  </si>
  <si>
    <t>1255 </t>
  </si>
  <si>
    <t>PO Montessori Randstad 22 113B</t>
  </si>
  <si>
    <t>Randstad 22 113 B </t>
  </si>
  <si>
    <t>J. Kooiman en H. Iraqui</t>
  </si>
  <si>
    <t>06-51967576 / 06-16195524 en Algemeen:  036-5376591</t>
  </si>
  <si>
    <t>600680.4310L</t>
  </si>
  <si>
    <t>600680.4320L</t>
  </si>
  <si>
    <t>1759 </t>
  </si>
  <si>
    <t>TOH Razeil 1</t>
  </si>
  <si>
    <t>Razeil 1  </t>
  </si>
  <si>
    <t>1319 EA </t>
  </si>
  <si>
    <t>Openbare Daltonschool De Ontdekking - ASG H. van Kooten en Oec.BS De Windwijzer - Prisma (Razeil) S. Bouwhuis</t>
  </si>
  <si>
    <t>H. van Kooten 06-53613078 en S. Bouwhuis 036-5240540</t>
  </si>
  <si>
    <t>h.vankooten@ontdekking.asg.nl dir.windwijzer@prisma-almere.nl</t>
  </si>
  <si>
    <t>2x gevel-ladder</t>
  </si>
  <si>
    <t>602248.4310L</t>
  </si>
  <si>
    <t>602248.4320L</t>
  </si>
  <si>
    <t>Razeil 5-7-9 - TOH Razeil 5-7-9</t>
  </si>
  <si>
    <t xml:space="preserve">Razeil 5-7-9 </t>
  </si>
  <si>
    <t>Stichting Hindoe Onderwijs Nederland</t>
  </si>
  <si>
    <t>601559.4310L</t>
  </si>
  <si>
    <t>601559.4320L</t>
  </si>
  <si>
    <t>0032 </t>
  </si>
  <si>
    <t>PO Shri Ganesha </t>
  </si>
  <si>
    <t>Regentesseweg 1  </t>
  </si>
  <si>
    <t>1312 AA </t>
  </si>
  <si>
    <t>S. Soedamah</t>
  </si>
  <si>
    <t>036- 5232514 / 06-34550615</t>
  </si>
  <si>
    <t xml:space="preserve">ssoedamah@shriganesha.nl of info@shriganesha.nl </t>
  </si>
  <si>
    <t>601080.4310L</t>
  </si>
  <si>
    <t>601080.4320L</t>
  </si>
  <si>
    <t>2362 </t>
  </si>
  <si>
    <t>Sportgebouw ASC Waterwijk (voetbal)</t>
  </si>
  <si>
    <t>Rie Mastenbroeksportpark 4  </t>
  </si>
  <si>
    <t>1314 AZ </t>
  </si>
  <si>
    <t>Cobie Portengen en Hans Visser</t>
  </si>
  <si>
    <t>06-18257455 en 06-50231437</t>
  </si>
  <si>
    <t>cobie.portengen@gmail.com Parkbeheer@waterwijk.nl</t>
  </si>
  <si>
    <t>601124.4310L</t>
  </si>
  <si>
    <t>601124.4320L</t>
  </si>
  <si>
    <t>2446 </t>
  </si>
  <si>
    <t>Buurtcentrum Parkwijk </t>
  </si>
  <si>
    <t>Haagbeukweg 42  </t>
  </si>
  <si>
    <t>1326 CP </t>
  </si>
  <si>
    <t>Parkwijk </t>
  </si>
  <si>
    <t>Stichting De Schoor: R. Westman + I. van der Hoeven</t>
  </si>
  <si>
    <t>06-21243129, 036-527853 / 036-5375538 Algemeen: 036-5278500</t>
  </si>
  <si>
    <t>rwestman@deschoor.nl parkwijk@deschoor.nl info@deschoor.nl</t>
  </si>
  <si>
    <t>2 tweede-lige opsteek-ladders</t>
  </si>
  <si>
    <t>601615.4310L</t>
  </si>
  <si>
    <t>601615.4320L</t>
  </si>
  <si>
    <t>1253 </t>
  </si>
  <si>
    <t xml:space="preserve">PO Digitalis hoofdvestiging - incl. PSZ Muis (Schoor) </t>
  </si>
  <si>
    <t>Rolklaverpad 29  </t>
  </si>
  <si>
    <t>1314 PD </t>
  </si>
  <si>
    <t>M. van Zandwijk en L. Nieuwkoop</t>
  </si>
  <si>
    <t>06-10267969, 036-5296678 / 06-11510871 Algemeen: 036-7670410</t>
  </si>
  <si>
    <t>directie@digitalis.asg.nl</t>
  </si>
  <si>
    <t xml:space="preserve">  </t>
  </si>
  <si>
    <t>601591.4310L</t>
  </si>
  <si>
    <t>601591.4320L</t>
  </si>
  <si>
    <t>1234 </t>
  </si>
  <si>
    <t>PO Digitalis bovenbouw</t>
  </si>
  <si>
    <t>Rolklaverpad 30  </t>
  </si>
  <si>
    <t>1314 PE </t>
  </si>
  <si>
    <t>06-10267969, 036-5296678 / 06-11510871 036-7670410: algemeen?</t>
  </si>
  <si>
    <t>601072.4310L</t>
  </si>
  <si>
    <t>601072.4320L</t>
  </si>
  <si>
    <t>2210 </t>
  </si>
  <si>
    <t>Sportverzamelgebouw Annapark  </t>
  </si>
  <si>
    <t>Sas van Gentlaan 10  </t>
  </si>
  <si>
    <t>1324 CT </t>
  </si>
  <si>
    <t>Passend Onderwijs Almere</t>
  </si>
  <si>
    <t>602469.4310L</t>
  </si>
  <si>
    <t>600683.4320L</t>
  </si>
  <si>
    <t>1239 </t>
  </si>
  <si>
    <t>Sesamstraat 1 - Taalcentrum</t>
  </si>
  <si>
    <t>Sesamstraat 1  </t>
  </si>
  <si>
    <t>1313 GS </t>
  </si>
  <si>
    <t xml:space="preserve">Directeur of conciërge </t>
  </si>
  <si>
    <t>036 - 76 70 520</t>
  </si>
  <si>
    <t>601114.4310L</t>
  </si>
  <si>
    <t>601114.4320L</t>
  </si>
  <si>
    <t>2420 </t>
  </si>
  <si>
    <t>Buurtcentrum De Inloop incl. PSZ Humpie Dumpie</t>
  </si>
  <si>
    <t>'s-Hertogenboschplein 8  </t>
  </si>
  <si>
    <t>1324 WB </t>
  </si>
  <si>
    <t>Stichting De Schoor: R. Westman + R. Lamark-Sminia + Sociale teams: N.M.E. Luiten en A.K.S. Hoogbruin</t>
  </si>
  <si>
    <t>De Schoor: 06-21243129, 036-527853 / 036-5333737 Algemeen De Schoor 036-5278500 Sociale teams: 06-27399638, 036-5277953 / 06-51707315, 036-5399347</t>
  </si>
  <si>
    <t>rwestman@deschoor.nl inloop@deschoor.nl info@deschoor.nl nluiten@almere.nl akhoogbruin@almere.nl</t>
  </si>
  <si>
    <t>600655.4310L</t>
  </si>
  <si>
    <t>600655.4320L</t>
  </si>
  <si>
    <t>1125 </t>
  </si>
  <si>
    <t>Sportzaal Slagbaai  </t>
  </si>
  <si>
    <t>Slagbaai 14  </t>
  </si>
  <si>
    <t>1317 AC </t>
  </si>
  <si>
    <t xml:space="preserve">meldpunt Vastgoedbedrijf (036) 547 18 12 en meldpunt bewakingsdienst (020) 311 95 </t>
  </si>
  <si>
    <t>600621.4310L</t>
  </si>
  <si>
    <t>600621.4320L</t>
  </si>
  <si>
    <t>1226 </t>
  </si>
  <si>
    <t>VOH Slufterplantsoen 10</t>
  </si>
  <si>
    <t>Slufterplantsoen 10  </t>
  </si>
  <si>
    <t>1316 KX </t>
  </si>
  <si>
    <t>Self Defense Europe: Y. Swart, Sociale wijkteams: M. van de Wetering en B.V.L. &amp; S./Leefbaarheid: M. van Dijk - de Kroon en E. Jongerden</t>
  </si>
  <si>
    <t>Self Defense Europe: 06-18165410, Sociale wijkteams: geen nummer en B.V.L. &amp; S./Leefbaarheid: M. van Dijk - de Kroon: 06-12996035, 036-5484159</t>
  </si>
  <si>
    <t>mvdwetering@almere.nl mvdijkdkroon@almere.nl ejongerden@almere.nl</t>
  </si>
  <si>
    <t>601606.4310L</t>
  </si>
  <si>
    <t>601606.4320L</t>
  </si>
  <si>
    <t>1227 </t>
  </si>
  <si>
    <t>PO De Argonaut - incl. 4 st. aanbouw (1990) </t>
  </si>
  <si>
    <t>Zaagvisplantsoen 32  </t>
  </si>
  <si>
    <t>1317 HP </t>
  </si>
  <si>
    <t>H. Manders en N. Ogric</t>
  </si>
  <si>
    <t>06-36543049, 036-5334863 / 06-14626511</t>
  </si>
  <si>
    <t>directie@argonaut.asg.nl</t>
  </si>
  <si>
    <t>600657.4310L</t>
  </si>
  <si>
    <t>600657.4320L</t>
  </si>
  <si>
    <t>1459 </t>
  </si>
  <si>
    <t>TOH Bongerdstraat 10</t>
  </si>
  <si>
    <t>Bongerdstraat 10  </t>
  </si>
  <si>
    <t>1326 AB </t>
  </si>
  <si>
    <t>kinderWORLD groep: M. Wendrich-Heule en K. List en KBS 't Zonnewiel - SKOFV: S. Bley en S. van Dijk</t>
  </si>
  <si>
    <t>kinderWORLD groep, M. Wendrich-Heule: 06-29044688 en KBS 't Zonnewiel - SKOFV: 06-33318183, 052-2252299 / 036-5376558</t>
  </si>
  <si>
    <t>marlies@kinderworld.nl kim@kinderworld.nl s.vandijk@zonnewiel.nl s.bley@onderwijsbureau-meppel.nl</t>
  </si>
  <si>
    <t>600658.4310L</t>
  </si>
  <si>
    <t>600658.4320L</t>
  </si>
  <si>
    <t>1469 </t>
  </si>
  <si>
    <t>TOH Bongerdstraat 8  (dep. Zonnewiel)</t>
  </si>
  <si>
    <t>Bongerdstraat 8  </t>
  </si>
  <si>
    <t>SKOFV: S. Bley</t>
  </si>
  <si>
    <t>Algemeen: 036-5376558 en S Bley 06-33318183, 052-2252299</t>
  </si>
  <si>
    <t>info@zonnewiel.nl s.bley@onderwijsbureau-meppel.nl</t>
  </si>
  <si>
    <t>600710.4310L</t>
  </si>
  <si>
    <t>600710.4320L</t>
  </si>
  <si>
    <t>1144 </t>
  </si>
  <si>
    <t>Gymzaal Cranberrylaan 32</t>
  </si>
  <si>
    <t>Cranberrylaan 32  </t>
  </si>
  <si>
    <t>1326 JR </t>
  </si>
  <si>
    <t>600660.4310L</t>
  </si>
  <si>
    <t>600660.4320L</t>
  </si>
  <si>
    <t>1754 </t>
  </si>
  <si>
    <t>TOH Danslaan 60 inclusief aanbouw 216m²</t>
  </si>
  <si>
    <t>Danslaan 60  </t>
  </si>
  <si>
    <t>1326 NA </t>
  </si>
  <si>
    <t>Danswijk </t>
  </si>
  <si>
    <t xml:space="preserve">Vrije school Almere: M. van der Stok en 
J. Hinten en Krullevaartje VOF, Opvang </t>
  </si>
  <si>
    <t>06-40766658, 036-5363147 / 06-86877385</t>
  </si>
  <si>
    <t>m.vanderstok@vrijeschool-almere.nl j.hinten@vrijeschool-almere.nl</t>
  </si>
  <si>
    <t>Uitbreiding  (3 gehuurde lokalen) in 2026 met 216m² DAKOPBOUW
EPDM dakbedekking
Afschotisolatie PS
Sandwich dakelement
Rc = 2,64m² K/W</t>
  </si>
  <si>
    <t>600661.4310L</t>
  </si>
  <si>
    <t>600661.4320L</t>
  </si>
  <si>
    <t>1461 </t>
  </si>
  <si>
    <t>VOH Danslaan 66  </t>
  </si>
  <si>
    <t>Danslaan 66  </t>
  </si>
  <si>
    <t>1326 PL </t>
  </si>
  <si>
    <t>B.V.L. &amp; S./Leefbaarheid: M. van Dijk - de Kroon en P. Prins, Mijn Kinderopvang: S. Kasmi en Sociale wijkteams: 
M. van de Wetering</t>
  </si>
  <si>
    <t>B.V.L. &amp; S./Leefbaarheid: 06-12996035, 036-5484159 / 06-11586322, Mijn Kinderopvang: 06-55843223, 036-8410660 en Sociale wijkteams: geen nummer
M. van de Wetering</t>
  </si>
  <si>
    <t>mvdijkdkroon@almere.nl beheerdop66@gmail.com info@mijn-kinderopvang.nl mvdwetering@almere.nl</t>
  </si>
  <si>
    <r>
      <t>Tepper M./</t>
    </r>
    <r>
      <rPr>
        <b/>
        <sz val="10"/>
        <color rgb="FFFF0000"/>
        <rFont val="Arial"/>
        <family val="2"/>
      </rPr>
      <t>Daalder G. wordt Lamboo, M.S.</t>
    </r>
  </si>
  <si>
    <t>1143, 2443, 1250</t>
  </si>
  <si>
    <t>PO De Zevensprong incl. gymzaal Danslaan 70, BSO/PSZ Danslaan 72</t>
  </si>
  <si>
    <r>
      <t xml:space="preserve">Danslaan </t>
    </r>
    <r>
      <rPr>
        <b/>
        <sz val="10"/>
        <color rgb="FFFF0000"/>
        <rFont val="Arial"/>
        <family val="2"/>
      </rPr>
      <t>70-</t>
    </r>
    <r>
      <rPr>
        <sz val="10"/>
        <rFont val="Arial"/>
        <family val="2"/>
      </rPr>
      <t>72-74</t>
    </r>
  </si>
  <si>
    <t>600721.4310L</t>
  </si>
  <si>
    <t>600721.4320L</t>
  </si>
  <si>
    <t>1143 </t>
  </si>
  <si>
    <t>Gymzaal Danslaan 70 (14%)</t>
  </si>
  <si>
    <t>Danslaan 70  </t>
  </si>
  <si>
    <t>601122.4310L</t>
  </si>
  <si>
    <t>601122.4320L</t>
  </si>
  <si>
    <t>M. Tepper</t>
  </si>
  <si>
    <t>2443 </t>
  </si>
  <si>
    <t>BSO/PSZ Danslaan 72 (10%)</t>
  </si>
  <si>
    <t>Danslaan 72  </t>
  </si>
  <si>
    <t>Beheerder</t>
  </si>
  <si>
    <t>06-22399886 en/of 06-22399780</t>
  </si>
  <si>
    <t>info@kinderopvangdegompys.nl</t>
  </si>
  <si>
    <t>601593.4310L</t>
  </si>
  <si>
    <t>601593.4320L</t>
  </si>
  <si>
    <t>1250 </t>
  </si>
  <si>
    <t>PO De Zevensprong  (76%)</t>
  </si>
  <si>
    <t>Danslaan 74  </t>
  </si>
  <si>
    <t>S. Hawinkels</t>
  </si>
  <si>
    <t>06-41640175, 036-5353742</t>
  </si>
  <si>
    <t>s.hawinkels@zevensprong.asg.nl</t>
  </si>
  <si>
    <t>84 objecten</t>
  </si>
  <si>
    <t>Totalen Perceel 2</t>
  </si>
  <si>
    <t>600662.4310L</t>
  </si>
  <si>
    <t>600662.4320L</t>
  </si>
  <si>
    <t>VOH E.F. van den Banweg 25</t>
  </si>
  <si>
    <t>E.F. van den Banweg 25</t>
  </si>
  <si>
    <t>1333 JA</t>
  </si>
  <si>
    <t>Bouwmeesterbuurt </t>
  </si>
  <si>
    <t>Almere Buiten</t>
  </si>
  <si>
    <t xml:space="preserve">Tussen 8 en 17 uur meldpunt Vastgoedbedrijf en tussen 17 en 8 uur meldkamer bewakingsdienst </t>
  </si>
  <si>
    <t>fa. Elro</t>
  </si>
  <si>
    <t>600773.4310L</t>
  </si>
  <si>
    <t>600773.4320L</t>
  </si>
  <si>
    <t>VOH H.J.A. Hovens Grevestraat 1</t>
  </si>
  <si>
    <t>H.J.A. Hovens Grevestraat 1</t>
  </si>
  <si>
    <t>1333 KX</t>
  </si>
  <si>
    <t>s Heeren Loo Stichting Zorggroep (Patrick Schipper/ B. Bouw)</t>
  </si>
  <si>
    <t>06-11881046 / 06-30654635</t>
  </si>
  <si>
    <t>patrick.schipper@sheerenlo.nl bertine.bouw@sheerenloo.nl</t>
  </si>
  <si>
    <t>1174, 1280</t>
  </si>
  <si>
    <t>PO De Albatros incl. gymzaal AA De Albatros</t>
  </si>
  <si>
    <t>Edelhertweg 85  </t>
  </si>
  <si>
    <t>1338 EB </t>
  </si>
  <si>
    <t>Faunabuurt </t>
  </si>
  <si>
    <t>601576.4310L</t>
  </si>
  <si>
    <t>601576.4320L</t>
  </si>
  <si>
    <t>1174 </t>
  </si>
  <si>
    <t>Gymzaal AA De Albatros (84%)</t>
  </si>
  <si>
    <t>Directeur of conciërge beide scholen: ik vind: L. de Boer en E. Peek</t>
  </si>
  <si>
    <t>06-50595716, 036-5328971 / 06-54618753, 036-5401131</t>
  </si>
  <si>
    <t>directie@albatros.asg.nl administratie@albatros.asg.nl</t>
  </si>
  <si>
    <t>601609.4310L</t>
  </si>
  <si>
    <t>601609.4320L</t>
  </si>
  <si>
    <t>1280 </t>
  </si>
  <si>
    <t>PO De Albatros (16%)</t>
  </si>
  <si>
    <t>601074.4310L</t>
  </si>
  <si>
    <t>601074.4320L</t>
  </si>
  <si>
    <t>2103 </t>
  </si>
  <si>
    <t>Zwembad Buiten  </t>
  </si>
  <si>
    <t>Globeplein 1  </t>
  </si>
  <si>
    <t>1334 BT </t>
  </si>
  <si>
    <t>Centrum Almere Buiten </t>
  </si>
  <si>
    <t>vrijbuiter@optisport.nl rogervandam@optisport.nl</t>
  </si>
  <si>
    <t>kooi-ladder</t>
  </si>
  <si>
    <t>601118.4310L</t>
  </si>
  <si>
    <t>601118.4320L</t>
  </si>
  <si>
    <t>Buurtcentrum Het Forum incl. PSZ Haasje Repje St. de Schoor </t>
  </si>
  <si>
    <t>Haasweg 11  </t>
  </si>
  <si>
    <t>1338 AW </t>
  </si>
  <si>
    <t>Stichting De Schoor: R. Westman + J. Hulst + Green village: M.I. Verleg</t>
  </si>
  <si>
    <t xml:space="preserve"> algemeen: 036-5278500/ 06-21243129, 036-527853 / 036-5370343 Green Village: 06-40128883</t>
  </si>
  <si>
    <t>rwestman@deschoor.nl forum@deschoor.nl info@deschoor.nl maaanon_@hotmail.com</t>
  </si>
  <si>
    <t>601585.4310L</t>
  </si>
  <si>
    <t>601585.4320L</t>
  </si>
  <si>
    <t>1273 </t>
  </si>
  <si>
    <t>M.J. Granpre Molierestraat 72 - Taalcentrum</t>
  </si>
  <si>
    <t>M.J. Granpre Molierestr. 72  </t>
  </si>
  <si>
    <t>1333 KE </t>
  </si>
  <si>
    <t>Concierge R. Ploeger</t>
  </si>
  <si>
    <t>036 7670520</t>
  </si>
  <si>
    <t>r.ploeger@taalcentrumalmere.nl</t>
  </si>
  <si>
    <t>600597.4310L</t>
  </si>
  <si>
    <t>600597.4320L</t>
  </si>
  <si>
    <t>4130 </t>
  </si>
  <si>
    <t>Brandweerkazerne Buiten </t>
  </si>
  <si>
    <t>Makassarweg 61  </t>
  </si>
  <si>
    <t>1335 HW </t>
  </si>
  <si>
    <t>Indischebuurt </t>
  </si>
  <si>
    <t>Goede Stede</t>
  </si>
  <si>
    <t>601618.4310L</t>
  </si>
  <si>
    <t>601618.4320L</t>
  </si>
  <si>
    <t>5001 </t>
  </si>
  <si>
    <t>Brede School Archipel incl. Sportzaal en Goede Stede kinderdagverblijf</t>
  </si>
  <si>
    <t>Maldivenweg 45  </t>
  </si>
  <si>
    <t>1339 PP </t>
  </si>
  <si>
    <t>Eilandenbuurt </t>
  </si>
  <si>
    <t xml:space="preserve"> W. van Slijpen en N. Slootjes</t>
  </si>
  <si>
    <t>036-5214791 / 06-20022629, 036-5322947 / 06-50244983, 036-5326994</t>
  </si>
  <si>
    <t>directie@archipel.asg.nl</t>
  </si>
  <si>
    <t>601579.4310L</t>
  </si>
  <si>
    <t>601579.4320L</t>
  </si>
  <si>
    <t>1279 </t>
  </si>
  <si>
    <t>PO Bommelstein  </t>
  </si>
  <si>
    <t>Markiezenhofstraat 62  </t>
  </si>
  <si>
    <t>1333 TS </t>
  </si>
  <si>
    <t>Landgoederenbuurt </t>
  </si>
  <si>
    <t>C. Wieten en 
K. Bruggeman</t>
  </si>
  <si>
    <t>036-5321243 / 06-20275019 / 06-20275019</t>
  </si>
  <si>
    <t xml:space="preserve">directie@bommelstein.asg.nl </t>
  </si>
  <si>
    <t>601135.4310L</t>
  </si>
  <si>
    <t>601135.4320L</t>
  </si>
  <si>
    <t>2530 </t>
  </si>
  <si>
    <t>Gebouw Moskoustraat 18</t>
  </si>
  <si>
    <t>Moskoustraat 18  </t>
  </si>
  <si>
    <t>1334 EH </t>
  </si>
  <si>
    <t>Stichting Leger des Heils: J. Beerse</t>
  </si>
  <si>
    <t>036-5328978 / 036 5496800</t>
  </si>
  <si>
    <t>beerse@legerdesheils.nl</t>
  </si>
  <si>
    <t>601106.4310L</t>
  </si>
  <si>
    <t>601106.4320L</t>
  </si>
  <si>
    <r>
      <t xml:space="preserve">Wijk van </t>
    </r>
    <r>
      <rPr>
        <b/>
        <sz val="10"/>
        <rFont val="Arial"/>
        <family val="2"/>
      </rPr>
      <t>S.S.</t>
    </r>
  </si>
  <si>
    <t>0240 </t>
  </si>
  <si>
    <t>Natuurbelevingscentrum De Oostvaarders</t>
  </si>
  <si>
    <t>Oostvaardersbosplaats 1  </t>
  </si>
  <si>
    <t>1336 RZ </t>
  </si>
  <si>
    <t>overig Almere Buiten </t>
  </si>
  <si>
    <t>036-5475050/06-43508052</t>
  </si>
  <si>
    <r>
      <t>info@stadennatuur.nl</t>
    </r>
    <r>
      <rPr>
        <sz val="10"/>
        <rFont val="Arial"/>
        <family val="2"/>
      </rPr>
      <t xml:space="preserve"> of</t>
    </r>
    <r>
      <rPr>
        <u/>
        <sz val="10"/>
        <rFont val="Arial"/>
        <family val="2"/>
      </rPr>
      <t xml:space="preserve"> cvkesteren@stadennatuur.nl</t>
    </r>
  </si>
  <si>
    <t>600675.4310L</t>
  </si>
  <si>
    <t>600675.4320L</t>
  </si>
  <si>
    <t>1484 </t>
  </si>
  <si>
    <t>TOH Pieter van Damstraat</t>
  </si>
  <si>
    <t>Pieter van Damstraat 36  </t>
  </si>
  <si>
    <t>1335 PG </t>
  </si>
  <si>
    <t>Oostvaardersbuurt </t>
  </si>
  <si>
    <t>Camelot Beheer BV: M. Oosterwijk</t>
  </si>
  <si>
    <t>06-22776692</t>
  </si>
  <si>
    <t xml:space="preserve"> m.oosterwijk@cameloteurope.com</t>
  </si>
  <si>
    <r>
      <t>Tepper M./</t>
    </r>
    <r>
      <rPr>
        <sz val="10"/>
        <color rgb="FFFF0000"/>
        <rFont val="Arial"/>
        <family val="2"/>
      </rPr>
      <t>Daalder G. wordt Lamboo, M.S.</t>
    </r>
  </si>
  <si>
    <t>1284, 1178</t>
  </si>
  <si>
    <t>PO De Egelantier incl. Gymzaal Willem de Vlaminghstraat 33</t>
  </si>
  <si>
    <t>Pieter van Damstraat 38 en Willem de Vlaminghstraat 33</t>
  </si>
  <si>
    <t>601586.4310L</t>
  </si>
  <si>
    <t>601586.4320L</t>
  </si>
  <si>
    <t>1284 </t>
  </si>
  <si>
    <t>PO De Egelantier (84%)</t>
  </si>
  <si>
    <t>Pieter van Damstraat 38  </t>
  </si>
  <si>
    <t>Directeur of conciërge</t>
  </si>
  <si>
    <t>036-5296818</t>
  </si>
  <si>
    <t>info@egelantier.asg-almere.nl</t>
  </si>
  <si>
    <t>1-9-2024 t/m 31-8-2034</t>
  </si>
  <si>
    <t>600713.4310L</t>
  </si>
  <si>
    <t>600713.4320L</t>
  </si>
  <si>
    <t>1178 </t>
  </si>
  <si>
    <t>Gymzaal Willem de Vlaminghstraat 33 (16%)</t>
  </si>
  <si>
    <t>Willem de Vlaminghstraat 33  </t>
  </si>
  <si>
    <t>1335 PP </t>
  </si>
  <si>
    <t>600681.4310L</t>
  </si>
  <si>
    <t>600681.4320L</t>
  </si>
  <si>
    <t>1479 </t>
  </si>
  <si>
    <t>VOH Regenboogweg 45 (Los) </t>
  </si>
  <si>
    <t>Regenboogweg 45  </t>
  </si>
  <si>
    <t>1339 ET </t>
  </si>
  <si>
    <t>Regenboogbuurt </t>
  </si>
  <si>
    <t>Sociale wijkteams: K. Wattimena en Stichting Zorggroep Almere: C. Rosendahl-van Truijen</t>
  </si>
  <si>
    <t>Sociale wijkteams: geen nummer en Stichting Zorggroep Almere: 036-5454075</t>
  </si>
  <si>
    <t>kwattimena@almere.nl Supportdesk@zorggroep-almere.nl</t>
  </si>
  <si>
    <t>1281, 1176</t>
  </si>
  <si>
    <t>PO Het Spectrum incl. gymzaal Regenboogweg 49</t>
  </si>
  <si>
    <t>Regenboogweg 47-49</t>
  </si>
  <si>
    <t>601602.4310L</t>
  </si>
  <si>
    <t>601602.4320L</t>
  </si>
  <si>
    <t>1281 </t>
  </si>
  <si>
    <t>PO Het Spectrum (83%)</t>
  </si>
  <si>
    <t>Regenboogweg 47  </t>
  </si>
  <si>
    <t>B. Kuipers</t>
  </si>
  <si>
    <t>06-28444110, 036-5332627 / 036-5352222</t>
  </si>
  <si>
    <t>b.kuipers@spectrum.asg.nl directie@spectrum.asg.nl</t>
  </si>
  <si>
    <t>600738.4310L</t>
  </si>
  <si>
    <t>600738.4320L</t>
  </si>
  <si>
    <t>1176 </t>
  </si>
  <si>
    <t>Gymzaal Regenboogweg 49 (17%)</t>
  </si>
  <si>
    <t>Regenboogweg 49  </t>
  </si>
  <si>
    <t>601126.4310L</t>
  </si>
  <si>
    <t>601126.4320L</t>
  </si>
  <si>
    <t>2476 </t>
  </si>
  <si>
    <t>Buurtcentrum EveNaarHuis </t>
  </si>
  <si>
    <t>Sumatraweg 352  </t>
  </si>
  <si>
    <t>1335 JM </t>
  </si>
  <si>
    <t xml:space="preserve">06-21243129, 036-527853 Agemeen 036-5278500 </t>
  </si>
  <si>
    <t>601620.4310L</t>
  </si>
  <si>
    <t>601620.4320L</t>
  </si>
  <si>
    <t>5004 </t>
  </si>
  <si>
    <t>VVE Het Vlechtwerk (PSZ Partou, OecO De Klimop, OecO Het Drieluik, Schoolwoningen, BSO Brammert, KDV Tissie, Buurtcentrum Cartoon)</t>
  </si>
  <si>
    <t>Ten Harmsen v.d. Beekpad 2 / 4 / 6,  Flipjestraat 1 / 33, Gerrit Th. Rotmanlaan 28</t>
  </si>
  <si>
    <t>1336 BA, 1336 BB, 1336 BC, 1336 BK</t>
  </si>
  <si>
    <t>Stripheldenbuurt </t>
  </si>
  <si>
    <t>Beheerder: Daniëlla Groeneveld</t>
  </si>
  <si>
    <t>036-5296399/0618447245</t>
  </si>
  <si>
    <t>dgroeneveld@deschoor.nl</t>
  </si>
  <si>
    <t>2021-2031 felsdaken</t>
  </si>
  <si>
    <t>601558.4310L</t>
  </si>
  <si>
    <t>601558.4320L</t>
  </si>
  <si>
    <t>1488 </t>
  </si>
  <si>
    <t>VSO PrO Almere Tom Poesstraat 2 </t>
  </si>
  <si>
    <t>Tom Poesstraat 2  </t>
  </si>
  <si>
    <t>1336 AE </t>
  </si>
  <si>
    <t>H. Broos en B. van der Meer</t>
  </si>
  <si>
    <t>06-40465461 / 036-5494150 / 036-5336194</t>
  </si>
  <si>
    <t>info@praktijkonderwijsalmere.nl b.vandermeer@proalmere.asg.nl</t>
  </si>
  <si>
    <t>600741.4310L</t>
  </si>
  <si>
    <t>600741.4320L</t>
  </si>
  <si>
    <t>1902 </t>
  </si>
  <si>
    <t>Gymzaal Tom Poesstraat 1</t>
  </si>
  <si>
    <t>Tom Poesstraat 1 </t>
  </si>
  <si>
    <t>600717.4310L</t>
  </si>
  <si>
    <t>600717.4320L</t>
  </si>
  <si>
    <t>1173 </t>
  </si>
  <si>
    <t>Gymzaal Vergeetmijnietjesstraat 4</t>
  </si>
  <si>
    <t>Vergeet-mij-nietjestraat 4  </t>
  </si>
  <si>
    <t>1338 SE </t>
  </si>
  <si>
    <t>Bloemenbuurt </t>
  </si>
  <si>
    <t>600972.4310L</t>
  </si>
  <si>
    <t>600972.4320L</t>
  </si>
  <si>
    <t>0540 </t>
  </si>
  <si>
    <t>Recyclingperron Vlotbrugweg 36 (SB/Stadsreiniging) </t>
  </si>
  <si>
    <t>Vlotbrugweg 36  </t>
  </si>
  <si>
    <t>1332 AJ </t>
  </si>
  <si>
    <t>De Vaart </t>
  </si>
  <si>
    <t>Beheerder: dhr. Robert Van Dijk ik vind: A.D. Scholten</t>
  </si>
  <si>
    <t>036-5365693 / 06-52886061, 036-5458182</t>
  </si>
  <si>
    <t>rmjvdijk@almere.nl ascholten@almere.nl</t>
  </si>
  <si>
    <t>601601.4310L</t>
  </si>
  <si>
    <t>601601.4320L</t>
  </si>
  <si>
    <t>1271 </t>
  </si>
  <si>
    <t>PO De Kring</t>
  </si>
  <si>
    <t>Wipmolenweg 50  </t>
  </si>
  <si>
    <t>1333 GS </t>
  </si>
  <si>
    <t>Molenbuurt </t>
  </si>
  <si>
    <t>M. Schaeffer</t>
  </si>
  <si>
    <t>06-42234514, 036-5321030</t>
  </si>
  <si>
    <t>directie@kring.asg.nl</t>
  </si>
  <si>
    <t>601659.4310L</t>
  </si>
  <si>
    <t>601659.4320L</t>
  </si>
  <si>
    <t>Sportgebouw Trekweg (MHC Buitenhout)</t>
  </si>
  <si>
    <t>Trekweg 71</t>
  </si>
  <si>
    <t>1338 GA</t>
  </si>
  <si>
    <t>Dimitri Blok</t>
  </si>
  <si>
    <t>06-22276472</t>
  </si>
  <si>
    <t>beheer@buitenhoutmhc.nl</t>
  </si>
  <si>
    <t>601115.4310L</t>
  </si>
  <si>
    <t>601115.4320L</t>
  </si>
  <si>
    <t>2422 </t>
  </si>
  <si>
    <t>Buurtcentrum De Wieken incl. Jongerencentrum Place2Be en PSZ Smallsteps BV</t>
  </si>
  <si>
    <t>Wipmolenweg 54  </t>
  </si>
  <si>
    <t>Stichting De Schoor: R. Westman en R. van Dijk en PSZ Smallsteps BV: M. Valk</t>
  </si>
  <si>
    <t>06-21243129, 036-527853 / 036-5320659 Algemeen De Schoor: 036-5278500 PSZ Smallsteps BV: 06-11710915</t>
  </si>
  <si>
    <t>rwestman@deschoor.nl info@deschoor.nl martijn.valk@kidsfoundation.nl</t>
  </si>
  <si>
    <t>1984/2005</t>
  </si>
  <si>
    <t>601613.4310L</t>
  </si>
  <si>
    <t>601613.4320L</t>
  </si>
  <si>
    <t>Asterstraat 41 - Taalcentrum</t>
  </si>
  <si>
    <t>Asterstraat 41</t>
  </si>
  <si>
    <t>1338 WS</t>
  </si>
  <si>
    <t>600744.4310L</t>
  </si>
  <si>
    <t>600744.4320L</t>
  </si>
  <si>
    <t>Gymzaal Zonnebloemweg 64</t>
  </si>
  <si>
    <t>Zonnebloemweg 64</t>
  </si>
  <si>
    <t>601078.4310L</t>
  </si>
  <si>
    <t>601078.4320L</t>
  </si>
  <si>
    <t>2361 </t>
  </si>
  <si>
    <t>Sportgebouw Sporting Almere (voetbal)</t>
  </si>
  <si>
    <t>Competitieweg 22  </t>
  </si>
  <si>
    <t>1318 EA </t>
  </si>
  <si>
    <t xml:space="preserve">Beheerder club </t>
  </si>
  <si>
    <t>06-14768194</t>
  </si>
  <si>
    <t>info@sportingalmere.nl</t>
  </si>
  <si>
    <t>1 stuks gevel-ladder</t>
  </si>
  <si>
    <t>601668.4310L</t>
  </si>
  <si>
    <t>601668.4320L</t>
  </si>
  <si>
    <t>Sportgebouw Competitieweg 7 Bulldogs (rugby)</t>
  </si>
  <si>
    <t>Competitieweg 7</t>
  </si>
  <si>
    <t>Ditmar Roerdink of E. Veenendaal</t>
  </si>
  <si>
    <t xml:space="preserve"> Ditmar Roerdink 06-20708733  en E. Veenendaal: 06-52337889</t>
  </si>
  <si>
    <t>info@rcbulldogs.nl ?? e.veenendaal42@upcmail.nl</t>
  </si>
  <si>
    <t>600856.4310</t>
  </si>
  <si>
    <t>600856.4320</t>
  </si>
  <si>
    <t>0780</t>
  </si>
  <si>
    <t>Floridagarage (daken trappenhuizen, op/afritten en eventueel aanwezige bakgoten/luifels)</t>
  </si>
  <si>
    <t>Straat van Florida 9</t>
  </si>
  <si>
    <t>1334PA</t>
  </si>
  <si>
    <t>600863.4310</t>
  </si>
  <si>
    <t>600863.4320</t>
  </si>
  <si>
    <t>0781</t>
  </si>
  <si>
    <t>Santiagogarage (daken trappenhuizen, op/afritten en eventueel aanwezige bakgoten/luifels)</t>
  </si>
  <si>
    <t>Santiagostraat 3</t>
  </si>
  <si>
    <t>1334HH</t>
  </si>
  <si>
    <t>600870.4310</t>
  </si>
  <si>
    <t>0782</t>
  </si>
  <si>
    <t>Urcagarage (daken trappenhuizen, op/afritten en eventueel aanwezige bakgoten/luifels)</t>
  </si>
  <si>
    <t>Rio de Janeirostraat 3</t>
  </si>
  <si>
    <t>1334HG</t>
  </si>
  <si>
    <t>600852.4310</t>
  </si>
  <si>
    <t>600852.4320</t>
  </si>
  <si>
    <t>0783</t>
  </si>
  <si>
    <t>Cubagarage (daken trappenhuizen, op/afritten en eventueel aanwezige bakgoten/luifels)</t>
  </si>
  <si>
    <t>Straat van Florida 10</t>
  </si>
  <si>
    <t>1334PB</t>
  </si>
  <si>
    <t>600659.4310L</t>
  </si>
  <si>
    <t>600659.4320L</t>
  </si>
  <si>
    <t>1482 </t>
  </si>
  <si>
    <t>VOH Boterbloemweg 1</t>
  </si>
  <si>
    <t>Boterbloemweg 1  </t>
  </si>
  <si>
    <t>1338 RS </t>
  </si>
  <si>
    <t>Ikky 2 BV: R. van der Bent</t>
  </si>
  <si>
    <t>06 - 29 73 78 77</t>
  </si>
  <si>
    <t>info@ikky.nl</t>
  </si>
  <si>
    <t>601581,4310L</t>
  </si>
  <si>
    <t>601581,4320L</t>
  </si>
  <si>
    <t>1274 </t>
  </si>
  <si>
    <t>PO De Tjasker</t>
  </si>
  <si>
    <t>Buitenkruierstraat 2  </t>
  </si>
  <si>
    <t>1333 EB </t>
  </si>
  <si>
    <t xml:space="preserve"> M. Jonker en L. Noordzij</t>
  </si>
  <si>
    <t>06-34782559, 036-5321041 / 06-20671144, 036-5350894</t>
  </si>
  <si>
    <t>directie@tjasker.asg.nl</t>
  </si>
  <si>
    <t>601610.4310L</t>
  </si>
  <si>
    <t>601610.4320L</t>
  </si>
  <si>
    <t>1283 </t>
  </si>
  <si>
    <t>PO De Architect (voorheen Trinoom) </t>
  </si>
  <si>
    <t>C. van Eesterenplein 1  </t>
  </si>
  <si>
    <t>1333 KM </t>
  </si>
  <si>
    <t>F. Mulder</t>
  </si>
  <si>
    <t>06-41775507, 036-7670630</t>
  </si>
  <si>
    <t>directie@architect.asg.nl</t>
  </si>
  <si>
    <t>1985/2001</t>
  </si>
  <si>
    <t>601595.4310L</t>
  </si>
  <si>
    <t>601595.4320L</t>
  </si>
  <si>
    <t>PO Het Avontuur incl. gymzaal AA Het Avontuur en PSZ Catootjepad 2</t>
  </si>
  <si>
    <r>
      <t xml:space="preserve">Catootjepad </t>
    </r>
    <r>
      <rPr>
        <b/>
        <sz val="10"/>
        <color rgb="FFFF0000"/>
        <rFont val="Arial"/>
        <family val="2"/>
      </rPr>
      <t>2 en</t>
    </r>
    <r>
      <rPr>
        <sz val="10"/>
        <rFont val="Arial"/>
        <family val="2"/>
      </rPr>
      <t xml:space="preserve"> </t>
    </r>
    <r>
      <rPr>
        <b/>
        <sz val="10"/>
        <color rgb="FFFF0000"/>
        <rFont val="Arial"/>
        <family val="2"/>
      </rPr>
      <t>6</t>
    </r>
  </si>
  <si>
    <t>1336 JG </t>
  </si>
  <si>
    <t xml:space="preserve"> M. Gerritsen en W. van den Bosch</t>
  </si>
  <si>
    <t>06-18813766, 036-5214747 / 06-29263235</t>
  </si>
  <si>
    <t>directie@avontuur.asg.nl</t>
  </si>
  <si>
    <t>601150.4310L</t>
  </si>
  <si>
    <t>601150.4320L</t>
  </si>
  <si>
    <t>2451 </t>
  </si>
  <si>
    <t>Buurtcentrum Cobra incl. PSZ ruimte</t>
  </si>
  <si>
    <r>
      <t>Hildo Kropstraat</t>
    </r>
    <r>
      <rPr>
        <b/>
        <sz val="10"/>
        <color rgb="FFFF0000"/>
        <rFont val="Arial"/>
        <family val="2"/>
      </rPr>
      <t xml:space="preserve"> 6</t>
    </r>
  </si>
  <si>
    <t>1328 BC </t>
  </si>
  <si>
    <t>Stichting de Schoor: R. Westman + Focus4Care V.O.F.: M. Mulder</t>
  </si>
  <si>
    <t>06-21243129 / 036-5278538 06-55405356</t>
  </si>
  <si>
    <t>1199, 1292</t>
  </si>
  <si>
    <t>IKC Het Universum (Nobelhorst) en Sportzaal Max Planckstraat</t>
  </si>
  <si>
    <t xml:space="preserve">Max Planckstraat 74 en 76 </t>
  </si>
  <si>
    <t>600731.4310L</t>
  </si>
  <si>
    <t>600731.4320L</t>
  </si>
  <si>
    <t>Sportzaal Max Plankstraat 76 (verdeling 32%)</t>
  </si>
  <si>
    <t xml:space="preserve">Max Planckstraat 76 </t>
  </si>
  <si>
    <t>1341 DA</t>
  </si>
  <si>
    <t>Nobelhorst</t>
  </si>
  <si>
    <t>601617.4310L</t>
  </si>
  <si>
    <t>601617.4320L</t>
  </si>
  <si>
    <t>PO Het Universum (Nobelhorst) (verdeling 68%)</t>
  </si>
  <si>
    <t xml:space="preserve">Max Planckstraat 74 </t>
  </si>
  <si>
    <t>Y. Penne en P. Laponder</t>
  </si>
  <si>
    <t>06-12276833, 036-7671562 / 06-24418657</t>
  </si>
  <si>
    <t>directie@universum.asg.nl p.laponder@universum.asg.nl</t>
  </si>
  <si>
    <t>602678.4310L</t>
  </si>
  <si>
    <t>602678.4320L</t>
  </si>
  <si>
    <t>Burchard de Volderstraat 14 - Informatie Centrum Oosterwold</t>
  </si>
  <si>
    <t>Burchard de Volderstraat 14</t>
  </si>
  <si>
    <t>1349 HJ</t>
  </si>
  <si>
    <t>Oosterwold</t>
  </si>
  <si>
    <t>602092.4310L</t>
  </si>
  <si>
    <t>Rosalind Franklinweg 6 - Sporthal Nobelhorst</t>
  </si>
  <si>
    <t>Rosalind Franklinweg 6</t>
  </si>
  <si>
    <t>1341 HZ</t>
  </si>
  <si>
    <t>1 RHT7014 - dagmaat 700 x 1400 mm + 1 Ladder OL 208 Ladderlengte 3195 m  + 1 RHT7014 - dagmaat 700 x 1400 mm +
1 Schaartrap Large Hoog Electrisch</t>
  </si>
  <si>
    <t>2024-2034</t>
  </si>
  <si>
    <t>Dakdekkersbedrijf Rudde B.V. via hoofdaannemer Bouwbedrijf Binx Smartility B.V. te Groenlo</t>
  </si>
  <si>
    <t>601083.4310L</t>
  </si>
  <si>
    <t>601083.4320L</t>
  </si>
  <si>
    <t>2204 </t>
  </si>
  <si>
    <t>Sporthal Buiten  </t>
  </si>
  <si>
    <t>A. Boekenweg 1  </t>
  </si>
  <si>
    <t>1333 VD </t>
  </si>
  <si>
    <t>fa. Erdo</t>
  </si>
  <si>
    <t>Tepper M./Wijk van S.S./Daalder G. wordt Lamboo, M.S.</t>
  </si>
  <si>
    <t>1282, 2444, 1177</t>
  </si>
  <si>
    <t>PO De Aurora incl. gymzaal Aprilstraat 109 en BSO Aprilstraat 107</t>
  </si>
  <si>
    <t>Aprilstraat 105, 107 en 109 </t>
  </si>
  <si>
    <t>1335 BL </t>
  </si>
  <si>
    <t>Seizoenenbuurt </t>
  </si>
  <si>
    <t>601594.4310L</t>
  </si>
  <si>
    <t>601594.4320L</t>
  </si>
  <si>
    <t>1282 </t>
  </si>
  <si>
    <t>PO De Aurora  76%</t>
  </si>
  <si>
    <t>Aprilstraat 105  </t>
  </si>
  <si>
    <t>I. Bakker en N. Ogric</t>
  </si>
  <si>
    <t>06-23607049, 036-5356077 / 06-14626511</t>
  </si>
  <si>
    <t>directie@aurora.asg.nl i.bakker@aurora.asg.nl</t>
  </si>
  <si>
    <t>15-10-2024 t/m 14-10-2034 (lage dak)</t>
  </si>
  <si>
    <t>Van Venrooy (lage dak)</t>
  </si>
  <si>
    <t>601111.4310L</t>
  </si>
  <si>
    <t>601111.4320L</t>
  </si>
  <si>
    <t>2444 </t>
  </si>
  <si>
    <t>BSO Aprilstraat 107 (+ alg ruimte 42.4)  4%</t>
  </si>
  <si>
    <t>Aprilstraat 107  </t>
  </si>
  <si>
    <t>De Seizoentjes B.V.</t>
  </si>
  <si>
    <t>036-5351540 / 06-52328027, 036-5497220</t>
  </si>
  <si>
    <t>info@marijtjedoets.nl</t>
  </si>
  <si>
    <t>600708.4310L</t>
  </si>
  <si>
    <t>600708.4320L</t>
  </si>
  <si>
    <t>1177 </t>
  </si>
  <si>
    <t>Gymzaal Aprilstraat 109 (Aurora) 20%</t>
  </si>
  <si>
    <t>Aprilstraat 109  </t>
  </si>
  <si>
    <t>600652.4310L</t>
  </si>
  <si>
    <t>600652.4320L</t>
  </si>
  <si>
    <t>1171 </t>
  </si>
  <si>
    <t>Sportzaal Binnenkruierstraat 1</t>
  </si>
  <si>
    <t>Binnenkruierstraat 1  </t>
  </si>
  <si>
    <t>1333 EC </t>
  </si>
  <si>
    <t xml:space="preserve">meldpunt Vastgoedbedrijf (036) 547 18 12 en meldpunt bewakingsdienst (020) 311 95 00 </t>
  </si>
  <si>
    <t>600750.4310L</t>
  </si>
  <si>
    <t>600750.4320L</t>
  </si>
  <si>
    <t>0005 </t>
  </si>
  <si>
    <t xml:space="preserve"> TOH Binnenkruierstraat 9</t>
  </si>
  <si>
    <t>Binnenkruierstraat 9  </t>
  </si>
  <si>
    <t>Taalcentrum Almere R. Ploeger</t>
  </si>
  <si>
    <t>600664.4310L</t>
  </si>
  <si>
    <t>600664.4320L</t>
  </si>
  <si>
    <t>1723 </t>
  </si>
  <si>
    <t>VOH Johan Jongkindstraat 16 </t>
  </si>
  <si>
    <t>Johan Jongkindstraat 16  </t>
  </si>
  <si>
    <t>1318 LW </t>
  </si>
  <si>
    <t>Dansstudio Yvette: Y. van de Stolpe en B. Gupffert</t>
  </si>
  <si>
    <t>06-18476480, 036-8482062 06-55505450, 036-5374958</t>
  </si>
  <si>
    <t>info@dansstudioyvette.nl l.j.gupffert@hetnet.nl</t>
  </si>
  <si>
    <t>602410.4310L</t>
  </si>
  <si>
    <t>602410.4320L</t>
  </si>
  <si>
    <t>Discuslaan 3 - VO OPDC</t>
  </si>
  <si>
    <t>Discuslaan 3</t>
  </si>
  <si>
    <t>1318 EJ</t>
  </si>
  <si>
    <t>Concierge D. Teraverst</t>
  </si>
  <si>
    <t>036 5327456</t>
  </si>
  <si>
    <t>D.Teraverst@opdc-almere.nl</t>
  </si>
  <si>
    <t>dakluik met ladder</t>
  </si>
  <si>
    <t>601577.4310L</t>
  </si>
  <si>
    <t>601577.4320L</t>
  </si>
  <si>
    <t>1251 </t>
  </si>
  <si>
    <t>PO Het Palet </t>
  </si>
  <si>
    <t>Johan Jongkindstraat 26  </t>
  </si>
  <si>
    <t>H. van Alphen en Brands</t>
  </si>
  <si>
    <t>06-18874371, 036-5353033 06-55811237, 06-55811237</t>
  </si>
  <si>
    <t>directie@palet.asg.nl administratie@palet.asg.nl</t>
  </si>
  <si>
    <t>600726.4310L</t>
  </si>
  <si>
    <t>600726.4320L</t>
  </si>
  <si>
    <t>1145 </t>
  </si>
  <si>
    <t>Gymzaal Johan Jongkindstraat 28</t>
  </si>
  <si>
    <t>Johan Jongkindstraat 28  </t>
  </si>
  <si>
    <t>601554.4310L</t>
  </si>
  <si>
    <t>601554.4320L</t>
  </si>
  <si>
    <t>1380 </t>
  </si>
  <si>
    <t>VSO PrO Almere Koningsbeltstraat 4, inclusief gymzaal</t>
  </si>
  <si>
    <t>Koningsbeltstraat 4  </t>
  </si>
  <si>
    <t>1329 AL </t>
  </si>
  <si>
    <t>Sallandsekant</t>
  </si>
  <si>
    <t>H. Broos en  A. Groen</t>
  </si>
  <si>
    <t>06-40465461 en 036-5336194</t>
  </si>
  <si>
    <t>h.broos@proalmere.asg.nl en  a.groen@proalmere.asg.nl</t>
  </si>
  <si>
    <t>600733.4310L</t>
  </si>
  <si>
    <t>600733.4320L</t>
  </si>
  <si>
    <t>1148 </t>
  </si>
  <si>
    <t>Gymzaal Paul Kleestraat 37</t>
  </si>
  <si>
    <t>Paul Kleestraat 37  </t>
  </si>
  <si>
    <t>1328 HC </t>
  </si>
  <si>
    <t>1-11-2024 t/m 31-10-2034</t>
  </si>
  <si>
    <t>De school is niet meer in onderhoud van gemeente = Nautilus per 1 januari 2018. Alleen gymzaal uitvoeren</t>
  </si>
  <si>
    <t>56 objecten</t>
  </si>
  <si>
    <t>Totalen Perceel 3</t>
  </si>
  <si>
    <t>totalen</t>
  </si>
  <si>
    <t>Totalen alle percelen</t>
  </si>
  <si>
    <t>%</t>
  </si>
  <si>
    <t>nee</t>
  </si>
  <si>
    <t>Dekker T.W.</t>
  </si>
  <si>
    <t>0913 </t>
  </si>
  <si>
    <t>Gooimeerdijk West - Stranddouches Surfstrand 2x</t>
  </si>
  <si>
    <t>?</t>
  </si>
  <si>
    <t>0-beurt 2019</t>
  </si>
  <si>
    <t>0914 </t>
  </si>
  <si>
    <t xml:space="preserve">Almeerderstrand - Stranddouches Almeerderstrand 2x </t>
  </si>
  <si>
    <t>Almeerderstrand</t>
  </si>
  <si>
    <t>Wijk van S.S./Born-Westra M.S.</t>
  </si>
  <si>
    <t>0006, 0016</t>
  </si>
  <si>
    <t>PO De Buitenburcht en PO De Lettertuin</t>
  </si>
  <si>
    <t>Zonnebloemweg 66 - 68</t>
  </si>
  <si>
    <t>1338 TV </t>
  </si>
  <si>
    <t>2014-2024</t>
  </si>
  <si>
    <t>Per 31 december 2023 uit contract gemeente</t>
  </si>
  <si>
    <t>duo</t>
  </si>
  <si>
    <t>alles boeken op SKOFV volgens afspraak met beide accounthouders</t>
  </si>
  <si>
    <t>601544.4320L</t>
  </si>
  <si>
    <t>0006 </t>
  </si>
  <si>
    <t>PO De Buitenburcht </t>
  </si>
  <si>
    <t>Zonnebloemweg 66  </t>
  </si>
  <si>
    <t>K. Westrop</t>
  </si>
  <si>
    <t>036-5329271</t>
  </si>
  <si>
    <t>dir.buitenburcht@prisma-almere.nl</t>
  </si>
  <si>
    <t>Object zit in contract van Gemeente. Prisma gaat vanaf 1 januari 2024 al het contract onderhoud zelf regelen voor dit gebouw. Graag dit gebouw opnemen in contract van Prisma per 1 januari 2014 en uit het contract halen bij de gemeente per 31 december 2023. De gemeente Almere (Thea de Rijk) gaat dan er tussen uit. Vanaf 1 januari 2024 graag contract onderhoud bespreken met de heer Evert Woltjes van Prisma.</t>
  </si>
  <si>
    <t>601569.4310L</t>
  </si>
  <si>
    <t>601569.4320L</t>
  </si>
  <si>
    <t>Born-Westra M.S.</t>
  </si>
  <si>
    <t>0016 </t>
  </si>
  <si>
    <t>PO De Lettertuin </t>
  </si>
  <si>
    <t>Zonnebloemweg 68  </t>
  </si>
  <si>
    <t xml:space="preserve"> S. Bley</t>
  </si>
  <si>
    <t>036-5370738 / 06-33318183, 052-2252299</t>
  </si>
  <si>
    <t>dir.lettertuin@skofv.nl s.bley@onderwijsbureau-meppel.nl</t>
  </si>
  <si>
    <t>Object zit in contract van Gemeente i.v.m. duo-gebouw SKOFV met Prisma. Prisma gaat vanaf 1 januari 2024 al het contract onderhoud zelf regelen en dat geld ook voor SKOFV voor dit gebouw. Graag dit gebouw uit het contract halen bij de gemeente per 31 december 2023. De gemeente Almere (Thea de Rijk) gaat dan er tussen uit. Vanaf 1 januari 2024 graag contract onderhoud bespreken met Onderwijsbureau Meppel mevrouw Sandra Bley.</t>
  </si>
  <si>
    <t>9266550044.4300L.51011</t>
  </si>
  <si>
    <t>9266550044.4300L.51010</t>
  </si>
  <si>
    <t xml:space="preserve">0044 (per 1-1-2022 één object voorheen nr.0008, 0018): </t>
  </si>
  <si>
    <r>
      <rPr>
        <b/>
        <sz val="10"/>
        <rFont val="Arial"/>
        <family val="2"/>
      </rPr>
      <t>PO</t>
    </r>
    <r>
      <rPr>
        <sz val="10"/>
        <rFont val="Arial"/>
        <family val="2"/>
      </rPr>
      <t xml:space="preserve"> De Kraanvogel (Nu gehele gebouw Prisma, dus toevoegen aan overeenkomst met Prisma en rechtstreeks aan Prisma factureren) </t>
    </r>
  </si>
  <si>
    <t>Perzikstraat 22 -24</t>
  </si>
  <si>
    <t>1326 HN </t>
  </si>
  <si>
    <t>Boko</t>
  </si>
  <si>
    <t>Object zit in contract van Prisma. Prisma gaat vanaf 1 januari 2024 het contract onderhoud zelf regelen. De gemeente Almere (Thea de Rijk) gaat dan er tussen uit. Vanaf 1 januari 2024 graag contract onderhoud bespreken met de heer Evert Woltjes van Prisma.</t>
  </si>
  <si>
    <t>9266550008.4300L.50011</t>
  </si>
  <si>
    <t>9266550008.4300L.51010</t>
  </si>
  <si>
    <t>0044 (voorheen 0008) </t>
  </si>
  <si>
    <t>PO De Kraanvogel</t>
  </si>
  <si>
    <t>Perzikstraat 22  </t>
  </si>
  <si>
    <t xml:space="preserve"> R. Monen</t>
  </si>
  <si>
    <t>036-5354527 / 06-49359149</t>
  </si>
  <si>
    <t>dir.kraanvogel@prisma-almere.nl r.monen@dekraanvogel.nl</t>
  </si>
  <si>
    <r>
      <t xml:space="preserve">Graag rapport op 2 adres indeling houden. </t>
    </r>
    <r>
      <rPr>
        <sz val="10"/>
        <color rgb="FFFF0000"/>
        <rFont val="Arial"/>
        <family val="2"/>
      </rPr>
      <t>Object zit in contract van Prisma. Prisma gaat vanaf 1 januari 2024 het contract onderhoud zelf regelen. De gemeente Almere (Thea de Rijk) gaat dan er tussen uit. Vanaf 1 januari 2024 graag contract onderhoud bespreken met de heer Evert Woltjes van Prisma.</t>
    </r>
  </si>
  <si>
    <t>9266550018.4300L.50011</t>
  </si>
  <si>
    <t>9266550018.4300L.51010</t>
  </si>
  <si>
    <t>0044 (voorheen 0018) </t>
  </si>
  <si>
    <t>PO De Kraanvogel </t>
  </si>
  <si>
    <t>Perzikstraat 24  </t>
  </si>
  <si>
    <t>R. Monen</t>
  </si>
  <si>
    <t>600632.4310L moet zijn X kostenplaats  602015.4310</t>
  </si>
  <si>
    <t>600632.4320L</t>
  </si>
  <si>
    <t>5003 </t>
  </si>
  <si>
    <t>Bredeschool Generatiecomplex 3 (VVE incl. Domus, KDV/BSO Kindercentrum Marijtje Does en gymzaal Makassarweg 60)</t>
  </si>
  <si>
    <t>Makassarweg 60, 66 en 68  (inclusief Domus 62 A-N en 64 AM)</t>
  </si>
  <si>
    <t>1335 HZ </t>
  </si>
  <si>
    <t>PO Dukdalf: A. Gaasterland en M. van Meerveld-Travenier, PO Het Kristal: H. Hooiveld en I. Moreau, BSO Kindercentrum Marijtje Does: A. de Kruijk-Dix</t>
  </si>
  <si>
    <t>036-5325089, 036-5352513, 036-5497220: ik heb een ander nummer voor Marijtje Doets: 06-52328027, 036-5497220 en 036-5335200</t>
  </si>
  <si>
    <t>dir.dukdalf@prisma-almere.nl, h.hooiveld@het-kristal.nl i.moreau@het-kristal.nl, info@marijtjedoets.nl en s.vojdani@domus.info</t>
  </si>
  <si>
    <t>Mennens Groningen</t>
  </si>
  <si>
    <t>2 Kooi-ladders</t>
  </si>
  <si>
    <t>Per 1 januari 2026 uit de overeenkomst</t>
  </si>
  <si>
    <t>0019, 0012</t>
  </si>
  <si>
    <r>
      <rPr>
        <b/>
        <sz val="10"/>
        <rFont val="Arial"/>
        <family val="2"/>
      </rPr>
      <t>PO</t>
    </r>
    <r>
      <rPr>
        <sz val="10"/>
        <rFont val="Arial"/>
        <family val="2"/>
      </rPr>
      <t xml:space="preserve"> De Lichtboei en </t>
    </r>
    <r>
      <rPr>
        <b/>
        <sz val="10"/>
        <rFont val="Arial"/>
        <family val="2"/>
      </rPr>
      <t>PO</t>
    </r>
    <r>
      <rPr>
        <sz val="10"/>
        <rFont val="Arial"/>
        <family val="2"/>
      </rPr>
      <t xml:space="preserve"> Crescendo</t>
    </r>
  </si>
  <si>
    <t>Luitstraat 7-9</t>
  </si>
  <si>
    <t>1312 LH </t>
  </si>
  <si>
    <t>2x</t>
  </si>
  <si>
    <t>Object per 31 december 2023 uit contract gemeente</t>
  </si>
  <si>
    <t>601542.4320L</t>
  </si>
  <si>
    <t>0019 </t>
  </si>
  <si>
    <r>
      <rPr>
        <b/>
        <sz val="10"/>
        <rFont val="Arial"/>
        <family val="2"/>
      </rPr>
      <t xml:space="preserve">PO </t>
    </r>
    <r>
      <rPr>
        <sz val="10"/>
        <rFont val="Arial"/>
        <family val="2"/>
      </rPr>
      <t>De Lichtboei </t>
    </r>
  </si>
  <si>
    <t>Luitstraat 7  </t>
  </si>
  <si>
    <t>M. van der Kamp</t>
  </si>
  <si>
    <t>036-5361595</t>
  </si>
  <si>
    <t>dir.lichtboei@prisma-almere.nl</t>
  </si>
  <si>
    <t>601566.4310L</t>
  </si>
  <si>
    <t>601566.4320L</t>
  </si>
  <si>
    <t>0012 </t>
  </si>
  <si>
    <r>
      <rPr>
        <b/>
        <sz val="10"/>
        <rFont val="Arial"/>
        <family val="2"/>
      </rPr>
      <t>PO</t>
    </r>
    <r>
      <rPr>
        <sz val="10"/>
        <rFont val="Arial"/>
        <family val="2"/>
      </rPr>
      <t xml:space="preserve"> Crescendo </t>
    </r>
  </si>
  <si>
    <t>Luitstraat 9  </t>
  </si>
  <si>
    <t xml:space="preserve"> S. Bley / K. van den Berg </t>
  </si>
  <si>
    <t>036-5360982 / 06-33318183, 052-2252299</t>
  </si>
  <si>
    <t>crescendo@skofv.nl s.bley@onderwijsbureau-meppel.nl</t>
  </si>
  <si>
    <t>Stichting Viertaal</t>
  </si>
  <si>
    <t>600766.4310L</t>
  </si>
  <si>
    <t>600766,4320L</t>
  </si>
  <si>
    <t>1241 </t>
  </si>
  <si>
    <t>TOH Prokofjevstraat 3 (voorheen OBS De Vuurvogel en Boventoon) </t>
  </si>
  <si>
    <t>Prokofjevstraat 3  </t>
  </si>
  <si>
    <t>1323 SB </t>
  </si>
  <si>
    <t>Directeur of conciërge beide scholen</t>
  </si>
  <si>
    <t>036-5360322</t>
  </si>
  <si>
    <t>directie@boventoon.asg-almere.nl</t>
  </si>
  <si>
    <t>Consolidated (Derbygum)</t>
  </si>
  <si>
    <t>Wijk van S.</t>
  </si>
  <si>
    <t>1246, 1134</t>
  </si>
  <si>
    <t>KBS de Pirouette incl. gymzaal</t>
  </si>
  <si>
    <t>Iepenstraat 1-2</t>
  </si>
  <si>
    <t>1326 DB </t>
  </si>
  <si>
    <t>Vervalt ivm geen DVO met SKOFV</t>
  </si>
  <si>
    <t>600775.4310L</t>
  </si>
  <si>
    <t>600775.4320L</t>
  </si>
  <si>
    <t>1246 </t>
  </si>
  <si>
    <t>KBS de Pirouette</t>
  </si>
  <si>
    <t>Iepenstraat 1  </t>
  </si>
  <si>
    <t>036-5450425</t>
  </si>
  <si>
    <t>dir.pirouette@skofv.nl</t>
  </si>
  <si>
    <t>600725.4310L</t>
  </si>
  <si>
    <t>600725.4320L</t>
  </si>
  <si>
    <t>1134 </t>
  </si>
  <si>
    <t>Gymzaal AA - KBS de Pirouette</t>
  </si>
  <si>
    <t>Iepenstraat 2  </t>
  </si>
  <si>
    <t>600667.4310L</t>
  </si>
  <si>
    <t>600667.4320L</t>
  </si>
  <si>
    <t>1458 </t>
  </si>
  <si>
    <t>T.o.h. Kastanjeplein - 8 st  (dep. Pirouette)</t>
  </si>
  <si>
    <t>Kastanjeplein 41  </t>
  </si>
  <si>
    <t>1326 CC </t>
  </si>
  <si>
    <t>Wordt in 2021 gesloopt en vervalt</t>
  </si>
  <si>
    <t>9266551277.4300L.50011</t>
  </si>
  <si>
    <t>9266551277.4300L.51010</t>
  </si>
  <si>
    <t>1277 </t>
  </si>
  <si>
    <t>PO De Buitenburcht (dependance)</t>
  </si>
  <si>
    <t>Goudsbloemweg 6  </t>
  </si>
  <si>
    <t>1338 RL </t>
  </si>
  <si>
    <t>SAS</t>
  </si>
  <si>
    <t>601534.4310L</t>
  </si>
  <si>
    <t>601534.4320L</t>
  </si>
  <si>
    <t>Boomgaardweg 8 - PO De Bongerd</t>
  </si>
  <si>
    <t>Boomgaardweg 8</t>
  </si>
  <si>
    <t>1326 AD</t>
  </si>
  <si>
    <t>F. Kroon (concierge)</t>
  </si>
  <si>
    <t>036-5491916</t>
  </si>
  <si>
    <t>f.kroon@almere-speciaal.nl</t>
  </si>
  <si>
    <t>kooiladder</t>
  </si>
  <si>
    <t>601535.4310L</t>
  </si>
  <si>
    <t>Boomgaardweg 10A</t>
  </si>
  <si>
    <t>Vanaf 1 januari 2026 uit de overeenkomst</t>
  </si>
  <si>
    <t>601535.4320L</t>
  </si>
  <si>
    <t>Boomgaardweg 10A - PO De Bongerd - locatie 10</t>
  </si>
  <si>
    <t>Boomgaardweg 10A - Gymzaal AA De Bongerd</t>
  </si>
  <si>
    <t>0009, 0020</t>
  </si>
  <si>
    <t>PO 't Zonnewiel + PO De Olijfboom </t>
  </si>
  <si>
    <t>Bongerdstraat 2-4  </t>
  </si>
  <si>
    <t>Per 31 december 2023 uit contract van de gemeente</t>
  </si>
  <si>
    <t>601543.4320L</t>
  </si>
  <si>
    <t>0020 </t>
  </si>
  <si>
    <t>PO De Olijfboom </t>
  </si>
  <si>
    <t>Bongerdstraat 2  </t>
  </si>
  <si>
    <t>A. Wijnsouw</t>
  </si>
  <si>
    <t xml:space="preserve">036-5376557 </t>
  </si>
  <si>
    <t>dir.olijfboom@prisma-almere.nl</t>
  </si>
  <si>
    <t>601565,4310L</t>
  </si>
  <si>
    <t>601565,4320L</t>
  </si>
  <si>
    <t>0009 </t>
  </si>
  <si>
    <t>PO 't Zonnewiel </t>
  </si>
  <si>
    <t>Bongerdstraat 4  </t>
  </si>
  <si>
    <t xml:space="preserve">Directeur of conciërge: S. Bley / K. van den Berg </t>
  </si>
  <si>
    <t>036-5376558 / 06-33318183, 052-2252299</t>
  </si>
  <si>
    <t>9266550028.4300L.50011</t>
  </si>
  <si>
    <t>9266550028.4300L.51010</t>
  </si>
  <si>
    <t>0028 </t>
  </si>
  <si>
    <t>PO Het Kompas</t>
  </si>
  <si>
    <t>Binnenkruierstraat 5  </t>
  </si>
  <si>
    <t>S. Roozenboom</t>
  </si>
  <si>
    <t>036-5321065</t>
  </si>
  <si>
    <t>dir.kompas@prisma-almere.nl</t>
  </si>
  <si>
    <t>2012/2013-2023</t>
  </si>
  <si>
    <t>601976.4310L</t>
  </si>
  <si>
    <t>601976.4320L</t>
  </si>
  <si>
    <t>1490</t>
  </si>
  <si>
    <t xml:space="preserve"> TOH Marie Curielaan 301 (vervalt in 2024/2025 ivm verplaatsing)</t>
  </si>
  <si>
    <t>Marie Curielaan 301</t>
  </si>
  <si>
    <t>1341 BA</t>
  </si>
  <si>
    <t>Montessori Campus Almere - ASG</t>
  </si>
  <si>
    <t>06-28244580</t>
  </si>
  <si>
    <t>info@montessoricampus.asg.nl</t>
  </si>
  <si>
    <t xml:space="preserve">Gebouw wordt verplaatst en vervalt hierdoor voor onderhoud! </t>
  </si>
  <si>
    <t>9266550038.4300L.50011</t>
  </si>
  <si>
    <t>9266550038.4300L.50010</t>
  </si>
  <si>
    <t>0038</t>
  </si>
  <si>
    <t>De Verwondering</t>
  </si>
  <si>
    <t>Richard Feynmanstraat 7</t>
  </si>
  <si>
    <t>1341 DL</t>
  </si>
  <si>
    <t>Directeur Paula van Kuijk</t>
  </si>
  <si>
    <t>036-7671730/06-24448473</t>
  </si>
  <si>
    <t>dir.verwondering@prisma-almere.nl</t>
  </si>
  <si>
    <t>Norel Bouwgroep (Oranjedak)</t>
  </si>
  <si>
    <t>Factuur sturen naar en op naam van SKO Scholengroep Flevoland en Veluwe, Postbus 460, 7940 AL te MEPPEL o.v.v. nr. 12QK-223100</t>
  </si>
  <si>
    <t>.</t>
  </si>
  <si>
    <t>Sprong J.</t>
  </si>
  <si>
    <t>0010 </t>
  </si>
  <si>
    <t>KBS Panta Rhei incl. aanbouw (5 st) </t>
  </si>
  <si>
    <t>Slufterplantsoen 2  </t>
  </si>
  <si>
    <t>036-5335349</t>
  </si>
  <si>
    <t>info@bspantarhei.nl</t>
  </si>
  <si>
    <t>9266550022.4300L.50011</t>
  </si>
  <si>
    <t>9266550022.4300L.51010</t>
  </si>
  <si>
    <t>0022 </t>
  </si>
  <si>
    <t>PO De Driemaster (Eigendom van Prisma) </t>
  </si>
  <si>
    <t>Tegelenpad 2  </t>
  </si>
  <si>
    <t>1324 DS </t>
  </si>
  <si>
    <t>Directeur of conciërge beide scholen:</t>
  </si>
  <si>
    <t>036-5331399</t>
  </si>
  <si>
    <t>dir.driemaster@prisma-almere.nl</t>
  </si>
  <si>
    <t>onveilig</t>
  </si>
  <si>
    <t>600663.4310L</t>
  </si>
  <si>
    <t>600663.4320L</t>
  </si>
  <si>
    <t>STB-V-AA16 (George)</t>
  </si>
  <si>
    <t>Daalder G.</t>
  </si>
  <si>
    <t>1901 </t>
  </si>
  <si>
    <t>Gymzaal Sas van Gentlaan 1</t>
  </si>
  <si>
    <t>Sas van Gentlaan 1  </t>
  </si>
  <si>
    <t xml:space="preserve">meldpuntvastgoedbedrijf@almere.nl  </t>
  </si>
  <si>
    <t xml:space="preserve">Dak is door Schadenberg onderzocht dmv insnijding bij lekkage. Het dakbeschot is rot en daardoor niet begaanbaar voor reinigen of herstel uit veiligheidsoverweging. Ook blijft er veel water op het dak staan wat met slechte dakbeschot een gevaar is voor gebruik van het gebouw. In overleg met Accounthouder wordt dit gebouw uit contract gehaald per 26 maart 2024. Gebouw wordt in 2024 gesloopt. </t>
  </si>
  <si>
    <t>9266550025.4300L.50011</t>
  </si>
  <si>
    <t>9266550025.4300L.51010</t>
  </si>
  <si>
    <t>0025 </t>
  </si>
  <si>
    <t>PO De Ichthus </t>
  </si>
  <si>
    <t>Rijnweg 10  </t>
  </si>
  <si>
    <t>1316 EP </t>
  </si>
  <si>
    <t>K. Kwant</t>
  </si>
  <si>
    <t>036-5332746</t>
  </si>
  <si>
    <t>dir.ichthus@prisma-almere.nl</t>
  </si>
  <si>
    <t>3x</t>
  </si>
  <si>
    <t>601750.4310</t>
  </si>
  <si>
    <t>601750.4320</t>
  </si>
  <si>
    <t>0515</t>
  </si>
  <si>
    <t>Landbouwschuur Von Draisweg 15</t>
  </si>
  <si>
    <t>Von Draisweg 15</t>
  </si>
  <si>
    <t>1316 TE</t>
  </si>
  <si>
    <t>Jaap Roeters</t>
  </si>
  <si>
    <t>0578690446 of  0653261735</t>
  </si>
  <si>
    <t>jaaproetersbot@gmail.com</t>
  </si>
  <si>
    <t>vervalt per 1 april 2025</t>
  </si>
  <si>
    <t>9266550014.4300L.50011</t>
  </si>
  <si>
    <t>9266550014.4300L.51010</t>
  </si>
  <si>
    <t>0014 </t>
  </si>
  <si>
    <t>PO De Omnibus</t>
  </si>
  <si>
    <t>J.J. Slauerhoffstraat 53  </t>
  </si>
  <si>
    <t>M. Paliama</t>
  </si>
  <si>
    <t>036-5363125</t>
  </si>
  <si>
    <t>dir.omnibus@prisma-almere.nl</t>
  </si>
  <si>
    <r>
      <t xml:space="preserve">De goten van de schuine daken ook reinigen </t>
    </r>
    <r>
      <rPr>
        <sz val="10"/>
        <color rgb="FFFF0000"/>
        <rFont val="Arial"/>
        <family val="2"/>
      </rPr>
      <t>Object zit in contract van Prisma. Prisma gaat vanaf 1 januari 2024 het contract onderhoud zelf regelen. De gemeente Almere (Thea de Rijk) gaat dan er tussen uit. Vanaf 1 januari 2024 graag contract onderhoud bespreken met de heer Evert Woltjes van Prisma.</t>
    </r>
  </si>
  <si>
    <t>9266551247.50011</t>
  </si>
  <si>
    <t>9266551247.50012</t>
  </si>
  <si>
    <t>1247 </t>
  </si>
  <si>
    <t>Omnibus</t>
  </si>
  <si>
    <t>Betje Wolffstraat 5  </t>
  </si>
  <si>
    <t>1321 CN </t>
  </si>
  <si>
    <t>M. Paliama, A.M. van Es-van der Sluis en P. Laman-de Graaf</t>
  </si>
  <si>
    <t>036 5363125 06-13779395, 036-534590 en 0320-252378</t>
  </si>
  <si>
    <t>dir.omnibus@prisma-almere.nl a.vanes@prisma-almere.nl p.laman@eduvier.nl</t>
  </si>
  <si>
    <t>dak 2 2x</t>
  </si>
  <si>
    <t>Eduvier</t>
  </si>
  <si>
    <t>Roelofs E.A./Daalder G</t>
  </si>
  <si>
    <t>Paul Kleestraat 35-37</t>
  </si>
  <si>
    <t>600677.4310L</t>
  </si>
  <si>
    <t>600677.4320L</t>
  </si>
  <si>
    <t>1756 </t>
  </si>
  <si>
    <t xml:space="preserve">Nautilus Paul Kleestraat </t>
  </si>
  <si>
    <t>Paul Kleestraat 35  </t>
  </si>
  <si>
    <t>Lamboo, M.S./Daalder G. wordt Lamboo, M.S.</t>
  </si>
  <si>
    <t>1381, 1194</t>
  </si>
  <si>
    <t>VSO Aventurijn incl. gymzalen (100%)</t>
  </si>
  <si>
    <t>Marathonlaan 13 en 15</t>
  </si>
  <si>
    <t>602411.4310L</t>
  </si>
  <si>
    <t>602411.4320L</t>
  </si>
  <si>
    <t>1381 </t>
  </si>
  <si>
    <t>VSO Aventurijn (71,7%)</t>
  </si>
  <si>
    <t>Marathonlaan 13  </t>
  </si>
  <si>
    <t>dakluik dak 1</t>
  </si>
  <si>
    <t>600665.4310L</t>
  </si>
  <si>
    <t>600665.4320L</t>
  </si>
  <si>
    <t>Gymzaal marathonlaan - Aventurijn (28,3%)</t>
  </si>
  <si>
    <t>Marathonlaan 15  </t>
  </si>
  <si>
    <t>601536.4310L</t>
  </si>
  <si>
    <t>601536.4320L</t>
  </si>
  <si>
    <t>Marathonlaan 7 - PO De Olivijn</t>
  </si>
  <si>
    <t>Marathonlaan 7</t>
  </si>
  <si>
    <t>S.van Broekhuijsen (concierge)</t>
  </si>
  <si>
    <t>06 - 50544784</t>
  </si>
  <si>
    <t>s.vanbroekhuijsen@almere-speciaal.nl</t>
  </si>
  <si>
    <t>9266550013.4300L.50011</t>
  </si>
  <si>
    <t>9266550013.4300L.51010</t>
  </si>
  <si>
    <t>0013 </t>
  </si>
  <si>
    <t>PO De Optimist  </t>
  </si>
  <si>
    <t>Hildo Kropstraat 20  </t>
  </si>
  <si>
    <t>A. van Houwelingen</t>
  </si>
  <si>
    <t>036-5369060</t>
  </si>
  <si>
    <t>dir.optimist@prisma-almere.nl</t>
  </si>
  <si>
    <t>Stadsreiniging</t>
  </si>
  <si>
    <t>0560 </t>
  </si>
  <si>
    <t>O.A.T.-gebouw (De Stofzuiger)(SB/stadsreiniging) </t>
  </si>
  <si>
    <t>Baljuwstraat 3  </t>
  </si>
  <si>
    <t>1315 HG </t>
  </si>
  <si>
    <t>Beheerder dhr. Hennie Schoonheim</t>
  </si>
  <si>
    <t>036 - 5471817</t>
  </si>
  <si>
    <t>hschoonheim@almere.nl</t>
  </si>
  <si>
    <t>Factuur sturen naar en op naam van SKO Scholengroep Flevoland en Veluwe, Postbus 460, 7940 AL te MEPPEL o.v.v. nr. 13IU-223100</t>
  </si>
  <si>
    <t>Born - Westra M.S.</t>
  </si>
  <si>
    <t>0007 </t>
  </si>
  <si>
    <r>
      <rPr>
        <b/>
        <sz val="10"/>
        <color rgb="FFFF0000"/>
        <rFont val="Arial"/>
        <family val="2"/>
      </rPr>
      <t>PO</t>
    </r>
    <r>
      <rPr>
        <sz val="10"/>
        <rFont val="Arial"/>
        <family val="2"/>
      </rPr>
      <t xml:space="preserve"> De Loofhut (Eigendom van SKOFV) </t>
    </r>
  </si>
  <si>
    <t>Vrijmark 114  </t>
  </si>
  <si>
    <t>S. Bley</t>
  </si>
  <si>
    <t>06-33318183, 052-2252299 036-5310112 ?</t>
  </si>
  <si>
    <t xml:space="preserve">s.bley@onderwijsbureau-meppel.nl dir.loofhut@skofv.nl ? </t>
  </si>
  <si>
    <t xml:space="preserve">Alfred Marshallstraat 1, 7559 SE Hengelo </t>
  </si>
  <si>
    <t>600684.4310L</t>
  </si>
  <si>
    <t>600684.4320L</t>
  </si>
  <si>
    <t>1289 </t>
  </si>
  <si>
    <t>TOH Slowakijehof 1 (per 1 november 2024 overdracht naar SKOF)</t>
  </si>
  <si>
    <t>Slowakijehof 1  </t>
  </si>
  <si>
    <t>1363 BD </t>
  </si>
  <si>
    <t>KinderCentrumAlmere: L. van Belzen en De Duinvlinder: S. Bley en A. Veneboer</t>
  </si>
  <si>
    <t>06-14710420 / 06-33318183, 052-2252299 en 036-7676006</t>
  </si>
  <si>
    <t>info@kindercentrumalmere.nl s.bley@onderwijsbureau-meppel.nl</t>
  </si>
  <si>
    <t>Is per 1 november 2024 overgedragen aan schoolbestuur SKOF en komt daardoor te vervallen per 31 december 2024!</t>
  </si>
  <si>
    <t>9266550017.4300L.50011</t>
  </si>
  <si>
    <t>9266550017.4300L.51010</t>
  </si>
  <si>
    <t>0017 </t>
  </si>
  <si>
    <t>PO De Klimop inclusief gymzaal AA De Klimop</t>
  </si>
  <si>
    <t>Rossinistraat 5  </t>
  </si>
  <si>
    <t>1323 BP </t>
  </si>
  <si>
    <t>R. Holmes</t>
  </si>
  <si>
    <t>036-5364814</t>
  </si>
  <si>
    <t>r.holmes@de-klimop.nl / dir.klimop@prisma-almere.nl</t>
  </si>
  <si>
    <t>9266550015.4300L.50011</t>
  </si>
  <si>
    <t>9266550015.4300L.51010</t>
  </si>
  <si>
    <t>0015 </t>
  </si>
  <si>
    <t>PO De Ark (Eigendom van Prisma)</t>
  </si>
  <si>
    <t>Middenhof 210  </t>
  </si>
  <si>
    <t>1354 EV </t>
  </si>
  <si>
    <t>T. Kuiper-Douma</t>
  </si>
  <si>
    <t>036-5310289</t>
  </si>
  <si>
    <t>dir.ark@prisma-almere.nl</t>
  </si>
  <si>
    <t>Factuur sturen naar en op naam van SKO Scholengroep Flevoland en Veluwe, Postbus 460, 7940 AL te MEPPEL o.v.v. nr. 29UB-223100</t>
  </si>
  <si>
    <t>0031 </t>
  </si>
  <si>
    <t>KBS De Droomspiegel  </t>
  </si>
  <si>
    <t>Marco Poloroute 60  </t>
  </si>
  <si>
    <t>036-5406060</t>
  </si>
  <si>
    <t>info@droomspiegel.nl</t>
  </si>
  <si>
    <t>Melica 200 - Kunstpaviljoen Flevoland Almere</t>
  </si>
  <si>
    <t>Melica 200</t>
  </si>
  <si>
    <t xml:space="preserve">Melica 200 is een apart gebouw. Olde Rikkert heeft het gebouwd en die vragen we af en toe om een check up te doen. </t>
  </si>
  <si>
    <t>9266550021.4300L.50011</t>
  </si>
  <si>
    <t>9266550021.4300L.51010</t>
  </si>
  <si>
    <t>0021 </t>
  </si>
  <si>
    <t>PO De Regenboog (Eigendom van Prisma) Inclusief de nieuwe noodgebouwen op het schoolterrein (m² in het werk opgemeten 2019 =130m²)</t>
  </si>
  <si>
    <t>Klipgriend 1  </t>
  </si>
  <si>
    <t>Directeur: B. Bakker</t>
  </si>
  <si>
    <t>036-5314937</t>
  </si>
  <si>
    <t>dir.regenboog@prisma-almere.nl</t>
  </si>
  <si>
    <t>Aantal Reinigingsbeurten:    
1 = november 
2 = november+ mei/juni     
3 = november+ mei/juni+ maart</t>
  </si>
  <si>
    <t>Prijs per reiniging dak</t>
  </si>
  <si>
    <t>Prijs per reiniging goten</t>
  </si>
  <si>
    <t xml:space="preserve">Prijs per reiniging licht-koepels/ straten </t>
  </si>
  <si>
    <t>Prijs per anti-mos / groene aanslag</t>
  </si>
  <si>
    <t>Prijs per inspectie dak en goten (1x per jaar gelijktijdig met reiniging) inclusief rapportages</t>
  </si>
  <si>
    <t xml:space="preserve">Prijs per keuring van aanwezige dakveiligheid op het dak </t>
  </si>
  <si>
    <t>0510, 0511,0512, 0513</t>
  </si>
  <si>
    <t>Diverse gebouwen De Steiger (bedrijfsgebouw Stadsreiniging, bedrijfsgebouw De Steiger 223, Voertuigenloods 1 en zoutopslag (incl. nieuwe voertuigenloods)</t>
  </si>
  <si>
    <t>Beperkte dakgarantie vanaf 1-12-2024 t/m 30-11-2029 en algemeen 2020-2030</t>
  </si>
  <si>
    <t>Buurtcentrum De Bazuin incl. Peuterspeelzaal Tinkelbel (21%)</t>
  </si>
  <si>
    <t>Gymzaal Luitstraat 5 (20%)</t>
  </si>
  <si>
    <t>terras in voorjaar maart anti-mosbehandeling en anti-groene aanslag in september/oktober</t>
  </si>
  <si>
    <t xml:space="preserve">Nimfenplein 1-3 </t>
  </si>
  <si>
    <t>Prijs per reiniging licht-koepels/straten</t>
  </si>
  <si>
    <t>Prijs per keuring van aanwezige dakveiligheid op het dak</t>
  </si>
  <si>
    <t>Danslaan 70-72-74</t>
  </si>
  <si>
    <t xml:space="preserve">Prijs per reiniging goten </t>
  </si>
  <si>
    <t>Catootjepad 2 en 6</t>
  </si>
  <si>
    <t>Hildo Kropstraat 6</t>
  </si>
  <si>
    <t>Gemiddeld aantal per jaar per perceel</t>
  </si>
  <si>
    <t>Totaalprijs</t>
  </si>
  <si>
    <t>Totaal Diensten op afroep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</si>
</sst>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413]mmm/yy;@"/>
    <numFmt numFmtId="165" formatCode="&quot;€&quot;\ #,##0.00"/>
    <numFmt numFmtId="166" formatCode="&quot;€&quot;\ #,##0"/>
    <numFmt numFmtId="167" formatCode="[$-F800]dddd\,\ mmmm\ dd\,\ yyyy"/>
  </numFmts>
  <fonts count="37" x14ac:knownFonts="1">
    <font>
      <sz val="11"/>
      <color theme="1"/>
      <name val="Aptos Narrow"/>
      <family val="2"/>
      <scheme val="minor"/>
    </font>
    <font>
      <u/>
      <sz val="11"/>
      <color theme="10"/>
      <name val="Aptos Narrow"/>
      <family val="2"/>
      <scheme val="minor"/>
    </font>
    <font>
      <b/>
      <sz val="10"/>
      <name val="Arial"/>
      <family val="2"/>
    </font>
    <font>
      <b/>
      <sz val="10"/>
      <color theme="0"/>
      <name val="Arial"/>
      <family val="2"/>
    </font>
    <font>
      <sz val="10"/>
      <name val="Arial"/>
      <family val="2"/>
    </font>
    <font>
      <sz val="10"/>
      <color rgb="FF00B050"/>
      <name val="Arial"/>
      <family val="2"/>
    </font>
    <font>
      <b/>
      <sz val="10"/>
      <color rgb="FF00B050"/>
      <name val="Arial"/>
      <family val="2"/>
    </font>
    <font>
      <b/>
      <sz val="10"/>
      <color rgb="FFEE0000"/>
      <name val="Arial"/>
      <family val="2"/>
    </font>
    <font>
      <u/>
      <sz val="10"/>
      <name val="Arial"/>
      <family val="2"/>
    </font>
    <font>
      <b/>
      <sz val="10"/>
      <color rgb="FFFF0000"/>
      <name val="Arial"/>
      <family val="2"/>
    </font>
    <font>
      <sz val="10"/>
      <color rgb="FFFF0000"/>
      <name val="Arial"/>
      <family val="2"/>
    </font>
    <font>
      <u/>
      <sz val="10"/>
      <color rgb="FFFF0000"/>
      <name val="Arial"/>
      <family val="2"/>
    </font>
    <font>
      <sz val="11"/>
      <color rgb="FF242424"/>
      <name val="Aptos Narrow"/>
      <family val="2"/>
    </font>
    <font>
      <strike/>
      <sz val="10"/>
      <name val="Arial"/>
      <family val="2"/>
    </font>
    <font>
      <strike/>
      <sz val="10"/>
      <color rgb="FFFF0000"/>
      <name val="Arial"/>
      <family val="2"/>
    </font>
    <font>
      <b/>
      <strike/>
      <sz val="10"/>
      <color rgb="FFFF0000"/>
      <name val="Arial"/>
      <family val="2"/>
    </font>
    <font>
      <strike/>
      <u/>
      <sz val="10"/>
      <color rgb="FFFF0000"/>
      <name val="Arial"/>
      <family val="2"/>
    </font>
    <font>
      <b/>
      <u/>
      <sz val="10"/>
      <color rgb="FFFF0000"/>
      <name val="Arial"/>
      <family val="2"/>
    </font>
    <font>
      <b/>
      <strike/>
      <sz val="10"/>
      <name val="Arial"/>
      <family val="2"/>
    </font>
    <font>
      <sz val="12"/>
      <name val="Arial"/>
      <family val="2"/>
    </font>
    <font>
      <sz val="11"/>
      <name val="Calibri"/>
      <family val="2"/>
    </font>
    <font>
      <b/>
      <sz val="11"/>
      <name val="Aptos Narrow"/>
      <family val="2"/>
      <scheme val="minor"/>
    </font>
    <font>
      <b/>
      <sz val="11"/>
      <color theme="1"/>
      <name val="Aptos Narrow"/>
      <family val="2"/>
      <scheme val="minor"/>
    </font>
    <font>
      <sz val="10"/>
      <name val="DIN"/>
    </font>
    <font>
      <b/>
      <sz val="11"/>
      <color theme="0"/>
      <name val="DIN"/>
    </font>
    <font>
      <sz val="11"/>
      <color theme="1"/>
      <name val="DIN"/>
    </font>
    <font>
      <b/>
      <sz val="10"/>
      <name val="DIN"/>
    </font>
    <font>
      <sz val="11"/>
      <name val="DIN"/>
    </font>
    <font>
      <sz val="14"/>
      <name val="DIN"/>
    </font>
    <font>
      <b/>
      <sz val="12"/>
      <color theme="1"/>
      <name val="DIN"/>
    </font>
    <font>
      <b/>
      <sz val="11"/>
      <color theme="1"/>
      <name val="DIN"/>
    </font>
    <font>
      <b/>
      <sz val="11"/>
      <name val="DIN"/>
    </font>
    <font>
      <b/>
      <sz val="10"/>
      <color theme="0"/>
      <name val="DIN"/>
    </font>
    <font>
      <sz val="12"/>
      <color theme="1"/>
      <name val="DIN"/>
    </font>
    <font>
      <sz val="10"/>
      <color theme="1"/>
      <name val="DIN"/>
    </font>
    <font>
      <b/>
      <sz val="10"/>
      <color theme="1"/>
      <name val="DIN"/>
    </font>
    <font>
      <b/>
      <sz val="11"/>
      <color rgb="FF586574"/>
      <name val="DIN"/>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theme="0" tint="-0.499984740745262"/>
        <bgColor indexed="64"/>
      </patternFill>
    </fill>
    <fill>
      <patternFill patternType="solid">
        <fgColor theme="1" tint="0.24994659260841701"/>
        <bgColor indexed="64"/>
      </patternFill>
    </fill>
    <fill>
      <patternFill patternType="solid">
        <fgColor theme="0" tint="-4.9989318521683403E-2"/>
        <bgColor indexed="64"/>
      </patternFill>
    </fill>
    <fill>
      <patternFill patternType="solid">
        <fgColor theme="0" tint="-0.34998626667073579"/>
        <bgColor indexed="64"/>
      </patternFill>
    </fill>
  </fills>
  <borders count="59">
    <border>
      <left/>
      <right/>
      <top/>
      <bottom/>
      <diagonal/>
    </border>
    <border>
      <left style="thin">
        <color auto="1"/>
      </left>
      <right/>
      <top/>
      <bottom style="thin">
        <color auto="1"/>
      </bottom>
      <diagonal/>
    </border>
    <border>
      <left style="thin">
        <color indexed="64"/>
      </left>
      <right style="thin">
        <color indexed="64"/>
      </right>
      <top/>
      <bottom style="thin">
        <color indexed="64"/>
      </bottom>
      <diagonal/>
    </border>
    <border diagonalUp="1" diagonalDown="1">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rgb="FF586574"/>
      </left>
      <right/>
      <top style="thin">
        <color rgb="FF586574"/>
      </top>
      <bottom style="thin">
        <color rgb="FF586574"/>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top style="thick">
        <color auto="1"/>
      </top>
      <bottom/>
      <diagonal/>
    </border>
    <border>
      <left/>
      <right/>
      <top/>
      <bottom style="thick">
        <color auto="1"/>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s>
  <cellStyleXfs count="2">
    <xf numFmtId="0" fontId="0" fillId="0" borderId="0"/>
    <xf numFmtId="0" fontId="1" fillId="0" borderId="0" applyNumberFormat="0" applyFill="0" applyBorder="0" applyAlignment="0" applyProtection="0"/>
  </cellStyleXfs>
  <cellXfs count="606">
    <xf numFmtId="0" fontId="0" fillId="0" borderId="0" xfId="0"/>
    <xf numFmtId="0" fontId="0" fillId="0" borderId="0" xfId="0" applyAlignment="1" applyProtection="1">
      <alignment vertical="top" wrapText="1"/>
      <protection hidden="1"/>
    </xf>
    <xf numFmtId="49" fontId="0" fillId="0" borderId="0" xfId="0" applyNumberFormat="1"/>
    <xf numFmtId="0" fontId="0" fillId="0" borderId="2" xfId="0" applyBorder="1" applyAlignment="1" applyProtection="1">
      <alignment vertical="top" wrapText="1"/>
      <protection hidden="1"/>
    </xf>
    <xf numFmtId="0" fontId="4" fillId="0" borderId="2" xfId="0" applyFont="1" applyBorder="1" applyAlignment="1" applyProtection="1">
      <alignment vertical="top" wrapText="1"/>
      <protection hidden="1"/>
    </xf>
    <xf numFmtId="0" fontId="2" fillId="0" borderId="2" xfId="0" applyFont="1" applyBorder="1" applyAlignment="1" applyProtection="1">
      <alignment horizontal="center" vertical="top" wrapText="1"/>
      <protection hidden="1"/>
    </xf>
    <xf numFmtId="0" fontId="4" fillId="0" borderId="2" xfId="0" applyFont="1" applyBorder="1" applyAlignment="1" applyProtection="1">
      <alignment horizontal="center" vertical="top" wrapText="1"/>
      <protection hidden="1"/>
    </xf>
    <xf numFmtId="0" fontId="0" fillId="0" borderId="0" xfId="0" applyProtection="1">
      <protection hidden="1"/>
    </xf>
    <xf numFmtId="0" fontId="0" fillId="0" borderId="0" xfId="0" applyAlignment="1" applyProtection="1">
      <alignment vertical="top"/>
      <protection hidden="1"/>
    </xf>
    <xf numFmtId="0" fontId="10" fillId="0" borderId="0" xfId="0" applyFont="1" applyProtection="1">
      <protection hidden="1"/>
    </xf>
    <xf numFmtId="0" fontId="4" fillId="5" borderId="3" xfId="0" applyFont="1" applyFill="1" applyBorder="1" applyAlignment="1" applyProtection="1">
      <alignment vertical="top" wrapText="1"/>
      <protection hidden="1"/>
    </xf>
    <xf numFmtId="0" fontId="2" fillId="5" borderId="3" xfId="0" applyFont="1" applyFill="1" applyBorder="1" applyAlignment="1" applyProtection="1">
      <alignment vertical="top" wrapText="1"/>
      <protection hidden="1"/>
    </xf>
    <xf numFmtId="0" fontId="0" fillId="0" borderId="4" xfId="0" applyBorder="1" applyAlignment="1" applyProtection="1">
      <alignment vertical="top" wrapText="1"/>
      <protection hidden="1"/>
    </xf>
    <xf numFmtId="0" fontId="0" fillId="5" borderId="3" xfId="0" applyFill="1" applyBorder="1" applyAlignment="1" applyProtection="1">
      <alignment vertical="top" wrapText="1"/>
      <protection hidden="1"/>
    </xf>
    <xf numFmtId="0" fontId="10" fillId="0" borderId="2" xfId="0" applyFont="1" applyBorder="1" applyAlignment="1" applyProtection="1">
      <alignment vertical="top" wrapText="1"/>
      <protection hidden="1"/>
    </xf>
    <xf numFmtId="0" fontId="2" fillId="6" borderId="3" xfId="0" applyFont="1" applyFill="1" applyBorder="1" applyAlignment="1" applyProtection="1">
      <alignment vertical="top" wrapText="1"/>
      <protection hidden="1"/>
    </xf>
    <xf numFmtId="0" fontId="9" fillId="6" borderId="3" xfId="0" applyFont="1" applyFill="1" applyBorder="1" applyAlignment="1" applyProtection="1">
      <alignment vertical="top" wrapText="1"/>
      <protection hidden="1"/>
    </xf>
    <xf numFmtId="0" fontId="2" fillId="4" borderId="3" xfId="0" applyFont="1" applyFill="1" applyBorder="1" applyAlignment="1" applyProtection="1">
      <alignment vertical="top" wrapText="1"/>
      <protection hidden="1"/>
    </xf>
    <xf numFmtId="0" fontId="0" fillId="0" borderId="5" xfId="0" applyBorder="1" applyAlignment="1" applyProtection="1">
      <alignment vertical="top"/>
      <protection hidden="1"/>
    </xf>
    <xf numFmtId="0" fontId="4" fillId="0" borderId="0" xfId="0" applyFont="1" applyAlignment="1" applyProtection="1">
      <alignment vertical="top" wrapText="1"/>
      <protection hidden="1"/>
    </xf>
    <xf numFmtId="0" fontId="8" fillId="0" borderId="0" xfId="1" applyFont="1" applyFill="1" applyBorder="1" applyAlignment="1" applyProtection="1">
      <alignment vertical="top" wrapText="1"/>
      <protection hidden="1"/>
    </xf>
    <xf numFmtId="0" fontId="12" fillId="0" borderId="0" xfId="0" applyFont="1"/>
    <xf numFmtId="0" fontId="0" fillId="4" borderId="3" xfId="0" applyFill="1" applyBorder="1" applyAlignment="1" applyProtection="1">
      <alignment vertical="top" wrapText="1"/>
      <protection hidden="1"/>
    </xf>
    <xf numFmtId="0" fontId="4" fillId="0" borderId="0" xfId="0" applyFont="1" applyAlignment="1" applyProtection="1">
      <alignment vertical="top"/>
      <protection hidden="1"/>
    </xf>
    <xf numFmtId="0" fontId="14" fillId="0" borderId="0" xfId="0" applyFont="1" applyAlignment="1" applyProtection="1">
      <alignment vertical="top"/>
      <protection hidden="1"/>
    </xf>
    <xf numFmtId="49" fontId="14" fillId="0" borderId="0" xfId="0" applyNumberFormat="1" applyFont="1"/>
    <xf numFmtId="0" fontId="14" fillId="6" borderId="0" xfId="0" applyFont="1" applyFill="1" applyAlignment="1" applyProtection="1">
      <alignment vertical="top"/>
      <protection hidden="1"/>
    </xf>
    <xf numFmtId="0" fontId="0" fillId="6" borderId="2" xfId="0" applyFill="1" applyBorder="1" applyAlignment="1" applyProtection="1">
      <alignment vertical="top" wrapText="1"/>
      <protection hidden="1"/>
    </xf>
    <xf numFmtId="0" fontId="4" fillId="6" borderId="2" xfId="0" applyFont="1" applyFill="1" applyBorder="1" applyAlignment="1" applyProtection="1">
      <alignment vertical="top" wrapText="1"/>
      <protection hidden="1"/>
    </xf>
    <xf numFmtId="0" fontId="10" fillId="0" borderId="0" xfId="0" applyFont="1" applyAlignment="1" applyProtection="1">
      <alignment vertical="top"/>
      <protection hidden="1"/>
    </xf>
    <xf numFmtId="0" fontId="2" fillId="0" borderId="0" xfId="0" applyFont="1" applyAlignment="1" applyProtection="1">
      <alignment horizontal="center" vertical="top" wrapText="1"/>
      <protection hidden="1"/>
    </xf>
    <xf numFmtId="0" fontId="10" fillId="0" borderId="1" xfId="0" applyFont="1" applyBorder="1" applyAlignment="1" applyProtection="1">
      <alignment vertical="top" wrapText="1"/>
      <protection hidden="1"/>
    </xf>
    <xf numFmtId="0" fontId="13" fillId="0" borderId="1" xfId="0" applyFont="1" applyBorder="1" applyAlignment="1" applyProtection="1">
      <alignment vertical="top" wrapText="1"/>
      <protection hidden="1"/>
    </xf>
    <xf numFmtId="0" fontId="14" fillId="0" borderId="2" xfId="0" quotePrefix="1" applyFont="1" applyBorder="1" applyAlignment="1" applyProtection="1">
      <alignment vertical="top" wrapText="1"/>
      <protection hidden="1"/>
    </xf>
    <xf numFmtId="0" fontId="14" fillId="0" borderId="2" xfId="0" applyFont="1" applyBorder="1" applyAlignment="1" applyProtection="1">
      <alignment vertical="top" wrapText="1"/>
      <protection hidden="1"/>
    </xf>
    <xf numFmtId="0" fontId="0" fillId="6" borderId="0" xfId="0" applyFill="1" applyAlignment="1" applyProtection="1">
      <alignment vertical="top"/>
      <protection hidden="1"/>
    </xf>
    <xf numFmtId="0" fontId="14" fillId="5" borderId="3" xfId="0" applyFont="1" applyFill="1" applyBorder="1" applyAlignment="1" applyProtection="1">
      <alignment vertical="top" wrapText="1"/>
      <protection hidden="1"/>
    </xf>
    <xf numFmtId="0" fontId="0" fillId="6" borderId="0" xfId="0" applyFill="1" applyProtection="1">
      <protection hidden="1"/>
    </xf>
    <xf numFmtId="0" fontId="2" fillId="0" borderId="0" xfId="0" applyFont="1" applyAlignment="1" applyProtection="1">
      <alignment vertical="top" wrapText="1"/>
      <protection hidden="1"/>
    </xf>
    <xf numFmtId="0" fontId="4" fillId="0" borderId="0" xfId="0" applyFont="1" applyAlignment="1" applyProtection="1">
      <alignment horizontal="center" vertical="top" wrapText="1"/>
      <protection hidden="1"/>
    </xf>
    <xf numFmtId="0" fontId="21" fillId="0" borderId="0" xfId="0" applyFont="1" applyAlignment="1" applyProtection="1">
      <alignment horizontal="center" vertical="top" wrapText="1"/>
      <protection hidden="1"/>
    </xf>
    <xf numFmtId="0" fontId="4" fillId="0" borderId="8" xfId="0" applyFont="1" applyBorder="1" applyAlignment="1" applyProtection="1">
      <alignment vertical="top" wrapText="1"/>
      <protection hidden="1"/>
    </xf>
    <xf numFmtId="0" fontId="4" fillId="0" borderId="7" xfId="0" applyFont="1" applyBorder="1" applyAlignment="1" applyProtection="1">
      <alignment vertical="top" wrapText="1"/>
      <protection hidden="1"/>
    </xf>
    <xf numFmtId="0" fontId="2" fillId="4" borderId="7" xfId="0" applyFont="1" applyFill="1" applyBorder="1" applyAlignment="1" applyProtection="1">
      <alignment vertical="top" wrapText="1"/>
      <protection hidden="1"/>
    </xf>
    <xf numFmtId="0" fontId="4" fillId="5" borderId="9" xfId="0" applyFont="1" applyFill="1" applyBorder="1" applyAlignment="1" applyProtection="1">
      <alignment vertical="top" wrapText="1"/>
      <protection hidden="1"/>
    </xf>
    <xf numFmtId="0" fontId="4" fillId="4" borderId="7" xfId="0" applyFont="1" applyFill="1" applyBorder="1" applyAlignment="1" applyProtection="1">
      <alignment vertical="top" wrapText="1"/>
      <protection hidden="1"/>
    </xf>
    <xf numFmtId="0" fontId="2" fillId="5" borderId="7" xfId="0" applyFont="1" applyFill="1" applyBorder="1" applyAlignment="1" applyProtection="1">
      <alignment vertical="top" wrapText="1"/>
      <protection hidden="1"/>
    </xf>
    <xf numFmtId="0" fontId="4" fillId="5" borderId="7" xfId="0" applyFont="1" applyFill="1" applyBorder="1" applyAlignment="1" applyProtection="1">
      <alignment vertical="top" wrapText="1"/>
      <protection hidden="1"/>
    </xf>
    <xf numFmtId="0" fontId="4" fillId="0" borderId="10" xfId="0" applyFont="1" applyBorder="1" applyAlignment="1" applyProtection="1">
      <alignment vertical="top" wrapText="1"/>
      <protection hidden="1"/>
    </xf>
    <xf numFmtId="0" fontId="0" fillId="4" borderId="7" xfId="0" applyFill="1" applyBorder="1" applyAlignment="1" applyProtection="1">
      <alignment vertical="top" wrapText="1"/>
      <protection hidden="1"/>
    </xf>
    <xf numFmtId="0" fontId="0" fillId="5" borderId="7" xfId="0" applyFill="1" applyBorder="1" applyAlignment="1" applyProtection="1">
      <alignment vertical="top" wrapText="1"/>
      <protection hidden="1"/>
    </xf>
    <xf numFmtId="0" fontId="10" fillId="5" borderId="7" xfId="0" applyFont="1" applyFill="1" applyBorder="1" applyAlignment="1" applyProtection="1">
      <alignment vertical="top" wrapText="1"/>
      <protection hidden="1"/>
    </xf>
    <xf numFmtId="0" fontId="10" fillId="0" borderId="8" xfId="0" applyFont="1" applyBorder="1" applyAlignment="1" applyProtection="1">
      <alignment vertical="top" wrapText="1"/>
      <protection hidden="1"/>
    </xf>
    <xf numFmtId="0" fontId="0" fillId="0" borderId="7" xfId="0" applyBorder="1" applyAlignment="1" applyProtection="1">
      <alignment vertical="top" wrapText="1"/>
      <protection hidden="1"/>
    </xf>
    <xf numFmtId="0" fontId="2" fillId="0" borderId="7" xfId="0" applyFont="1" applyBorder="1" applyAlignment="1" applyProtection="1">
      <alignment vertical="top" wrapText="1"/>
      <protection hidden="1"/>
    </xf>
    <xf numFmtId="0" fontId="0" fillId="0" borderId="10" xfId="0" applyBorder="1" applyAlignment="1" applyProtection="1">
      <alignment vertical="top" wrapText="1"/>
      <protection hidden="1"/>
    </xf>
    <xf numFmtId="0" fontId="0" fillId="0" borderId="8" xfId="0" applyBorder="1" applyAlignment="1" applyProtection="1">
      <alignment vertical="top" wrapText="1"/>
      <protection hidden="1"/>
    </xf>
    <xf numFmtId="0" fontId="4" fillId="4" borderId="8" xfId="0" applyFont="1" applyFill="1" applyBorder="1" applyAlignment="1" applyProtection="1">
      <alignment vertical="top" wrapText="1"/>
      <protection hidden="1"/>
    </xf>
    <xf numFmtId="0" fontId="0" fillId="6" borderId="7" xfId="0" applyFill="1" applyBorder="1" applyAlignment="1" applyProtection="1">
      <alignment vertical="top" wrapText="1"/>
      <protection hidden="1"/>
    </xf>
    <xf numFmtId="0" fontId="4" fillId="5" borderId="7" xfId="0" quotePrefix="1" applyFont="1" applyFill="1" applyBorder="1" applyAlignment="1" applyProtection="1">
      <alignment vertical="top" wrapText="1"/>
      <protection hidden="1"/>
    </xf>
    <xf numFmtId="0" fontId="10" fillId="0" borderId="7" xfId="0" quotePrefix="1" applyFont="1" applyBorder="1" applyAlignment="1" applyProtection="1">
      <alignment vertical="top" wrapText="1"/>
      <protection hidden="1"/>
    </xf>
    <xf numFmtId="0" fontId="0" fillId="6" borderId="8" xfId="0" applyFill="1" applyBorder="1" applyAlignment="1" applyProtection="1">
      <alignment vertical="top" wrapText="1"/>
      <protection hidden="1"/>
    </xf>
    <xf numFmtId="0" fontId="10" fillId="0" borderId="7" xfId="0" applyFont="1" applyBorder="1" applyAlignment="1" applyProtection="1">
      <alignment vertical="top" wrapText="1"/>
      <protection hidden="1"/>
    </xf>
    <xf numFmtId="0" fontId="2" fillId="5" borderId="11" xfId="0" applyFont="1" applyFill="1" applyBorder="1" applyAlignment="1" applyProtection="1">
      <alignment vertical="top" wrapText="1"/>
      <protection hidden="1"/>
    </xf>
    <xf numFmtId="0" fontId="10" fillId="0" borderId="11" xfId="0" applyFont="1" applyBorder="1" applyProtection="1">
      <protection hidden="1"/>
    </xf>
    <xf numFmtId="0" fontId="9" fillId="0" borderId="11" xfId="0" applyFont="1" applyBorder="1" applyAlignment="1" applyProtection="1">
      <alignment vertical="top" wrapText="1"/>
      <protection hidden="1"/>
    </xf>
    <xf numFmtId="0" fontId="10" fillId="0" borderId="11" xfId="0" applyFont="1" applyBorder="1" applyAlignment="1" applyProtection="1">
      <alignment vertical="top" wrapText="1"/>
      <protection hidden="1"/>
    </xf>
    <xf numFmtId="0" fontId="4" fillId="5" borderId="12" xfId="0" applyFont="1" applyFill="1" applyBorder="1" applyAlignment="1" applyProtection="1">
      <alignment vertical="top" wrapText="1"/>
      <protection hidden="1"/>
    </xf>
    <xf numFmtId="0" fontId="4" fillId="5" borderId="11" xfId="0" applyFont="1" applyFill="1" applyBorder="1" applyAlignment="1" applyProtection="1">
      <alignment vertical="top" wrapText="1"/>
      <protection hidden="1"/>
    </xf>
    <xf numFmtId="0" fontId="0" fillId="5" borderId="11" xfId="0" applyFill="1" applyBorder="1" applyAlignment="1" applyProtection="1">
      <alignment vertical="top" wrapText="1"/>
      <protection hidden="1"/>
    </xf>
    <xf numFmtId="0" fontId="4" fillId="0" borderId="11" xfId="0" applyFont="1" applyBorder="1" applyAlignment="1" applyProtection="1">
      <alignment vertical="top" wrapText="1"/>
      <protection hidden="1"/>
    </xf>
    <xf numFmtId="0" fontId="8" fillId="0" borderId="11" xfId="1" applyFont="1" applyFill="1" applyBorder="1" applyAlignment="1" applyProtection="1">
      <alignment vertical="top" wrapText="1"/>
      <protection hidden="1"/>
    </xf>
    <xf numFmtId="0" fontId="2" fillId="0" borderId="11" xfId="0" applyFont="1" applyBorder="1" applyAlignment="1" applyProtection="1">
      <alignment vertical="top" wrapText="1"/>
      <protection hidden="1"/>
    </xf>
    <xf numFmtId="0" fontId="0" fillId="0" borderId="11" xfId="0" applyBorder="1" applyAlignment="1" applyProtection="1">
      <alignment vertical="top" wrapText="1"/>
      <protection hidden="1"/>
    </xf>
    <xf numFmtId="0" fontId="2" fillId="0" borderId="11" xfId="0" applyFont="1" applyBorder="1" applyAlignment="1" applyProtection="1">
      <alignment horizontal="center" vertical="top" wrapText="1"/>
      <protection hidden="1"/>
    </xf>
    <xf numFmtId="0" fontId="4" fillId="0" borderId="11" xfId="0" applyFont="1" applyBorder="1" applyAlignment="1" applyProtection="1">
      <alignment horizontal="center" vertical="top" wrapText="1"/>
      <protection hidden="1"/>
    </xf>
    <xf numFmtId="0" fontId="2" fillId="0" borderId="4" xfId="0" applyFont="1" applyBorder="1" applyAlignment="1" applyProtection="1">
      <alignment horizontal="center" vertical="top" wrapText="1"/>
      <protection hidden="1"/>
    </xf>
    <xf numFmtId="0" fontId="14" fillId="0" borderId="11" xfId="0" applyFont="1" applyBorder="1" applyAlignment="1" applyProtection="1">
      <alignment vertical="top" wrapText="1"/>
      <protection hidden="1"/>
    </xf>
    <xf numFmtId="0" fontId="15" fillId="0" borderId="11" xfId="0" applyFont="1" applyBorder="1" applyAlignment="1" applyProtection="1">
      <alignment vertical="top" wrapText="1"/>
      <protection hidden="1"/>
    </xf>
    <xf numFmtId="0" fontId="16" fillId="0" borderId="11" xfId="1" applyFont="1" applyFill="1" applyBorder="1" applyAlignment="1" applyProtection="1">
      <alignment vertical="top" wrapText="1"/>
      <protection hidden="1"/>
    </xf>
    <xf numFmtId="0" fontId="15" fillId="0" borderId="11" xfId="0" applyFont="1" applyBorder="1" applyAlignment="1" applyProtection="1">
      <alignment horizontal="center" vertical="top" wrapText="1"/>
      <protection hidden="1"/>
    </xf>
    <xf numFmtId="0" fontId="14" fillId="0" borderId="11" xfId="0" applyFont="1" applyBorder="1" applyAlignment="1" applyProtection="1">
      <alignment horizontal="center" vertical="top" wrapText="1"/>
      <protection hidden="1"/>
    </xf>
    <xf numFmtId="0" fontId="14" fillId="0" borderId="11" xfId="0" applyFont="1" applyBorder="1" applyProtection="1">
      <protection hidden="1"/>
    </xf>
    <xf numFmtId="0" fontId="10" fillId="0" borderId="12" xfId="0" applyFont="1" applyBorder="1" applyAlignment="1" applyProtection="1">
      <alignment vertical="top" wrapText="1"/>
      <protection hidden="1"/>
    </xf>
    <xf numFmtId="0" fontId="14" fillId="5" borderId="11" xfId="0" applyFont="1" applyFill="1" applyBorder="1" applyAlignment="1" applyProtection="1">
      <alignment vertical="top" wrapText="1"/>
      <protection hidden="1"/>
    </xf>
    <xf numFmtId="0" fontId="14" fillId="5" borderId="11" xfId="0" applyFont="1" applyFill="1" applyBorder="1" applyAlignment="1" applyProtection="1">
      <alignment horizontal="left" vertical="top" wrapText="1"/>
      <protection hidden="1"/>
    </xf>
    <xf numFmtId="0" fontId="15" fillId="5" borderId="11" xfId="0" applyFont="1" applyFill="1" applyBorder="1" applyAlignment="1" applyProtection="1">
      <alignment horizontal="center" vertical="top" wrapText="1"/>
      <protection hidden="1"/>
    </xf>
    <xf numFmtId="0" fontId="13" fillId="5" borderId="11" xfId="0" applyFont="1" applyFill="1" applyBorder="1" applyAlignment="1" applyProtection="1">
      <alignment vertical="top" wrapText="1"/>
      <protection hidden="1"/>
    </xf>
    <xf numFmtId="0" fontId="18" fillId="5" borderId="11" xfId="0" applyFont="1" applyFill="1" applyBorder="1" applyAlignment="1" applyProtection="1">
      <alignment vertical="top" wrapText="1"/>
      <protection hidden="1"/>
    </xf>
    <xf numFmtId="0" fontId="4" fillId="0" borderId="5" xfId="0" applyFont="1" applyBorder="1" applyAlignment="1" applyProtection="1">
      <alignment vertical="top" wrapText="1"/>
      <protection hidden="1"/>
    </xf>
    <xf numFmtId="0" fontId="2" fillId="0" borderId="10" xfId="0" applyFont="1" applyBorder="1" applyAlignment="1" applyProtection="1">
      <alignment vertical="top" wrapText="1"/>
      <protection hidden="1"/>
    </xf>
    <xf numFmtId="0" fontId="4" fillId="0" borderId="4" xfId="0" quotePrefix="1" applyFont="1" applyBorder="1" applyAlignment="1" applyProtection="1">
      <alignment vertical="top" wrapText="1"/>
      <protection hidden="1"/>
    </xf>
    <xf numFmtId="0" fontId="4" fillId="0" borderId="4" xfId="0" applyFont="1" applyBorder="1" applyAlignment="1" applyProtection="1">
      <alignment vertical="top" wrapText="1"/>
      <protection hidden="1"/>
    </xf>
    <xf numFmtId="0" fontId="8" fillId="0" borderId="12" xfId="1" applyFont="1" applyFill="1" applyBorder="1" applyAlignment="1" applyProtection="1">
      <alignment vertical="top" wrapText="1"/>
      <protection hidden="1"/>
    </xf>
    <xf numFmtId="0" fontId="14" fillId="5" borderId="13" xfId="0" applyFont="1" applyFill="1" applyBorder="1" applyAlignment="1" applyProtection="1">
      <alignment vertical="top" wrapText="1"/>
      <protection hidden="1"/>
    </xf>
    <xf numFmtId="0" fontId="2" fillId="5" borderId="2" xfId="0" applyFont="1" applyFill="1" applyBorder="1" applyAlignment="1" applyProtection="1">
      <alignment vertical="top" wrapText="1"/>
      <protection hidden="1"/>
    </xf>
    <xf numFmtId="0" fontId="9" fillId="0" borderId="2" xfId="0" applyFont="1" applyBorder="1" applyAlignment="1" applyProtection="1">
      <alignment vertical="top" wrapText="1"/>
      <protection hidden="1"/>
    </xf>
    <xf numFmtId="0" fontId="4" fillId="5" borderId="1" xfId="0" applyFont="1" applyFill="1" applyBorder="1" applyAlignment="1" applyProtection="1">
      <alignment vertical="top" wrapText="1"/>
      <protection hidden="1"/>
    </xf>
    <xf numFmtId="0" fontId="10" fillId="0" borderId="2" xfId="0" applyFont="1" applyBorder="1" applyProtection="1">
      <protection hidden="1"/>
    </xf>
    <xf numFmtId="0" fontId="4" fillId="5" borderId="4" xfId="0" applyFont="1" applyFill="1" applyBorder="1" applyAlignment="1" applyProtection="1">
      <alignment vertical="top" wrapText="1"/>
      <protection hidden="1"/>
    </xf>
    <xf numFmtId="0" fontId="0" fillId="5" borderId="4" xfId="0" applyFill="1" applyBorder="1" applyAlignment="1" applyProtection="1">
      <alignment vertical="top" wrapText="1"/>
      <protection hidden="1"/>
    </xf>
    <xf numFmtId="0" fontId="0" fillId="5" borderId="5" xfId="0" applyFill="1" applyBorder="1" applyAlignment="1" applyProtection="1">
      <alignment vertical="top" wrapText="1"/>
      <protection hidden="1"/>
    </xf>
    <xf numFmtId="0" fontId="4" fillId="5" borderId="5" xfId="0" applyFont="1" applyFill="1" applyBorder="1" applyAlignment="1" applyProtection="1">
      <alignment vertical="top" wrapText="1"/>
      <protection hidden="1"/>
    </xf>
    <xf numFmtId="0" fontId="8" fillId="0" borderId="4" xfId="1" applyFont="1" applyFill="1" applyBorder="1" applyAlignment="1" applyProtection="1">
      <alignment vertical="top" wrapText="1"/>
      <protection hidden="1"/>
    </xf>
    <xf numFmtId="0" fontId="2" fillId="0" borderId="4" xfId="0" applyFont="1" applyBorder="1" applyAlignment="1" applyProtection="1">
      <alignment vertical="top" wrapText="1"/>
      <protection hidden="1"/>
    </xf>
    <xf numFmtId="0" fontId="4" fillId="0" borderId="4" xfId="0" applyFont="1" applyBorder="1" applyAlignment="1" applyProtection="1">
      <alignment horizontal="center" vertical="top" wrapText="1"/>
      <protection hidden="1"/>
    </xf>
    <xf numFmtId="0" fontId="10" fillId="0" borderId="4" xfId="0" applyFont="1" applyBorder="1" applyAlignment="1" applyProtection="1">
      <alignment vertical="top" wrapText="1"/>
      <protection hidden="1"/>
    </xf>
    <xf numFmtId="0" fontId="0" fillId="0" borderId="5" xfId="0" applyBorder="1" applyProtection="1">
      <protection hidden="1"/>
    </xf>
    <xf numFmtId="0" fontId="4" fillId="0" borderId="4" xfId="0" applyFont="1" applyBorder="1" applyProtection="1">
      <protection hidden="1"/>
    </xf>
    <xf numFmtId="0" fontId="1" fillId="3" borderId="4" xfId="1" applyFill="1" applyBorder="1" applyAlignment="1" applyProtection="1">
      <alignment vertical="top" wrapText="1"/>
      <protection hidden="1"/>
    </xf>
    <xf numFmtId="0" fontId="14" fillId="0" borderId="5" xfId="0" applyFont="1" applyBorder="1" applyAlignment="1" applyProtection="1">
      <alignment vertical="top"/>
      <protection hidden="1"/>
    </xf>
    <xf numFmtId="0" fontId="14" fillId="0" borderId="4" xfId="0" applyFont="1" applyBorder="1" applyAlignment="1" applyProtection="1">
      <alignment vertical="top" wrapText="1"/>
      <protection hidden="1"/>
    </xf>
    <xf numFmtId="0" fontId="15" fillId="0" borderId="4" xfId="0" applyFont="1" applyBorder="1" applyAlignment="1" applyProtection="1">
      <alignment vertical="top" wrapText="1"/>
      <protection hidden="1"/>
    </xf>
    <xf numFmtId="0" fontId="16" fillId="0" borderId="4" xfId="1" applyFont="1" applyFill="1" applyBorder="1" applyAlignment="1" applyProtection="1">
      <alignment vertical="top" wrapText="1"/>
      <protection hidden="1"/>
    </xf>
    <xf numFmtId="0" fontId="15" fillId="0" borderId="4" xfId="0" applyFont="1" applyBorder="1" applyAlignment="1" applyProtection="1">
      <alignment horizontal="center" vertical="top" wrapText="1"/>
      <protection hidden="1"/>
    </xf>
    <xf numFmtId="0" fontId="14" fillId="0" borderId="4" xfId="0" applyFont="1" applyBorder="1" applyAlignment="1" applyProtection="1">
      <alignment horizontal="center" vertical="top" wrapText="1"/>
      <protection hidden="1"/>
    </xf>
    <xf numFmtId="0" fontId="9" fillId="0" borderId="4" xfId="0" applyFont="1" applyBorder="1" applyAlignment="1" applyProtection="1">
      <alignment vertical="top" wrapText="1"/>
      <protection hidden="1"/>
    </xf>
    <xf numFmtId="0" fontId="17" fillId="0" borderId="4" xfId="1" applyFont="1" applyFill="1" applyBorder="1" applyAlignment="1" applyProtection="1">
      <alignment vertical="top" wrapText="1"/>
      <protection hidden="1"/>
    </xf>
    <xf numFmtId="0" fontId="1" fillId="0" borderId="4" xfId="1" applyFill="1" applyBorder="1" applyAlignment="1" applyProtection="1">
      <alignment vertical="top" wrapText="1"/>
      <protection hidden="1"/>
    </xf>
    <xf numFmtId="0" fontId="9" fillId="0" borderId="4" xfId="0" applyFont="1" applyBorder="1" applyAlignment="1" applyProtection="1">
      <alignment horizontal="center" vertical="top" wrapText="1"/>
      <protection hidden="1"/>
    </xf>
    <xf numFmtId="0" fontId="14" fillId="0" borderId="4" xfId="0" applyFont="1" applyBorder="1" applyAlignment="1" applyProtection="1">
      <alignment horizontal="left" vertical="top" wrapText="1"/>
      <protection hidden="1"/>
    </xf>
    <xf numFmtId="0" fontId="10" fillId="0" borderId="5" xfId="0" applyFont="1" applyBorder="1" applyAlignment="1" applyProtection="1">
      <alignment vertical="top" wrapText="1"/>
      <protection hidden="1"/>
    </xf>
    <xf numFmtId="0" fontId="14" fillId="6" borderId="2" xfId="0" applyFont="1" applyFill="1" applyBorder="1" applyAlignment="1" applyProtection="1">
      <alignment vertical="top" wrapText="1"/>
      <protection hidden="1"/>
    </xf>
    <xf numFmtId="0" fontId="14" fillId="6" borderId="14" xfId="0" applyFont="1" applyFill="1" applyBorder="1" applyAlignment="1" applyProtection="1">
      <alignment vertical="top" wrapText="1"/>
      <protection hidden="1"/>
    </xf>
    <xf numFmtId="0" fontId="15" fillId="6" borderId="2" xfId="0" applyFont="1" applyFill="1" applyBorder="1" applyAlignment="1" applyProtection="1">
      <alignment vertical="top" wrapText="1"/>
      <protection hidden="1"/>
    </xf>
    <xf numFmtId="0" fontId="15" fillId="6" borderId="2" xfId="0" applyFont="1" applyFill="1" applyBorder="1" applyAlignment="1" applyProtection="1">
      <alignment horizontal="center" vertical="top" wrapText="1"/>
      <protection hidden="1"/>
    </xf>
    <xf numFmtId="0" fontId="15" fillId="0" borderId="2" xfId="0" applyFont="1" applyBorder="1" applyAlignment="1" applyProtection="1">
      <alignment horizontal="center" vertical="top"/>
      <protection hidden="1"/>
    </xf>
    <xf numFmtId="0" fontId="15" fillId="0" borderId="2" xfId="0" applyFont="1" applyBorder="1" applyAlignment="1" applyProtection="1">
      <alignment horizontal="center" vertical="top" wrapText="1"/>
      <protection hidden="1"/>
    </xf>
    <xf numFmtId="0" fontId="2" fillId="6" borderId="2" xfId="0" applyFont="1" applyFill="1" applyBorder="1" applyAlignment="1" applyProtection="1">
      <alignment vertical="top" wrapText="1"/>
      <protection hidden="1"/>
    </xf>
    <xf numFmtId="0" fontId="9" fillId="6" borderId="2" xfId="0" applyFont="1" applyFill="1" applyBorder="1" applyAlignment="1" applyProtection="1">
      <alignment vertical="top" wrapText="1"/>
      <protection hidden="1"/>
    </xf>
    <xf numFmtId="0" fontId="0" fillId="0" borderId="2" xfId="0" applyBorder="1" applyProtection="1">
      <protection hidden="1"/>
    </xf>
    <xf numFmtId="49" fontId="2" fillId="0" borderId="4" xfId="0" applyNumberFormat="1" applyFont="1" applyBorder="1" applyAlignment="1" applyProtection="1">
      <alignment vertical="top" wrapText="1"/>
      <protection hidden="1"/>
    </xf>
    <xf numFmtId="3" fontId="15" fillId="0" borderId="4" xfId="0" quotePrefix="1" applyNumberFormat="1" applyFont="1" applyBorder="1" applyAlignment="1" applyProtection="1">
      <alignment vertical="top" wrapText="1"/>
      <protection hidden="1"/>
    </xf>
    <xf numFmtId="3" fontId="2" fillId="0" borderId="4" xfId="0" quotePrefix="1" applyNumberFormat="1" applyFont="1" applyBorder="1" applyAlignment="1" applyProtection="1">
      <alignment vertical="top" wrapText="1"/>
      <protection hidden="1"/>
    </xf>
    <xf numFmtId="0" fontId="15" fillId="0" borderId="4" xfId="0" quotePrefix="1" applyFont="1" applyBorder="1" applyAlignment="1" applyProtection="1">
      <alignment vertical="top" wrapText="1"/>
      <protection hidden="1"/>
    </xf>
    <xf numFmtId="0" fontId="14" fillId="0" borderId="4" xfId="0" quotePrefix="1" applyFont="1" applyBorder="1" applyAlignment="1" applyProtection="1">
      <alignment vertical="top" wrapText="1"/>
      <protection hidden="1"/>
    </xf>
    <xf numFmtId="0" fontId="14" fillId="0" borderId="15" xfId="0" applyFont="1" applyBorder="1" applyAlignment="1">
      <alignment vertical="center" wrapText="1"/>
    </xf>
    <xf numFmtId="0" fontId="14" fillId="0" borderId="16" xfId="0" applyFont="1" applyBorder="1" applyAlignment="1">
      <alignment vertical="center" wrapText="1"/>
    </xf>
    <xf numFmtId="0" fontId="16" fillId="0" borderId="16" xfId="1" applyFont="1" applyBorder="1" applyAlignment="1" applyProtection="1">
      <alignment vertical="center" wrapText="1"/>
    </xf>
    <xf numFmtId="44" fontId="15" fillId="0" borderId="4" xfId="0" applyNumberFormat="1" applyFont="1" applyBorder="1" applyAlignment="1" applyProtection="1">
      <alignment horizontal="center" vertical="top" wrapText="1"/>
      <protection hidden="1"/>
    </xf>
    <xf numFmtId="0" fontId="10" fillId="0" borderId="4" xfId="0" applyFont="1" applyBorder="1" applyAlignment="1" applyProtection="1">
      <alignment wrapText="1"/>
      <protection hidden="1"/>
    </xf>
    <xf numFmtId="0" fontId="1" fillId="3" borderId="2" xfId="1" applyFill="1" applyBorder="1" applyAlignment="1" applyProtection="1">
      <alignment vertical="top" wrapText="1"/>
      <protection hidden="1"/>
    </xf>
    <xf numFmtId="0" fontId="15" fillId="0" borderId="8"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15" fillId="0" borderId="2" xfId="0" applyFont="1" applyBorder="1" applyAlignment="1" applyProtection="1">
      <alignment vertical="top" wrapText="1"/>
      <protection hidden="1"/>
    </xf>
    <xf numFmtId="0" fontId="15" fillId="0" borderId="2" xfId="0" quotePrefix="1" applyFont="1" applyBorder="1" applyAlignment="1" applyProtection="1">
      <alignment vertical="top" wrapText="1"/>
      <protection hidden="1"/>
    </xf>
    <xf numFmtId="0" fontId="14" fillId="0" borderId="8" xfId="0" applyFont="1" applyBorder="1" applyAlignment="1" applyProtection="1">
      <alignment vertical="top" wrapText="1"/>
      <protection hidden="1"/>
    </xf>
    <xf numFmtId="0" fontId="16" fillId="0" borderId="1" xfId="1" applyFont="1" applyFill="1" applyBorder="1" applyAlignment="1" applyProtection="1">
      <alignment vertical="top" wrapText="1"/>
      <protection hidden="1"/>
    </xf>
    <xf numFmtId="0" fontId="8" fillId="0" borderId="2" xfId="1" applyFont="1" applyFill="1" applyBorder="1" applyAlignment="1" applyProtection="1">
      <alignment vertical="top" wrapText="1"/>
      <protection hidden="1"/>
    </xf>
    <xf numFmtId="0" fontId="10" fillId="6" borderId="2" xfId="0" applyFont="1" applyFill="1" applyBorder="1" applyProtection="1">
      <protection hidden="1"/>
    </xf>
    <xf numFmtId="0" fontId="15" fillId="3" borderId="4" xfId="0" applyFont="1" applyFill="1" applyBorder="1" applyAlignment="1" applyProtection="1">
      <alignment vertical="top" wrapText="1"/>
      <protection hidden="1"/>
    </xf>
    <xf numFmtId="0" fontId="2" fillId="0" borderId="6" xfId="0" applyFont="1" applyBorder="1" applyAlignment="1" applyProtection="1">
      <alignment vertical="top" wrapText="1"/>
      <protection hidden="1"/>
    </xf>
    <xf numFmtId="0" fontId="2" fillId="0" borderId="6" xfId="0" applyFont="1" applyBorder="1" applyAlignment="1" applyProtection="1">
      <alignment horizontal="center" vertical="top" wrapText="1"/>
      <protection hidden="1"/>
    </xf>
    <xf numFmtId="0" fontId="2" fillId="0" borderId="6" xfId="0" applyFont="1" applyBorder="1" applyAlignment="1" applyProtection="1">
      <alignment vertical="top" textRotation="90" wrapText="1"/>
      <protection hidden="1"/>
    </xf>
    <xf numFmtId="0" fontId="2" fillId="2" borderId="6" xfId="0" applyFont="1" applyFill="1" applyBorder="1" applyAlignment="1" applyProtection="1">
      <alignment horizontal="center" vertical="top" wrapText="1"/>
      <protection hidden="1"/>
    </xf>
    <xf numFmtId="0" fontId="0" fillId="0" borderId="6" xfId="0" applyBorder="1" applyAlignment="1" applyProtection="1">
      <alignment vertical="top"/>
      <protection hidden="1"/>
    </xf>
    <xf numFmtId="49" fontId="0" fillId="0" borderId="6" xfId="0" applyNumberFormat="1" applyBorder="1"/>
    <xf numFmtId="0" fontId="6" fillId="0" borderId="6" xfId="0" applyFont="1" applyBorder="1" applyAlignment="1" applyProtection="1">
      <alignment vertical="top" wrapText="1"/>
      <protection hidden="1"/>
    </xf>
    <xf numFmtId="0" fontId="7" fillId="0" borderId="6" xfId="0" applyFont="1" applyBorder="1" applyAlignment="1" applyProtection="1">
      <alignment vertical="top" wrapText="1"/>
      <protection hidden="1"/>
    </xf>
    <xf numFmtId="0" fontId="4" fillId="0" borderId="6" xfId="0" applyFont="1" applyBorder="1" applyAlignment="1" applyProtection="1">
      <alignment vertical="top" wrapText="1"/>
      <protection hidden="1"/>
    </xf>
    <xf numFmtId="0" fontId="0" fillId="0" borderId="6" xfId="0" applyBorder="1" applyAlignment="1" applyProtection="1">
      <alignment vertical="top" wrapText="1"/>
      <protection hidden="1"/>
    </xf>
    <xf numFmtId="0" fontId="4" fillId="0" borderId="6" xfId="0" applyFont="1" applyBorder="1" applyAlignment="1" applyProtection="1">
      <alignment vertical="top"/>
      <protection hidden="1"/>
    </xf>
    <xf numFmtId="3" fontId="2" fillId="0" borderId="6" xfId="0" quotePrefix="1" applyNumberFormat="1" applyFont="1" applyBorder="1" applyAlignment="1" applyProtection="1">
      <alignment vertical="top" wrapText="1"/>
      <protection hidden="1"/>
    </xf>
    <xf numFmtId="0" fontId="9" fillId="0" borderId="6" xfId="0" applyFont="1" applyBorder="1" applyAlignment="1" applyProtection="1">
      <alignment vertical="top" wrapText="1"/>
      <protection hidden="1"/>
    </xf>
    <xf numFmtId="0" fontId="4" fillId="0" borderId="6" xfId="0" applyFont="1" applyBorder="1" applyAlignment="1" applyProtection="1">
      <alignment horizontal="left" vertical="top" wrapText="1"/>
      <protection hidden="1"/>
    </xf>
    <xf numFmtId="0" fontId="21" fillId="0" borderId="6" xfId="0" applyFont="1" applyBorder="1" applyAlignment="1" applyProtection="1">
      <alignment horizontal="center" vertical="top" wrapText="1"/>
      <protection hidden="1"/>
    </xf>
    <xf numFmtId="0" fontId="10" fillId="0" borderId="6" xfId="0" applyFont="1" applyBorder="1" applyAlignment="1" applyProtection="1">
      <alignment vertical="top" wrapText="1"/>
      <protection hidden="1"/>
    </xf>
    <xf numFmtId="49" fontId="2" fillId="0" borderId="6" xfId="0" applyNumberFormat="1" applyFont="1" applyBorder="1" applyAlignment="1" applyProtection="1">
      <alignment vertical="top" wrapText="1"/>
      <protection hidden="1"/>
    </xf>
    <xf numFmtId="49" fontId="4" fillId="0" borderId="6" xfId="0" applyNumberFormat="1" applyFont="1" applyBorder="1" applyAlignment="1" applyProtection="1">
      <alignment vertical="top" wrapText="1"/>
      <protection hidden="1"/>
    </xf>
    <xf numFmtId="0" fontId="4" fillId="4" borderId="6" xfId="0" applyFont="1" applyFill="1" applyBorder="1" applyAlignment="1" applyProtection="1">
      <alignment vertical="top" wrapText="1"/>
      <protection hidden="1"/>
    </xf>
    <xf numFmtId="0" fontId="2" fillId="4" borderId="6" xfId="0" applyFont="1" applyFill="1" applyBorder="1" applyAlignment="1" applyProtection="1">
      <alignment vertical="top" wrapText="1"/>
      <protection hidden="1"/>
    </xf>
    <xf numFmtId="0" fontId="4" fillId="6" borderId="6" xfId="0" applyFont="1" applyFill="1" applyBorder="1" applyAlignment="1" applyProtection="1">
      <alignment vertical="top" wrapText="1"/>
      <protection hidden="1"/>
    </xf>
    <xf numFmtId="0" fontId="6" fillId="4" borderId="6" xfId="0" applyFont="1" applyFill="1" applyBorder="1" applyAlignment="1" applyProtection="1">
      <alignment vertical="top" wrapText="1"/>
      <protection hidden="1"/>
    </xf>
    <xf numFmtId="0" fontId="9" fillId="4" borderId="6" xfId="0" applyFont="1" applyFill="1" applyBorder="1" applyAlignment="1" applyProtection="1">
      <alignment vertical="top" wrapText="1"/>
      <protection hidden="1"/>
    </xf>
    <xf numFmtId="0" fontId="2" fillId="5" borderId="6" xfId="0" applyFont="1" applyFill="1" applyBorder="1" applyAlignment="1" applyProtection="1">
      <alignment vertical="top" wrapText="1"/>
      <protection hidden="1"/>
    </xf>
    <xf numFmtId="0" fontId="4" fillId="5" borderId="6" xfId="0" applyFont="1" applyFill="1" applyBorder="1" applyAlignment="1" applyProtection="1">
      <alignment vertical="top" wrapText="1"/>
      <protection hidden="1"/>
    </xf>
    <xf numFmtId="0" fontId="8" fillId="0" borderId="6" xfId="1" applyFont="1" applyFill="1" applyBorder="1" applyAlignment="1" applyProtection="1">
      <alignment vertical="top" wrapText="1"/>
      <protection hidden="1"/>
    </xf>
    <xf numFmtId="0" fontId="4" fillId="0" borderId="6" xfId="0" applyFont="1" applyBorder="1" applyAlignment="1" applyProtection="1">
      <alignment horizontal="center" vertical="top" wrapText="1"/>
      <protection hidden="1"/>
    </xf>
    <xf numFmtId="0" fontId="11" fillId="0" borderId="6" xfId="1" applyFont="1" applyFill="1" applyBorder="1" applyAlignment="1" applyProtection="1">
      <alignment vertical="top" wrapText="1"/>
      <protection hidden="1"/>
    </xf>
    <xf numFmtId="0" fontId="1" fillId="0" borderId="6" xfId="1" applyFill="1" applyBorder="1" applyAlignment="1" applyProtection="1">
      <alignment vertical="top" wrapText="1"/>
      <protection hidden="1"/>
    </xf>
    <xf numFmtId="0" fontId="2" fillId="4" borderId="6" xfId="0" applyFont="1" applyFill="1" applyBorder="1" applyAlignment="1" applyProtection="1">
      <alignment horizontal="center" vertical="top" wrapText="1"/>
      <protection hidden="1"/>
    </xf>
    <xf numFmtId="0" fontId="2" fillId="5" borderId="6" xfId="0" applyFont="1" applyFill="1" applyBorder="1" applyAlignment="1" applyProtection="1">
      <alignment horizontal="center" vertical="top" wrapText="1"/>
      <protection hidden="1"/>
    </xf>
    <xf numFmtId="0" fontId="0" fillId="5" borderId="6" xfId="0" applyFill="1" applyBorder="1" applyAlignment="1" applyProtection="1">
      <alignment vertical="top" wrapText="1"/>
      <protection hidden="1"/>
    </xf>
    <xf numFmtId="0" fontId="0" fillId="4" borderId="6" xfId="0" applyFill="1" applyBorder="1" applyAlignment="1" applyProtection="1">
      <alignment vertical="top" wrapText="1"/>
      <protection hidden="1"/>
    </xf>
    <xf numFmtId="0" fontId="21" fillId="4" borderId="6" xfId="0" applyFont="1" applyFill="1" applyBorder="1" applyAlignment="1" applyProtection="1">
      <alignment horizontal="center" vertical="top" wrapText="1"/>
      <protection hidden="1"/>
    </xf>
    <xf numFmtId="0" fontId="21" fillId="5" borderId="6" xfId="0" applyFont="1" applyFill="1" applyBorder="1" applyAlignment="1" applyProtection="1">
      <alignment horizontal="center" vertical="top" wrapText="1"/>
      <protection hidden="1"/>
    </xf>
    <xf numFmtId="44" fontId="2" fillId="4" borderId="6" xfId="0" applyNumberFormat="1" applyFont="1" applyFill="1" applyBorder="1" applyAlignment="1" applyProtection="1">
      <alignment vertical="top" wrapText="1"/>
      <protection hidden="1"/>
    </xf>
    <xf numFmtId="0" fontId="8" fillId="5" borderId="6" xfId="1" applyFont="1" applyFill="1" applyBorder="1" applyAlignment="1" applyProtection="1">
      <alignment vertical="top" wrapText="1"/>
      <protection hidden="1"/>
    </xf>
    <xf numFmtId="44" fontId="4" fillId="5" borderId="6" xfId="0" applyNumberFormat="1" applyFont="1" applyFill="1" applyBorder="1" applyAlignment="1" applyProtection="1">
      <alignment vertical="top" wrapText="1"/>
      <protection hidden="1"/>
    </xf>
    <xf numFmtId="0" fontId="10" fillId="0" borderId="6" xfId="0" applyFont="1" applyBorder="1" applyAlignment="1" applyProtection="1">
      <alignment horizontal="center" vertical="top" wrapText="1"/>
      <protection hidden="1"/>
    </xf>
    <xf numFmtId="0" fontId="10" fillId="5" borderId="6" xfId="0" quotePrefix="1" applyFont="1" applyFill="1" applyBorder="1" applyAlignment="1" applyProtection="1">
      <alignment vertical="top" wrapText="1"/>
      <protection hidden="1"/>
    </xf>
    <xf numFmtId="0" fontId="10" fillId="5" borderId="6" xfId="0" applyFont="1" applyFill="1" applyBorder="1" applyAlignment="1" applyProtection="1">
      <alignment vertical="top" wrapText="1"/>
      <protection hidden="1"/>
    </xf>
    <xf numFmtId="0" fontId="4" fillId="0" borderId="6" xfId="0" quotePrefix="1" applyFont="1" applyBorder="1" applyAlignment="1" applyProtection="1">
      <alignment vertical="top" wrapText="1"/>
      <protection hidden="1"/>
    </xf>
    <xf numFmtId="0" fontId="10" fillId="0" borderId="6" xfId="0" applyFont="1" applyBorder="1" applyAlignment="1" applyProtection="1">
      <alignment vertical="top"/>
      <protection hidden="1"/>
    </xf>
    <xf numFmtId="0" fontId="10" fillId="0" borderId="6" xfId="0" quotePrefix="1" applyFont="1" applyBorder="1" applyAlignment="1" applyProtection="1">
      <alignment vertical="top" wrapText="1"/>
      <protection hidden="1"/>
    </xf>
    <xf numFmtId="0" fontId="0" fillId="0" borderId="6" xfId="0" applyBorder="1" applyAlignment="1" applyProtection="1">
      <alignment horizontal="left" vertical="top" wrapText="1"/>
      <protection hidden="1"/>
    </xf>
    <xf numFmtId="0" fontId="2" fillId="6" borderId="6" xfId="0" applyFont="1" applyFill="1" applyBorder="1" applyAlignment="1" applyProtection="1">
      <alignment vertical="top" wrapText="1"/>
      <protection hidden="1"/>
    </xf>
    <xf numFmtId="0" fontId="9" fillId="5" borderId="6" xfId="0" applyFont="1" applyFill="1" applyBorder="1" applyAlignment="1" applyProtection="1">
      <alignment vertical="top" wrapText="1"/>
      <protection hidden="1"/>
    </xf>
    <xf numFmtId="0" fontId="9" fillId="0" borderId="6" xfId="0" applyFont="1" applyBorder="1" applyAlignment="1" applyProtection="1">
      <alignment horizontal="center" vertical="top" wrapText="1"/>
      <protection hidden="1"/>
    </xf>
    <xf numFmtId="17" fontId="4" fillId="0" borderId="6" xfId="0" applyNumberFormat="1" applyFont="1" applyBorder="1" applyAlignment="1" applyProtection="1">
      <alignment horizontal="center" vertical="top" wrapText="1"/>
      <protection hidden="1"/>
    </xf>
    <xf numFmtId="14" fontId="4" fillId="0" borderId="6" xfId="0" applyNumberFormat="1" applyFont="1" applyBorder="1" applyAlignment="1" applyProtection="1">
      <alignment horizontal="center" vertical="top" wrapText="1"/>
      <protection hidden="1"/>
    </xf>
    <xf numFmtId="0" fontId="0" fillId="5" borderId="6" xfId="0" applyFill="1" applyBorder="1" applyAlignment="1" applyProtection="1">
      <alignment horizontal="left" vertical="top" wrapText="1"/>
      <protection hidden="1"/>
    </xf>
    <xf numFmtId="0" fontId="6" fillId="5" borderId="6" xfId="0" applyFont="1" applyFill="1" applyBorder="1" applyAlignment="1" applyProtection="1">
      <alignment vertical="top" wrapText="1"/>
      <protection hidden="1"/>
    </xf>
    <xf numFmtId="0" fontId="2" fillId="0" borderId="6" xfId="0" quotePrefix="1" applyFont="1" applyBorder="1" applyAlignment="1" applyProtection="1">
      <alignment vertical="top" wrapText="1"/>
      <protection hidden="1"/>
    </xf>
    <xf numFmtId="0" fontId="4" fillId="4" borderId="6" xfId="0" applyFont="1" applyFill="1" applyBorder="1" applyAlignment="1" applyProtection="1">
      <alignment horizontal="center" vertical="top" wrapText="1"/>
      <protection hidden="1"/>
    </xf>
    <xf numFmtId="164" fontId="4" fillId="4" borderId="6" xfId="0" applyNumberFormat="1" applyFont="1" applyFill="1" applyBorder="1" applyAlignment="1" applyProtection="1">
      <alignment horizontal="center" vertical="top" wrapText="1"/>
      <protection hidden="1"/>
    </xf>
    <xf numFmtId="17" fontId="0" fillId="5" borderId="6" xfId="0" applyNumberFormat="1" applyFill="1" applyBorder="1" applyAlignment="1" applyProtection="1">
      <alignment vertical="top" wrapText="1"/>
      <protection hidden="1"/>
    </xf>
    <xf numFmtId="0" fontId="4" fillId="0" borderId="6" xfId="0" applyFont="1" applyBorder="1"/>
    <xf numFmtId="0" fontId="8" fillId="0" borderId="6" xfId="1" applyFont="1" applyBorder="1" applyAlignment="1" applyProtection="1"/>
    <xf numFmtId="0" fontId="8" fillId="0" borderId="6" xfId="1" applyFont="1" applyBorder="1" applyAlignment="1" applyProtection="1">
      <alignment vertical="top" wrapText="1"/>
      <protection hidden="1"/>
    </xf>
    <xf numFmtId="17" fontId="2" fillId="0" borderId="6" xfId="0" applyNumberFormat="1" applyFont="1" applyBorder="1" applyAlignment="1" applyProtection="1">
      <alignment horizontal="center" vertical="top" wrapText="1"/>
      <protection hidden="1"/>
    </xf>
    <xf numFmtId="0" fontId="0" fillId="6" borderId="6" xfId="0" applyFill="1" applyBorder="1" applyAlignment="1" applyProtection="1">
      <alignment vertical="top" wrapText="1"/>
      <protection hidden="1"/>
    </xf>
    <xf numFmtId="0" fontId="21" fillId="6" borderId="6" xfId="0" applyFont="1" applyFill="1" applyBorder="1" applyAlignment="1" applyProtection="1">
      <alignment horizontal="center" vertical="top" wrapText="1"/>
      <protection hidden="1"/>
    </xf>
    <xf numFmtId="0" fontId="4" fillId="5" borderId="6" xfId="0" quotePrefix="1" applyFont="1" applyFill="1" applyBorder="1" applyAlignment="1" applyProtection="1">
      <alignment vertical="top" wrapText="1"/>
      <protection hidden="1"/>
    </xf>
    <xf numFmtId="0" fontId="2" fillId="5" borderId="6" xfId="0" quotePrefix="1" applyFont="1" applyFill="1" applyBorder="1" applyAlignment="1" applyProtection="1">
      <alignment horizontal="center" vertical="top" wrapText="1"/>
      <protection hidden="1"/>
    </xf>
    <xf numFmtId="0" fontId="2" fillId="5" borderId="6" xfId="0" quotePrefix="1" applyFont="1" applyFill="1" applyBorder="1" applyAlignment="1" applyProtection="1">
      <alignment vertical="top" wrapText="1"/>
      <protection hidden="1"/>
    </xf>
    <xf numFmtId="0" fontId="9" fillId="5" borderId="6" xfId="0" quotePrefix="1" applyFont="1" applyFill="1" applyBorder="1" applyAlignment="1" applyProtection="1">
      <alignment vertical="top" wrapText="1"/>
      <protection hidden="1"/>
    </xf>
    <xf numFmtId="0" fontId="2" fillId="0" borderId="6" xfId="0" quotePrefix="1" applyFont="1" applyBorder="1" applyAlignment="1" applyProtection="1">
      <alignment horizontal="center" vertical="top" wrapText="1"/>
      <protection hidden="1"/>
    </xf>
    <xf numFmtId="0" fontId="9" fillId="0" borderId="6" xfId="0" quotePrefix="1" applyFont="1" applyBorder="1" applyAlignment="1" applyProtection="1">
      <alignment vertical="top" wrapText="1"/>
      <protection hidden="1"/>
    </xf>
    <xf numFmtId="0" fontId="6" fillId="0" borderId="6" xfId="0" quotePrefix="1" applyFont="1" applyBorder="1" applyAlignment="1" applyProtection="1">
      <alignment vertical="top" wrapText="1"/>
      <protection hidden="1"/>
    </xf>
    <xf numFmtId="0" fontId="4" fillId="0" borderId="6" xfId="0" quotePrefix="1" applyFont="1" applyBorder="1" applyAlignment="1" applyProtection="1">
      <alignment horizontal="left" vertical="top" wrapText="1"/>
      <protection hidden="1"/>
    </xf>
    <xf numFmtId="164" fontId="4" fillId="0" borderId="6" xfId="0" applyNumberFormat="1" applyFont="1" applyBorder="1" applyAlignment="1" applyProtection="1">
      <alignment horizontal="center" vertical="top" wrapText="1"/>
      <protection hidden="1"/>
    </xf>
    <xf numFmtId="0" fontId="8" fillId="0" borderId="6" xfId="1" quotePrefix="1" applyFont="1" applyFill="1" applyBorder="1" applyAlignment="1" applyProtection="1">
      <alignment vertical="top" wrapText="1"/>
      <protection hidden="1"/>
    </xf>
    <xf numFmtId="49" fontId="4" fillId="0" borderId="6" xfId="0" applyNumberFormat="1" applyFont="1" applyBorder="1" applyAlignment="1" applyProtection="1">
      <alignment horizontal="left" vertical="top" wrapText="1"/>
      <protection hidden="1"/>
    </xf>
    <xf numFmtId="49" fontId="4" fillId="0" borderId="6" xfId="0" quotePrefix="1" applyNumberFormat="1" applyFont="1" applyBorder="1" applyAlignment="1" applyProtection="1">
      <alignment vertical="top" wrapText="1"/>
      <protection hidden="1"/>
    </xf>
    <xf numFmtId="0" fontId="2" fillId="6" borderId="6" xfId="0" applyFont="1" applyFill="1" applyBorder="1" applyAlignment="1" applyProtection="1">
      <alignment horizontal="center" vertical="top" wrapText="1"/>
      <protection hidden="1"/>
    </xf>
    <xf numFmtId="0" fontId="4" fillId="7" borderId="6" xfId="0" applyFont="1" applyFill="1" applyBorder="1" applyAlignment="1" applyProtection="1">
      <alignment vertical="top" wrapText="1"/>
      <protection hidden="1"/>
    </xf>
    <xf numFmtId="0" fontId="4" fillId="0" borderId="6" xfId="0" applyFont="1" applyBorder="1" applyAlignment="1">
      <alignment vertical="center" wrapText="1"/>
    </xf>
    <xf numFmtId="0" fontId="8" fillId="0" borderId="6" xfId="1" applyFont="1" applyBorder="1" applyAlignment="1" applyProtection="1">
      <alignment vertical="center" wrapText="1"/>
    </xf>
    <xf numFmtId="0" fontId="5" fillId="0" borderId="6" xfId="0" applyFont="1" applyBorder="1" applyAlignment="1" applyProtection="1">
      <alignment vertical="top" wrapText="1"/>
      <protection hidden="1"/>
    </xf>
    <xf numFmtId="0" fontId="19" fillId="0" borderId="6" xfId="0" applyFont="1" applyBorder="1" applyAlignment="1">
      <alignment horizontal="left" vertical="top"/>
    </xf>
    <xf numFmtId="0" fontId="2" fillId="0" borderId="6" xfId="0" applyFont="1" applyBorder="1" applyAlignment="1" applyProtection="1">
      <alignment vertical="top"/>
      <protection hidden="1"/>
    </xf>
    <xf numFmtId="0" fontId="2" fillId="0" borderId="6" xfId="0" applyFont="1" applyBorder="1" applyAlignment="1" applyProtection="1">
      <alignment horizontal="left" vertical="top" wrapText="1"/>
      <protection hidden="1"/>
    </xf>
    <xf numFmtId="0" fontId="10" fillId="0" borderId="6" xfId="0" applyFont="1" applyBorder="1" applyAlignment="1" applyProtection="1">
      <alignment horizontal="left" vertical="top" wrapText="1"/>
      <protection hidden="1"/>
    </xf>
    <xf numFmtId="0" fontId="8" fillId="7" borderId="6" xfId="1" applyFont="1" applyFill="1" applyBorder="1" applyAlignment="1" applyProtection="1">
      <alignment vertical="top" wrapText="1"/>
      <protection hidden="1"/>
    </xf>
    <xf numFmtId="0" fontId="8" fillId="0" borderId="6" xfId="1" applyFont="1" applyFill="1" applyBorder="1" applyAlignment="1" applyProtection="1">
      <alignment horizontal="left" vertical="top" wrapText="1"/>
      <protection hidden="1"/>
    </xf>
    <xf numFmtId="49" fontId="10" fillId="0" borderId="6" xfId="0" applyNumberFormat="1" applyFont="1" applyBorder="1" applyAlignment="1" applyProtection="1">
      <alignment vertical="top" wrapText="1"/>
      <protection hidden="1"/>
    </xf>
    <xf numFmtId="0" fontId="11" fillId="0" borderId="6" xfId="1" applyFont="1" applyBorder="1" applyAlignment="1" applyProtection="1">
      <alignment vertical="top" wrapText="1"/>
      <protection hidden="1"/>
    </xf>
    <xf numFmtId="0" fontId="0" fillId="6" borderId="6" xfId="0" applyFill="1" applyBorder="1" applyAlignment="1" applyProtection="1">
      <alignment vertical="top"/>
      <protection hidden="1"/>
    </xf>
    <xf numFmtId="0" fontId="10" fillId="6" borderId="6" xfId="0" applyFont="1" applyFill="1" applyBorder="1" applyAlignment="1" applyProtection="1">
      <alignment vertical="top" wrapText="1"/>
      <protection hidden="1"/>
    </xf>
    <xf numFmtId="0" fontId="4" fillId="6" borderId="6" xfId="0" applyFont="1" applyFill="1" applyBorder="1" applyProtection="1">
      <protection hidden="1"/>
    </xf>
    <xf numFmtId="0" fontId="0" fillId="6" borderId="6" xfId="0" applyFill="1" applyBorder="1" applyProtection="1">
      <protection hidden="1"/>
    </xf>
    <xf numFmtId="0" fontId="20" fillId="0" borderId="6" xfId="0" applyFont="1" applyBorder="1" applyAlignment="1">
      <alignment vertical="top"/>
    </xf>
    <xf numFmtId="0" fontId="8" fillId="0" borderId="6" xfId="1" applyFont="1" applyBorder="1" applyAlignment="1" applyProtection="1">
      <alignment vertical="center"/>
    </xf>
    <xf numFmtId="0" fontId="6" fillId="0" borderId="0" xfId="0" applyFont="1" applyAlignment="1" applyProtection="1">
      <alignment vertical="top" wrapText="1"/>
      <protection hidden="1"/>
    </xf>
    <xf numFmtId="0" fontId="9" fillId="0" borderId="0" xfId="0" applyFont="1" applyAlignment="1" applyProtection="1">
      <alignment vertical="top" wrapText="1"/>
      <protection hidden="1"/>
    </xf>
    <xf numFmtId="0" fontId="10" fillId="0" borderId="0" xfId="0" applyFont="1" applyAlignment="1" applyProtection="1">
      <alignment vertical="top" wrapText="1"/>
      <protection hidden="1"/>
    </xf>
    <xf numFmtId="0" fontId="4" fillId="0" borderId="0" xfId="0" applyFont="1" applyAlignment="1" applyProtection="1">
      <alignment horizontal="left" vertical="top" wrapText="1"/>
      <protection hidden="1"/>
    </xf>
    <xf numFmtId="49" fontId="4" fillId="0" borderId="0" xfId="0" applyNumberFormat="1" applyFont="1" applyAlignment="1" applyProtection="1">
      <alignment vertical="top" wrapText="1"/>
      <protection hidden="1"/>
    </xf>
    <xf numFmtId="0" fontId="8" fillId="0" borderId="0" xfId="1" applyFont="1" applyBorder="1" applyAlignment="1" applyProtection="1">
      <alignment vertical="top" wrapText="1"/>
      <protection hidden="1"/>
    </xf>
    <xf numFmtId="0" fontId="10" fillId="0" borderId="0" xfId="0" applyFont="1" applyAlignment="1" applyProtection="1">
      <alignment horizontal="center" vertical="top" wrapText="1"/>
      <protection hidden="1"/>
    </xf>
    <xf numFmtId="0" fontId="14" fillId="5" borderId="6" xfId="0" applyFont="1" applyFill="1" applyBorder="1" applyAlignment="1" applyProtection="1">
      <alignment vertical="top" wrapText="1"/>
      <protection hidden="1"/>
    </xf>
    <xf numFmtId="0" fontId="14" fillId="6" borderId="17" xfId="0" applyFont="1" applyFill="1" applyBorder="1" applyAlignment="1" applyProtection="1">
      <alignment vertical="top"/>
      <protection hidden="1"/>
    </xf>
    <xf numFmtId="0" fontId="15" fillId="0" borderId="6" xfId="0" applyFont="1" applyBorder="1" applyAlignment="1" applyProtection="1">
      <alignment horizontal="center" vertical="top" wrapText="1"/>
      <protection hidden="1"/>
    </xf>
    <xf numFmtId="0" fontId="22" fillId="5" borderId="6" xfId="0" applyFont="1" applyFill="1" applyBorder="1" applyAlignment="1" applyProtection="1">
      <alignment horizontal="center" vertical="top" wrapText="1"/>
      <protection hidden="1"/>
    </xf>
    <xf numFmtId="0" fontId="0" fillId="5" borderId="6" xfId="0" applyFill="1" applyBorder="1" applyAlignment="1" applyProtection="1">
      <alignment horizontal="center" vertical="top" wrapText="1"/>
      <protection hidden="1"/>
    </xf>
    <xf numFmtId="0" fontId="22" fillId="0" borderId="6" xfId="0" applyFont="1" applyBorder="1" applyAlignment="1" applyProtection="1">
      <alignment horizontal="center" vertical="top" wrapText="1"/>
      <protection hidden="1"/>
    </xf>
    <xf numFmtId="0" fontId="0" fillId="0" borderId="6" xfId="0" applyBorder="1" applyAlignment="1" applyProtection="1">
      <alignment horizontal="center" vertical="top" wrapText="1"/>
      <protection hidden="1"/>
    </xf>
    <xf numFmtId="0" fontId="4" fillId="5" borderId="6" xfId="0" applyFont="1" applyFill="1" applyBorder="1" applyAlignment="1" applyProtection="1">
      <alignment horizontal="center" vertical="top" wrapText="1"/>
      <protection hidden="1"/>
    </xf>
    <xf numFmtId="0" fontId="0" fillId="4" borderId="6" xfId="0" applyFill="1" applyBorder="1" applyAlignment="1" applyProtection="1">
      <alignment horizontal="center" vertical="top" wrapText="1"/>
      <protection hidden="1"/>
    </xf>
    <xf numFmtId="0" fontId="0" fillId="5" borderId="4" xfId="0" applyFill="1" applyBorder="1" applyAlignment="1" applyProtection="1">
      <alignment horizontal="center" vertical="top" wrapText="1"/>
      <protection hidden="1"/>
    </xf>
    <xf numFmtId="0" fontId="0" fillId="6" borderId="6" xfId="0" applyFill="1" applyBorder="1" applyAlignment="1" applyProtection="1">
      <alignment horizontal="center" vertical="top" wrapText="1"/>
      <protection hidden="1"/>
    </xf>
    <xf numFmtId="0" fontId="4" fillId="5" borderId="6" xfId="0" quotePrefix="1" applyFont="1" applyFill="1" applyBorder="1" applyAlignment="1" applyProtection="1">
      <alignment horizontal="center" vertical="top" wrapText="1"/>
      <protection hidden="1"/>
    </xf>
    <xf numFmtId="0" fontId="10" fillId="0" borderId="6" xfId="0" quotePrefix="1" applyFont="1" applyBorder="1" applyAlignment="1" applyProtection="1">
      <alignment horizontal="center" vertical="top" wrapText="1"/>
      <protection hidden="1"/>
    </xf>
    <xf numFmtId="0" fontId="4" fillId="5" borderId="1" xfId="0" applyFont="1" applyFill="1" applyBorder="1" applyAlignment="1" applyProtection="1">
      <alignment horizontal="center" vertical="top" wrapText="1"/>
      <protection hidden="1"/>
    </xf>
    <xf numFmtId="0" fontId="4" fillId="5" borderId="12" xfId="0" applyFont="1" applyFill="1" applyBorder="1" applyAlignment="1" applyProtection="1">
      <alignment horizontal="center" vertical="top" wrapText="1"/>
      <protection hidden="1"/>
    </xf>
    <xf numFmtId="0" fontId="0" fillId="6" borderId="2" xfId="0" applyFill="1" applyBorder="1" applyAlignment="1" applyProtection="1">
      <alignment horizontal="center" vertical="top" wrapText="1"/>
      <protection hidden="1"/>
    </xf>
    <xf numFmtId="0" fontId="0" fillId="5" borderId="11" xfId="0" applyFill="1" applyBorder="1" applyAlignment="1" applyProtection="1">
      <alignment horizontal="center" vertical="top" wrapText="1"/>
      <protection hidden="1"/>
    </xf>
    <xf numFmtId="0" fontId="14" fillId="6" borderId="2" xfId="0" applyFont="1" applyFill="1" applyBorder="1" applyAlignment="1" applyProtection="1">
      <alignment horizontal="center" vertical="top" wrapText="1"/>
      <protection hidden="1"/>
    </xf>
    <xf numFmtId="0" fontId="14" fillId="5" borderId="11" xfId="0" applyFont="1" applyFill="1" applyBorder="1" applyAlignment="1" applyProtection="1">
      <alignment horizontal="center" vertical="top" wrapText="1"/>
      <protection hidden="1"/>
    </xf>
    <xf numFmtId="0" fontId="14" fillId="0" borderId="2" xfId="0" applyFont="1" applyBorder="1" applyAlignment="1" applyProtection="1">
      <alignment horizontal="center" vertical="top" wrapText="1"/>
      <protection hidden="1"/>
    </xf>
    <xf numFmtId="0" fontId="0" fillId="0" borderId="17" xfId="0" applyBorder="1" applyProtection="1">
      <protection hidden="1"/>
    </xf>
    <xf numFmtId="0" fontId="4" fillId="0" borderId="17" xfId="0" applyFont="1" applyBorder="1" applyAlignment="1" applyProtection="1">
      <alignment vertical="top" wrapText="1"/>
      <protection hidden="1"/>
    </xf>
    <xf numFmtId="0" fontId="10" fillId="0" borderId="17" xfId="0" applyFont="1"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5" xfId="0" applyBorder="1" applyAlignment="1" applyProtection="1">
      <alignment vertical="top" wrapText="1"/>
      <protection hidden="1"/>
    </xf>
    <xf numFmtId="0" fontId="4" fillId="0" borderId="17" xfId="0" applyFont="1" applyBorder="1" applyProtection="1">
      <protection hidden="1"/>
    </xf>
    <xf numFmtId="165" fontId="0" fillId="0" borderId="20" xfId="0" applyNumberFormat="1" applyBorder="1" applyProtection="1">
      <protection hidden="1"/>
    </xf>
    <xf numFmtId="165" fontId="0" fillId="0" borderId="0" xfId="0" applyNumberFormat="1" applyProtection="1">
      <protection hidden="1"/>
    </xf>
    <xf numFmtId="165" fontId="0" fillId="0" borderId="6" xfId="0" applyNumberFormat="1" applyBorder="1" applyProtection="1">
      <protection hidden="1"/>
    </xf>
    <xf numFmtId="0" fontId="0" fillId="0" borderId="6" xfId="0" applyBorder="1" applyAlignment="1" applyProtection="1">
      <alignment horizontal="center"/>
      <protection hidden="1"/>
    </xf>
    <xf numFmtId="0" fontId="4" fillId="0" borderId="6" xfId="0" quotePrefix="1" applyFont="1" applyBorder="1" applyAlignment="1" applyProtection="1">
      <alignment horizontal="center" vertical="top" wrapText="1"/>
      <protection hidden="1"/>
    </xf>
    <xf numFmtId="0" fontId="4" fillId="6" borderId="6" xfId="0" applyFont="1" applyFill="1" applyBorder="1" applyAlignment="1" applyProtection="1">
      <alignment horizontal="center" vertical="top" wrapText="1"/>
      <protection hidden="1"/>
    </xf>
    <xf numFmtId="0" fontId="0" fillId="0" borderId="0" xfId="0" applyAlignment="1" applyProtection="1">
      <alignment horizontal="center" vertical="top" wrapText="1"/>
      <protection hidden="1"/>
    </xf>
    <xf numFmtId="0" fontId="10" fillId="0" borderId="2" xfId="0" applyFont="1" applyBorder="1" applyAlignment="1" applyProtection="1">
      <alignment horizontal="center" vertical="top" wrapText="1"/>
      <protection hidden="1"/>
    </xf>
    <xf numFmtId="0" fontId="10" fillId="0" borderId="11" xfId="0" applyFont="1" applyBorder="1" applyAlignment="1" applyProtection="1">
      <alignment horizontal="center" vertical="top" wrapText="1"/>
      <protection hidden="1"/>
    </xf>
    <xf numFmtId="0" fontId="0" fillId="0" borderId="2" xfId="0" applyBorder="1" applyAlignment="1" applyProtection="1">
      <alignment horizontal="center" vertical="top" wrapText="1"/>
      <protection hidden="1"/>
    </xf>
    <xf numFmtId="0" fontId="0" fillId="0" borderId="4" xfId="0" applyBorder="1" applyAlignment="1" applyProtection="1">
      <alignment horizontal="center" vertical="top" wrapText="1"/>
      <protection hidden="1"/>
    </xf>
    <xf numFmtId="0" fontId="0" fillId="0" borderId="11" xfId="0" applyBorder="1" applyAlignment="1" applyProtection="1">
      <alignment horizontal="center" vertical="top" wrapText="1"/>
      <protection hidden="1"/>
    </xf>
    <xf numFmtId="0" fontId="0" fillId="2" borderId="6"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22" fillId="0" borderId="0" xfId="0" applyFont="1" applyAlignment="1" applyProtection="1">
      <alignment vertical="top"/>
      <protection hidden="1"/>
    </xf>
    <xf numFmtId="4" fontId="2" fillId="0" borderId="0" xfId="0" applyNumberFormat="1" applyFont="1" applyAlignment="1" applyProtection="1">
      <alignment horizontal="center" vertical="top" wrapText="1"/>
      <protection hidden="1"/>
    </xf>
    <xf numFmtId="165" fontId="2" fillId="0" borderId="0" xfId="0" applyNumberFormat="1" applyFont="1" applyAlignment="1" applyProtection="1">
      <alignment horizontal="center" vertical="top" wrapText="1"/>
      <protection hidden="1"/>
    </xf>
    <xf numFmtId="44" fontId="0" fillId="0" borderId="17" xfId="0" applyNumberFormat="1" applyBorder="1" applyProtection="1">
      <protection hidden="1"/>
    </xf>
    <xf numFmtId="0" fontId="2" fillId="0" borderId="17" xfId="0" applyFont="1" applyBorder="1" applyProtection="1">
      <protection hidden="1"/>
    </xf>
    <xf numFmtId="0" fontId="0" fillId="0" borderId="17" xfId="0" applyBorder="1" applyAlignment="1" applyProtection="1">
      <alignment wrapText="1"/>
      <protection hidden="1"/>
    </xf>
    <xf numFmtId="0" fontId="10" fillId="0" borderId="17" xfId="0" applyFont="1" applyBorder="1" applyAlignment="1" applyProtection="1">
      <alignment wrapText="1"/>
      <protection hidden="1"/>
    </xf>
    <xf numFmtId="0" fontId="0" fillId="9" borderId="6" xfId="0" applyFill="1" applyBorder="1" applyAlignment="1" applyProtection="1">
      <alignment horizontal="center"/>
      <protection hidden="1"/>
    </xf>
    <xf numFmtId="0" fontId="0" fillId="9" borderId="20" xfId="0" applyFill="1" applyBorder="1" applyAlignment="1" applyProtection="1">
      <alignment horizontal="center"/>
      <protection hidden="1"/>
    </xf>
    <xf numFmtId="165" fontId="0" fillId="0" borderId="21" xfId="0" applyNumberFormat="1" applyBorder="1" applyProtection="1">
      <protection hidden="1"/>
    </xf>
    <xf numFmtId="165" fontId="0" fillId="0" borderId="22" xfId="0" applyNumberFormat="1" applyBorder="1" applyProtection="1">
      <protection hidden="1"/>
    </xf>
    <xf numFmtId="0" fontId="25" fillId="0" borderId="0" xfId="0" applyFont="1" applyAlignment="1" applyProtection="1">
      <alignment horizontal="left" vertical="top"/>
      <protection hidden="1"/>
    </xf>
    <xf numFmtId="0" fontId="25" fillId="0" borderId="0" xfId="0" applyFont="1" applyAlignment="1" applyProtection="1">
      <alignment horizontal="left" vertical="top" wrapText="1"/>
      <protection hidden="1"/>
    </xf>
    <xf numFmtId="0" fontId="23" fillId="0" borderId="6" xfId="0" applyFont="1" applyBorder="1" applyAlignment="1" applyProtection="1">
      <alignment horizontal="left" vertical="top" wrapText="1"/>
      <protection hidden="1"/>
    </xf>
    <xf numFmtId="4" fontId="0" fillId="2" borderId="6" xfId="0" applyNumberFormat="1" applyFill="1" applyBorder="1" applyProtection="1">
      <protection hidden="1"/>
    </xf>
    <xf numFmtId="1" fontId="0" fillId="5" borderId="6" xfId="0" applyNumberFormat="1" applyFill="1" applyBorder="1" applyAlignment="1" applyProtection="1">
      <alignment horizontal="center" vertical="top" wrapText="1"/>
      <protection hidden="1"/>
    </xf>
    <xf numFmtId="4" fontId="0" fillId="0" borderId="6" xfId="0" applyNumberFormat="1" applyBorder="1" applyProtection="1">
      <protection hidden="1"/>
    </xf>
    <xf numFmtId="165" fontId="0" fillId="0" borderId="18" xfId="0" applyNumberFormat="1" applyBorder="1" applyProtection="1">
      <protection hidden="1"/>
    </xf>
    <xf numFmtId="165" fontId="0" fillId="0" borderId="19" xfId="0" applyNumberFormat="1" applyBorder="1" applyProtection="1">
      <protection hidden="1"/>
    </xf>
    <xf numFmtId="165" fontId="0" fillId="9" borderId="6" xfId="0" applyNumberFormat="1" applyFill="1" applyBorder="1" applyAlignment="1" applyProtection="1">
      <alignment horizontal="center"/>
      <protection hidden="1"/>
    </xf>
    <xf numFmtId="165" fontId="0" fillId="9" borderId="6" xfId="0" applyNumberFormat="1" applyFill="1" applyBorder="1" applyProtection="1">
      <protection hidden="1"/>
    </xf>
    <xf numFmtId="4" fontId="0" fillId="9" borderId="6" xfId="0" applyNumberFormat="1" applyFill="1" applyBorder="1" applyAlignment="1" applyProtection="1">
      <alignment horizontal="center"/>
      <protection hidden="1"/>
    </xf>
    <xf numFmtId="1" fontId="2" fillId="0" borderId="0" xfId="0" applyNumberFormat="1" applyFont="1" applyAlignment="1" applyProtection="1">
      <alignment horizontal="center" vertical="top" wrapText="1"/>
      <protection hidden="1"/>
    </xf>
    <xf numFmtId="166" fontId="2" fillId="0" borderId="0" xfId="0" applyNumberFormat="1" applyFont="1" applyAlignment="1" applyProtection="1">
      <alignment horizontal="center" vertical="top" wrapText="1"/>
      <protection hidden="1"/>
    </xf>
    <xf numFmtId="3" fontId="2" fillId="0" borderId="0" xfId="0" applyNumberFormat="1" applyFont="1" applyAlignment="1" applyProtection="1">
      <alignment horizontal="center" vertical="top" wrapText="1"/>
      <protection hidden="1"/>
    </xf>
    <xf numFmtId="0" fontId="10" fillId="0" borderId="17" xfId="0" applyFont="1" applyBorder="1" applyAlignment="1" applyProtection="1">
      <alignment horizontal="center" vertical="top" wrapText="1"/>
      <protection hidden="1"/>
    </xf>
    <xf numFmtId="0" fontId="10" fillId="0" borderId="17" xfId="0" applyFont="1" applyBorder="1" applyProtection="1">
      <protection hidden="1"/>
    </xf>
    <xf numFmtId="0" fontId="4" fillId="0" borderId="17" xfId="0" applyFont="1" applyBorder="1" applyAlignment="1">
      <alignment wrapText="1"/>
    </xf>
    <xf numFmtId="1" fontId="0" fillId="0" borderId="0" xfId="0" applyNumberFormat="1" applyAlignment="1" applyProtection="1">
      <alignment vertical="top" wrapText="1"/>
      <protection hidden="1"/>
    </xf>
    <xf numFmtId="10" fontId="2" fillId="0" borderId="0" xfId="0" applyNumberFormat="1" applyFont="1" applyAlignment="1" applyProtection="1">
      <alignment horizontal="center" vertical="top" wrapText="1"/>
      <protection hidden="1"/>
    </xf>
    <xf numFmtId="9" fontId="2" fillId="0" borderId="0" xfId="0" applyNumberFormat="1" applyFont="1" applyAlignment="1" applyProtection="1">
      <alignment horizontal="center" vertical="top" wrapText="1"/>
      <protection hidden="1"/>
    </xf>
    <xf numFmtId="165" fontId="4" fillId="0" borderId="0" xfId="0" applyNumberFormat="1" applyFont="1" applyAlignment="1" applyProtection="1">
      <alignment horizontal="center" vertical="top" wrapText="1"/>
      <protection hidden="1"/>
    </xf>
    <xf numFmtId="166" fontId="4" fillId="0" borderId="0" xfId="0" applyNumberFormat="1" applyFont="1" applyAlignment="1" applyProtection="1">
      <alignment horizontal="center" vertical="top" wrapText="1"/>
      <protection hidden="1"/>
    </xf>
    <xf numFmtId="4" fontId="0" fillId="9" borderId="19" xfId="0" applyNumberFormat="1" applyFill="1" applyBorder="1" applyAlignment="1" applyProtection="1">
      <alignment horizontal="center"/>
      <protection hidden="1"/>
    </xf>
    <xf numFmtId="4" fontId="0" fillId="9" borderId="20" xfId="0" applyNumberFormat="1" applyFill="1" applyBorder="1" applyAlignment="1" applyProtection="1">
      <alignment horizontal="center"/>
      <protection hidden="1"/>
    </xf>
    <xf numFmtId="4" fontId="0" fillId="2" borderId="22" xfId="0" applyNumberFormat="1" applyFill="1" applyBorder="1" applyProtection="1">
      <protection hidden="1"/>
    </xf>
    <xf numFmtId="165" fontId="0" fillId="9" borderId="20" xfId="0" applyNumberFormat="1" applyFill="1" applyBorder="1" applyAlignment="1" applyProtection="1">
      <alignment horizontal="center"/>
      <protection hidden="1"/>
    </xf>
    <xf numFmtId="165" fontId="0" fillId="9" borderId="20" xfId="0" applyNumberFormat="1" applyFill="1" applyBorder="1" applyProtection="1">
      <protection hidden="1"/>
    </xf>
    <xf numFmtId="4" fontId="0" fillId="9" borderId="22" xfId="0" applyNumberFormat="1" applyFill="1" applyBorder="1" applyAlignment="1" applyProtection="1">
      <alignment horizontal="center"/>
      <protection hidden="1"/>
    </xf>
    <xf numFmtId="0" fontId="0" fillId="2" borderId="19" xfId="0" applyFill="1" applyBorder="1" applyAlignment="1" applyProtection="1">
      <alignment horizontal="center"/>
      <protection hidden="1"/>
    </xf>
    <xf numFmtId="165" fontId="0" fillId="0" borderId="31" xfId="0" applyNumberFormat="1" applyBorder="1" applyProtection="1">
      <protection hidden="1"/>
    </xf>
    <xf numFmtId="165" fontId="0" fillId="0" borderId="17" xfId="0" applyNumberFormat="1" applyBorder="1" applyProtection="1">
      <protection hidden="1"/>
    </xf>
    <xf numFmtId="0" fontId="0" fillId="9" borderId="17" xfId="0" applyFill="1" applyBorder="1" applyAlignment="1" applyProtection="1">
      <alignment horizontal="center"/>
      <protection hidden="1"/>
    </xf>
    <xf numFmtId="165" fontId="0" fillId="0" borderId="32" xfId="0" applyNumberFormat="1" applyBorder="1" applyProtection="1">
      <protection hidden="1"/>
    </xf>
    <xf numFmtId="165" fontId="0" fillId="0" borderId="33" xfId="0" applyNumberFormat="1" applyBorder="1" applyProtection="1">
      <protection hidden="1"/>
    </xf>
    <xf numFmtId="165" fontId="0" fillId="0" borderId="34" xfId="0" applyNumberFormat="1" applyBorder="1" applyProtection="1">
      <protection hidden="1"/>
    </xf>
    <xf numFmtId="0" fontId="0" fillId="9" borderId="34" xfId="0" applyFill="1" applyBorder="1" applyAlignment="1" applyProtection="1">
      <alignment horizontal="center"/>
      <protection hidden="1"/>
    </xf>
    <xf numFmtId="165" fontId="0" fillId="0" borderId="35" xfId="0" applyNumberFormat="1" applyBorder="1" applyProtection="1">
      <protection hidden="1"/>
    </xf>
    <xf numFmtId="165" fontId="0" fillId="9" borderId="17" xfId="0" applyNumberFormat="1" applyFill="1" applyBorder="1" applyAlignment="1" applyProtection="1">
      <alignment horizontal="center"/>
      <protection hidden="1"/>
    </xf>
    <xf numFmtId="165" fontId="0" fillId="9" borderId="17" xfId="0" applyNumberFormat="1" applyFill="1" applyBorder="1" applyProtection="1">
      <protection hidden="1"/>
    </xf>
    <xf numFmtId="4" fontId="0" fillId="9" borderId="17" xfId="0" applyNumberFormat="1" applyFill="1" applyBorder="1" applyAlignment="1" applyProtection="1">
      <alignment horizontal="center"/>
      <protection hidden="1"/>
    </xf>
    <xf numFmtId="165" fontId="0" fillId="9" borderId="34" xfId="0" applyNumberFormat="1" applyFill="1" applyBorder="1" applyAlignment="1" applyProtection="1">
      <alignment horizontal="center"/>
      <protection hidden="1"/>
    </xf>
    <xf numFmtId="165" fontId="0" fillId="9" borderId="34" xfId="0" applyNumberFormat="1" applyFill="1" applyBorder="1" applyProtection="1">
      <protection hidden="1"/>
    </xf>
    <xf numFmtId="4" fontId="0" fillId="9" borderId="34" xfId="0" applyNumberFormat="1" applyFill="1" applyBorder="1" applyAlignment="1" applyProtection="1">
      <alignment horizontal="center"/>
      <protection hidden="1"/>
    </xf>
    <xf numFmtId="166" fontId="2" fillId="0" borderId="36" xfId="0" applyNumberFormat="1" applyFont="1" applyBorder="1" applyAlignment="1" applyProtection="1">
      <alignment horizontal="center" vertical="top" wrapText="1"/>
      <protection hidden="1"/>
    </xf>
    <xf numFmtId="165" fontId="0" fillId="0" borderId="37" xfId="0" applyNumberFormat="1" applyBorder="1" applyProtection="1">
      <protection hidden="1"/>
    </xf>
    <xf numFmtId="0" fontId="26" fillId="0" borderId="6" xfId="0" applyFont="1" applyBorder="1" applyAlignment="1" applyProtection="1">
      <alignment horizontal="center" vertical="top" wrapText="1"/>
      <protection hidden="1"/>
    </xf>
    <xf numFmtId="0" fontId="31" fillId="0" borderId="6" xfId="0" applyFont="1" applyBorder="1" applyAlignment="1" applyProtection="1">
      <alignment horizontal="center" vertical="top" wrapText="1"/>
      <protection hidden="1"/>
    </xf>
    <xf numFmtId="0" fontId="26" fillId="4" borderId="6" xfId="0" applyFont="1" applyFill="1" applyBorder="1" applyAlignment="1" applyProtection="1">
      <alignment horizontal="center" vertical="top" wrapText="1"/>
      <protection hidden="1"/>
    </xf>
    <xf numFmtId="0" fontId="26" fillId="5" borderId="6" xfId="0" applyFont="1" applyFill="1" applyBorder="1" applyAlignment="1" applyProtection="1">
      <alignment horizontal="center" vertical="top" wrapText="1"/>
      <protection hidden="1"/>
    </xf>
    <xf numFmtId="0" fontId="31" fillId="4" borderId="6" xfId="0" applyFont="1" applyFill="1" applyBorder="1" applyAlignment="1" applyProtection="1">
      <alignment horizontal="center" vertical="top" wrapText="1"/>
      <protection hidden="1"/>
    </xf>
    <xf numFmtId="0" fontId="31" fillId="5" borderId="6" xfId="0" applyFont="1" applyFill="1" applyBorder="1" applyAlignment="1" applyProtection="1">
      <alignment horizontal="center" vertical="top" wrapText="1"/>
      <protection hidden="1"/>
    </xf>
    <xf numFmtId="0" fontId="23" fillId="0" borderId="6" xfId="0" applyFont="1" applyBorder="1" applyAlignment="1" applyProtection="1">
      <alignment vertical="top" wrapText="1"/>
      <protection hidden="1"/>
    </xf>
    <xf numFmtId="0" fontId="23" fillId="0" borderId="8" xfId="0" applyFont="1" applyBorder="1" applyAlignment="1" applyProtection="1">
      <alignment vertical="top" wrapText="1"/>
      <protection hidden="1"/>
    </xf>
    <xf numFmtId="0" fontId="23" fillId="0" borderId="7" xfId="0" applyFont="1" applyBorder="1" applyAlignment="1" applyProtection="1">
      <alignment vertical="top" wrapText="1"/>
      <protection hidden="1"/>
    </xf>
    <xf numFmtId="49" fontId="23" fillId="0" borderId="6" xfId="0" applyNumberFormat="1" applyFont="1" applyBorder="1" applyAlignment="1" applyProtection="1">
      <alignment vertical="top" wrapText="1"/>
      <protection hidden="1"/>
    </xf>
    <xf numFmtId="0" fontId="23" fillId="4" borderId="6" xfId="0" applyFont="1" applyFill="1" applyBorder="1" applyAlignment="1" applyProtection="1">
      <alignment vertical="top" wrapText="1"/>
      <protection hidden="1"/>
    </xf>
    <xf numFmtId="0" fontId="23" fillId="5" borderId="6" xfId="0" applyFont="1" applyFill="1" applyBorder="1" applyAlignment="1" applyProtection="1">
      <alignment vertical="top" wrapText="1"/>
      <protection hidden="1"/>
    </xf>
    <xf numFmtId="0" fontId="23" fillId="5" borderId="9" xfId="0" applyFont="1" applyFill="1" applyBorder="1" applyAlignment="1" applyProtection="1">
      <alignment vertical="top" wrapText="1"/>
      <protection hidden="1"/>
    </xf>
    <xf numFmtId="0" fontId="23" fillId="0" borderId="10" xfId="0" applyFont="1" applyBorder="1" applyAlignment="1" applyProtection="1">
      <alignment vertical="top" wrapText="1"/>
      <protection hidden="1"/>
    </xf>
    <xf numFmtId="0" fontId="23" fillId="0" borderId="6" xfId="0" applyFont="1" applyBorder="1" applyAlignment="1" applyProtection="1">
      <alignment horizontal="center" vertical="top" wrapText="1"/>
      <protection hidden="1"/>
    </xf>
    <xf numFmtId="0" fontId="23" fillId="5" borderId="6" xfId="0" applyFont="1" applyFill="1" applyBorder="1" applyAlignment="1" applyProtection="1">
      <alignment horizontal="center" vertical="top" wrapText="1"/>
      <protection hidden="1"/>
    </xf>
    <xf numFmtId="0" fontId="30" fillId="0" borderId="0" xfId="0" applyFont="1" applyAlignment="1" applyProtection="1">
      <alignment vertical="top" wrapText="1"/>
      <protection hidden="1"/>
    </xf>
    <xf numFmtId="165" fontId="25" fillId="0" borderId="18" xfId="0" applyNumberFormat="1" applyFont="1" applyBorder="1" applyProtection="1">
      <protection hidden="1"/>
    </xf>
    <xf numFmtId="165" fontId="25" fillId="0" borderId="19" xfId="0" applyNumberFormat="1" applyFont="1" applyBorder="1" applyProtection="1">
      <protection hidden="1"/>
    </xf>
    <xf numFmtId="165" fontId="25" fillId="0" borderId="31" xfId="0" applyNumberFormat="1" applyFont="1" applyBorder="1" applyProtection="1">
      <protection hidden="1"/>
    </xf>
    <xf numFmtId="165" fontId="25" fillId="0" borderId="33" xfId="0" applyNumberFormat="1" applyFont="1" applyBorder="1" applyProtection="1">
      <protection hidden="1"/>
    </xf>
    <xf numFmtId="0" fontId="25" fillId="0" borderId="0" xfId="0" applyFont="1" applyProtection="1">
      <protection hidden="1"/>
    </xf>
    <xf numFmtId="0" fontId="23" fillId="0" borderId="17" xfId="0" applyFont="1" applyBorder="1" applyAlignment="1" applyProtection="1">
      <alignment vertical="top" wrapText="1"/>
      <protection hidden="1"/>
    </xf>
    <xf numFmtId="165" fontId="25" fillId="0" borderId="20" xfId="0" applyNumberFormat="1" applyFont="1" applyBorder="1" applyProtection="1">
      <protection hidden="1"/>
    </xf>
    <xf numFmtId="165" fontId="25" fillId="0" borderId="6" xfId="0" applyNumberFormat="1" applyFont="1" applyBorder="1" applyProtection="1">
      <protection hidden="1"/>
    </xf>
    <xf numFmtId="165" fontId="25" fillId="0" borderId="17" xfId="0" applyNumberFormat="1" applyFont="1" applyBorder="1" applyProtection="1">
      <protection hidden="1"/>
    </xf>
    <xf numFmtId="165" fontId="25" fillId="0" borderId="34" xfId="0" applyNumberFormat="1" applyFont="1" applyBorder="1" applyProtection="1">
      <protection hidden="1"/>
    </xf>
    <xf numFmtId="0" fontId="31" fillId="6" borderId="6" xfId="0" applyFont="1" applyFill="1" applyBorder="1" applyAlignment="1" applyProtection="1">
      <alignment horizontal="center" vertical="top" wrapText="1"/>
      <protection hidden="1"/>
    </xf>
    <xf numFmtId="0" fontId="26" fillId="5" borderId="6" xfId="0" quotePrefix="1" applyFont="1" applyFill="1" applyBorder="1" applyAlignment="1" applyProtection="1">
      <alignment horizontal="center" vertical="top" wrapText="1"/>
      <protection hidden="1"/>
    </xf>
    <xf numFmtId="0" fontId="26" fillId="0" borderId="6" xfId="0" quotePrefix="1" applyFont="1" applyBorder="1" applyAlignment="1" applyProtection="1">
      <alignment horizontal="center" vertical="top" wrapText="1"/>
      <protection hidden="1"/>
    </xf>
    <xf numFmtId="0" fontId="26" fillId="6" borderId="6" xfId="0" applyFont="1" applyFill="1" applyBorder="1" applyAlignment="1" applyProtection="1">
      <alignment horizontal="center" vertical="top" wrapText="1"/>
      <protection hidden="1"/>
    </xf>
    <xf numFmtId="0" fontId="31" fillId="0" borderId="0" xfId="0" applyFont="1" applyAlignment="1" applyProtection="1">
      <alignment horizontal="center" vertical="top" wrapText="1"/>
      <protection hidden="1"/>
    </xf>
    <xf numFmtId="0" fontId="23" fillId="0" borderId="6" xfId="0" quotePrefix="1" applyFont="1" applyBorder="1" applyAlignment="1" applyProtection="1">
      <alignment vertical="top" wrapText="1"/>
      <protection hidden="1"/>
    </xf>
    <xf numFmtId="0" fontId="23" fillId="4" borderId="8" xfId="0" applyFont="1" applyFill="1" applyBorder="1" applyAlignment="1" applyProtection="1">
      <alignment vertical="top" wrapText="1"/>
      <protection hidden="1"/>
    </xf>
    <xf numFmtId="0" fontId="23" fillId="6" borderId="6" xfId="0" applyFont="1" applyFill="1" applyBorder="1" applyAlignment="1" applyProtection="1">
      <alignment vertical="top" wrapText="1"/>
      <protection hidden="1"/>
    </xf>
    <xf numFmtId="0" fontId="23" fillId="5" borderId="6" xfId="0" quotePrefix="1" applyFont="1" applyFill="1" applyBorder="1" applyAlignment="1" applyProtection="1">
      <alignment vertical="top" wrapText="1"/>
      <protection hidden="1"/>
    </xf>
    <xf numFmtId="0" fontId="23" fillId="5" borderId="7" xfId="0" quotePrefix="1" applyFont="1" applyFill="1" applyBorder="1" applyAlignment="1" applyProtection="1">
      <alignment vertical="top" wrapText="1"/>
      <protection hidden="1"/>
    </xf>
    <xf numFmtId="0" fontId="23" fillId="0" borderId="6" xfId="0" quotePrefix="1" applyFont="1" applyBorder="1" applyAlignment="1" applyProtection="1">
      <alignment horizontal="left" vertical="top" wrapText="1"/>
      <protection hidden="1"/>
    </xf>
    <xf numFmtId="0" fontId="23" fillId="0" borderId="0" xfId="0" applyFont="1" applyAlignment="1" applyProtection="1">
      <alignment vertical="top" wrapText="1"/>
      <protection hidden="1"/>
    </xf>
    <xf numFmtId="0" fontId="30" fillId="0" borderId="0" xfId="0" applyFont="1" applyAlignment="1" applyProtection="1">
      <alignment vertical="top"/>
      <protection hidden="1"/>
    </xf>
    <xf numFmtId="0" fontId="23" fillId="4" borderId="6" xfId="0" applyFont="1" applyFill="1" applyBorder="1" applyAlignment="1" applyProtection="1">
      <alignment horizontal="center" vertical="top" wrapText="1"/>
      <protection hidden="1"/>
    </xf>
    <xf numFmtId="17" fontId="23" fillId="0" borderId="6" xfId="0" applyNumberFormat="1" applyFont="1" applyBorder="1" applyAlignment="1" applyProtection="1">
      <alignment horizontal="center" vertical="top" wrapText="1"/>
      <protection hidden="1"/>
    </xf>
    <xf numFmtId="14" fontId="23" fillId="0" borderId="6" xfId="0" applyNumberFormat="1" applyFont="1" applyBorder="1" applyAlignment="1" applyProtection="1">
      <alignment horizontal="center" vertical="top" wrapText="1"/>
      <protection hidden="1"/>
    </xf>
    <xf numFmtId="164" fontId="23" fillId="4" borderId="6" xfId="0" applyNumberFormat="1" applyFont="1" applyFill="1" applyBorder="1" applyAlignment="1" applyProtection="1">
      <alignment horizontal="center" vertical="top" wrapText="1"/>
      <protection hidden="1"/>
    </xf>
    <xf numFmtId="164" fontId="23" fillId="0" borderId="6" xfId="0" applyNumberFormat="1" applyFont="1" applyBorder="1" applyAlignment="1" applyProtection="1">
      <alignment horizontal="center" vertical="top" wrapText="1"/>
      <protection hidden="1"/>
    </xf>
    <xf numFmtId="0" fontId="23" fillId="5" borderId="6" xfId="0" quotePrefix="1" applyFont="1" applyFill="1" applyBorder="1" applyAlignment="1" applyProtection="1">
      <alignment horizontal="center" vertical="top" wrapText="1"/>
      <protection hidden="1"/>
    </xf>
    <xf numFmtId="0" fontId="26" fillId="0" borderId="0" xfId="0" applyFont="1" applyAlignment="1" applyProtection="1">
      <alignment horizontal="center" vertical="top" wrapText="1"/>
      <protection hidden="1"/>
    </xf>
    <xf numFmtId="0" fontId="23" fillId="0" borderId="0" xfId="0" applyFont="1" applyAlignment="1" applyProtection="1">
      <alignment horizontal="center" vertical="top" wrapText="1"/>
      <protection hidden="1"/>
    </xf>
    <xf numFmtId="0" fontId="23" fillId="0" borderId="17" xfId="0" applyFont="1" applyBorder="1" applyProtection="1">
      <protection hidden="1"/>
    </xf>
    <xf numFmtId="0" fontId="23" fillId="0" borderId="6" xfId="0" quotePrefix="1" applyFont="1" applyBorder="1" applyAlignment="1" applyProtection="1">
      <alignment horizontal="center" vertical="top" wrapText="1"/>
      <protection hidden="1"/>
    </xf>
    <xf numFmtId="0" fontId="23" fillId="6" borderId="6" xfId="0" applyFont="1" applyFill="1" applyBorder="1" applyAlignment="1" applyProtection="1">
      <alignment horizontal="center" vertical="top" wrapText="1"/>
      <protection hidden="1"/>
    </xf>
    <xf numFmtId="165" fontId="25" fillId="0" borderId="21" xfId="0" applyNumberFormat="1" applyFont="1" applyBorder="1" applyProtection="1">
      <protection hidden="1"/>
    </xf>
    <xf numFmtId="165" fontId="25" fillId="0" borderId="22" xfId="0" applyNumberFormat="1" applyFont="1" applyBorder="1" applyProtection="1">
      <protection hidden="1"/>
    </xf>
    <xf numFmtId="165" fontId="25" fillId="0" borderId="32" xfId="0" applyNumberFormat="1" applyFont="1" applyBorder="1" applyProtection="1">
      <protection hidden="1"/>
    </xf>
    <xf numFmtId="165" fontId="25" fillId="0" borderId="35" xfId="0" applyNumberFormat="1" applyFont="1" applyBorder="1" applyProtection="1">
      <protection hidden="1"/>
    </xf>
    <xf numFmtId="165" fontId="26" fillId="0" borderId="0" xfId="0" applyNumberFormat="1" applyFont="1" applyAlignment="1" applyProtection="1">
      <alignment horizontal="center" vertical="top" wrapText="1"/>
      <protection hidden="1"/>
    </xf>
    <xf numFmtId="4" fontId="26" fillId="0" borderId="0" xfId="0" applyNumberFormat="1" applyFont="1" applyAlignment="1" applyProtection="1">
      <alignment horizontal="center" vertical="top" wrapText="1"/>
      <protection hidden="1"/>
    </xf>
    <xf numFmtId="0" fontId="25" fillId="0" borderId="0" xfId="0" applyFont="1" applyAlignment="1" applyProtection="1">
      <alignment vertical="top" wrapText="1"/>
      <protection hidden="1"/>
    </xf>
    <xf numFmtId="0" fontId="25" fillId="0" borderId="0" xfId="0" applyFont="1" applyAlignment="1" applyProtection="1">
      <alignment horizontal="center" vertical="top" wrapText="1"/>
      <protection hidden="1"/>
    </xf>
    <xf numFmtId="165" fontId="25" fillId="0" borderId="0" xfId="0" applyNumberFormat="1" applyFont="1" applyProtection="1">
      <protection hidden="1"/>
    </xf>
    <xf numFmtId="0" fontId="23" fillId="4" borderId="7" xfId="0" applyFont="1" applyFill="1" applyBorder="1" applyAlignment="1" applyProtection="1">
      <alignment vertical="top" wrapText="1"/>
      <protection hidden="1"/>
    </xf>
    <xf numFmtId="0" fontId="23" fillId="5" borderId="7" xfId="0" applyFont="1" applyFill="1" applyBorder="1" applyAlignment="1" applyProtection="1">
      <alignment vertical="top" wrapText="1"/>
      <protection hidden="1"/>
    </xf>
    <xf numFmtId="49" fontId="23" fillId="0" borderId="6" xfId="0" applyNumberFormat="1" applyFont="1" applyBorder="1" applyAlignment="1" applyProtection="1">
      <alignment horizontal="left" vertical="top" wrapText="1"/>
      <protection hidden="1"/>
    </xf>
    <xf numFmtId="49" fontId="23" fillId="0" borderId="6" xfId="0" quotePrefix="1" applyNumberFormat="1" applyFont="1" applyBorder="1" applyAlignment="1" applyProtection="1">
      <alignment vertical="top" wrapText="1"/>
      <protection hidden="1"/>
    </xf>
    <xf numFmtId="44" fontId="23" fillId="5" borderId="6" xfId="0" applyNumberFormat="1" applyFont="1" applyFill="1" applyBorder="1" applyAlignment="1" applyProtection="1">
      <alignment vertical="top" wrapText="1"/>
      <protection hidden="1"/>
    </xf>
    <xf numFmtId="1" fontId="26" fillId="0" borderId="0" xfId="0" applyNumberFormat="1" applyFont="1" applyAlignment="1" applyProtection="1">
      <alignment horizontal="center" vertical="top" wrapText="1"/>
      <protection hidden="1"/>
    </xf>
    <xf numFmtId="4" fontId="25" fillId="9" borderId="19" xfId="0" applyNumberFormat="1" applyFont="1" applyFill="1" applyBorder="1" applyAlignment="1" applyProtection="1">
      <alignment horizontal="center"/>
      <protection hidden="1"/>
    </xf>
    <xf numFmtId="165" fontId="25" fillId="9" borderId="20" xfId="0" applyNumberFormat="1" applyFont="1" applyFill="1" applyBorder="1" applyAlignment="1" applyProtection="1">
      <alignment horizontal="center"/>
      <protection hidden="1"/>
    </xf>
    <xf numFmtId="165" fontId="25" fillId="9" borderId="6" xfId="0" applyNumberFormat="1" applyFont="1" applyFill="1" applyBorder="1" applyAlignment="1" applyProtection="1">
      <alignment horizontal="center"/>
      <protection hidden="1"/>
    </xf>
    <xf numFmtId="4" fontId="25" fillId="9" borderId="6" xfId="0" applyNumberFormat="1" applyFont="1" applyFill="1" applyBorder="1" applyAlignment="1" applyProtection="1">
      <alignment horizontal="center"/>
      <protection hidden="1"/>
    </xf>
    <xf numFmtId="165" fontId="25" fillId="9" borderId="17" xfId="0" applyNumberFormat="1" applyFont="1" applyFill="1" applyBorder="1" applyAlignment="1" applyProtection="1">
      <alignment horizontal="center"/>
      <protection hidden="1"/>
    </xf>
    <xf numFmtId="165" fontId="25" fillId="9" borderId="34" xfId="0" applyNumberFormat="1" applyFont="1" applyFill="1" applyBorder="1" applyAlignment="1" applyProtection="1">
      <alignment horizontal="center"/>
      <protection hidden="1"/>
    </xf>
    <xf numFmtId="4" fontId="25" fillId="2" borderId="6" xfId="0" applyNumberFormat="1" applyFont="1" applyFill="1" applyBorder="1" applyProtection="1">
      <protection locked="0" hidden="1"/>
    </xf>
    <xf numFmtId="165" fontId="25" fillId="9" borderId="20" xfId="0" applyNumberFormat="1" applyFont="1" applyFill="1" applyBorder="1" applyProtection="1">
      <protection hidden="1"/>
    </xf>
    <xf numFmtId="165" fontId="25" fillId="9" borderId="6" xfId="0" applyNumberFormat="1" applyFont="1" applyFill="1" applyBorder="1" applyProtection="1">
      <protection hidden="1"/>
    </xf>
    <xf numFmtId="165" fontId="25" fillId="9" borderId="17" xfId="0" applyNumberFormat="1" applyFont="1" applyFill="1" applyBorder="1" applyProtection="1">
      <protection hidden="1"/>
    </xf>
    <xf numFmtId="165" fontId="25" fillId="9" borderId="34" xfId="0" applyNumberFormat="1" applyFont="1" applyFill="1" applyBorder="1" applyProtection="1">
      <protection hidden="1"/>
    </xf>
    <xf numFmtId="4" fontId="25" fillId="0" borderId="6" xfId="0" applyNumberFormat="1" applyFont="1" applyBorder="1" applyProtection="1">
      <protection hidden="1"/>
    </xf>
    <xf numFmtId="4" fontId="25" fillId="9" borderId="22" xfId="0" applyNumberFormat="1" applyFont="1" applyFill="1" applyBorder="1" applyAlignment="1" applyProtection="1">
      <alignment horizontal="center"/>
      <protection hidden="1"/>
    </xf>
    <xf numFmtId="166" fontId="26" fillId="0" borderId="0" xfId="0" applyNumberFormat="1" applyFont="1" applyAlignment="1" applyProtection="1">
      <alignment horizontal="center" vertical="top" wrapText="1"/>
      <protection hidden="1"/>
    </xf>
    <xf numFmtId="3" fontId="26" fillId="0" borderId="0" xfId="0" applyNumberFormat="1" applyFont="1" applyAlignment="1" applyProtection="1">
      <alignment horizontal="center" vertical="top" wrapText="1"/>
      <protection hidden="1"/>
    </xf>
    <xf numFmtId="166" fontId="26" fillId="0" borderId="36" xfId="0" applyNumberFormat="1" applyFont="1" applyBorder="1" applyAlignment="1" applyProtection="1">
      <alignment horizontal="center" vertical="top" wrapText="1"/>
      <protection hidden="1"/>
    </xf>
    <xf numFmtId="49" fontId="23" fillId="0" borderId="6" xfId="0" quotePrefix="1" applyNumberFormat="1" applyFont="1" applyBorder="1" applyAlignment="1" applyProtection="1">
      <alignment horizontal="center" vertical="top" wrapText="1"/>
      <protection hidden="1"/>
    </xf>
    <xf numFmtId="4" fontId="25" fillId="9" borderId="20" xfId="0" applyNumberFormat="1" applyFont="1" applyFill="1" applyBorder="1" applyAlignment="1" applyProtection="1">
      <alignment horizontal="center"/>
      <protection hidden="1"/>
    </xf>
    <xf numFmtId="4" fontId="25" fillId="9" borderId="17" xfId="0" applyNumberFormat="1" applyFont="1" applyFill="1" applyBorder="1" applyAlignment="1" applyProtection="1">
      <alignment horizontal="center"/>
      <protection hidden="1"/>
    </xf>
    <xf numFmtId="4" fontId="25" fillId="9" borderId="34" xfId="0" applyNumberFormat="1" applyFont="1" applyFill="1" applyBorder="1" applyAlignment="1" applyProtection="1">
      <alignment horizontal="center"/>
      <protection hidden="1"/>
    </xf>
    <xf numFmtId="0" fontId="23" fillId="0" borderId="17" xfId="0" applyFont="1" applyBorder="1" applyAlignment="1" applyProtection="1">
      <alignment wrapText="1"/>
      <protection hidden="1"/>
    </xf>
    <xf numFmtId="4" fontId="25" fillId="2" borderId="22" xfId="0" applyNumberFormat="1" applyFont="1" applyFill="1" applyBorder="1" applyProtection="1">
      <protection locked="0" hidden="1"/>
    </xf>
    <xf numFmtId="0" fontId="27" fillId="0" borderId="6" xfId="0" applyFont="1" applyBorder="1" applyAlignment="1" applyProtection="1">
      <alignment vertical="top" wrapText="1"/>
      <protection hidden="1"/>
    </xf>
    <xf numFmtId="0" fontId="27" fillId="4" borderId="6" xfId="0" applyFont="1" applyFill="1" applyBorder="1" applyAlignment="1" applyProtection="1">
      <alignment vertical="top" wrapText="1"/>
      <protection hidden="1"/>
    </xf>
    <xf numFmtId="0" fontId="27" fillId="4" borderId="7" xfId="0" applyFont="1" applyFill="1" applyBorder="1" applyAlignment="1" applyProtection="1">
      <alignment vertical="top" wrapText="1"/>
      <protection hidden="1"/>
    </xf>
    <xf numFmtId="0" fontId="27" fillId="5" borderId="6" xfId="0" applyFont="1" applyFill="1" applyBorder="1" applyAlignment="1" applyProtection="1">
      <alignment vertical="top" wrapText="1"/>
      <protection hidden="1"/>
    </xf>
    <xf numFmtId="0" fontId="27" fillId="5" borderId="7" xfId="0" applyFont="1" applyFill="1" applyBorder="1" applyAlignment="1" applyProtection="1">
      <alignment vertical="top" wrapText="1"/>
      <protection hidden="1"/>
    </xf>
    <xf numFmtId="0" fontId="27" fillId="4" borderId="6" xfId="0" applyFont="1" applyFill="1" applyBorder="1" applyAlignment="1" applyProtection="1">
      <alignment horizontal="center" vertical="top" wrapText="1"/>
      <protection hidden="1"/>
    </xf>
    <xf numFmtId="0" fontId="27" fillId="5" borderId="6" xfId="0" applyFont="1" applyFill="1" applyBorder="1" applyAlignment="1" applyProtection="1">
      <alignment horizontal="center" vertical="top" wrapText="1"/>
      <protection hidden="1"/>
    </xf>
    <xf numFmtId="0" fontId="31" fillId="0" borderId="0" xfId="0" applyFont="1" applyAlignment="1" applyProtection="1">
      <alignment vertical="top" wrapText="1"/>
      <protection hidden="1"/>
    </xf>
    <xf numFmtId="0" fontId="27" fillId="0" borderId="6" xfId="0" applyFont="1" applyBorder="1" applyAlignment="1" applyProtection="1">
      <alignment horizontal="center" vertical="top" wrapText="1"/>
      <protection hidden="1"/>
    </xf>
    <xf numFmtId="0" fontId="27" fillId="0" borderId="17" xfId="0" applyFont="1" applyBorder="1" applyProtection="1">
      <protection hidden="1"/>
    </xf>
    <xf numFmtId="165" fontId="27" fillId="0" borderId="18" xfId="0" applyNumberFormat="1" applyFont="1" applyBorder="1" applyProtection="1">
      <protection hidden="1"/>
    </xf>
    <xf numFmtId="165" fontId="27" fillId="0" borderId="19" xfId="0" applyNumberFormat="1" applyFont="1" applyBorder="1" applyProtection="1">
      <protection hidden="1"/>
    </xf>
    <xf numFmtId="0" fontId="27" fillId="2" borderId="19" xfId="0" applyFont="1" applyFill="1" applyBorder="1" applyAlignment="1" applyProtection="1">
      <alignment horizontal="center"/>
      <protection locked="0" hidden="1"/>
    </xf>
    <xf numFmtId="165" fontId="27" fillId="0" borderId="31" xfId="0" applyNumberFormat="1" applyFont="1" applyBorder="1" applyProtection="1">
      <protection hidden="1"/>
    </xf>
    <xf numFmtId="165" fontId="27" fillId="0" borderId="33" xfId="0" applyNumberFormat="1" applyFont="1" applyBorder="1" applyProtection="1">
      <protection hidden="1"/>
    </xf>
    <xf numFmtId="0" fontId="27" fillId="0" borderId="0" xfId="0" applyFont="1" applyProtection="1">
      <protection hidden="1"/>
    </xf>
    <xf numFmtId="165" fontId="27" fillId="0" borderId="20" xfId="0" applyNumberFormat="1" applyFont="1" applyBorder="1" applyProtection="1">
      <protection hidden="1"/>
    </xf>
    <xf numFmtId="165" fontId="27" fillId="0" borderId="6" xfId="0" applyNumberFormat="1" applyFont="1" applyBorder="1" applyProtection="1">
      <protection hidden="1"/>
    </xf>
    <xf numFmtId="0" fontId="27" fillId="2" borderId="6" xfId="0" applyFont="1" applyFill="1" applyBorder="1" applyAlignment="1" applyProtection="1">
      <alignment horizontal="center"/>
      <protection locked="0" hidden="1"/>
    </xf>
    <xf numFmtId="165" fontId="27" fillId="0" borderId="17" xfId="0" applyNumberFormat="1" applyFont="1" applyBorder="1" applyProtection="1">
      <protection hidden="1"/>
    </xf>
    <xf numFmtId="165" fontId="27" fillId="0" borderId="34" xfId="0" applyNumberFormat="1" applyFont="1" applyBorder="1" applyProtection="1">
      <protection hidden="1"/>
    </xf>
    <xf numFmtId="0" fontId="27" fillId="9" borderId="6" xfId="0" applyFont="1" applyFill="1" applyBorder="1" applyAlignment="1" applyProtection="1">
      <alignment horizontal="center"/>
      <protection hidden="1"/>
    </xf>
    <xf numFmtId="0" fontId="27" fillId="9" borderId="20" xfId="0" applyFont="1" applyFill="1" applyBorder="1" applyAlignment="1" applyProtection="1">
      <alignment horizontal="center"/>
      <protection hidden="1"/>
    </xf>
    <xf numFmtId="0" fontId="27" fillId="9" borderId="17" xfId="0" applyFont="1" applyFill="1" applyBorder="1" applyAlignment="1" applyProtection="1">
      <alignment horizontal="center"/>
      <protection hidden="1"/>
    </xf>
    <xf numFmtId="0" fontId="27" fillId="9" borderId="34" xfId="0" applyFont="1" applyFill="1" applyBorder="1" applyAlignment="1" applyProtection="1">
      <alignment horizontal="center"/>
      <protection hidden="1"/>
    </xf>
    <xf numFmtId="0" fontId="27" fillId="0" borderId="17" xfId="0" applyFont="1" applyBorder="1" applyAlignment="1" applyProtection="1">
      <alignment vertical="top" wrapText="1"/>
      <protection hidden="1"/>
    </xf>
    <xf numFmtId="0" fontId="27" fillId="0" borderId="7" xfId="0" applyFont="1" applyBorder="1" applyAlignment="1" applyProtection="1">
      <alignment vertical="top" wrapText="1"/>
      <protection hidden="1"/>
    </xf>
    <xf numFmtId="0" fontId="27" fillId="5" borderId="6" xfId="0" applyFont="1" applyFill="1" applyBorder="1" applyAlignment="1" applyProtection="1">
      <alignment horizontal="left" vertical="top" wrapText="1"/>
      <protection hidden="1"/>
    </xf>
    <xf numFmtId="0" fontId="27" fillId="0" borderId="6" xfId="0" applyFont="1" applyBorder="1" applyAlignment="1" applyProtection="1">
      <alignment horizontal="left" vertical="top" wrapText="1"/>
      <protection hidden="1"/>
    </xf>
    <xf numFmtId="0" fontId="27" fillId="0" borderId="10" xfId="0" applyFont="1" applyBorder="1" applyAlignment="1" applyProtection="1">
      <alignment vertical="top" wrapText="1"/>
      <protection hidden="1"/>
    </xf>
    <xf numFmtId="0" fontId="27" fillId="0" borderId="8" xfId="0" applyFont="1" applyBorder="1" applyAlignment="1" applyProtection="1">
      <alignment vertical="top" wrapText="1"/>
      <protection hidden="1"/>
    </xf>
    <xf numFmtId="0" fontId="27" fillId="6" borderId="6" xfId="0" applyFont="1" applyFill="1" applyBorder="1" applyAlignment="1" applyProtection="1">
      <alignment vertical="top" wrapText="1"/>
      <protection hidden="1"/>
    </xf>
    <xf numFmtId="0" fontId="27" fillId="6" borderId="7" xfId="0" applyFont="1" applyFill="1" applyBorder="1" applyAlignment="1" applyProtection="1">
      <alignment vertical="top" wrapText="1"/>
      <protection hidden="1"/>
    </xf>
    <xf numFmtId="0" fontId="23" fillId="0" borderId="7" xfId="0" quotePrefix="1" applyFont="1" applyBorder="1" applyAlignment="1" applyProtection="1">
      <alignment vertical="top" wrapText="1"/>
      <protection hidden="1"/>
    </xf>
    <xf numFmtId="0" fontId="31" fillId="0" borderId="0" xfId="0" applyFont="1" applyAlignment="1" applyProtection="1">
      <alignment vertical="top"/>
      <protection hidden="1"/>
    </xf>
    <xf numFmtId="17" fontId="27" fillId="5" borderId="6" xfId="0" applyNumberFormat="1" applyFont="1" applyFill="1" applyBorder="1" applyAlignment="1" applyProtection="1">
      <alignment vertical="top" wrapText="1"/>
      <protection hidden="1"/>
    </xf>
    <xf numFmtId="0" fontId="27" fillId="6" borderId="6" xfId="0" applyFont="1" applyFill="1" applyBorder="1" applyAlignment="1" applyProtection="1">
      <alignment horizontal="center" vertical="top" wrapText="1"/>
      <protection hidden="1"/>
    </xf>
    <xf numFmtId="0" fontId="27" fillId="0" borderId="6" xfId="0" applyFont="1" applyBorder="1" applyAlignment="1" applyProtection="1">
      <alignment horizontal="center"/>
      <protection hidden="1"/>
    </xf>
    <xf numFmtId="165" fontId="27" fillId="0" borderId="21" xfId="0" applyNumberFormat="1" applyFont="1" applyBorder="1" applyProtection="1">
      <protection hidden="1"/>
    </xf>
    <xf numFmtId="165" fontId="27" fillId="0" borderId="22" xfId="0" applyNumberFormat="1" applyFont="1" applyBorder="1" applyProtection="1">
      <protection hidden="1"/>
    </xf>
    <xf numFmtId="0" fontId="27" fillId="2" borderId="22" xfId="0" applyFont="1" applyFill="1" applyBorder="1" applyAlignment="1" applyProtection="1">
      <alignment horizontal="center"/>
      <protection locked="0" hidden="1"/>
    </xf>
    <xf numFmtId="165" fontId="27" fillId="0" borderId="32" xfId="0" applyNumberFormat="1" applyFont="1" applyBorder="1" applyProtection="1">
      <protection hidden="1"/>
    </xf>
    <xf numFmtId="165" fontId="27" fillId="0" borderId="35" xfId="0" applyNumberFormat="1" applyFont="1" applyBorder="1" applyProtection="1">
      <protection hidden="1"/>
    </xf>
    <xf numFmtId="0" fontId="27" fillId="0" borderId="0" xfId="0" applyFont="1" applyAlignment="1" applyProtection="1">
      <alignment vertical="top" wrapText="1"/>
      <protection hidden="1"/>
    </xf>
    <xf numFmtId="0" fontId="27" fillId="0" borderId="0" xfId="0" applyFont="1" applyAlignment="1" applyProtection="1">
      <alignment horizontal="center" vertical="top" wrapText="1"/>
      <protection hidden="1"/>
    </xf>
    <xf numFmtId="165" fontId="27" fillId="0" borderId="0" xfId="0" applyNumberFormat="1" applyFont="1" applyProtection="1">
      <protection hidden="1"/>
    </xf>
    <xf numFmtId="0" fontId="32" fillId="8" borderId="7" xfId="0" applyFont="1" applyFill="1" applyBorder="1" applyAlignment="1" applyProtection="1">
      <alignment horizontal="center" vertical="top" wrapText="1"/>
      <protection hidden="1"/>
    </xf>
    <xf numFmtId="0" fontId="32" fillId="8" borderId="6" xfId="0" applyFont="1" applyFill="1" applyBorder="1" applyAlignment="1" applyProtection="1">
      <alignment horizontal="center" vertical="top" wrapText="1"/>
      <protection hidden="1"/>
    </xf>
    <xf numFmtId="0" fontId="32" fillId="11" borderId="6" xfId="0" applyFont="1" applyFill="1" applyBorder="1" applyAlignment="1" applyProtection="1">
      <alignment horizontal="center" vertical="top" wrapText="1"/>
      <protection hidden="1"/>
    </xf>
    <xf numFmtId="0" fontId="32" fillId="11" borderId="17" xfId="0" applyFont="1" applyFill="1" applyBorder="1" applyAlignment="1" applyProtection="1">
      <alignment vertical="top" wrapText="1"/>
      <protection hidden="1"/>
    </xf>
    <xf numFmtId="165" fontId="24" fillId="11" borderId="28" xfId="0" applyNumberFormat="1" applyFont="1" applyFill="1" applyBorder="1" applyAlignment="1" applyProtection="1">
      <alignment vertical="top" wrapText="1"/>
      <protection hidden="1"/>
    </xf>
    <xf numFmtId="165" fontId="24" fillId="11" borderId="29" xfId="0" applyNumberFormat="1" applyFont="1" applyFill="1" applyBorder="1" applyAlignment="1" applyProtection="1">
      <alignment vertical="top" wrapText="1"/>
      <protection hidden="1"/>
    </xf>
    <xf numFmtId="165" fontId="24" fillId="11" borderId="30" xfId="0" applyNumberFormat="1" applyFont="1" applyFill="1" applyBorder="1" applyAlignment="1" applyProtection="1">
      <alignment vertical="top" wrapText="1"/>
      <protection hidden="1"/>
    </xf>
    <xf numFmtId="165" fontId="24" fillId="11" borderId="27" xfId="0" applyNumberFormat="1" applyFont="1" applyFill="1" applyBorder="1" applyAlignment="1" applyProtection="1">
      <alignment vertical="top" wrapText="1"/>
      <protection hidden="1"/>
    </xf>
    <xf numFmtId="0" fontId="34" fillId="0" borderId="0" xfId="0" applyFont="1" applyAlignment="1" applyProtection="1">
      <alignment vertical="top" wrapText="1"/>
      <protection hidden="1"/>
    </xf>
    <xf numFmtId="0" fontId="34" fillId="0" borderId="41" xfId="0" applyFont="1" applyBorder="1" applyAlignment="1" applyProtection="1">
      <alignment vertical="top" wrapText="1"/>
      <protection hidden="1"/>
    </xf>
    <xf numFmtId="0" fontId="26" fillId="0" borderId="41" xfId="0" applyFont="1" applyBorder="1" applyAlignment="1" applyProtection="1">
      <alignment horizontal="left" vertical="top" wrapText="1"/>
      <protection hidden="1"/>
    </xf>
    <xf numFmtId="0" fontId="34" fillId="0" borderId="41" xfId="0" applyFont="1" applyBorder="1" applyAlignment="1" applyProtection="1">
      <alignment horizontal="left" vertical="top" wrapText="1"/>
      <protection hidden="1"/>
    </xf>
    <xf numFmtId="0" fontId="23" fillId="0" borderId="41" xfId="0" applyFont="1" applyBorder="1" applyAlignment="1" applyProtection="1">
      <alignment horizontal="left" vertical="top" wrapText="1"/>
      <protection hidden="1"/>
    </xf>
    <xf numFmtId="0" fontId="35" fillId="0" borderId="44" xfId="0" applyFont="1" applyBorder="1" applyAlignment="1" applyProtection="1">
      <alignment vertical="top" wrapText="1"/>
      <protection hidden="1"/>
    </xf>
    <xf numFmtId="0" fontId="23" fillId="0" borderId="49" xfId="0" applyFont="1" applyBorder="1" applyAlignment="1" applyProtection="1">
      <alignment horizontal="left" vertical="top" wrapText="1"/>
      <protection hidden="1"/>
    </xf>
    <xf numFmtId="0" fontId="28" fillId="0" borderId="49" xfId="0" applyFont="1" applyBorder="1" applyAlignment="1" applyProtection="1">
      <alignment horizontal="left" vertical="top"/>
      <protection hidden="1"/>
    </xf>
    <xf numFmtId="0" fontId="25" fillId="0" borderId="49" xfId="0" applyFont="1" applyBorder="1" applyAlignment="1" applyProtection="1">
      <alignment horizontal="left" vertical="top"/>
      <protection hidden="1"/>
    </xf>
    <xf numFmtId="0" fontId="26" fillId="0" borderId="49" xfId="0" applyFont="1" applyBorder="1" applyAlignment="1" applyProtection="1">
      <alignment horizontal="left" vertical="top" wrapText="1"/>
      <protection hidden="1"/>
    </xf>
    <xf numFmtId="0" fontId="25" fillId="0" borderId="49" xfId="0" applyFont="1" applyBorder="1" applyAlignment="1" applyProtection="1">
      <alignment horizontal="left" vertical="top" wrapText="1"/>
      <protection hidden="1"/>
    </xf>
    <xf numFmtId="165" fontId="25" fillId="0" borderId="54" xfId="0" applyNumberFormat="1" applyFont="1" applyBorder="1" applyAlignment="1" applyProtection="1">
      <alignment horizontal="left" vertical="top" wrapText="1"/>
      <protection hidden="1"/>
    </xf>
    <xf numFmtId="0" fontId="34" fillId="0" borderId="49" xfId="0" applyFont="1" applyBorder="1" applyAlignment="1" applyProtection="1">
      <alignment horizontal="left" vertical="top"/>
      <protection hidden="1"/>
    </xf>
    <xf numFmtId="0" fontId="26" fillId="0" borderId="49" xfId="0" applyFont="1" applyBorder="1" applyAlignment="1" applyProtection="1">
      <alignment horizontal="left" vertical="top"/>
      <protection hidden="1"/>
    </xf>
    <xf numFmtId="0" fontId="26" fillId="0" borderId="54" xfId="0" applyFont="1" applyBorder="1" applyAlignment="1" applyProtection="1">
      <alignment horizontal="left" vertical="top"/>
      <protection hidden="1"/>
    </xf>
    <xf numFmtId="0" fontId="23" fillId="0" borderId="49" xfId="0" applyFont="1" applyBorder="1" applyAlignment="1" applyProtection="1">
      <alignment horizontal="left" vertical="top"/>
      <protection hidden="1"/>
    </xf>
    <xf numFmtId="0" fontId="34" fillId="0" borderId="51" xfId="0" applyFont="1" applyBorder="1" applyAlignment="1" applyProtection="1">
      <alignment horizontal="left" vertical="top"/>
      <protection hidden="1"/>
    </xf>
    <xf numFmtId="0" fontId="32" fillId="11" borderId="7" xfId="0" applyFont="1" applyFill="1" applyBorder="1" applyAlignment="1" applyProtection="1">
      <alignment horizontal="center" vertical="top" wrapText="1"/>
      <protection hidden="1"/>
    </xf>
    <xf numFmtId="0" fontId="25" fillId="0" borderId="54" xfId="0" applyFont="1" applyBorder="1" applyAlignment="1" applyProtection="1">
      <alignment horizontal="left" vertical="top" wrapText="1"/>
      <protection hidden="1"/>
    </xf>
    <xf numFmtId="0" fontId="25" fillId="0" borderId="54" xfId="0" applyFont="1" applyBorder="1" applyAlignment="1" applyProtection="1">
      <alignment horizontal="left" vertical="top"/>
      <protection hidden="1"/>
    </xf>
    <xf numFmtId="0" fontId="25" fillId="0" borderId="50" xfId="0" applyFont="1" applyBorder="1" applyAlignment="1" applyProtection="1">
      <alignment horizontal="left" vertical="top" wrapText="1"/>
      <protection hidden="1"/>
    </xf>
    <xf numFmtId="44" fontId="25" fillId="0" borderId="54" xfId="0" applyNumberFormat="1" applyFont="1" applyBorder="1" applyAlignment="1" applyProtection="1">
      <alignment horizontal="left" vertical="top" wrapText="1"/>
      <protection hidden="1"/>
    </xf>
    <xf numFmtId="44" fontId="30" fillId="0" borderId="54" xfId="0" applyNumberFormat="1" applyFont="1" applyBorder="1" applyAlignment="1" applyProtection="1">
      <alignment horizontal="left" vertical="top" wrapText="1"/>
      <protection hidden="1"/>
    </xf>
    <xf numFmtId="0" fontId="30" fillId="0" borderId="54" xfId="0" applyFont="1" applyBorder="1" applyAlignment="1" applyProtection="1">
      <alignment horizontal="left" vertical="top" wrapText="1"/>
      <protection hidden="1"/>
    </xf>
    <xf numFmtId="0" fontId="30" fillId="0" borderId="50" xfId="0" applyFont="1" applyBorder="1" applyAlignment="1" applyProtection="1">
      <alignment horizontal="left" vertical="top" wrapText="1"/>
      <protection hidden="1"/>
    </xf>
    <xf numFmtId="0" fontId="33" fillId="0" borderId="54" xfId="0" applyFont="1" applyBorder="1" applyAlignment="1" applyProtection="1">
      <alignment horizontal="left" vertical="top" wrapText="1"/>
      <protection hidden="1"/>
    </xf>
    <xf numFmtId="0" fontId="33" fillId="0" borderId="54" xfId="0" applyFont="1" applyBorder="1" applyAlignment="1" applyProtection="1">
      <alignment horizontal="left" vertical="top"/>
      <protection hidden="1"/>
    </xf>
    <xf numFmtId="44" fontId="33" fillId="0" borderId="54" xfId="0" applyNumberFormat="1" applyFont="1" applyBorder="1" applyAlignment="1" applyProtection="1">
      <alignment horizontal="left" vertical="top" wrapText="1"/>
      <protection hidden="1"/>
    </xf>
    <xf numFmtId="0" fontId="33" fillId="0" borderId="50" xfId="0" applyFont="1" applyBorder="1" applyAlignment="1" applyProtection="1">
      <alignment horizontal="left" vertical="top" wrapText="1"/>
      <protection hidden="1"/>
    </xf>
    <xf numFmtId="0" fontId="33" fillId="0" borderId="0" xfId="0" applyFont="1" applyAlignment="1" applyProtection="1">
      <alignment horizontal="left" vertical="top"/>
      <protection hidden="1"/>
    </xf>
    <xf numFmtId="44" fontId="25" fillId="0" borderId="55" xfId="0" applyNumberFormat="1" applyFont="1" applyBorder="1" applyAlignment="1" applyProtection="1">
      <alignment horizontal="left" vertical="top" wrapText="1"/>
      <protection hidden="1"/>
    </xf>
    <xf numFmtId="0" fontId="25" fillId="0" borderId="55" xfId="0" applyFont="1" applyBorder="1" applyAlignment="1" applyProtection="1">
      <alignment horizontal="left" vertical="top" wrapText="1"/>
      <protection hidden="1"/>
    </xf>
    <xf numFmtId="0" fontId="25" fillId="0" borderId="55" xfId="0" applyFont="1" applyBorder="1" applyAlignment="1" applyProtection="1">
      <alignment horizontal="left" vertical="top"/>
      <protection hidden="1"/>
    </xf>
    <xf numFmtId="0" fontId="25" fillId="0" borderId="52" xfId="0" applyFont="1" applyBorder="1" applyAlignment="1" applyProtection="1">
      <alignment horizontal="left" vertical="top" wrapText="1"/>
      <protection hidden="1"/>
    </xf>
    <xf numFmtId="44" fontId="25" fillId="0" borderId="0" xfId="0" applyNumberFormat="1" applyFont="1" applyAlignment="1" applyProtection="1">
      <alignment horizontal="left" vertical="top" wrapText="1"/>
      <protection hidden="1"/>
    </xf>
    <xf numFmtId="0" fontId="27" fillId="6" borderId="8" xfId="0" applyFont="1" applyFill="1" applyBorder="1" applyAlignment="1" applyProtection="1">
      <alignment vertical="top" wrapText="1"/>
      <protection hidden="1"/>
    </xf>
    <xf numFmtId="1" fontId="27" fillId="5" borderId="6" xfId="0" applyNumberFormat="1" applyFont="1" applyFill="1" applyBorder="1" applyAlignment="1" applyProtection="1">
      <alignment horizontal="center" vertical="top" wrapText="1"/>
      <protection hidden="1"/>
    </xf>
    <xf numFmtId="44" fontId="27" fillId="0" borderId="17" xfId="0" applyNumberFormat="1" applyFont="1" applyBorder="1" applyProtection="1">
      <protection hidden="1"/>
    </xf>
    <xf numFmtId="0" fontId="27" fillId="0" borderId="17" xfId="0" applyFont="1" applyBorder="1" applyAlignment="1" applyProtection="1">
      <alignment wrapText="1"/>
      <protection hidden="1"/>
    </xf>
    <xf numFmtId="44" fontId="23" fillId="4" borderId="6" xfId="0" applyNumberFormat="1" applyFont="1" applyFill="1" applyBorder="1" applyAlignment="1" applyProtection="1">
      <alignment vertical="top" wrapText="1"/>
      <protection hidden="1"/>
    </xf>
    <xf numFmtId="165" fontId="25" fillId="2" borderId="54" xfId="0" applyNumberFormat="1" applyFont="1" applyFill="1" applyBorder="1" applyAlignment="1" applyProtection="1">
      <alignment horizontal="left" vertical="top" wrapText="1"/>
      <protection locked="0" hidden="1"/>
    </xf>
    <xf numFmtId="0" fontId="24" fillId="2" borderId="29" xfId="0" applyFont="1" applyFill="1" applyBorder="1" applyAlignment="1" applyProtection="1">
      <alignment vertical="top" wrapText="1"/>
      <protection hidden="1"/>
    </xf>
    <xf numFmtId="0" fontId="27" fillId="6" borderId="6" xfId="0" applyFont="1" applyFill="1" applyBorder="1" applyAlignment="1" applyProtection="1">
      <alignment horizontal="center"/>
      <protection hidden="1"/>
    </xf>
    <xf numFmtId="0" fontId="23" fillId="0" borderId="17" xfId="0" applyFont="1" applyBorder="1" applyAlignment="1" applyProtection="1">
      <alignment horizontal="center" vertical="top" wrapText="1"/>
      <protection hidden="1"/>
    </xf>
    <xf numFmtId="0" fontId="24" fillId="8" borderId="6" xfId="0" applyFont="1" applyFill="1" applyBorder="1" applyAlignment="1" applyProtection="1">
      <alignment horizontal="left" vertical="top" wrapText="1"/>
      <protection hidden="1"/>
    </xf>
    <xf numFmtId="0" fontId="27" fillId="0" borderId="57" xfId="0" applyFont="1" applyBorder="1" applyAlignment="1" applyProtection="1">
      <alignment horizontal="left" vertical="top" wrapText="1"/>
      <protection hidden="1"/>
    </xf>
    <xf numFmtId="0" fontId="27" fillId="4" borderId="57" xfId="0" applyFont="1" applyFill="1" applyBorder="1" applyAlignment="1" applyProtection="1">
      <alignment vertical="top" wrapText="1"/>
      <protection hidden="1"/>
    </xf>
    <xf numFmtId="0" fontId="27" fillId="5" borderId="57" xfId="0" applyFont="1" applyFill="1" applyBorder="1" applyAlignment="1" applyProtection="1">
      <alignment vertical="top" wrapText="1"/>
      <protection hidden="1"/>
    </xf>
    <xf numFmtId="0" fontId="24" fillId="8" borderId="0" xfId="0" applyFont="1" applyFill="1" applyAlignment="1" applyProtection="1">
      <alignment horizontal="left" wrapText="1"/>
      <protection hidden="1"/>
    </xf>
    <xf numFmtId="0" fontId="24" fillId="0" borderId="0" xfId="0" applyFont="1" applyAlignment="1" applyProtection="1">
      <alignment wrapText="1"/>
      <protection hidden="1"/>
    </xf>
    <xf numFmtId="44" fontId="24" fillId="8" borderId="6" xfId="0" applyNumberFormat="1" applyFont="1" applyFill="1" applyBorder="1" applyAlignment="1" applyProtection="1">
      <alignment horizontal="left" vertical="top" wrapText="1"/>
      <protection hidden="1"/>
    </xf>
    <xf numFmtId="165" fontId="25" fillId="0" borderId="6" xfId="0" applyNumberFormat="1" applyFont="1" applyBorder="1" applyAlignment="1" applyProtection="1">
      <alignment horizontal="right" vertical="top" wrapText="1"/>
      <protection hidden="1"/>
    </xf>
    <xf numFmtId="0" fontId="27" fillId="0" borderId="11" xfId="0" quotePrefix="1" applyFont="1" applyBorder="1" applyAlignment="1" applyProtection="1">
      <alignment vertical="top" wrapText="1"/>
      <protection hidden="1"/>
    </xf>
    <xf numFmtId="0" fontId="31" fillId="0" borderId="6" xfId="0" quotePrefix="1" applyFont="1" applyBorder="1" applyAlignment="1" applyProtection="1">
      <alignment vertical="center" wrapText="1"/>
      <protection hidden="1"/>
    </xf>
    <xf numFmtId="0" fontId="27" fillId="0" borderId="0" xfId="0" quotePrefix="1" applyFont="1" applyAlignment="1" applyProtection="1">
      <alignment vertical="center" wrapText="1"/>
      <protection hidden="1"/>
    </xf>
    <xf numFmtId="0" fontId="27" fillId="0" borderId="0" xfId="0" quotePrefix="1" applyFont="1" applyAlignment="1" applyProtection="1">
      <alignment horizontal="left" vertical="center" wrapText="1"/>
      <protection hidden="1"/>
    </xf>
    <xf numFmtId="0" fontId="36" fillId="10" borderId="23" xfId="0" applyFont="1" applyFill="1" applyBorder="1" applyAlignment="1" applyProtection="1">
      <alignment vertical="center" wrapText="1"/>
      <protection hidden="1"/>
    </xf>
    <xf numFmtId="0" fontId="31" fillId="0" borderId="25" xfId="0" applyFont="1" applyBorder="1" applyAlignment="1" applyProtection="1">
      <alignment horizontal="center" vertical="center" wrapText="1"/>
      <protection hidden="1"/>
    </xf>
    <xf numFmtId="0" fontId="31" fillId="0" borderId="0" xfId="0" applyFont="1" applyAlignment="1" applyProtection="1">
      <alignment horizontal="center" vertical="center" wrapText="1"/>
      <protection hidden="1"/>
    </xf>
    <xf numFmtId="0" fontId="27" fillId="0" borderId="0" xfId="0" applyFont="1" applyAlignment="1" applyProtection="1">
      <alignment wrapText="1"/>
      <protection hidden="1"/>
    </xf>
    <xf numFmtId="44" fontId="25" fillId="2" borderId="6" xfId="0" applyNumberFormat="1" applyFont="1" applyFill="1" applyBorder="1" applyAlignment="1" applyProtection="1">
      <alignment horizontal="left" vertical="top" wrapText="1"/>
      <protection locked="0" hidden="1"/>
    </xf>
    <xf numFmtId="0" fontId="25" fillId="2" borderId="6" xfId="0" applyFont="1" applyFill="1" applyBorder="1" applyProtection="1">
      <protection locked="0" hidden="1"/>
    </xf>
    <xf numFmtId="0" fontId="34" fillId="0" borderId="49" xfId="0" applyFont="1" applyBorder="1" applyAlignment="1" applyProtection="1">
      <alignment horizontal="left" vertical="top" wrapText="1"/>
      <protection hidden="1"/>
    </xf>
    <xf numFmtId="49" fontId="31" fillId="0" borderId="24" xfId="0" applyNumberFormat="1" applyFont="1" applyBorder="1" applyAlignment="1" applyProtection="1">
      <alignment horizontal="center" vertical="center" wrapText="1"/>
      <protection locked="0" hidden="1"/>
    </xf>
    <xf numFmtId="49" fontId="31" fillId="0" borderId="26" xfId="0" applyNumberFormat="1" applyFont="1" applyBorder="1" applyAlignment="1" applyProtection="1">
      <alignment horizontal="center" vertical="center" wrapText="1"/>
      <protection locked="0" hidden="1"/>
    </xf>
    <xf numFmtId="167" fontId="31" fillId="0" borderId="24" xfId="0" applyNumberFormat="1" applyFont="1" applyBorder="1" applyAlignment="1" applyProtection="1">
      <alignment horizontal="center" vertical="center" wrapText="1"/>
      <protection locked="0" hidden="1"/>
    </xf>
    <xf numFmtId="0" fontId="24" fillId="8" borderId="56" xfId="0" applyFont="1" applyFill="1" applyBorder="1" applyAlignment="1" applyProtection="1">
      <alignment wrapText="1"/>
      <protection hidden="1"/>
    </xf>
    <xf numFmtId="0" fontId="32" fillId="8" borderId="57" xfId="0" applyFont="1" applyFill="1" applyBorder="1" applyAlignment="1" applyProtection="1">
      <alignment wrapText="1"/>
      <protection hidden="1"/>
    </xf>
    <xf numFmtId="0" fontId="24" fillId="0" borderId="57" xfId="0" applyFont="1" applyBorder="1" applyAlignment="1" applyProtection="1">
      <alignment wrapText="1"/>
      <protection hidden="1"/>
    </xf>
    <xf numFmtId="0" fontId="31" fillId="0" borderId="57" xfId="0" applyFont="1" applyBorder="1" applyAlignment="1" applyProtection="1">
      <alignment vertical="center" wrapText="1"/>
      <protection hidden="1"/>
    </xf>
    <xf numFmtId="0" fontId="27" fillId="0" borderId="57" xfId="0" quotePrefix="1" applyFont="1" applyBorder="1" applyAlignment="1" applyProtection="1">
      <alignment horizontal="left" vertical="center" wrapText="1"/>
      <protection hidden="1"/>
    </xf>
    <xf numFmtId="0" fontId="27" fillId="0" borderId="57" xfId="0" quotePrefix="1" applyFont="1" applyBorder="1" applyAlignment="1" applyProtection="1">
      <alignment vertical="center" wrapText="1"/>
      <protection hidden="1"/>
    </xf>
    <xf numFmtId="0" fontId="31" fillId="0" borderId="57" xfId="0" applyFont="1" applyBorder="1" applyAlignment="1" applyProtection="1">
      <alignment wrapText="1"/>
      <protection hidden="1"/>
    </xf>
    <xf numFmtId="165" fontId="25" fillId="2" borderId="58" xfId="0" applyNumberFormat="1" applyFont="1" applyFill="1" applyBorder="1" applyAlignment="1" applyProtection="1">
      <alignment horizontal="left" vertical="top" wrapText="1"/>
      <protection hidden="1"/>
    </xf>
    <xf numFmtId="0" fontId="34" fillId="0" borderId="42" xfId="0" applyFont="1" applyBorder="1" applyAlignment="1" applyProtection="1">
      <alignment vertical="top" wrapText="1"/>
      <protection hidden="1"/>
    </xf>
    <xf numFmtId="0" fontId="34" fillId="0" borderId="43" xfId="0" applyFont="1" applyBorder="1" applyAlignment="1" applyProtection="1">
      <alignment vertical="top" wrapText="1"/>
      <protection hidden="1"/>
    </xf>
    <xf numFmtId="44" fontId="35" fillId="0" borderId="42" xfId="0" applyNumberFormat="1" applyFont="1" applyBorder="1" applyAlignment="1" applyProtection="1">
      <alignment horizontal="left" vertical="top" wrapText="1"/>
      <protection hidden="1"/>
    </xf>
    <xf numFmtId="0" fontId="35" fillId="0" borderId="42" xfId="0" applyFont="1" applyBorder="1" applyAlignment="1" applyProtection="1">
      <alignment horizontal="left" vertical="top" wrapText="1"/>
      <protection hidden="1"/>
    </xf>
    <xf numFmtId="0" fontId="35" fillId="0" borderId="43" xfId="0" applyFont="1" applyBorder="1" applyAlignment="1" applyProtection="1">
      <alignment horizontal="left" vertical="top" wrapText="1"/>
      <protection hidden="1"/>
    </xf>
    <xf numFmtId="165" fontId="34" fillId="0" borderId="42" xfId="0" applyNumberFormat="1" applyFont="1" applyBorder="1" applyAlignment="1" applyProtection="1">
      <alignment vertical="top" wrapText="1"/>
      <protection hidden="1"/>
    </xf>
    <xf numFmtId="0" fontId="34" fillId="0" borderId="42" xfId="0" applyFont="1" applyBorder="1" applyAlignment="1" applyProtection="1">
      <alignment horizontal="left" vertical="top" wrapText="1"/>
      <protection hidden="1"/>
    </xf>
    <xf numFmtId="165" fontId="34" fillId="0" borderId="43" xfId="0" applyNumberFormat="1" applyFont="1" applyBorder="1" applyAlignment="1" applyProtection="1">
      <alignment vertical="top" wrapText="1"/>
      <protection hidden="1"/>
    </xf>
    <xf numFmtId="1" fontId="34" fillId="0" borderId="42" xfId="0" applyNumberFormat="1" applyFont="1" applyBorder="1" applyAlignment="1" applyProtection="1">
      <alignment vertical="top" wrapText="1"/>
      <protection hidden="1"/>
    </xf>
    <xf numFmtId="0" fontId="35" fillId="0" borderId="45" xfId="0" applyFont="1" applyBorder="1" applyAlignment="1" applyProtection="1">
      <alignment vertical="top" wrapText="1"/>
      <protection hidden="1"/>
    </xf>
    <xf numFmtId="165" fontId="35" fillId="0" borderId="46" xfId="0" applyNumberFormat="1" applyFont="1" applyBorder="1" applyAlignment="1" applyProtection="1">
      <alignment vertical="top" wrapText="1"/>
      <protection hidden="1"/>
    </xf>
    <xf numFmtId="0" fontId="4" fillId="5" borderId="17" xfId="0" applyFont="1" applyFill="1" applyBorder="1" applyAlignment="1" applyProtection="1">
      <alignment vertical="top" wrapText="1"/>
      <protection hidden="1"/>
    </xf>
    <xf numFmtId="0" fontId="14" fillId="0" borderId="6" xfId="0" applyFont="1" applyBorder="1" applyAlignment="1" applyProtection="1">
      <alignment vertical="top" wrapText="1"/>
      <protection hidden="1"/>
    </xf>
    <xf numFmtId="0" fontId="14" fillId="6" borderId="6" xfId="0" applyFont="1" applyFill="1" applyBorder="1" applyAlignment="1" applyProtection="1">
      <alignment vertical="top" wrapText="1"/>
      <protection hidden="1"/>
    </xf>
    <xf numFmtId="0" fontId="15" fillId="5" borderId="6" xfId="0" applyFont="1" applyFill="1" applyBorder="1" applyAlignment="1" applyProtection="1">
      <alignment vertical="top" wrapText="1"/>
      <protection hidden="1"/>
    </xf>
    <xf numFmtId="0" fontId="14" fillId="5" borderId="6" xfId="0" applyFont="1" applyFill="1" applyBorder="1" applyAlignment="1" applyProtection="1">
      <alignment horizontal="center" vertical="top" wrapText="1"/>
      <protection hidden="1"/>
    </xf>
    <xf numFmtId="0" fontId="10" fillId="0" borderId="6" xfId="0" applyFont="1" applyBorder="1" applyProtection="1">
      <protection hidden="1"/>
    </xf>
    <xf numFmtId="0" fontId="4" fillId="0" borderId="6" xfId="0" applyFont="1" applyBorder="1" applyAlignment="1">
      <alignment wrapText="1"/>
    </xf>
    <xf numFmtId="0" fontId="14" fillId="6" borderId="17" xfId="0" applyFont="1" applyFill="1" applyBorder="1" applyAlignment="1" applyProtection="1">
      <alignment vertical="top" wrapText="1"/>
      <protection hidden="1"/>
    </xf>
    <xf numFmtId="0" fontId="14" fillId="6" borderId="17" xfId="0" applyFont="1" applyFill="1" applyBorder="1" applyProtection="1">
      <protection hidden="1"/>
    </xf>
    <xf numFmtId="0" fontId="15" fillId="6" borderId="6" xfId="0" applyFont="1" applyFill="1" applyBorder="1" applyAlignment="1" applyProtection="1">
      <alignment vertical="top" wrapText="1"/>
      <protection hidden="1"/>
    </xf>
    <xf numFmtId="0" fontId="4" fillId="6" borderId="17" xfId="0" applyFont="1" applyFill="1" applyBorder="1" applyAlignment="1" applyProtection="1">
      <alignment vertical="top"/>
      <protection hidden="1"/>
    </xf>
    <xf numFmtId="0" fontId="14" fillId="6" borderId="17" xfId="0" applyFont="1" applyFill="1" applyBorder="1" applyAlignment="1" applyProtection="1">
      <alignment horizontal="center" vertical="top"/>
      <protection hidden="1"/>
    </xf>
    <xf numFmtId="0" fontId="14" fillId="6" borderId="17" xfId="0" applyFont="1" applyFill="1" applyBorder="1" applyAlignment="1" applyProtection="1">
      <alignment horizontal="center" vertical="top" wrapText="1"/>
      <protection hidden="1"/>
    </xf>
    <xf numFmtId="0" fontId="15" fillId="5" borderId="6" xfId="0" applyFont="1" applyFill="1" applyBorder="1" applyAlignment="1" applyProtection="1">
      <alignment horizontal="center" vertical="top" wrapText="1"/>
      <protection hidden="1"/>
    </xf>
    <xf numFmtId="0" fontId="15" fillId="0" borderId="6" xfId="0" applyFont="1" applyBorder="1" applyAlignment="1" applyProtection="1">
      <alignment horizontal="center" vertical="top"/>
      <protection hidden="1"/>
    </xf>
    <xf numFmtId="0" fontId="14" fillId="0" borderId="6" xfId="0" applyFont="1" applyBorder="1" applyAlignment="1" applyProtection="1">
      <alignment horizontal="center" vertical="top" wrapText="1"/>
      <protection hidden="1"/>
    </xf>
    <xf numFmtId="165" fontId="25" fillId="0" borderId="54" xfId="0" applyNumberFormat="1" applyFont="1" applyBorder="1" applyAlignment="1" applyProtection="1">
      <alignment horizontal="left" vertical="top" wrapText="1"/>
      <protection locked="0" hidden="1"/>
    </xf>
    <xf numFmtId="0" fontId="35" fillId="0" borderId="49" xfId="0" applyFont="1" applyBorder="1" applyAlignment="1" applyProtection="1">
      <alignment horizontal="left" vertical="top"/>
      <protection hidden="1"/>
    </xf>
    <xf numFmtId="0" fontId="24" fillId="8" borderId="38" xfId="0" applyFont="1" applyFill="1" applyBorder="1" applyAlignment="1" applyProtection="1">
      <alignment horizontal="left" wrapText="1"/>
      <protection hidden="1"/>
    </xf>
    <xf numFmtId="0" fontId="24" fillId="8" borderId="39" xfId="0" applyFont="1" applyFill="1" applyBorder="1" applyAlignment="1" applyProtection="1">
      <alignment horizontal="left" wrapText="1"/>
      <protection hidden="1"/>
    </xf>
    <xf numFmtId="0" fontId="24" fillId="8" borderId="40" xfId="0" applyFont="1" applyFill="1" applyBorder="1" applyAlignment="1" applyProtection="1">
      <alignment horizontal="left" wrapText="1"/>
      <protection hidden="1"/>
    </xf>
    <xf numFmtId="0" fontId="24" fillId="8" borderId="0" xfId="0" applyFont="1" applyFill="1" applyAlignment="1" applyProtection="1">
      <alignment horizontal="left" wrapText="1"/>
      <protection hidden="1"/>
    </xf>
    <xf numFmtId="0" fontId="36" fillId="10" borderId="23" xfId="0" applyFont="1" applyFill="1" applyBorder="1" applyAlignment="1" applyProtection="1">
      <alignment horizontal="left" vertical="top" wrapText="1"/>
      <protection hidden="1"/>
    </xf>
    <xf numFmtId="0" fontId="36" fillId="10" borderId="23" xfId="0" quotePrefix="1" applyFont="1" applyFill="1" applyBorder="1" applyAlignment="1" applyProtection="1">
      <alignment horizontal="left" vertical="top" wrapText="1"/>
      <protection hidden="1"/>
    </xf>
    <xf numFmtId="49" fontId="31" fillId="0" borderId="24" xfId="0" applyNumberFormat="1" applyFont="1" applyBorder="1" applyAlignment="1" applyProtection="1">
      <alignment horizontal="center" vertical="center" wrapText="1"/>
      <protection locked="0" hidden="1"/>
    </xf>
    <xf numFmtId="49" fontId="31" fillId="0" borderId="25" xfId="0" applyNumberFormat="1" applyFont="1" applyBorder="1" applyAlignment="1" applyProtection="1">
      <alignment horizontal="center" vertical="center" wrapText="1"/>
      <protection locked="0" hidden="1"/>
    </xf>
    <xf numFmtId="44" fontId="29" fillId="0" borderId="54" xfId="0" applyNumberFormat="1" applyFont="1" applyBorder="1" applyAlignment="1" applyProtection="1">
      <alignment horizontal="left" vertical="top" wrapText="1"/>
      <protection hidden="1"/>
    </xf>
    <xf numFmtId="0" fontId="25" fillId="0" borderId="54" xfId="0" applyFont="1" applyBorder="1" applyAlignment="1" applyProtection="1">
      <alignment horizontal="left" vertical="top" wrapText="1"/>
      <protection hidden="1"/>
    </xf>
    <xf numFmtId="0" fontId="25" fillId="0" borderId="50" xfId="0" applyFont="1" applyBorder="1" applyAlignment="1" applyProtection="1">
      <alignment horizontal="left" vertical="top" wrapText="1"/>
      <protection hidden="1"/>
    </xf>
    <xf numFmtId="0" fontId="24" fillId="8" borderId="47" xfId="0" applyFont="1" applyFill="1" applyBorder="1" applyAlignment="1" applyProtection="1">
      <alignment horizontal="left" wrapText="1"/>
      <protection hidden="1"/>
    </xf>
    <xf numFmtId="0" fontId="24" fillId="8" borderId="53" xfId="0" applyFont="1" applyFill="1" applyBorder="1" applyAlignment="1" applyProtection="1">
      <alignment horizontal="left" wrapText="1"/>
      <protection hidden="1"/>
    </xf>
    <xf numFmtId="0" fontId="24" fillId="8" borderId="48" xfId="0" applyFont="1" applyFill="1" applyBorder="1" applyAlignment="1" applyProtection="1">
      <alignment horizontal="left" wrapText="1"/>
      <protection hidden="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meldpuntvastgoedbedrijf@almere.nl" TargetMode="External"/><Relationship Id="rId21" Type="http://schemas.openxmlformats.org/officeDocument/2006/relationships/hyperlink" Target="mailto:info@droomspiegel.nl" TargetMode="External"/><Relationship Id="rId42" Type="http://schemas.openxmlformats.org/officeDocument/2006/relationships/hyperlink" Target="mailto:info@taalcentrumalmere.nl" TargetMode="External"/><Relationship Id="rId63" Type="http://schemas.openxmlformats.org/officeDocument/2006/relationships/hyperlink" Target="mailto:dir.buitenburcht@prisma-almere.nl" TargetMode="External"/><Relationship Id="rId84" Type="http://schemas.openxmlformats.org/officeDocument/2006/relationships/hyperlink" Target="mailto:meldpuntvastgoedbedrijf@almere.nl" TargetMode="External"/><Relationship Id="rId138" Type="http://schemas.openxmlformats.org/officeDocument/2006/relationships/hyperlink" Target="mailto:directie@polderhof.asg-almere.nl" TargetMode="External"/><Relationship Id="rId159" Type="http://schemas.openxmlformats.org/officeDocument/2006/relationships/hyperlink" Target="mailto:aadam@almere.nl" TargetMode="External"/><Relationship Id="rId170" Type="http://schemas.openxmlformats.org/officeDocument/2006/relationships/hyperlink" Target="mailto:info@deschoor.nl?" TargetMode="External"/><Relationship Id="rId191" Type="http://schemas.openxmlformats.org/officeDocument/2006/relationships/hyperlink" Target="mailto:pwjschrijver@almere.nl" TargetMode="External"/><Relationship Id="rId205" Type="http://schemas.openxmlformats.org/officeDocument/2006/relationships/hyperlink" Target="mailto:meldpuntvastgoedbedrijf@almere.nl" TargetMode="External"/><Relationship Id="rId107" Type="http://schemas.openxmlformats.org/officeDocument/2006/relationships/hyperlink" Target="mailto:patrick@cafeop2.nl" TargetMode="External"/><Relationship Id="rId11" Type="http://schemas.openxmlformats.org/officeDocument/2006/relationships/hyperlink" Target="mailto:meldpuntvastgoedbedrijf@almere.nl" TargetMode="External"/><Relationship Id="rId32" Type="http://schemas.openxmlformats.org/officeDocument/2006/relationships/hyperlink" Target="mailto:meldpuntvastgoedbedrijf@almere.nl" TargetMode="External"/><Relationship Id="rId53" Type="http://schemas.openxmlformats.org/officeDocument/2006/relationships/hyperlink" Target="mailto:dir.olijfboom@prisma-almere.nl" TargetMode="External"/><Relationship Id="rId74" Type="http://schemas.openxmlformats.org/officeDocument/2006/relationships/hyperlink" Target="mailto:meldpuntvastgoedbedrijf@almere.nl" TargetMode="External"/><Relationship Id="rId128" Type="http://schemas.openxmlformats.org/officeDocument/2006/relationships/hyperlink" Target="mailto:info@flevo-phantoms.nl" TargetMode="External"/><Relationship Id="rId149" Type="http://schemas.openxmlformats.org/officeDocument/2006/relationships/hyperlink" Target="mailto:s.bley@onderwijsbureau-meppel.nl" TargetMode="External"/><Relationship Id="rId5" Type="http://schemas.openxmlformats.org/officeDocument/2006/relationships/hyperlink" Target="mailto:info@dansstudioyvette.nl" TargetMode="External"/><Relationship Id="rId95" Type="http://schemas.openxmlformats.org/officeDocument/2006/relationships/hyperlink" Target="mailto:info@sterrenschoolderuimte.nl" TargetMode="External"/><Relationship Id="rId160" Type="http://schemas.openxmlformats.org/officeDocument/2006/relationships/hyperlink" Target="mailto:aadam@almere.nl" TargetMode="External"/><Relationship Id="rId181" Type="http://schemas.openxmlformats.org/officeDocument/2006/relationships/hyperlink" Target="mailto:dir.kraanvogel@prisma-almere.nl" TargetMode="External"/><Relationship Id="rId216" Type="http://schemas.openxmlformats.org/officeDocument/2006/relationships/printerSettings" Target="../printerSettings/printerSettings4.bin"/><Relationship Id="rId22" Type="http://schemas.openxmlformats.org/officeDocument/2006/relationships/hyperlink" Target="mailto:info@deschoor.nl" TargetMode="External"/><Relationship Id="rId43" Type="http://schemas.openxmlformats.org/officeDocument/2006/relationships/hyperlink" Target="mailto:meldpuntvastgoedbedrijf@almere.nl" TargetMode="External"/><Relationship Id="rId64" Type="http://schemas.openxmlformats.org/officeDocument/2006/relationships/hyperlink" Target="mailto:dir.lettertuin@skofv.nl" TargetMode="External"/><Relationship Id="rId118" Type="http://schemas.openxmlformats.org/officeDocument/2006/relationships/hyperlink" Target="mailto:meldpuntvastgoedbedrijf@almere.nl" TargetMode="External"/><Relationship Id="rId139" Type="http://schemas.openxmlformats.org/officeDocument/2006/relationships/hyperlink" Target="mailto:ascholten@almere.nl" TargetMode="External"/><Relationship Id="rId85" Type="http://schemas.openxmlformats.org/officeDocument/2006/relationships/hyperlink" Target="mailto:directie@bommelstein.asg.nl" TargetMode="External"/><Relationship Id="rId150" Type="http://schemas.openxmlformats.org/officeDocument/2006/relationships/hyperlink" Target="mailto:directie@columbusschool.asg.nl" TargetMode="External"/><Relationship Id="rId171" Type="http://schemas.openxmlformats.org/officeDocument/2006/relationships/hyperlink" Target="mailto:info@deschoor.nl?" TargetMode="External"/><Relationship Id="rId192" Type="http://schemas.openxmlformats.org/officeDocument/2006/relationships/hyperlink" Target="mailto:pwjschrijver@almere.nl" TargetMode="External"/><Relationship Id="rId206" Type="http://schemas.openxmlformats.org/officeDocument/2006/relationships/hyperlink" Target="mailto:sbatenburg@almere.nl" TargetMode="External"/><Relationship Id="rId12" Type="http://schemas.openxmlformats.org/officeDocument/2006/relationships/hyperlink" Target="mailto:meldpuntvastgoedbedrijf@almere.nl" TargetMode="External"/><Relationship Id="rId33" Type="http://schemas.openxmlformats.org/officeDocument/2006/relationships/hyperlink" Target="mailto:dir.ichthus@prisma-almere.nl" TargetMode="External"/><Relationship Id="rId108" Type="http://schemas.openxmlformats.org/officeDocument/2006/relationships/hyperlink" Target="mailto:administratie@bombardon.edu.almere.nl" TargetMode="External"/><Relationship Id="rId129" Type="http://schemas.openxmlformats.org/officeDocument/2006/relationships/hyperlink" Target="mailto:patrick.schipper@sheerenlo.nl" TargetMode="External"/><Relationship Id="rId54" Type="http://schemas.openxmlformats.org/officeDocument/2006/relationships/hyperlink" Target="mailto:info@zonnewiel.nl" TargetMode="External"/><Relationship Id="rId75" Type="http://schemas.openxmlformats.org/officeDocument/2006/relationships/hyperlink" Target="mailto:meldpuntvastgoedbedrijf@almere.nl" TargetMode="External"/><Relationship Id="rId96" Type="http://schemas.openxmlformats.org/officeDocument/2006/relationships/hyperlink" Target="mailto:directie@digitalis.asg.nl" TargetMode="External"/><Relationship Id="rId140" Type="http://schemas.openxmlformats.org/officeDocument/2006/relationships/hyperlink" Target="mailto:info@kingdomimpact.nl" TargetMode="External"/><Relationship Id="rId161" Type="http://schemas.openxmlformats.org/officeDocument/2006/relationships/hyperlink" Target="mailto:rwestman@deschoor.nl" TargetMode="External"/><Relationship Id="rId182" Type="http://schemas.openxmlformats.org/officeDocument/2006/relationships/hyperlink" Target="mailto:directie@spectrum.asg-almere.nl" TargetMode="External"/><Relationship Id="rId6" Type="http://schemas.openxmlformats.org/officeDocument/2006/relationships/hyperlink" Target="mailto:bestuur@almere81.nl" TargetMode="External"/><Relationship Id="rId23" Type="http://schemas.openxmlformats.org/officeDocument/2006/relationships/hyperlink" Target="mailto:meldpuntvastgoedbedrijf@almere.nl" TargetMode="External"/><Relationship Id="rId119" Type="http://schemas.openxmlformats.org/officeDocument/2006/relationships/hyperlink" Target="mailto:meldpuntvastgoedbedrijf@almere.nl" TargetMode="External"/><Relationship Id="rId44" Type="http://schemas.openxmlformats.org/officeDocument/2006/relationships/hyperlink" Target="mailto:dir.driemaster@prisma-almere.nl" TargetMode="External"/><Relationship Id="rId65" Type="http://schemas.openxmlformats.org/officeDocument/2006/relationships/hyperlink" Target="mailto:meldpuntvastgoedbedrijf@almere.nl" TargetMode="External"/><Relationship Id="rId86" Type="http://schemas.openxmlformats.org/officeDocument/2006/relationships/hyperlink" Target="mailto:directie@architect.asg.nl" TargetMode="External"/><Relationship Id="rId130" Type="http://schemas.openxmlformats.org/officeDocument/2006/relationships/hyperlink" Target="mailto:sbatenburg@almere.nl" TargetMode="External"/><Relationship Id="rId151" Type="http://schemas.openxmlformats.org/officeDocument/2006/relationships/hyperlink" Target="mailto:aadam@almere.nl" TargetMode="External"/><Relationship Id="rId172" Type="http://schemas.openxmlformats.org/officeDocument/2006/relationships/hyperlink" Target="mailto:info@deschoor.nl?" TargetMode="External"/><Relationship Id="rId193" Type="http://schemas.openxmlformats.org/officeDocument/2006/relationships/hyperlink" Target="mailto:pwjschrijver@almere.nl" TargetMode="External"/><Relationship Id="rId207" Type="http://schemas.openxmlformats.org/officeDocument/2006/relationships/hyperlink" Target="mailto:mavoosterom@almere.nl" TargetMode="External"/><Relationship Id="rId13" Type="http://schemas.openxmlformats.org/officeDocument/2006/relationships/hyperlink" Target="mailto:dir.klimop@prisma-almere.nl" TargetMode="External"/><Relationship Id="rId109" Type="http://schemas.openxmlformats.org/officeDocument/2006/relationships/hyperlink" Target="mailto:directie@digitalis.asg.nl" TargetMode="External"/><Relationship Id="rId34" Type="http://schemas.openxmlformats.org/officeDocument/2006/relationships/hyperlink" Target="mailto:meldpuntvastgoedbedrijf@almere.nl" TargetMode="External"/><Relationship Id="rId55" Type="http://schemas.openxmlformats.org/officeDocument/2006/relationships/hyperlink" Target="mailto:meldpuntvastgoedbedrijf@almere.nl" TargetMode="External"/><Relationship Id="rId76" Type="http://schemas.openxmlformats.org/officeDocument/2006/relationships/hyperlink" Target="mailto:info@marijtjedoets.nl" TargetMode="External"/><Relationship Id="rId97" Type="http://schemas.openxmlformats.org/officeDocument/2006/relationships/hyperlink" Target="mailto:V.Bouwman@BrandweerFlevoland.nl" TargetMode="External"/><Relationship Id="rId120" Type="http://schemas.openxmlformats.org/officeDocument/2006/relationships/hyperlink" Target="mailto:voorzitter@waterwijk.nl" TargetMode="External"/><Relationship Id="rId141" Type="http://schemas.openxmlformats.org/officeDocument/2006/relationships/hyperlink" Target="mailto:martijn.valk@kidsfoundation.nl" TargetMode="External"/><Relationship Id="rId7" Type="http://schemas.openxmlformats.org/officeDocument/2006/relationships/hyperlink" Target="mailto:rwestman@deschoor.nl" TargetMode="External"/><Relationship Id="rId162" Type="http://schemas.openxmlformats.org/officeDocument/2006/relationships/hyperlink" Target="mailto:info@palet.asg-almere.nl" TargetMode="External"/><Relationship Id="rId183" Type="http://schemas.openxmlformats.org/officeDocument/2006/relationships/hyperlink" Target="mailto:hhgabriel@almere.nl" TargetMode="External"/><Relationship Id="rId24" Type="http://schemas.openxmlformats.org/officeDocument/2006/relationships/hyperlink" Target="mailto:ascholten@almere.nl" TargetMode="External"/><Relationship Id="rId45" Type="http://schemas.openxmlformats.org/officeDocument/2006/relationships/hyperlink" Target="mailto:meldpuntvastgoedbedrijf@almere.nl" TargetMode="External"/><Relationship Id="rId66" Type="http://schemas.openxmlformats.org/officeDocument/2006/relationships/hyperlink" Target="mailto:info@ikky.nl" TargetMode="External"/><Relationship Id="rId87" Type="http://schemas.openxmlformats.org/officeDocument/2006/relationships/hyperlink" Target="mailto:meldpuntvastgoedbedrijf@almere.nl" TargetMode="External"/><Relationship Id="rId110" Type="http://schemas.openxmlformats.org/officeDocument/2006/relationships/hyperlink" Target="mailto:BC-G@AlmeerseReddingsBrigade.nl" TargetMode="External"/><Relationship Id="rId131" Type="http://schemas.openxmlformats.org/officeDocument/2006/relationships/hyperlink" Target="mailto:dir.kraanvogel@prisma-almere.nl" TargetMode="External"/><Relationship Id="rId152" Type="http://schemas.openxmlformats.org/officeDocument/2006/relationships/hyperlink" Target="mailto:aadam@almere.nl" TargetMode="External"/><Relationship Id="rId173" Type="http://schemas.openxmlformats.org/officeDocument/2006/relationships/hyperlink" Target="mailto:info@deschoor.nl?" TargetMode="External"/><Relationship Id="rId194" Type="http://schemas.openxmlformats.org/officeDocument/2006/relationships/hyperlink" Target="mailto:pwjschrijver@almere.nl" TargetMode="External"/><Relationship Id="rId208" Type="http://schemas.openxmlformats.org/officeDocument/2006/relationships/hyperlink" Target="mailto:pwjschrijver@almere.nl" TargetMode="External"/><Relationship Id="rId19" Type="http://schemas.openxmlformats.org/officeDocument/2006/relationships/hyperlink" Target="mailto:dir.loofhut@skofv.nl?" TargetMode="External"/><Relationship Id="rId14" Type="http://schemas.openxmlformats.org/officeDocument/2006/relationships/hyperlink" Target="mailto:b.gubbels@eduvier.nl" TargetMode="External"/><Relationship Id="rId30" Type="http://schemas.openxmlformats.org/officeDocument/2006/relationships/hyperlink" Target="mailto:info@deschoor.nl?" TargetMode="External"/><Relationship Id="rId35" Type="http://schemas.openxmlformats.org/officeDocument/2006/relationships/hyperlink" Target="mailto:directie@kameleon.asg.nl" TargetMode="External"/><Relationship Id="rId56" Type="http://schemas.openxmlformats.org/officeDocument/2006/relationships/hyperlink" Target="mailto:meldpuntvastgoedbedrijf@almere.nl" TargetMode="External"/><Relationship Id="rId77" Type="http://schemas.openxmlformats.org/officeDocument/2006/relationships/hyperlink" Target="mailto:directie@aurora.asg-almere.nl" TargetMode="External"/><Relationship Id="rId100" Type="http://schemas.openxmlformats.org/officeDocument/2006/relationships/hyperlink" Target="mailto:hschoonheim@almere.nl" TargetMode="External"/><Relationship Id="rId105" Type="http://schemas.openxmlformats.org/officeDocument/2006/relationships/hyperlink" Target="mailto:administratie@albatros.asg-almere.nl" TargetMode="External"/><Relationship Id="rId126" Type="http://schemas.openxmlformats.org/officeDocument/2006/relationships/hyperlink" Target="mailto:info@stadennatuur.nl" TargetMode="External"/><Relationship Id="rId147" Type="http://schemas.openxmlformats.org/officeDocument/2006/relationships/hyperlink" Target="mailto:r.spoelma1961@kpnmail.nl" TargetMode="External"/><Relationship Id="rId168" Type="http://schemas.openxmlformats.org/officeDocument/2006/relationships/hyperlink" Target="mailto:rwestman@deschoor.nl" TargetMode="External"/><Relationship Id="rId8" Type="http://schemas.openxmlformats.org/officeDocument/2006/relationships/hyperlink" Target="mailto:e.weteringe@vmca.nl" TargetMode="External"/><Relationship Id="rId51" Type="http://schemas.openxmlformats.org/officeDocument/2006/relationships/hyperlink" Target="mailto:meldpuntvastgoedbedrijf@almere.nl" TargetMode="External"/><Relationship Id="rId72" Type="http://schemas.openxmlformats.org/officeDocument/2006/relationships/hyperlink" Target="mailto:info@praktijkonderwijsalmere.nl" TargetMode="External"/><Relationship Id="rId93" Type="http://schemas.openxmlformats.org/officeDocument/2006/relationships/hyperlink" Target="mailto:directie@columbusschool.asg.nl" TargetMode="External"/><Relationship Id="rId98" Type="http://schemas.openxmlformats.org/officeDocument/2006/relationships/hyperlink" Target="mailto:directie@boventoon.asg-almere.nl" TargetMode="External"/><Relationship Id="rId121" Type="http://schemas.openxmlformats.org/officeDocument/2006/relationships/hyperlink" Target="mailto:pwjschrijver@almere.nl" TargetMode="External"/><Relationship Id="rId142" Type="http://schemas.openxmlformats.org/officeDocument/2006/relationships/hyperlink" Target="mailto:martijn.valk@kidsfoundation.nl" TargetMode="External"/><Relationship Id="rId163" Type="http://schemas.openxmlformats.org/officeDocument/2006/relationships/hyperlink" Target="mailto:sbatenburg@almere.nl" TargetMode="External"/><Relationship Id="rId184" Type="http://schemas.openxmlformats.org/officeDocument/2006/relationships/hyperlink" Target="mailto:hhgabriel@almere.nl" TargetMode="External"/><Relationship Id="rId189" Type="http://schemas.openxmlformats.org/officeDocument/2006/relationships/hyperlink" Target="mailto:dgroeneveld@deschoor.nl" TargetMode="External"/><Relationship Id="rId3" Type="http://schemas.openxmlformats.org/officeDocument/2006/relationships/hyperlink" Target="mailto:administratie@bombardon.asg-almere.nl" TargetMode="External"/><Relationship Id="rId214" Type="http://schemas.openxmlformats.org/officeDocument/2006/relationships/hyperlink" Target="mailto:meldpuntvastgoedbedrijf@almere.nl" TargetMode="External"/><Relationship Id="rId25" Type="http://schemas.openxmlformats.org/officeDocument/2006/relationships/hyperlink" Target="mailto:meldpuntvastgoedbedrijf@almere.nl" TargetMode="External"/><Relationship Id="rId46" Type="http://schemas.openxmlformats.org/officeDocument/2006/relationships/hyperlink" Target="mailto:directie@samenspel.asg.nl" TargetMode="External"/><Relationship Id="rId67" Type="http://schemas.openxmlformats.org/officeDocument/2006/relationships/hyperlink" Target="mailto:meldpuntvastgoedbedrijf@almere.nl" TargetMode="External"/><Relationship Id="rId116" Type="http://schemas.openxmlformats.org/officeDocument/2006/relationships/hyperlink" Target="mailto:directie@aquamarijn.asg.nl" TargetMode="External"/><Relationship Id="rId137" Type="http://schemas.openxmlformats.org/officeDocument/2006/relationships/hyperlink" Target="mailto:hhgabriel@almere.nl" TargetMode="External"/><Relationship Id="rId158" Type="http://schemas.openxmlformats.org/officeDocument/2006/relationships/hyperlink" Target="mailto:aadam@almere.nl" TargetMode="External"/><Relationship Id="rId20" Type="http://schemas.openxmlformats.org/officeDocument/2006/relationships/hyperlink" Target="mailto:dir.regenboog@prisma-almere.nl" TargetMode="External"/><Relationship Id="rId41" Type="http://schemas.openxmlformats.org/officeDocument/2006/relationships/hyperlink" Target="mailto:directie@heliotroop.asg-almere.nl" TargetMode="External"/><Relationship Id="rId62" Type="http://schemas.openxmlformats.org/officeDocument/2006/relationships/hyperlink" Target="mailto:dir.buitenburcht@prisma-almere.nl" TargetMode="External"/><Relationship Id="rId83" Type="http://schemas.openxmlformats.org/officeDocument/2006/relationships/hyperlink" Target="mailto:dir.kompas@prisma-almere.nl" TargetMode="External"/><Relationship Id="rId88" Type="http://schemas.openxmlformats.org/officeDocument/2006/relationships/hyperlink" Target="mailto:rmjvdijk@almere.nl" TargetMode="External"/><Relationship Id="rId111" Type="http://schemas.openxmlformats.org/officeDocument/2006/relationships/hyperlink" Target="mailto:BC-G@AlmeerseReddingsBrigade.nl" TargetMode="External"/><Relationship Id="rId132" Type="http://schemas.openxmlformats.org/officeDocument/2006/relationships/hyperlink" Target="mailto:dir.pirouette@skofv.nl" TargetMode="External"/><Relationship Id="rId153" Type="http://schemas.openxmlformats.org/officeDocument/2006/relationships/hyperlink" Target="mailto:aadam@almere.nl" TargetMode="External"/><Relationship Id="rId174" Type="http://schemas.openxmlformats.org/officeDocument/2006/relationships/hyperlink" Target="mailto:info@deschoor.nl?" TargetMode="External"/><Relationship Id="rId179" Type="http://schemas.openxmlformats.org/officeDocument/2006/relationships/hyperlink" Target="mailto:meldpuntvastgoedbedrijf@almere.nl" TargetMode="External"/><Relationship Id="rId195" Type="http://schemas.openxmlformats.org/officeDocument/2006/relationships/hyperlink" Target="mailto:pwjschrijver@almere.nl" TargetMode="External"/><Relationship Id="rId209" Type="http://schemas.openxmlformats.org/officeDocument/2006/relationships/hyperlink" Target="mailto:ascholten@almere.nl" TargetMode="External"/><Relationship Id="rId190" Type="http://schemas.openxmlformats.org/officeDocument/2006/relationships/hyperlink" Target="mailto:info@egelantier.asg-almere.nl" TargetMode="External"/><Relationship Id="rId204" Type="http://schemas.openxmlformats.org/officeDocument/2006/relationships/hyperlink" Target="mailto:directie@odyssee.asg.nl" TargetMode="External"/><Relationship Id="rId15" Type="http://schemas.openxmlformats.org/officeDocument/2006/relationships/hyperlink" Target="mailto:meldpuntvastgoedbedrijf@almere.nl" TargetMode="External"/><Relationship Id="rId36" Type="http://schemas.openxmlformats.org/officeDocument/2006/relationships/hyperlink" Target="mailto:meldpuntvastgoedbedrijf@almere.nl" TargetMode="External"/><Relationship Id="rId57" Type="http://schemas.openxmlformats.org/officeDocument/2006/relationships/hyperlink" Target="mailto:dir.pirouette@skofv.nl" TargetMode="External"/><Relationship Id="rId106" Type="http://schemas.openxmlformats.org/officeDocument/2006/relationships/hyperlink" Target="mailto:lentemorgen11@gmail.com" TargetMode="External"/><Relationship Id="rId127" Type="http://schemas.openxmlformats.org/officeDocument/2006/relationships/hyperlink" Target="mailto:info@stadennatuur.nl" TargetMode="External"/><Relationship Id="rId10" Type="http://schemas.openxmlformats.org/officeDocument/2006/relationships/hyperlink" Target="mailto:meldpuntvastgoedbedrijf@almere.nl" TargetMode="External"/><Relationship Id="rId31" Type="http://schemas.openxmlformats.org/officeDocument/2006/relationships/hyperlink" Target="mailto:info@bspantarhei.nl" TargetMode="External"/><Relationship Id="rId52" Type="http://schemas.openxmlformats.org/officeDocument/2006/relationships/hyperlink" Target="mailto:info@zonnewiel.nl" TargetMode="External"/><Relationship Id="rId73" Type="http://schemas.openxmlformats.org/officeDocument/2006/relationships/hyperlink" Target="mailto:meldpuntvastgoedbedrijf@almere.nl" TargetMode="External"/><Relationship Id="rId78" Type="http://schemas.openxmlformats.org/officeDocument/2006/relationships/hyperlink" Target="mailto:dir.dukdalf@prisma-almere.nl," TargetMode="External"/><Relationship Id="rId94" Type="http://schemas.openxmlformats.org/officeDocument/2006/relationships/hyperlink" Target="mailto:directie@klaverweide.asg.nl" TargetMode="External"/><Relationship Id="rId99" Type="http://schemas.openxmlformats.org/officeDocument/2006/relationships/hyperlink" Target="mailto:directie@montessoristad.asg.nl" TargetMode="External"/><Relationship Id="rId101" Type="http://schemas.openxmlformats.org/officeDocument/2006/relationships/hyperlink" Target="mailto:kinderrevalidatiealmere@trappenberg.merem.nl" TargetMode="External"/><Relationship Id="rId122" Type="http://schemas.openxmlformats.org/officeDocument/2006/relationships/hyperlink" Target="mailto:secretaris@najaden.nl" TargetMode="External"/><Relationship Id="rId143" Type="http://schemas.openxmlformats.org/officeDocument/2006/relationships/hyperlink" Target="mailto:info@deschoor.nl" TargetMode="External"/><Relationship Id="rId148" Type="http://schemas.openxmlformats.org/officeDocument/2006/relationships/hyperlink" Target="mailto:rwestman@deschoor.nl" TargetMode="External"/><Relationship Id="rId164" Type="http://schemas.openxmlformats.org/officeDocument/2006/relationships/hyperlink" Target="mailto:rwestman@deschoor.nl" TargetMode="External"/><Relationship Id="rId169" Type="http://schemas.openxmlformats.org/officeDocument/2006/relationships/hyperlink" Target="mailto:info@deschoor.nl?" TargetMode="External"/><Relationship Id="rId185" Type="http://schemas.openxmlformats.org/officeDocument/2006/relationships/hyperlink" Target="mailto:hhgabriel@almere.nl" TargetMode="External"/><Relationship Id="rId4" Type="http://schemas.openxmlformats.org/officeDocument/2006/relationships/hyperlink" Target="mailto:info@praktijkonderwijsalmere.nl" TargetMode="External"/><Relationship Id="rId9" Type="http://schemas.openxmlformats.org/officeDocument/2006/relationships/hyperlink" Target="mailto:meldpuntvastgoedbedrijf@almere.nl" TargetMode="External"/><Relationship Id="rId180" Type="http://schemas.openxmlformats.org/officeDocument/2006/relationships/hyperlink" Target="mailto:administratie@albatros.asg-almere.nl" TargetMode="External"/><Relationship Id="rId210" Type="http://schemas.openxmlformats.org/officeDocument/2006/relationships/hyperlink" Target="mailto:meldpuntvastgoedbedrijf@almere.nl" TargetMode="External"/><Relationship Id="rId215" Type="http://schemas.openxmlformats.org/officeDocument/2006/relationships/hyperlink" Target="mailto:meldpuntvastgoedbedrijf@almere.nl" TargetMode="External"/><Relationship Id="rId26" Type="http://schemas.openxmlformats.org/officeDocument/2006/relationships/hyperlink" Target="mailto:wim.meijer@watertuin.asg.nl" TargetMode="External"/><Relationship Id="rId47" Type="http://schemas.openxmlformats.org/officeDocument/2006/relationships/hyperlink" Target="mailto:info@stadennatuur.nl" TargetMode="External"/><Relationship Id="rId68" Type="http://schemas.openxmlformats.org/officeDocument/2006/relationships/hyperlink" Target="mailto:directie@spectrum.asg-almere.nl" TargetMode="External"/><Relationship Id="rId89" Type="http://schemas.openxmlformats.org/officeDocument/2006/relationships/hyperlink" Target="mailto:r.bleij@kpnmail.nl" TargetMode="External"/><Relationship Id="rId112" Type="http://schemas.openxmlformats.org/officeDocument/2006/relationships/hyperlink" Target="mailto:info@amethistverslavingszorg.nl" TargetMode="External"/><Relationship Id="rId133" Type="http://schemas.openxmlformats.org/officeDocument/2006/relationships/hyperlink" Target="mailto:dir.pirouette@skofv.nl" TargetMode="External"/><Relationship Id="rId154" Type="http://schemas.openxmlformats.org/officeDocument/2006/relationships/hyperlink" Target="mailto:aadam@almere.nl" TargetMode="External"/><Relationship Id="rId175" Type="http://schemas.openxmlformats.org/officeDocument/2006/relationships/hyperlink" Target="mailto:info@deschoor.nl?" TargetMode="External"/><Relationship Id="rId196" Type="http://schemas.openxmlformats.org/officeDocument/2006/relationships/hyperlink" Target="mailto:pwjschrijver@almere.nl" TargetMode="External"/><Relationship Id="rId200" Type="http://schemas.openxmlformats.org/officeDocument/2006/relationships/hyperlink" Target="mailto:s.vanbroekhuijsen@almere-speciaal.nl" TargetMode="External"/><Relationship Id="rId16" Type="http://schemas.openxmlformats.org/officeDocument/2006/relationships/hyperlink" Target="mailto:meldpuntvastgoedbedrijf@almere.nl" TargetMode="External"/><Relationship Id="rId37" Type="http://schemas.openxmlformats.org/officeDocument/2006/relationships/hyperlink" Target="mailto:directie@argonaut.asg.nl" TargetMode="External"/><Relationship Id="rId58" Type="http://schemas.openxmlformats.org/officeDocument/2006/relationships/hyperlink" Target="mailto:crescendo@skofv.nl" TargetMode="External"/><Relationship Id="rId79" Type="http://schemas.openxmlformats.org/officeDocument/2006/relationships/hyperlink" Target="mailto:beerse@legerdesheils.nl" TargetMode="External"/><Relationship Id="rId102" Type="http://schemas.openxmlformats.org/officeDocument/2006/relationships/hyperlink" Target="mailto:info@dikkertjedap.nl" TargetMode="External"/><Relationship Id="rId123" Type="http://schemas.openxmlformats.org/officeDocument/2006/relationships/hyperlink" Target="mailto:secretariaat@fcalmere.com??" TargetMode="External"/><Relationship Id="rId144" Type="http://schemas.openxmlformats.org/officeDocument/2006/relationships/hyperlink" Target="mailto:rwestman@deschoor.nl" TargetMode="External"/><Relationship Id="rId90" Type="http://schemas.openxmlformats.org/officeDocument/2006/relationships/hyperlink" Target="mailto:edwin.eerens@smallsteps.info" TargetMode="External"/><Relationship Id="rId165" Type="http://schemas.openxmlformats.org/officeDocument/2006/relationships/hyperlink" Target="mailto:rwestman@deschoor.nl" TargetMode="External"/><Relationship Id="rId186" Type="http://schemas.openxmlformats.org/officeDocument/2006/relationships/hyperlink" Target="mailto:riemerwierda@gmail.com" TargetMode="External"/><Relationship Id="rId211" Type="http://schemas.openxmlformats.org/officeDocument/2006/relationships/hyperlink" Target="mailto:ascholten@almere.nl" TargetMode="External"/><Relationship Id="rId27" Type="http://schemas.openxmlformats.org/officeDocument/2006/relationships/hyperlink" Target="mailto:meldpuntvastgoedbedrijf@almere.nl" TargetMode="External"/><Relationship Id="rId48" Type="http://schemas.openxmlformats.org/officeDocument/2006/relationships/hyperlink" Target="mailto:info@kinderopvangdegompys.nl" TargetMode="External"/><Relationship Id="rId69" Type="http://schemas.openxmlformats.org/officeDocument/2006/relationships/hyperlink" Target="mailto:directie@archipel.asg.nl" TargetMode="External"/><Relationship Id="rId113" Type="http://schemas.openxmlformats.org/officeDocument/2006/relationships/hyperlink" Target="mailto:meldpuntvastgoedbedrijf@almere.nl" TargetMode="External"/><Relationship Id="rId134" Type="http://schemas.openxmlformats.org/officeDocument/2006/relationships/hyperlink" Target="mailto:beheer@buitenhoutmhc.nl" TargetMode="External"/><Relationship Id="rId80" Type="http://schemas.openxmlformats.org/officeDocument/2006/relationships/hyperlink" Target="mailto:vrijbuiter@optisport.nl" TargetMode="External"/><Relationship Id="rId155" Type="http://schemas.openxmlformats.org/officeDocument/2006/relationships/hyperlink" Target="mailto:aadam@almere.nl" TargetMode="External"/><Relationship Id="rId176" Type="http://schemas.openxmlformats.org/officeDocument/2006/relationships/hyperlink" Target="mailto:info@deschoor.nl?" TargetMode="External"/><Relationship Id="rId197" Type="http://schemas.openxmlformats.org/officeDocument/2006/relationships/hyperlink" Target="mailto:meldpuntvastgoedbedrijf@almere.nl" TargetMode="External"/><Relationship Id="rId201" Type="http://schemas.openxmlformats.org/officeDocument/2006/relationships/hyperlink" Target="mailto:wim.meijer@watertuin.asg.nl" TargetMode="External"/><Relationship Id="rId17" Type="http://schemas.openxmlformats.org/officeDocument/2006/relationships/hyperlink" Target="mailto:rogervandam@optisport.nl" TargetMode="External"/><Relationship Id="rId38" Type="http://schemas.openxmlformats.org/officeDocument/2006/relationships/hyperlink" Target="http://www.ontdekking.asg-almere.nl/" TargetMode="External"/><Relationship Id="rId59" Type="http://schemas.openxmlformats.org/officeDocument/2006/relationships/hyperlink" Target="mailto:dir.lichtboei@prisma-almere.nl" TargetMode="External"/><Relationship Id="rId103" Type="http://schemas.openxmlformats.org/officeDocument/2006/relationships/hyperlink" Target="mailto:directie@flierefluiter.asg.nl" TargetMode="External"/><Relationship Id="rId124" Type="http://schemas.openxmlformats.org/officeDocument/2006/relationships/hyperlink" Target="mailto:meldpuntvastgoedbedrijf@almere.nl" TargetMode="External"/><Relationship Id="rId70" Type="http://schemas.openxmlformats.org/officeDocument/2006/relationships/hyperlink" Target="mailto:directie@avontuur.asg.nl" TargetMode="External"/><Relationship Id="rId91" Type="http://schemas.openxmlformats.org/officeDocument/2006/relationships/hyperlink" Target="mailto:info@obssyncope.nl" TargetMode="External"/><Relationship Id="rId145" Type="http://schemas.openxmlformats.org/officeDocument/2006/relationships/hyperlink" Target="mailto:info@deschoor.nl" TargetMode="External"/><Relationship Id="rId166" Type="http://schemas.openxmlformats.org/officeDocument/2006/relationships/hyperlink" Target="mailto:directie@letterland.asg.nl" TargetMode="External"/><Relationship Id="rId187" Type="http://schemas.openxmlformats.org/officeDocument/2006/relationships/hyperlink" Target="mailto:info@taalcentrumalmere.nl" TargetMode="External"/><Relationship Id="rId1" Type="http://schemas.openxmlformats.org/officeDocument/2006/relationships/hyperlink" Target="mailto:directie@caleidoscoop.asg.nl" TargetMode="External"/><Relationship Id="rId212" Type="http://schemas.openxmlformats.org/officeDocument/2006/relationships/hyperlink" Target="mailto:meldpuntvastgoedbedrijf@almere.nl" TargetMode="External"/><Relationship Id="rId28" Type="http://schemas.openxmlformats.org/officeDocument/2006/relationships/hyperlink" Target="mailto:meldpuntvastgoedbedrijf@almere.nl" TargetMode="External"/><Relationship Id="rId49" Type="http://schemas.openxmlformats.org/officeDocument/2006/relationships/hyperlink" Target="mailto:meldpuntvastgoedbedrijf@almere.nl" TargetMode="External"/><Relationship Id="rId114" Type="http://schemas.openxmlformats.org/officeDocument/2006/relationships/hyperlink" Target="mailto:directie@flierefluiter.asg.nl" TargetMode="External"/><Relationship Id="rId60" Type="http://schemas.openxmlformats.org/officeDocument/2006/relationships/hyperlink" Target="mailto:meldpuntvastgoedbedrijf@almere.nl" TargetMode="External"/><Relationship Id="rId81" Type="http://schemas.openxmlformats.org/officeDocument/2006/relationships/hyperlink" Target="mailto:directie@kring.asg.nl" TargetMode="External"/><Relationship Id="rId135" Type="http://schemas.openxmlformats.org/officeDocument/2006/relationships/hyperlink" Target="mailto:meldpuntvastgoedbedrijf@almere.nl" TargetMode="External"/><Relationship Id="rId156" Type="http://schemas.openxmlformats.org/officeDocument/2006/relationships/hyperlink" Target="mailto:aadam@almere.nl" TargetMode="External"/><Relationship Id="rId177" Type="http://schemas.openxmlformats.org/officeDocument/2006/relationships/hyperlink" Target="mailto:directie@samenspel.asg.nl" TargetMode="External"/><Relationship Id="rId198" Type="http://schemas.openxmlformats.org/officeDocument/2006/relationships/hyperlink" Target="mailto:meldpuntvastgoedbedrijf@almere.nl" TargetMode="External"/><Relationship Id="rId202" Type="http://schemas.openxmlformats.org/officeDocument/2006/relationships/hyperlink" Target="mailto:wim.meijer@watertuin.asg.nl" TargetMode="External"/><Relationship Id="rId18" Type="http://schemas.openxmlformats.org/officeDocument/2006/relationships/hyperlink" Target="mailto:dir.ark@prisma-almere.nl" TargetMode="External"/><Relationship Id="rId39" Type="http://schemas.openxmlformats.org/officeDocument/2006/relationships/hyperlink" Target="mailto:dir.windwijzer@prisma-almere.nl" TargetMode="External"/><Relationship Id="rId50" Type="http://schemas.openxmlformats.org/officeDocument/2006/relationships/hyperlink" Target="mailto:s.hawinkels@zevensprong.asg.nl" TargetMode="External"/><Relationship Id="rId104" Type="http://schemas.openxmlformats.org/officeDocument/2006/relationships/hyperlink" Target="mailto:info@sportingalmere.nl" TargetMode="External"/><Relationship Id="rId125" Type="http://schemas.openxmlformats.org/officeDocument/2006/relationships/hyperlink" Target="mailto:cvkesteren@stadennatuur.nl" TargetMode="External"/><Relationship Id="rId146" Type="http://schemas.openxmlformats.org/officeDocument/2006/relationships/hyperlink" Target="mailto:rwestman@deschoor.nl" TargetMode="External"/><Relationship Id="rId167" Type="http://schemas.openxmlformats.org/officeDocument/2006/relationships/hyperlink" Target="mailto:dir.omnibus@prisma-almere.nl" TargetMode="External"/><Relationship Id="rId188" Type="http://schemas.openxmlformats.org/officeDocument/2006/relationships/hyperlink" Target="mailto:rwestman@deschoor.nl" TargetMode="External"/><Relationship Id="rId71" Type="http://schemas.openxmlformats.org/officeDocument/2006/relationships/hyperlink" Target="mailto:meldpuntvastgoedbedrijf@almere.nl" TargetMode="External"/><Relationship Id="rId92" Type="http://schemas.openxmlformats.org/officeDocument/2006/relationships/hyperlink" Target="mailto:directie@vuurvogel.asg.nl" TargetMode="External"/><Relationship Id="rId213" Type="http://schemas.openxmlformats.org/officeDocument/2006/relationships/hyperlink" Target="mailto:hhgabriel@almere.nl" TargetMode="External"/><Relationship Id="rId2" Type="http://schemas.openxmlformats.org/officeDocument/2006/relationships/hyperlink" Target="mailto:directie@polygoon.asg-almere.nl" TargetMode="External"/><Relationship Id="rId29" Type="http://schemas.openxmlformats.org/officeDocument/2006/relationships/hyperlink" Target="mailto:meldpuntvastgoedbedrijf@almere.nl" TargetMode="External"/><Relationship Id="rId40" Type="http://schemas.openxmlformats.org/officeDocument/2006/relationships/hyperlink" Target="mailto:meldpuntvastgoedbedrijf@almere.nl" TargetMode="External"/><Relationship Id="rId115" Type="http://schemas.openxmlformats.org/officeDocument/2006/relationships/hyperlink" Target="mailto:info@rcbulldogs.nl" TargetMode="External"/><Relationship Id="rId136" Type="http://schemas.openxmlformats.org/officeDocument/2006/relationships/hyperlink" Target="mailto:aadam@almere.nl" TargetMode="External"/><Relationship Id="rId157" Type="http://schemas.openxmlformats.org/officeDocument/2006/relationships/hyperlink" Target="mailto:aadam@almere.nl" TargetMode="External"/><Relationship Id="rId178" Type="http://schemas.openxmlformats.org/officeDocument/2006/relationships/hyperlink" Target="mailto:V.Bouwman@BrandweerFlevoland.nl" TargetMode="External"/><Relationship Id="rId61" Type="http://schemas.openxmlformats.org/officeDocument/2006/relationships/hyperlink" Target="mailto:directie@polygoon.asg-almere.nl" TargetMode="External"/><Relationship Id="rId82" Type="http://schemas.openxmlformats.org/officeDocument/2006/relationships/hyperlink" Target="mailto:directie@tjasker.asg.nl" TargetMode="External"/><Relationship Id="rId199" Type="http://schemas.openxmlformats.org/officeDocument/2006/relationships/hyperlink" Target="mailto:V.Bouwman@BrandweerFlevoland.nl" TargetMode="External"/><Relationship Id="rId203" Type="http://schemas.openxmlformats.org/officeDocument/2006/relationships/hyperlink" Target="mailto:info@deschoor.n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mailto:meldpuntvastgoedbedrijf@almere.nl" TargetMode="External"/><Relationship Id="rId21" Type="http://schemas.openxmlformats.org/officeDocument/2006/relationships/hyperlink" Target="mailto:info@droomspiegel.nl" TargetMode="External"/><Relationship Id="rId42" Type="http://schemas.openxmlformats.org/officeDocument/2006/relationships/hyperlink" Target="mailto:info@taalcentrumalmere.nl" TargetMode="External"/><Relationship Id="rId63" Type="http://schemas.openxmlformats.org/officeDocument/2006/relationships/hyperlink" Target="mailto:dir.buitenburcht@prisma-almere.nl" TargetMode="External"/><Relationship Id="rId84" Type="http://schemas.openxmlformats.org/officeDocument/2006/relationships/hyperlink" Target="mailto:meldpuntvastgoedbedrijf@almere.nl" TargetMode="External"/><Relationship Id="rId138" Type="http://schemas.openxmlformats.org/officeDocument/2006/relationships/hyperlink" Target="mailto:directie@polderhof.asg-almere.nl" TargetMode="External"/><Relationship Id="rId159" Type="http://schemas.openxmlformats.org/officeDocument/2006/relationships/hyperlink" Target="mailto:aadam@almere.nl" TargetMode="External"/><Relationship Id="rId170" Type="http://schemas.openxmlformats.org/officeDocument/2006/relationships/hyperlink" Target="mailto:info@deschoor.nl?" TargetMode="External"/><Relationship Id="rId191" Type="http://schemas.openxmlformats.org/officeDocument/2006/relationships/hyperlink" Target="mailto:pwjschrijver@almere.nl" TargetMode="External"/><Relationship Id="rId205" Type="http://schemas.openxmlformats.org/officeDocument/2006/relationships/hyperlink" Target="mailto:meldpuntvastgoedbedrijf@almere.nl" TargetMode="External"/><Relationship Id="rId107" Type="http://schemas.openxmlformats.org/officeDocument/2006/relationships/hyperlink" Target="mailto:patrick@cafeop2.nl" TargetMode="External"/><Relationship Id="rId11" Type="http://schemas.openxmlformats.org/officeDocument/2006/relationships/hyperlink" Target="mailto:meldpuntvastgoedbedrijf@almere.nl" TargetMode="External"/><Relationship Id="rId32" Type="http://schemas.openxmlformats.org/officeDocument/2006/relationships/hyperlink" Target="mailto:meldpuntvastgoedbedrijf@almere.nl" TargetMode="External"/><Relationship Id="rId53" Type="http://schemas.openxmlformats.org/officeDocument/2006/relationships/hyperlink" Target="mailto:dir.olijfboom@prisma-almere.nl" TargetMode="External"/><Relationship Id="rId74" Type="http://schemas.openxmlformats.org/officeDocument/2006/relationships/hyperlink" Target="mailto:meldpuntvastgoedbedrijf@almere.nl" TargetMode="External"/><Relationship Id="rId128" Type="http://schemas.openxmlformats.org/officeDocument/2006/relationships/hyperlink" Target="mailto:info@flevo-phantoms.nl" TargetMode="External"/><Relationship Id="rId149" Type="http://schemas.openxmlformats.org/officeDocument/2006/relationships/hyperlink" Target="mailto:s.bley@onderwijsbureau-meppel.nl" TargetMode="External"/><Relationship Id="rId5" Type="http://schemas.openxmlformats.org/officeDocument/2006/relationships/hyperlink" Target="mailto:info@dansstudioyvette.nl" TargetMode="External"/><Relationship Id="rId95" Type="http://schemas.openxmlformats.org/officeDocument/2006/relationships/hyperlink" Target="mailto:info@sterrenschoolderuimte.nl" TargetMode="External"/><Relationship Id="rId160" Type="http://schemas.openxmlformats.org/officeDocument/2006/relationships/hyperlink" Target="mailto:aadam@almere.nl" TargetMode="External"/><Relationship Id="rId181" Type="http://schemas.openxmlformats.org/officeDocument/2006/relationships/hyperlink" Target="mailto:dir.kraanvogel@prisma-almere.nl" TargetMode="External"/><Relationship Id="rId216" Type="http://schemas.openxmlformats.org/officeDocument/2006/relationships/printerSettings" Target="../printerSettings/printerSettings5.bin"/><Relationship Id="rId22" Type="http://schemas.openxmlformats.org/officeDocument/2006/relationships/hyperlink" Target="mailto:info@deschoor.nl" TargetMode="External"/><Relationship Id="rId43" Type="http://schemas.openxmlformats.org/officeDocument/2006/relationships/hyperlink" Target="mailto:meldpuntvastgoedbedrijf@almere.nl" TargetMode="External"/><Relationship Id="rId64" Type="http://schemas.openxmlformats.org/officeDocument/2006/relationships/hyperlink" Target="mailto:dir.lettertuin@skofv.nl" TargetMode="External"/><Relationship Id="rId118" Type="http://schemas.openxmlformats.org/officeDocument/2006/relationships/hyperlink" Target="mailto:meldpuntvastgoedbedrijf@almere.nl" TargetMode="External"/><Relationship Id="rId139" Type="http://schemas.openxmlformats.org/officeDocument/2006/relationships/hyperlink" Target="mailto:ascholten@almere.nl" TargetMode="External"/><Relationship Id="rId85" Type="http://schemas.openxmlformats.org/officeDocument/2006/relationships/hyperlink" Target="mailto:directie@bommelstein.asg.nl" TargetMode="External"/><Relationship Id="rId150" Type="http://schemas.openxmlformats.org/officeDocument/2006/relationships/hyperlink" Target="mailto:directie@columbusschool.asg.nl" TargetMode="External"/><Relationship Id="rId171" Type="http://schemas.openxmlformats.org/officeDocument/2006/relationships/hyperlink" Target="mailto:info@deschoor.nl?" TargetMode="External"/><Relationship Id="rId192" Type="http://schemas.openxmlformats.org/officeDocument/2006/relationships/hyperlink" Target="mailto:pwjschrijver@almere.nl" TargetMode="External"/><Relationship Id="rId206" Type="http://schemas.openxmlformats.org/officeDocument/2006/relationships/hyperlink" Target="mailto:sbatenburg@almere.nl" TargetMode="External"/><Relationship Id="rId12" Type="http://schemas.openxmlformats.org/officeDocument/2006/relationships/hyperlink" Target="mailto:meldpuntvastgoedbedrijf@almere.nl" TargetMode="External"/><Relationship Id="rId33" Type="http://schemas.openxmlformats.org/officeDocument/2006/relationships/hyperlink" Target="mailto:dir.ichthus@prisma-almere.nl" TargetMode="External"/><Relationship Id="rId108" Type="http://schemas.openxmlformats.org/officeDocument/2006/relationships/hyperlink" Target="mailto:administratie@bombardon.edu.almere.nl" TargetMode="External"/><Relationship Id="rId129" Type="http://schemas.openxmlformats.org/officeDocument/2006/relationships/hyperlink" Target="mailto:patrick.schipper@sheerenlo.nl" TargetMode="External"/><Relationship Id="rId54" Type="http://schemas.openxmlformats.org/officeDocument/2006/relationships/hyperlink" Target="mailto:info@zonnewiel.nl" TargetMode="External"/><Relationship Id="rId75" Type="http://schemas.openxmlformats.org/officeDocument/2006/relationships/hyperlink" Target="mailto:meldpuntvastgoedbedrijf@almere.nl" TargetMode="External"/><Relationship Id="rId96" Type="http://schemas.openxmlformats.org/officeDocument/2006/relationships/hyperlink" Target="mailto:directie@digitalis.asg.nl" TargetMode="External"/><Relationship Id="rId140" Type="http://schemas.openxmlformats.org/officeDocument/2006/relationships/hyperlink" Target="mailto:info@kingdomimpact.nl" TargetMode="External"/><Relationship Id="rId161" Type="http://schemas.openxmlformats.org/officeDocument/2006/relationships/hyperlink" Target="mailto:rwestman@deschoor.nl" TargetMode="External"/><Relationship Id="rId182" Type="http://schemas.openxmlformats.org/officeDocument/2006/relationships/hyperlink" Target="mailto:directie@spectrum.asg-almere.nl" TargetMode="External"/><Relationship Id="rId6" Type="http://schemas.openxmlformats.org/officeDocument/2006/relationships/hyperlink" Target="mailto:bestuur@almere81.nl" TargetMode="External"/><Relationship Id="rId23" Type="http://schemas.openxmlformats.org/officeDocument/2006/relationships/hyperlink" Target="mailto:meldpuntvastgoedbedrijf@almere.nl" TargetMode="External"/><Relationship Id="rId119" Type="http://schemas.openxmlformats.org/officeDocument/2006/relationships/hyperlink" Target="mailto:meldpuntvastgoedbedrijf@almere.nl" TargetMode="External"/><Relationship Id="rId44" Type="http://schemas.openxmlformats.org/officeDocument/2006/relationships/hyperlink" Target="mailto:dir.driemaster@prisma-almere.nl" TargetMode="External"/><Relationship Id="rId65" Type="http://schemas.openxmlformats.org/officeDocument/2006/relationships/hyperlink" Target="mailto:meldpuntvastgoedbedrijf@almere.nl" TargetMode="External"/><Relationship Id="rId86" Type="http://schemas.openxmlformats.org/officeDocument/2006/relationships/hyperlink" Target="mailto:directie@architect.asg.nl" TargetMode="External"/><Relationship Id="rId130" Type="http://schemas.openxmlformats.org/officeDocument/2006/relationships/hyperlink" Target="mailto:sbatenburg@almere.nl" TargetMode="External"/><Relationship Id="rId151" Type="http://schemas.openxmlformats.org/officeDocument/2006/relationships/hyperlink" Target="mailto:aadam@almere.nl" TargetMode="External"/><Relationship Id="rId172" Type="http://schemas.openxmlformats.org/officeDocument/2006/relationships/hyperlink" Target="mailto:info@deschoor.nl?" TargetMode="External"/><Relationship Id="rId193" Type="http://schemas.openxmlformats.org/officeDocument/2006/relationships/hyperlink" Target="mailto:pwjschrijver@almere.nl" TargetMode="External"/><Relationship Id="rId207" Type="http://schemas.openxmlformats.org/officeDocument/2006/relationships/hyperlink" Target="mailto:mavoosterom@almere.nl" TargetMode="External"/><Relationship Id="rId13" Type="http://schemas.openxmlformats.org/officeDocument/2006/relationships/hyperlink" Target="mailto:dir.klimop@prisma-almere.nl" TargetMode="External"/><Relationship Id="rId109" Type="http://schemas.openxmlformats.org/officeDocument/2006/relationships/hyperlink" Target="mailto:directie@digitalis.asg.nl" TargetMode="External"/><Relationship Id="rId34" Type="http://schemas.openxmlformats.org/officeDocument/2006/relationships/hyperlink" Target="mailto:meldpuntvastgoedbedrijf@almere.nl" TargetMode="External"/><Relationship Id="rId55" Type="http://schemas.openxmlformats.org/officeDocument/2006/relationships/hyperlink" Target="mailto:meldpuntvastgoedbedrijf@almere.nl" TargetMode="External"/><Relationship Id="rId76" Type="http://schemas.openxmlformats.org/officeDocument/2006/relationships/hyperlink" Target="mailto:info@marijtjedoets.nl" TargetMode="External"/><Relationship Id="rId97" Type="http://schemas.openxmlformats.org/officeDocument/2006/relationships/hyperlink" Target="mailto:V.Bouwman@BrandweerFlevoland.nl" TargetMode="External"/><Relationship Id="rId120" Type="http://schemas.openxmlformats.org/officeDocument/2006/relationships/hyperlink" Target="mailto:voorzitter@waterwijk.nl" TargetMode="External"/><Relationship Id="rId141" Type="http://schemas.openxmlformats.org/officeDocument/2006/relationships/hyperlink" Target="mailto:martijn.valk@kidsfoundation.nl" TargetMode="External"/><Relationship Id="rId7" Type="http://schemas.openxmlformats.org/officeDocument/2006/relationships/hyperlink" Target="mailto:rwestman@deschoor.nl" TargetMode="External"/><Relationship Id="rId162" Type="http://schemas.openxmlformats.org/officeDocument/2006/relationships/hyperlink" Target="mailto:info@palet.asg-almere.nl" TargetMode="External"/><Relationship Id="rId183" Type="http://schemas.openxmlformats.org/officeDocument/2006/relationships/hyperlink" Target="mailto:hhgabriel@almere.nl" TargetMode="External"/><Relationship Id="rId24" Type="http://schemas.openxmlformats.org/officeDocument/2006/relationships/hyperlink" Target="mailto:ascholten@almere.nl" TargetMode="External"/><Relationship Id="rId45" Type="http://schemas.openxmlformats.org/officeDocument/2006/relationships/hyperlink" Target="mailto:meldpuntvastgoedbedrijf@almere.nl" TargetMode="External"/><Relationship Id="rId66" Type="http://schemas.openxmlformats.org/officeDocument/2006/relationships/hyperlink" Target="mailto:info@ikky.nl" TargetMode="External"/><Relationship Id="rId87" Type="http://schemas.openxmlformats.org/officeDocument/2006/relationships/hyperlink" Target="mailto:meldpuntvastgoedbedrijf@almere.nl" TargetMode="External"/><Relationship Id="rId110" Type="http://schemas.openxmlformats.org/officeDocument/2006/relationships/hyperlink" Target="mailto:BC-G@AlmeerseReddingsBrigade.nl" TargetMode="External"/><Relationship Id="rId131" Type="http://schemas.openxmlformats.org/officeDocument/2006/relationships/hyperlink" Target="mailto:dir.kraanvogel@prisma-almere.nl" TargetMode="External"/><Relationship Id="rId152" Type="http://schemas.openxmlformats.org/officeDocument/2006/relationships/hyperlink" Target="mailto:aadam@almere.nl" TargetMode="External"/><Relationship Id="rId173" Type="http://schemas.openxmlformats.org/officeDocument/2006/relationships/hyperlink" Target="mailto:info@deschoor.nl?" TargetMode="External"/><Relationship Id="rId194" Type="http://schemas.openxmlformats.org/officeDocument/2006/relationships/hyperlink" Target="mailto:pwjschrijver@almere.nl" TargetMode="External"/><Relationship Id="rId208" Type="http://schemas.openxmlformats.org/officeDocument/2006/relationships/hyperlink" Target="mailto:pwjschrijver@almere.nl" TargetMode="External"/><Relationship Id="rId19" Type="http://schemas.openxmlformats.org/officeDocument/2006/relationships/hyperlink" Target="mailto:dir.loofhut@skofv.nl?" TargetMode="External"/><Relationship Id="rId14" Type="http://schemas.openxmlformats.org/officeDocument/2006/relationships/hyperlink" Target="mailto:b.gubbels@eduvier.nl" TargetMode="External"/><Relationship Id="rId30" Type="http://schemas.openxmlformats.org/officeDocument/2006/relationships/hyperlink" Target="mailto:info@deschoor.nl?" TargetMode="External"/><Relationship Id="rId35" Type="http://schemas.openxmlformats.org/officeDocument/2006/relationships/hyperlink" Target="mailto:directie@kameleon.asg.nl" TargetMode="External"/><Relationship Id="rId56" Type="http://schemas.openxmlformats.org/officeDocument/2006/relationships/hyperlink" Target="mailto:meldpuntvastgoedbedrijf@almere.nl" TargetMode="External"/><Relationship Id="rId77" Type="http://schemas.openxmlformats.org/officeDocument/2006/relationships/hyperlink" Target="mailto:directie@aurora.asg-almere.nl" TargetMode="External"/><Relationship Id="rId100" Type="http://schemas.openxmlformats.org/officeDocument/2006/relationships/hyperlink" Target="mailto:hschoonheim@almere.nl" TargetMode="External"/><Relationship Id="rId105" Type="http://schemas.openxmlformats.org/officeDocument/2006/relationships/hyperlink" Target="mailto:administratie@albatros.asg-almere.nl" TargetMode="External"/><Relationship Id="rId126" Type="http://schemas.openxmlformats.org/officeDocument/2006/relationships/hyperlink" Target="mailto:info@stadennatuur.nl" TargetMode="External"/><Relationship Id="rId147" Type="http://schemas.openxmlformats.org/officeDocument/2006/relationships/hyperlink" Target="mailto:r.spoelma1961@kpnmail.nl" TargetMode="External"/><Relationship Id="rId168" Type="http://schemas.openxmlformats.org/officeDocument/2006/relationships/hyperlink" Target="mailto:rwestman@deschoor.nl" TargetMode="External"/><Relationship Id="rId8" Type="http://schemas.openxmlformats.org/officeDocument/2006/relationships/hyperlink" Target="mailto:e.weteringe@vmca.nl" TargetMode="External"/><Relationship Id="rId51" Type="http://schemas.openxmlformats.org/officeDocument/2006/relationships/hyperlink" Target="mailto:meldpuntvastgoedbedrijf@almere.nl" TargetMode="External"/><Relationship Id="rId72" Type="http://schemas.openxmlformats.org/officeDocument/2006/relationships/hyperlink" Target="mailto:info@praktijkonderwijsalmere.nl" TargetMode="External"/><Relationship Id="rId93" Type="http://schemas.openxmlformats.org/officeDocument/2006/relationships/hyperlink" Target="mailto:directie@columbusschool.asg.nl" TargetMode="External"/><Relationship Id="rId98" Type="http://schemas.openxmlformats.org/officeDocument/2006/relationships/hyperlink" Target="mailto:directie@boventoon.asg-almere.nl" TargetMode="External"/><Relationship Id="rId121" Type="http://schemas.openxmlformats.org/officeDocument/2006/relationships/hyperlink" Target="mailto:pwjschrijver@almere.nl" TargetMode="External"/><Relationship Id="rId142" Type="http://schemas.openxmlformats.org/officeDocument/2006/relationships/hyperlink" Target="mailto:martijn.valk@kidsfoundation.nl" TargetMode="External"/><Relationship Id="rId163" Type="http://schemas.openxmlformats.org/officeDocument/2006/relationships/hyperlink" Target="mailto:sbatenburg@almere.nl" TargetMode="External"/><Relationship Id="rId184" Type="http://schemas.openxmlformats.org/officeDocument/2006/relationships/hyperlink" Target="mailto:hhgabriel@almere.nl" TargetMode="External"/><Relationship Id="rId189" Type="http://schemas.openxmlformats.org/officeDocument/2006/relationships/hyperlink" Target="mailto:dgroeneveld@deschoor.nl" TargetMode="External"/><Relationship Id="rId3" Type="http://schemas.openxmlformats.org/officeDocument/2006/relationships/hyperlink" Target="mailto:administratie@bombardon.asg-almere.nl" TargetMode="External"/><Relationship Id="rId214" Type="http://schemas.openxmlformats.org/officeDocument/2006/relationships/hyperlink" Target="mailto:meldpuntvastgoedbedrijf@almere.nl" TargetMode="External"/><Relationship Id="rId25" Type="http://schemas.openxmlformats.org/officeDocument/2006/relationships/hyperlink" Target="mailto:meldpuntvastgoedbedrijf@almere.nl" TargetMode="External"/><Relationship Id="rId46" Type="http://schemas.openxmlformats.org/officeDocument/2006/relationships/hyperlink" Target="mailto:directie@samenspel.asg.nl" TargetMode="External"/><Relationship Id="rId67" Type="http://schemas.openxmlformats.org/officeDocument/2006/relationships/hyperlink" Target="mailto:meldpuntvastgoedbedrijf@almere.nl" TargetMode="External"/><Relationship Id="rId116" Type="http://schemas.openxmlformats.org/officeDocument/2006/relationships/hyperlink" Target="mailto:directie@aquamarijn.asg.nl" TargetMode="External"/><Relationship Id="rId137" Type="http://schemas.openxmlformats.org/officeDocument/2006/relationships/hyperlink" Target="mailto:hhgabriel@almere.nl" TargetMode="External"/><Relationship Id="rId158" Type="http://schemas.openxmlformats.org/officeDocument/2006/relationships/hyperlink" Target="mailto:aadam@almere.nl" TargetMode="External"/><Relationship Id="rId20" Type="http://schemas.openxmlformats.org/officeDocument/2006/relationships/hyperlink" Target="mailto:dir.regenboog@prisma-almere.nl" TargetMode="External"/><Relationship Id="rId41" Type="http://schemas.openxmlformats.org/officeDocument/2006/relationships/hyperlink" Target="mailto:directie@heliotroop.asg-almere.nl" TargetMode="External"/><Relationship Id="rId62" Type="http://schemas.openxmlformats.org/officeDocument/2006/relationships/hyperlink" Target="mailto:dir.buitenburcht@prisma-almere.nl" TargetMode="External"/><Relationship Id="rId83" Type="http://schemas.openxmlformats.org/officeDocument/2006/relationships/hyperlink" Target="mailto:dir.kompas@prisma-almere.nl" TargetMode="External"/><Relationship Id="rId88" Type="http://schemas.openxmlformats.org/officeDocument/2006/relationships/hyperlink" Target="mailto:rmjvdijk@almere.nl" TargetMode="External"/><Relationship Id="rId111" Type="http://schemas.openxmlformats.org/officeDocument/2006/relationships/hyperlink" Target="mailto:BC-G@AlmeerseReddingsBrigade.nl" TargetMode="External"/><Relationship Id="rId132" Type="http://schemas.openxmlformats.org/officeDocument/2006/relationships/hyperlink" Target="mailto:dir.pirouette@skofv.nl" TargetMode="External"/><Relationship Id="rId153" Type="http://schemas.openxmlformats.org/officeDocument/2006/relationships/hyperlink" Target="mailto:aadam@almere.nl" TargetMode="External"/><Relationship Id="rId174" Type="http://schemas.openxmlformats.org/officeDocument/2006/relationships/hyperlink" Target="mailto:info@deschoor.nl?" TargetMode="External"/><Relationship Id="rId179" Type="http://schemas.openxmlformats.org/officeDocument/2006/relationships/hyperlink" Target="mailto:meldpuntvastgoedbedrijf@almere.nl" TargetMode="External"/><Relationship Id="rId195" Type="http://schemas.openxmlformats.org/officeDocument/2006/relationships/hyperlink" Target="mailto:pwjschrijver@almere.nl" TargetMode="External"/><Relationship Id="rId209" Type="http://schemas.openxmlformats.org/officeDocument/2006/relationships/hyperlink" Target="mailto:ascholten@almere.nl" TargetMode="External"/><Relationship Id="rId190" Type="http://schemas.openxmlformats.org/officeDocument/2006/relationships/hyperlink" Target="mailto:info@egelantier.asg-almere.nl" TargetMode="External"/><Relationship Id="rId204" Type="http://schemas.openxmlformats.org/officeDocument/2006/relationships/hyperlink" Target="mailto:directie@odyssee.asg.nl" TargetMode="External"/><Relationship Id="rId15" Type="http://schemas.openxmlformats.org/officeDocument/2006/relationships/hyperlink" Target="mailto:meldpuntvastgoedbedrijf@almere.nl" TargetMode="External"/><Relationship Id="rId36" Type="http://schemas.openxmlformats.org/officeDocument/2006/relationships/hyperlink" Target="mailto:meldpuntvastgoedbedrijf@almere.nl" TargetMode="External"/><Relationship Id="rId57" Type="http://schemas.openxmlformats.org/officeDocument/2006/relationships/hyperlink" Target="mailto:dir.pirouette@skofv.nl" TargetMode="External"/><Relationship Id="rId106" Type="http://schemas.openxmlformats.org/officeDocument/2006/relationships/hyperlink" Target="mailto:lentemorgen11@gmail.com" TargetMode="External"/><Relationship Id="rId127" Type="http://schemas.openxmlformats.org/officeDocument/2006/relationships/hyperlink" Target="mailto:info@stadennatuur.nl" TargetMode="External"/><Relationship Id="rId10" Type="http://schemas.openxmlformats.org/officeDocument/2006/relationships/hyperlink" Target="mailto:meldpuntvastgoedbedrijf@almere.nl" TargetMode="External"/><Relationship Id="rId31" Type="http://schemas.openxmlformats.org/officeDocument/2006/relationships/hyperlink" Target="mailto:info@bspantarhei.nl" TargetMode="External"/><Relationship Id="rId52" Type="http://schemas.openxmlformats.org/officeDocument/2006/relationships/hyperlink" Target="mailto:info@zonnewiel.nl" TargetMode="External"/><Relationship Id="rId73" Type="http://schemas.openxmlformats.org/officeDocument/2006/relationships/hyperlink" Target="mailto:meldpuntvastgoedbedrijf@almere.nl" TargetMode="External"/><Relationship Id="rId78" Type="http://schemas.openxmlformats.org/officeDocument/2006/relationships/hyperlink" Target="mailto:dir.dukdalf@prisma-almere.nl," TargetMode="External"/><Relationship Id="rId94" Type="http://schemas.openxmlformats.org/officeDocument/2006/relationships/hyperlink" Target="mailto:directie@klaverweide.asg.nl" TargetMode="External"/><Relationship Id="rId99" Type="http://schemas.openxmlformats.org/officeDocument/2006/relationships/hyperlink" Target="mailto:directie@montessoristad.asg.nl" TargetMode="External"/><Relationship Id="rId101" Type="http://schemas.openxmlformats.org/officeDocument/2006/relationships/hyperlink" Target="mailto:kinderrevalidatiealmere@trappenberg.merem.nl" TargetMode="External"/><Relationship Id="rId122" Type="http://schemas.openxmlformats.org/officeDocument/2006/relationships/hyperlink" Target="mailto:secretaris@najaden.nl" TargetMode="External"/><Relationship Id="rId143" Type="http://schemas.openxmlformats.org/officeDocument/2006/relationships/hyperlink" Target="mailto:info@deschoor.nl" TargetMode="External"/><Relationship Id="rId148" Type="http://schemas.openxmlformats.org/officeDocument/2006/relationships/hyperlink" Target="mailto:rwestman@deschoor.nl" TargetMode="External"/><Relationship Id="rId164" Type="http://schemas.openxmlformats.org/officeDocument/2006/relationships/hyperlink" Target="mailto:rwestman@deschoor.nl" TargetMode="External"/><Relationship Id="rId169" Type="http://schemas.openxmlformats.org/officeDocument/2006/relationships/hyperlink" Target="mailto:info@deschoor.nl?" TargetMode="External"/><Relationship Id="rId185" Type="http://schemas.openxmlformats.org/officeDocument/2006/relationships/hyperlink" Target="mailto:hhgabriel@almere.nl" TargetMode="External"/><Relationship Id="rId4" Type="http://schemas.openxmlformats.org/officeDocument/2006/relationships/hyperlink" Target="mailto:info@praktijkonderwijsalmere.nl" TargetMode="External"/><Relationship Id="rId9" Type="http://schemas.openxmlformats.org/officeDocument/2006/relationships/hyperlink" Target="mailto:meldpuntvastgoedbedrijf@almere.nl" TargetMode="External"/><Relationship Id="rId180" Type="http://schemas.openxmlformats.org/officeDocument/2006/relationships/hyperlink" Target="mailto:administratie@albatros.asg-almere.nl" TargetMode="External"/><Relationship Id="rId210" Type="http://schemas.openxmlformats.org/officeDocument/2006/relationships/hyperlink" Target="mailto:meldpuntvastgoedbedrijf@almere.nl" TargetMode="External"/><Relationship Id="rId215" Type="http://schemas.openxmlformats.org/officeDocument/2006/relationships/hyperlink" Target="mailto:meldpuntvastgoedbedrijf@almere.nl" TargetMode="External"/><Relationship Id="rId26" Type="http://schemas.openxmlformats.org/officeDocument/2006/relationships/hyperlink" Target="mailto:wim.meijer@watertuin.asg.nl" TargetMode="External"/><Relationship Id="rId47" Type="http://schemas.openxmlformats.org/officeDocument/2006/relationships/hyperlink" Target="mailto:info@stadennatuur.nl" TargetMode="External"/><Relationship Id="rId68" Type="http://schemas.openxmlformats.org/officeDocument/2006/relationships/hyperlink" Target="mailto:directie@spectrum.asg-almere.nl" TargetMode="External"/><Relationship Id="rId89" Type="http://schemas.openxmlformats.org/officeDocument/2006/relationships/hyperlink" Target="mailto:r.bleij@kpnmail.nl" TargetMode="External"/><Relationship Id="rId112" Type="http://schemas.openxmlformats.org/officeDocument/2006/relationships/hyperlink" Target="mailto:info@amethistverslavingszorg.nl" TargetMode="External"/><Relationship Id="rId133" Type="http://schemas.openxmlformats.org/officeDocument/2006/relationships/hyperlink" Target="mailto:dir.pirouette@skofv.nl" TargetMode="External"/><Relationship Id="rId154" Type="http://schemas.openxmlformats.org/officeDocument/2006/relationships/hyperlink" Target="mailto:aadam@almere.nl" TargetMode="External"/><Relationship Id="rId175" Type="http://schemas.openxmlformats.org/officeDocument/2006/relationships/hyperlink" Target="mailto:info@deschoor.nl?" TargetMode="External"/><Relationship Id="rId196" Type="http://schemas.openxmlformats.org/officeDocument/2006/relationships/hyperlink" Target="mailto:pwjschrijver@almere.nl" TargetMode="External"/><Relationship Id="rId200" Type="http://schemas.openxmlformats.org/officeDocument/2006/relationships/hyperlink" Target="mailto:s.vanbroekhuijsen@almere-speciaal.nl" TargetMode="External"/><Relationship Id="rId16" Type="http://schemas.openxmlformats.org/officeDocument/2006/relationships/hyperlink" Target="mailto:meldpuntvastgoedbedrijf@almere.nl" TargetMode="External"/><Relationship Id="rId37" Type="http://schemas.openxmlformats.org/officeDocument/2006/relationships/hyperlink" Target="mailto:directie@argonaut.asg.nl" TargetMode="External"/><Relationship Id="rId58" Type="http://schemas.openxmlformats.org/officeDocument/2006/relationships/hyperlink" Target="mailto:crescendo@skofv.nl" TargetMode="External"/><Relationship Id="rId79" Type="http://schemas.openxmlformats.org/officeDocument/2006/relationships/hyperlink" Target="mailto:beerse@legerdesheils.nl" TargetMode="External"/><Relationship Id="rId102" Type="http://schemas.openxmlformats.org/officeDocument/2006/relationships/hyperlink" Target="mailto:info@dikkertjedap.nl" TargetMode="External"/><Relationship Id="rId123" Type="http://schemas.openxmlformats.org/officeDocument/2006/relationships/hyperlink" Target="mailto:secretariaat@fcalmere.com??" TargetMode="External"/><Relationship Id="rId144" Type="http://schemas.openxmlformats.org/officeDocument/2006/relationships/hyperlink" Target="mailto:rwestman@deschoor.nl" TargetMode="External"/><Relationship Id="rId90" Type="http://schemas.openxmlformats.org/officeDocument/2006/relationships/hyperlink" Target="mailto:edwin.eerens@smallsteps.info" TargetMode="External"/><Relationship Id="rId165" Type="http://schemas.openxmlformats.org/officeDocument/2006/relationships/hyperlink" Target="mailto:rwestman@deschoor.nl" TargetMode="External"/><Relationship Id="rId186" Type="http://schemas.openxmlformats.org/officeDocument/2006/relationships/hyperlink" Target="mailto:riemerwierda@gmail.com" TargetMode="External"/><Relationship Id="rId211" Type="http://schemas.openxmlformats.org/officeDocument/2006/relationships/hyperlink" Target="mailto:ascholten@almere.nl" TargetMode="External"/><Relationship Id="rId27" Type="http://schemas.openxmlformats.org/officeDocument/2006/relationships/hyperlink" Target="mailto:meldpuntvastgoedbedrijf@almere.nl" TargetMode="External"/><Relationship Id="rId48" Type="http://schemas.openxmlformats.org/officeDocument/2006/relationships/hyperlink" Target="mailto:info@kinderopvangdegompys.nl" TargetMode="External"/><Relationship Id="rId69" Type="http://schemas.openxmlformats.org/officeDocument/2006/relationships/hyperlink" Target="mailto:directie@archipel.asg.nl" TargetMode="External"/><Relationship Id="rId113" Type="http://schemas.openxmlformats.org/officeDocument/2006/relationships/hyperlink" Target="mailto:meldpuntvastgoedbedrijf@almere.nl" TargetMode="External"/><Relationship Id="rId134" Type="http://schemas.openxmlformats.org/officeDocument/2006/relationships/hyperlink" Target="mailto:beheer@buitenhoutmhc.nl" TargetMode="External"/><Relationship Id="rId80" Type="http://schemas.openxmlformats.org/officeDocument/2006/relationships/hyperlink" Target="mailto:vrijbuiter@optisport.nl" TargetMode="External"/><Relationship Id="rId155" Type="http://schemas.openxmlformats.org/officeDocument/2006/relationships/hyperlink" Target="mailto:aadam@almere.nl" TargetMode="External"/><Relationship Id="rId176" Type="http://schemas.openxmlformats.org/officeDocument/2006/relationships/hyperlink" Target="mailto:info@deschoor.nl?" TargetMode="External"/><Relationship Id="rId197" Type="http://schemas.openxmlformats.org/officeDocument/2006/relationships/hyperlink" Target="mailto:meldpuntvastgoedbedrijf@almere.nl" TargetMode="External"/><Relationship Id="rId201" Type="http://schemas.openxmlformats.org/officeDocument/2006/relationships/hyperlink" Target="mailto:wim.meijer@watertuin.asg.nl" TargetMode="External"/><Relationship Id="rId17" Type="http://schemas.openxmlformats.org/officeDocument/2006/relationships/hyperlink" Target="mailto:rogervandam@optisport.nl" TargetMode="External"/><Relationship Id="rId38" Type="http://schemas.openxmlformats.org/officeDocument/2006/relationships/hyperlink" Target="http://www.ontdekking.asg-almere.nl/" TargetMode="External"/><Relationship Id="rId59" Type="http://schemas.openxmlformats.org/officeDocument/2006/relationships/hyperlink" Target="mailto:dir.lichtboei@prisma-almere.nl" TargetMode="External"/><Relationship Id="rId103" Type="http://schemas.openxmlformats.org/officeDocument/2006/relationships/hyperlink" Target="mailto:directie@flierefluiter.asg.nl" TargetMode="External"/><Relationship Id="rId124" Type="http://schemas.openxmlformats.org/officeDocument/2006/relationships/hyperlink" Target="mailto:meldpuntvastgoedbedrijf@almere.nl" TargetMode="External"/><Relationship Id="rId70" Type="http://schemas.openxmlformats.org/officeDocument/2006/relationships/hyperlink" Target="mailto:directie@avontuur.asg.nl" TargetMode="External"/><Relationship Id="rId91" Type="http://schemas.openxmlformats.org/officeDocument/2006/relationships/hyperlink" Target="mailto:info@obssyncope.nl" TargetMode="External"/><Relationship Id="rId145" Type="http://schemas.openxmlformats.org/officeDocument/2006/relationships/hyperlink" Target="mailto:info@deschoor.nl" TargetMode="External"/><Relationship Id="rId166" Type="http://schemas.openxmlformats.org/officeDocument/2006/relationships/hyperlink" Target="mailto:directie@letterland.asg.nl" TargetMode="External"/><Relationship Id="rId187" Type="http://schemas.openxmlformats.org/officeDocument/2006/relationships/hyperlink" Target="mailto:info@taalcentrumalmere.nl" TargetMode="External"/><Relationship Id="rId1" Type="http://schemas.openxmlformats.org/officeDocument/2006/relationships/hyperlink" Target="mailto:directie@caleidoscoop.asg.nl" TargetMode="External"/><Relationship Id="rId212" Type="http://schemas.openxmlformats.org/officeDocument/2006/relationships/hyperlink" Target="mailto:meldpuntvastgoedbedrijf@almere.nl" TargetMode="External"/><Relationship Id="rId28" Type="http://schemas.openxmlformats.org/officeDocument/2006/relationships/hyperlink" Target="mailto:meldpuntvastgoedbedrijf@almere.nl" TargetMode="External"/><Relationship Id="rId49" Type="http://schemas.openxmlformats.org/officeDocument/2006/relationships/hyperlink" Target="mailto:meldpuntvastgoedbedrijf@almere.nl" TargetMode="External"/><Relationship Id="rId114" Type="http://schemas.openxmlformats.org/officeDocument/2006/relationships/hyperlink" Target="mailto:directie@flierefluiter.asg.nl" TargetMode="External"/><Relationship Id="rId60" Type="http://schemas.openxmlformats.org/officeDocument/2006/relationships/hyperlink" Target="mailto:meldpuntvastgoedbedrijf@almere.nl" TargetMode="External"/><Relationship Id="rId81" Type="http://schemas.openxmlformats.org/officeDocument/2006/relationships/hyperlink" Target="mailto:directie@kring.asg.nl" TargetMode="External"/><Relationship Id="rId135" Type="http://schemas.openxmlformats.org/officeDocument/2006/relationships/hyperlink" Target="mailto:meldpuntvastgoedbedrijf@almere.nl" TargetMode="External"/><Relationship Id="rId156" Type="http://schemas.openxmlformats.org/officeDocument/2006/relationships/hyperlink" Target="mailto:aadam@almere.nl" TargetMode="External"/><Relationship Id="rId177" Type="http://schemas.openxmlformats.org/officeDocument/2006/relationships/hyperlink" Target="mailto:directie@samenspel.asg.nl" TargetMode="External"/><Relationship Id="rId198" Type="http://schemas.openxmlformats.org/officeDocument/2006/relationships/hyperlink" Target="mailto:meldpuntvastgoedbedrijf@almere.nl" TargetMode="External"/><Relationship Id="rId202" Type="http://schemas.openxmlformats.org/officeDocument/2006/relationships/hyperlink" Target="mailto:wim.meijer@watertuin.asg.nl" TargetMode="External"/><Relationship Id="rId18" Type="http://schemas.openxmlformats.org/officeDocument/2006/relationships/hyperlink" Target="mailto:dir.ark@prisma-almere.nl" TargetMode="External"/><Relationship Id="rId39" Type="http://schemas.openxmlformats.org/officeDocument/2006/relationships/hyperlink" Target="mailto:dir.windwijzer@prisma-almere.nl" TargetMode="External"/><Relationship Id="rId50" Type="http://schemas.openxmlformats.org/officeDocument/2006/relationships/hyperlink" Target="mailto:s.hawinkels@zevensprong.asg.nl" TargetMode="External"/><Relationship Id="rId104" Type="http://schemas.openxmlformats.org/officeDocument/2006/relationships/hyperlink" Target="mailto:info@sportingalmere.nl" TargetMode="External"/><Relationship Id="rId125" Type="http://schemas.openxmlformats.org/officeDocument/2006/relationships/hyperlink" Target="mailto:cvkesteren@stadennatuur.nl" TargetMode="External"/><Relationship Id="rId146" Type="http://schemas.openxmlformats.org/officeDocument/2006/relationships/hyperlink" Target="mailto:rwestman@deschoor.nl" TargetMode="External"/><Relationship Id="rId167" Type="http://schemas.openxmlformats.org/officeDocument/2006/relationships/hyperlink" Target="mailto:dir.omnibus@prisma-almere.nl" TargetMode="External"/><Relationship Id="rId188" Type="http://schemas.openxmlformats.org/officeDocument/2006/relationships/hyperlink" Target="mailto:rwestman@deschoor.nl" TargetMode="External"/><Relationship Id="rId71" Type="http://schemas.openxmlformats.org/officeDocument/2006/relationships/hyperlink" Target="mailto:meldpuntvastgoedbedrijf@almere.nl" TargetMode="External"/><Relationship Id="rId92" Type="http://schemas.openxmlformats.org/officeDocument/2006/relationships/hyperlink" Target="mailto:directie@vuurvogel.asg.nl" TargetMode="External"/><Relationship Id="rId213" Type="http://schemas.openxmlformats.org/officeDocument/2006/relationships/hyperlink" Target="mailto:hhgabriel@almere.nl" TargetMode="External"/><Relationship Id="rId2" Type="http://schemas.openxmlformats.org/officeDocument/2006/relationships/hyperlink" Target="mailto:directie@polygoon.asg-almere.nl" TargetMode="External"/><Relationship Id="rId29" Type="http://schemas.openxmlformats.org/officeDocument/2006/relationships/hyperlink" Target="mailto:meldpuntvastgoedbedrijf@almere.nl" TargetMode="External"/><Relationship Id="rId40" Type="http://schemas.openxmlformats.org/officeDocument/2006/relationships/hyperlink" Target="mailto:meldpuntvastgoedbedrijf@almere.nl" TargetMode="External"/><Relationship Id="rId115" Type="http://schemas.openxmlformats.org/officeDocument/2006/relationships/hyperlink" Target="mailto:info@rcbulldogs.nl" TargetMode="External"/><Relationship Id="rId136" Type="http://schemas.openxmlformats.org/officeDocument/2006/relationships/hyperlink" Target="mailto:aadam@almere.nl" TargetMode="External"/><Relationship Id="rId157" Type="http://schemas.openxmlformats.org/officeDocument/2006/relationships/hyperlink" Target="mailto:aadam@almere.nl" TargetMode="External"/><Relationship Id="rId178" Type="http://schemas.openxmlformats.org/officeDocument/2006/relationships/hyperlink" Target="mailto:V.Bouwman@BrandweerFlevoland.nl" TargetMode="External"/><Relationship Id="rId61" Type="http://schemas.openxmlformats.org/officeDocument/2006/relationships/hyperlink" Target="mailto:directie@polygoon.asg-almere.nl" TargetMode="External"/><Relationship Id="rId82" Type="http://schemas.openxmlformats.org/officeDocument/2006/relationships/hyperlink" Target="mailto:directie@tjasker.asg.nl" TargetMode="External"/><Relationship Id="rId199" Type="http://schemas.openxmlformats.org/officeDocument/2006/relationships/hyperlink" Target="mailto:V.Bouwman@BrandweerFlevoland.nl" TargetMode="External"/><Relationship Id="rId203" Type="http://schemas.openxmlformats.org/officeDocument/2006/relationships/hyperlink" Target="mailto:info@deschoor.nl?"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mailto:meldpuntvastgoedbedrijf@almere.nl" TargetMode="External"/><Relationship Id="rId21" Type="http://schemas.openxmlformats.org/officeDocument/2006/relationships/hyperlink" Target="mailto:info@droomspiegel.nl" TargetMode="External"/><Relationship Id="rId42" Type="http://schemas.openxmlformats.org/officeDocument/2006/relationships/hyperlink" Target="mailto:info@taalcentrumalmere.nl" TargetMode="External"/><Relationship Id="rId63" Type="http://schemas.openxmlformats.org/officeDocument/2006/relationships/hyperlink" Target="mailto:dir.buitenburcht@prisma-almere.nl" TargetMode="External"/><Relationship Id="rId84" Type="http://schemas.openxmlformats.org/officeDocument/2006/relationships/hyperlink" Target="mailto:meldpuntvastgoedbedrijf@almere.nl" TargetMode="External"/><Relationship Id="rId138" Type="http://schemas.openxmlformats.org/officeDocument/2006/relationships/hyperlink" Target="mailto:directie@polderhof.asg-almere.nl" TargetMode="External"/><Relationship Id="rId159" Type="http://schemas.openxmlformats.org/officeDocument/2006/relationships/hyperlink" Target="mailto:aadam@almere.nl" TargetMode="External"/><Relationship Id="rId170" Type="http://schemas.openxmlformats.org/officeDocument/2006/relationships/hyperlink" Target="mailto:info@deschoor.nl?" TargetMode="External"/><Relationship Id="rId191" Type="http://schemas.openxmlformats.org/officeDocument/2006/relationships/hyperlink" Target="mailto:pwjschrijver@almere.nl" TargetMode="External"/><Relationship Id="rId205" Type="http://schemas.openxmlformats.org/officeDocument/2006/relationships/hyperlink" Target="mailto:meldpuntvastgoedbedrijf@almere.nl" TargetMode="External"/><Relationship Id="rId107" Type="http://schemas.openxmlformats.org/officeDocument/2006/relationships/hyperlink" Target="mailto:patrick@cafeop2.nl" TargetMode="External"/><Relationship Id="rId11" Type="http://schemas.openxmlformats.org/officeDocument/2006/relationships/hyperlink" Target="mailto:meldpuntvastgoedbedrijf@almere.nl" TargetMode="External"/><Relationship Id="rId32" Type="http://schemas.openxmlformats.org/officeDocument/2006/relationships/hyperlink" Target="mailto:meldpuntvastgoedbedrijf@almere.nl" TargetMode="External"/><Relationship Id="rId53" Type="http://schemas.openxmlformats.org/officeDocument/2006/relationships/hyperlink" Target="mailto:dir.olijfboom@prisma-almere.nl" TargetMode="External"/><Relationship Id="rId74" Type="http://schemas.openxmlformats.org/officeDocument/2006/relationships/hyperlink" Target="mailto:meldpuntvastgoedbedrijf@almere.nl" TargetMode="External"/><Relationship Id="rId128" Type="http://schemas.openxmlformats.org/officeDocument/2006/relationships/hyperlink" Target="mailto:info@flevo-phantoms.nl" TargetMode="External"/><Relationship Id="rId149" Type="http://schemas.openxmlformats.org/officeDocument/2006/relationships/hyperlink" Target="mailto:s.bley@onderwijsbureau-meppel.nl" TargetMode="External"/><Relationship Id="rId5" Type="http://schemas.openxmlformats.org/officeDocument/2006/relationships/hyperlink" Target="mailto:info@dansstudioyvette.nl" TargetMode="External"/><Relationship Id="rId95" Type="http://schemas.openxmlformats.org/officeDocument/2006/relationships/hyperlink" Target="mailto:info@sterrenschoolderuimte.nl" TargetMode="External"/><Relationship Id="rId160" Type="http://schemas.openxmlformats.org/officeDocument/2006/relationships/hyperlink" Target="mailto:aadam@almere.nl" TargetMode="External"/><Relationship Id="rId181" Type="http://schemas.openxmlformats.org/officeDocument/2006/relationships/hyperlink" Target="mailto:dir.kraanvogel@prisma-almere.nl" TargetMode="External"/><Relationship Id="rId216" Type="http://schemas.openxmlformats.org/officeDocument/2006/relationships/printerSettings" Target="../printerSettings/printerSettings6.bin"/><Relationship Id="rId22" Type="http://schemas.openxmlformats.org/officeDocument/2006/relationships/hyperlink" Target="mailto:info@deschoor.nl" TargetMode="External"/><Relationship Id="rId43" Type="http://schemas.openxmlformats.org/officeDocument/2006/relationships/hyperlink" Target="mailto:meldpuntvastgoedbedrijf@almere.nl" TargetMode="External"/><Relationship Id="rId64" Type="http://schemas.openxmlformats.org/officeDocument/2006/relationships/hyperlink" Target="mailto:dir.lettertuin@skofv.nl" TargetMode="External"/><Relationship Id="rId118" Type="http://schemas.openxmlformats.org/officeDocument/2006/relationships/hyperlink" Target="mailto:meldpuntvastgoedbedrijf@almere.nl" TargetMode="External"/><Relationship Id="rId139" Type="http://schemas.openxmlformats.org/officeDocument/2006/relationships/hyperlink" Target="mailto:ascholten@almere.nl" TargetMode="External"/><Relationship Id="rId85" Type="http://schemas.openxmlformats.org/officeDocument/2006/relationships/hyperlink" Target="mailto:directie@bommelstein.asg.nl" TargetMode="External"/><Relationship Id="rId150" Type="http://schemas.openxmlformats.org/officeDocument/2006/relationships/hyperlink" Target="mailto:directie@columbusschool.asg.nl" TargetMode="External"/><Relationship Id="rId171" Type="http://schemas.openxmlformats.org/officeDocument/2006/relationships/hyperlink" Target="mailto:info@deschoor.nl?" TargetMode="External"/><Relationship Id="rId192" Type="http://schemas.openxmlformats.org/officeDocument/2006/relationships/hyperlink" Target="mailto:pwjschrijver@almere.nl" TargetMode="External"/><Relationship Id="rId206" Type="http://schemas.openxmlformats.org/officeDocument/2006/relationships/hyperlink" Target="mailto:sbatenburg@almere.nl" TargetMode="External"/><Relationship Id="rId12" Type="http://schemas.openxmlformats.org/officeDocument/2006/relationships/hyperlink" Target="mailto:meldpuntvastgoedbedrijf@almere.nl" TargetMode="External"/><Relationship Id="rId33" Type="http://schemas.openxmlformats.org/officeDocument/2006/relationships/hyperlink" Target="mailto:dir.ichthus@prisma-almere.nl" TargetMode="External"/><Relationship Id="rId108" Type="http://schemas.openxmlformats.org/officeDocument/2006/relationships/hyperlink" Target="mailto:administratie@bombardon.edu.almere.nl" TargetMode="External"/><Relationship Id="rId129" Type="http://schemas.openxmlformats.org/officeDocument/2006/relationships/hyperlink" Target="mailto:patrick.schipper@sheerenlo.nl" TargetMode="External"/><Relationship Id="rId54" Type="http://schemas.openxmlformats.org/officeDocument/2006/relationships/hyperlink" Target="mailto:info@zonnewiel.nl" TargetMode="External"/><Relationship Id="rId75" Type="http://schemas.openxmlformats.org/officeDocument/2006/relationships/hyperlink" Target="mailto:meldpuntvastgoedbedrijf@almere.nl" TargetMode="External"/><Relationship Id="rId96" Type="http://schemas.openxmlformats.org/officeDocument/2006/relationships/hyperlink" Target="mailto:directie@digitalis.asg.nl" TargetMode="External"/><Relationship Id="rId140" Type="http://schemas.openxmlformats.org/officeDocument/2006/relationships/hyperlink" Target="mailto:info@kingdomimpact.nl" TargetMode="External"/><Relationship Id="rId161" Type="http://schemas.openxmlformats.org/officeDocument/2006/relationships/hyperlink" Target="mailto:rwestman@deschoor.nl" TargetMode="External"/><Relationship Id="rId182" Type="http://schemas.openxmlformats.org/officeDocument/2006/relationships/hyperlink" Target="mailto:directie@spectrum.asg-almere.nl" TargetMode="External"/><Relationship Id="rId6" Type="http://schemas.openxmlformats.org/officeDocument/2006/relationships/hyperlink" Target="mailto:bestuur@almere81.nl" TargetMode="External"/><Relationship Id="rId23" Type="http://schemas.openxmlformats.org/officeDocument/2006/relationships/hyperlink" Target="mailto:meldpuntvastgoedbedrijf@almere.nl" TargetMode="External"/><Relationship Id="rId119" Type="http://schemas.openxmlformats.org/officeDocument/2006/relationships/hyperlink" Target="mailto:meldpuntvastgoedbedrijf@almere.nl" TargetMode="External"/><Relationship Id="rId44" Type="http://schemas.openxmlformats.org/officeDocument/2006/relationships/hyperlink" Target="mailto:dir.driemaster@prisma-almere.nl" TargetMode="External"/><Relationship Id="rId65" Type="http://schemas.openxmlformats.org/officeDocument/2006/relationships/hyperlink" Target="mailto:meldpuntvastgoedbedrijf@almere.nl" TargetMode="External"/><Relationship Id="rId86" Type="http://schemas.openxmlformats.org/officeDocument/2006/relationships/hyperlink" Target="mailto:directie@architect.asg.nl" TargetMode="External"/><Relationship Id="rId130" Type="http://schemas.openxmlformats.org/officeDocument/2006/relationships/hyperlink" Target="mailto:sbatenburg@almere.nl" TargetMode="External"/><Relationship Id="rId151" Type="http://schemas.openxmlformats.org/officeDocument/2006/relationships/hyperlink" Target="mailto:aadam@almere.nl" TargetMode="External"/><Relationship Id="rId172" Type="http://schemas.openxmlformats.org/officeDocument/2006/relationships/hyperlink" Target="mailto:info@deschoor.nl?" TargetMode="External"/><Relationship Id="rId193" Type="http://schemas.openxmlformats.org/officeDocument/2006/relationships/hyperlink" Target="mailto:pwjschrijver@almere.nl" TargetMode="External"/><Relationship Id="rId207" Type="http://schemas.openxmlformats.org/officeDocument/2006/relationships/hyperlink" Target="mailto:mavoosterom@almere.nl" TargetMode="External"/><Relationship Id="rId13" Type="http://schemas.openxmlformats.org/officeDocument/2006/relationships/hyperlink" Target="mailto:dir.klimop@prisma-almere.nl" TargetMode="External"/><Relationship Id="rId109" Type="http://schemas.openxmlformats.org/officeDocument/2006/relationships/hyperlink" Target="mailto:directie@digitalis.asg.nl" TargetMode="External"/><Relationship Id="rId34" Type="http://schemas.openxmlformats.org/officeDocument/2006/relationships/hyperlink" Target="mailto:meldpuntvastgoedbedrijf@almere.nl" TargetMode="External"/><Relationship Id="rId55" Type="http://schemas.openxmlformats.org/officeDocument/2006/relationships/hyperlink" Target="mailto:meldpuntvastgoedbedrijf@almere.nl" TargetMode="External"/><Relationship Id="rId76" Type="http://schemas.openxmlformats.org/officeDocument/2006/relationships/hyperlink" Target="mailto:info@marijtjedoets.nl" TargetMode="External"/><Relationship Id="rId97" Type="http://schemas.openxmlformats.org/officeDocument/2006/relationships/hyperlink" Target="mailto:V.Bouwman@BrandweerFlevoland.nl" TargetMode="External"/><Relationship Id="rId120" Type="http://schemas.openxmlformats.org/officeDocument/2006/relationships/hyperlink" Target="mailto:voorzitter@waterwijk.nl" TargetMode="External"/><Relationship Id="rId141" Type="http://schemas.openxmlformats.org/officeDocument/2006/relationships/hyperlink" Target="mailto:martijn.valk@kidsfoundation.nl" TargetMode="External"/><Relationship Id="rId7" Type="http://schemas.openxmlformats.org/officeDocument/2006/relationships/hyperlink" Target="mailto:rwestman@deschoor.nl" TargetMode="External"/><Relationship Id="rId162" Type="http://schemas.openxmlformats.org/officeDocument/2006/relationships/hyperlink" Target="mailto:info@palet.asg-almere.nl" TargetMode="External"/><Relationship Id="rId183" Type="http://schemas.openxmlformats.org/officeDocument/2006/relationships/hyperlink" Target="mailto:hhgabriel@almere.nl" TargetMode="External"/><Relationship Id="rId24" Type="http://schemas.openxmlformats.org/officeDocument/2006/relationships/hyperlink" Target="mailto:ascholten@almere.nl" TargetMode="External"/><Relationship Id="rId45" Type="http://schemas.openxmlformats.org/officeDocument/2006/relationships/hyperlink" Target="mailto:meldpuntvastgoedbedrijf@almere.nl" TargetMode="External"/><Relationship Id="rId66" Type="http://schemas.openxmlformats.org/officeDocument/2006/relationships/hyperlink" Target="mailto:info@ikky.nl" TargetMode="External"/><Relationship Id="rId87" Type="http://schemas.openxmlformats.org/officeDocument/2006/relationships/hyperlink" Target="mailto:meldpuntvastgoedbedrijf@almere.nl" TargetMode="External"/><Relationship Id="rId110" Type="http://schemas.openxmlformats.org/officeDocument/2006/relationships/hyperlink" Target="mailto:BC-G@AlmeerseReddingsBrigade.nl" TargetMode="External"/><Relationship Id="rId131" Type="http://schemas.openxmlformats.org/officeDocument/2006/relationships/hyperlink" Target="mailto:dir.kraanvogel@prisma-almere.nl" TargetMode="External"/><Relationship Id="rId152" Type="http://schemas.openxmlformats.org/officeDocument/2006/relationships/hyperlink" Target="mailto:aadam@almere.nl" TargetMode="External"/><Relationship Id="rId173" Type="http://schemas.openxmlformats.org/officeDocument/2006/relationships/hyperlink" Target="mailto:info@deschoor.nl?" TargetMode="External"/><Relationship Id="rId194" Type="http://schemas.openxmlformats.org/officeDocument/2006/relationships/hyperlink" Target="mailto:pwjschrijver@almere.nl" TargetMode="External"/><Relationship Id="rId208" Type="http://schemas.openxmlformats.org/officeDocument/2006/relationships/hyperlink" Target="mailto:pwjschrijver@almere.nl" TargetMode="External"/><Relationship Id="rId19" Type="http://schemas.openxmlformats.org/officeDocument/2006/relationships/hyperlink" Target="mailto:dir.loofhut@skofv.nl?" TargetMode="External"/><Relationship Id="rId14" Type="http://schemas.openxmlformats.org/officeDocument/2006/relationships/hyperlink" Target="mailto:b.gubbels@eduvier.nl" TargetMode="External"/><Relationship Id="rId30" Type="http://schemas.openxmlformats.org/officeDocument/2006/relationships/hyperlink" Target="mailto:info@deschoor.nl?" TargetMode="External"/><Relationship Id="rId35" Type="http://schemas.openxmlformats.org/officeDocument/2006/relationships/hyperlink" Target="mailto:directie@kameleon.asg.nl" TargetMode="External"/><Relationship Id="rId56" Type="http://schemas.openxmlformats.org/officeDocument/2006/relationships/hyperlink" Target="mailto:meldpuntvastgoedbedrijf@almere.nl" TargetMode="External"/><Relationship Id="rId77" Type="http://schemas.openxmlformats.org/officeDocument/2006/relationships/hyperlink" Target="mailto:directie@aurora.asg-almere.nl" TargetMode="External"/><Relationship Id="rId100" Type="http://schemas.openxmlformats.org/officeDocument/2006/relationships/hyperlink" Target="mailto:hschoonheim@almere.nl" TargetMode="External"/><Relationship Id="rId105" Type="http://schemas.openxmlformats.org/officeDocument/2006/relationships/hyperlink" Target="mailto:administratie@albatros.asg-almere.nl" TargetMode="External"/><Relationship Id="rId126" Type="http://schemas.openxmlformats.org/officeDocument/2006/relationships/hyperlink" Target="mailto:info@stadennatuur.nl" TargetMode="External"/><Relationship Id="rId147" Type="http://schemas.openxmlformats.org/officeDocument/2006/relationships/hyperlink" Target="mailto:r.spoelma1961@kpnmail.nl" TargetMode="External"/><Relationship Id="rId168" Type="http://schemas.openxmlformats.org/officeDocument/2006/relationships/hyperlink" Target="mailto:rwestman@deschoor.nl" TargetMode="External"/><Relationship Id="rId8" Type="http://schemas.openxmlformats.org/officeDocument/2006/relationships/hyperlink" Target="mailto:e.weteringe@vmca.nl" TargetMode="External"/><Relationship Id="rId51" Type="http://schemas.openxmlformats.org/officeDocument/2006/relationships/hyperlink" Target="mailto:meldpuntvastgoedbedrijf@almere.nl" TargetMode="External"/><Relationship Id="rId72" Type="http://schemas.openxmlformats.org/officeDocument/2006/relationships/hyperlink" Target="mailto:info@praktijkonderwijsalmere.nl" TargetMode="External"/><Relationship Id="rId93" Type="http://schemas.openxmlformats.org/officeDocument/2006/relationships/hyperlink" Target="mailto:directie@columbusschool.asg.nl" TargetMode="External"/><Relationship Id="rId98" Type="http://schemas.openxmlformats.org/officeDocument/2006/relationships/hyperlink" Target="mailto:directie@boventoon.asg-almere.nl" TargetMode="External"/><Relationship Id="rId121" Type="http://schemas.openxmlformats.org/officeDocument/2006/relationships/hyperlink" Target="mailto:pwjschrijver@almere.nl" TargetMode="External"/><Relationship Id="rId142" Type="http://schemas.openxmlformats.org/officeDocument/2006/relationships/hyperlink" Target="mailto:martijn.valk@kidsfoundation.nl" TargetMode="External"/><Relationship Id="rId163" Type="http://schemas.openxmlformats.org/officeDocument/2006/relationships/hyperlink" Target="mailto:sbatenburg@almere.nl" TargetMode="External"/><Relationship Id="rId184" Type="http://schemas.openxmlformats.org/officeDocument/2006/relationships/hyperlink" Target="mailto:hhgabriel@almere.nl" TargetMode="External"/><Relationship Id="rId189" Type="http://schemas.openxmlformats.org/officeDocument/2006/relationships/hyperlink" Target="mailto:dgroeneveld@deschoor.nl" TargetMode="External"/><Relationship Id="rId3" Type="http://schemas.openxmlformats.org/officeDocument/2006/relationships/hyperlink" Target="mailto:administratie@bombardon.asg-almere.nl" TargetMode="External"/><Relationship Id="rId214" Type="http://schemas.openxmlformats.org/officeDocument/2006/relationships/hyperlink" Target="mailto:meldpuntvastgoedbedrijf@almere.nl" TargetMode="External"/><Relationship Id="rId25" Type="http://schemas.openxmlformats.org/officeDocument/2006/relationships/hyperlink" Target="mailto:meldpuntvastgoedbedrijf@almere.nl" TargetMode="External"/><Relationship Id="rId46" Type="http://schemas.openxmlformats.org/officeDocument/2006/relationships/hyperlink" Target="mailto:directie@samenspel.asg.nl" TargetMode="External"/><Relationship Id="rId67" Type="http://schemas.openxmlformats.org/officeDocument/2006/relationships/hyperlink" Target="mailto:meldpuntvastgoedbedrijf@almere.nl" TargetMode="External"/><Relationship Id="rId116" Type="http://schemas.openxmlformats.org/officeDocument/2006/relationships/hyperlink" Target="mailto:directie@aquamarijn.asg.nl" TargetMode="External"/><Relationship Id="rId137" Type="http://schemas.openxmlformats.org/officeDocument/2006/relationships/hyperlink" Target="mailto:hhgabriel@almere.nl" TargetMode="External"/><Relationship Id="rId158" Type="http://schemas.openxmlformats.org/officeDocument/2006/relationships/hyperlink" Target="mailto:aadam@almere.nl" TargetMode="External"/><Relationship Id="rId20" Type="http://schemas.openxmlformats.org/officeDocument/2006/relationships/hyperlink" Target="mailto:dir.regenboog@prisma-almere.nl" TargetMode="External"/><Relationship Id="rId41" Type="http://schemas.openxmlformats.org/officeDocument/2006/relationships/hyperlink" Target="mailto:directie@heliotroop.asg-almere.nl" TargetMode="External"/><Relationship Id="rId62" Type="http://schemas.openxmlformats.org/officeDocument/2006/relationships/hyperlink" Target="mailto:dir.buitenburcht@prisma-almere.nl" TargetMode="External"/><Relationship Id="rId83" Type="http://schemas.openxmlformats.org/officeDocument/2006/relationships/hyperlink" Target="mailto:dir.kompas@prisma-almere.nl" TargetMode="External"/><Relationship Id="rId88" Type="http://schemas.openxmlformats.org/officeDocument/2006/relationships/hyperlink" Target="mailto:rmjvdijk@almere.nl" TargetMode="External"/><Relationship Id="rId111" Type="http://schemas.openxmlformats.org/officeDocument/2006/relationships/hyperlink" Target="mailto:BC-G@AlmeerseReddingsBrigade.nl" TargetMode="External"/><Relationship Id="rId132" Type="http://schemas.openxmlformats.org/officeDocument/2006/relationships/hyperlink" Target="mailto:dir.pirouette@skofv.nl" TargetMode="External"/><Relationship Id="rId153" Type="http://schemas.openxmlformats.org/officeDocument/2006/relationships/hyperlink" Target="mailto:aadam@almere.nl" TargetMode="External"/><Relationship Id="rId174" Type="http://schemas.openxmlformats.org/officeDocument/2006/relationships/hyperlink" Target="mailto:info@deschoor.nl?" TargetMode="External"/><Relationship Id="rId179" Type="http://schemas.openxmlformats.org/officeDocument/2006/relationships/hyperlink" Target="mailto:meldpuntvastgoedbedrijf@almere.nl" TargetMode="External"/><Relationship Id="rId195" Type="http://schemas.openxmlformats.org/officeDocument/2006/relationships/hyperlink" Target="mailto:pwjschrijver@almere.nl" TargetMode="External"/><Relationship Id="rId209" Type="http://schemas.openxmlformats.org/officeDocument/2006/relationships/hyperlink" Target="mailto:ascholten@almere.nl" TargetMode="External"/><Relationship Id="rId190" Type="http://schemas.openxmlformats.org/officeDocument/2006/relationships/hyperlink" Target="mailto:info@egelantier.asg-almere.nl" TargetMode="External"/><Relationship Id="rId204" Type="http://schemas.openxmlformats.org/officeDocument/2006/relationships/hyperlink" Target="mailto:directie@odyssee.asg.nl" TargetMode="External"/><Relationship Id="rId15" Type="http://schemas.openxmlformats.org/officeDocument/2006/relationships/hyperlink" Target="mailto:meldpuntvastgoedbedrijf@almere.nl" TargetMode="External"/><Relationship Id="rId36" Type="http://schemas.openxmlformats.org/officeDocument/2006/relationships/hyperlink" Target="mailto:meldpuntvastgoedbedrijf@almere.nl" TargetMode="External"/><Relationship Id="rId57" Type="http://schemas.openxmlformats.org/officeDocument/2006/relationships/hyperlink" Target="mailto:dir.pirouette@skofv.nl" TargetMode="External"/><Relationship Id="rId106" Type="http://schemas.openxmlformats.org/officeDocument/2006/relationships/hyperlink" Target="mailto:lentemorgen11@gmail.com" TargetMode="External"/><Relationship Id="rId127" Type="http://schemas.openxmlformats.org/officeDocument/2006/relationships/hyperlink" Target="mailto:info@stadennatuur.nl" TargetMode="External"/><Relationship Id="rId10" Type="http://schemas.openxmlformats.org/officeDocument/2006/relationships/hyperlink" Target="mailto:meldpuntvastgoedbedrijf@almere.nl" TargetMode="External"/><Relationship Id="rId31" Type="http://schemas.openxmlformats.org/officeDocument/2006/relationships/hyperlink" Target="mailto:info@bspantarhei.nl" TargetMode="External"/><Relationship Id="rId52" Type="http://schemas.openxmlformats.org/officeDocument/2006/relationships/hyperlink" Target="mailto:info@zonnewiel.nl" TargetMode="External"/><Relationship Id="rId73" Type="http://schemas.openxmlformats.org/officeDocument/2006/relationships/hyperlink" Target="mailto:meldpuntvastgoedbedrijf@almere.nl" TargetMode="External"/><Relationship Id="rId78" Type="http://schemas.openxmlformats.org/officeDocument/2006/relationships/hyperlink" Target="mailto:dir.dukdalf@prisma-almere.nl," TargetMode="External"/><Relationship Id="rId94" Type="http://schemas.openxmlformats.org/officeDocument/2006/relationships/hyperlink" Target="mailto:directie@klaverweide.asg.nl" TargetMode="External"/><Relationship Id="rId99" Type="http://schemas.openxmlformats.org/officeDocument/2006/relationships/hyperlink" Target="mailto:directie@montessoristad.asg.nl" TargetMode="External"/><Relationship Id="rId101" Type="http://schemas.openxmlformats.org/officeDocument/2006/relationships/hyperlink" Target="mailto:kinderrevalidatiealmere@trappenberg.merem.nl" TargetMode="External"/><Relationship Id="rId122" Type="http://schemas.openxmlformats.org/officeDocument/2006/relationships/hyperlink" Target="mailto:secretaris@najaden.nl" TargetMode="External"/><Relationship Id="rId143" Type="http://schemas.openxmlformats.org/officeDocument/2006/relationships/hyperlink" Target="mailto:info@deschoor.nl" TargetMode="External"/><Relationship Id="rId148" Type="http://schemas.openxmlformats.org/officeDocument/2006/relationships/hyperlink" Target="mailto:rwestman@deschoor.nl" TargetMode="External"/><Relationship Id="rId164" Type="http://schemas.openxmlformats.org/officeDocument/2006/relationships/hyperlink" Target="mailto:rwestman@deschoor.nl" TargetMode="External"/><Relationship Id="rId169" Type="http://schemas.openxmlformats.org/officeDocument/2006/relationships/hyperlink" Target="mailto:info@deschoor.nl?" TargetMode="External"/><Relationship Id="rId185" Type="http://schemas.openxmlformats.org/officeDocument/2006/relationships/hyperlink" Target="mailto:hhgabriel@almere.nl" TargetMode="External"/><Relationship Id="rId4" Type="http://schemas.openxmlformats.org/officeDocument/2006/relationships/hyperlink" Target="mailto:info@praktijkonderwijsalmere.nl" TargetMode="External"/><Relationship Id="rId9" Type="http://schemas.openxmlformats.org/officeDocument/2006/relationships/hyperlink" Target="mailto:meldpuntvastgoedbedrijf@almere.nl" TargetMode="External"/><Relationship Id="rId180" Type="http://schemas.openxmlformats.org/officeDocument/2006/relationships/hyperlink" Target="mailto:administratie@albatros.asg-almere.nl" TargetMode="External"/><Relationship Id="rId210" Type="http://schemas.openxmlformats.org/officeDocument/2006/relationships/hyperlink" Target="mailto:meldpuntvastgoedbedrijf@almere.nl" TargetMode="External"/><Relationship Id="rId215" Type="http://schemas.openxmlformats.org/officeDocument/2006/relationships/hyperlink" Target="mailto:meldpuntvastgoedbedrijf@almere.nl" TargetMode="External"/><Relationship Id="rId26" Type="http://schemas.openxmlformats.org/officeDocument/2006/relationships/hyperlink" Target="mailto:wim.meijer@watertuin.asg.nl" TargetMode="External"/><Relationship Id="rId47" Type="http://schemas.openxmlformats.org/officeDocument/2006/relationships/hyperlink" Target="mailto:info@stadennatuur.nl" TargetMode="External"/><Relationship Id="rId68" Type="http://schemas.openxmlformats.org/officeDocument/2006/relationships/hyperlink" Target="mailto:directie@spectrum.asg-almere.nl" TargetMode="External"/><Relationship Id="rId89" Type="http://schemas.openxmlformats.org/officeDocument/2006/relationships/hyperlink" Target="mailto:r.bleij@kpnmail.nl" TargetMode="External"/><Relationship Id="rId112" Type="http://schemas.openxmlformats.org/officeDocument/2006/relationships/hyperlink" Target="mailto:info@amethistverslavingszorg.nl" TargetMode="External"/><Relationship Id="rId133" Type="http://schemas.openxmlformats.org/officeDocument/2006/relationships/hyperlink" Target="mailto:dir.pirouette@skofv.nl" TargetMode="External"/><Relationship Id="rId154" Type="http://schemas.openxmlformats.org/officeDocument/2006/relationships/hyperlink" Target="mailto:aadam@almere.nl" TargetMode="External"/><Relationship Id="rId175" Type="http://schemas.openxmlformats.org/officeDocument/2006/relationships/hyperlink" Target="mailto:info@deschoor.nl?" TargetMode="External"/><Relationship Id="rId196" Type="http://schemas.openxmlformats.org/officeDocument/2006/relationships/hyperlink" Target="mailto:pwjschrijver@almere.nl" TargetMode="External"/><Relationship Id="rId200" Type="http://schemas.openxmlformats.org/officeDocument/2006/relationships/hyperlink" Target="mailto:s.vanbroekhuijsen@almere-speciaal.nl" TargetMode="External"/><Relationship Id="rId16" Type="http://schemas.openxmlformats.org/officeDocument/2006/relationships/hyperlink" Target="mailto:meldpuntvastgoedbedrijf@almere.nl" TargetMode="External"/><Relationship Id="rId37" Type="http://schemas.openxmlformats.org/officeDocument/2006/relationships/hyperlink" Target="mailto:directie@argonaut.asg.nl" TargetMode="External"/><Relationship Id="rId58" Type="http://schemas.openxmlformats.org/officeDocument/2006/relationships/hyperlink" Target="mailto:crescendo@skofv.nl" TargetMode="External"/><Relationship Id="rId79" Type="http://schemas.openxmlformats.org/officeDocument/2006/relationships/hyperlink" Target="mailto:beerse@legerdesheils.nl" TargetMode="External"/><Relationship Id="rId102" Type="http://schemas.openxmlformats.org/officeDocument/2006/relationships/hyperlink" Target="mailto:info@dikkertjedap.nl" TargetMode="External"/><Relationship Id="rId123" Type="http://schemas.openxmlformats.org/officeDocument/2006/relationships/hyperlink" Target="mailto:secretariaat@fcalmere.com??" TargetMode="External"/><Relationship Id="rId144" Type="http://schemas.openxmlformats.org/officeDocument/2006/relationships/hyperlink" Target="mailto:rwestman@deschoor.nl" TargetMode="External"/><Relationship Id="rId90" Type="http://schemas.openxmlformats.org/officeDocument/2006/relationships/hyperlink" Target="mailto:edwin.eerens@smallsteps.info" TargetMode="External"/><Relationship Id="rId165" Type="http://schemas.openxmlformats.org/officeDocument/2006/relationships/hyperlink" Target="mailto:rwestman@deschoor.nl" TargetMode="External"/><Relationship Id="rId186" Type="http://schemas.openxmlformats.org/officeDocument/2006/relationships/hyperlink" Target="mailto:riemerwierda@gmail.com" TargetMode="External"/><Relationship Id="rId211" Type="http://schemas.openxmlformats.org/officeDocument/2006/relationships/hyperlink" Target="mailto:ascholten@almere.nl" TargetMode="External"/><Relationship Id="rId27" Type="http://schemas.openxmlformats.org/officeDocument/2006/relationships/hyperlink" Target="mailto:meldpuntvastgoedbedrijf@almere.nl" TargetMode="External"/><Relationship Id="rId48" Type="http://schemas.openxmlformats.org/officeDocument/2006/relationships/hyperlink" Target="mailto:info@kinderopvangdegompys.nl" TargetMode="External"/><Relationship Id="rId69" Type="http://schemas.openxmlformats.org/officeDocument/2006/relationships/hyperlink" Target="mailto:directie@archipel.asg.nl" TargetMode="External"/><Relationship Id="rId113" Type="http://schemas.openxmlformats.org/officeDocument/2006/relationships/hyperlink" Target="mailto:meldpuntvastgoedbedrijf@almere.nl" TargetMode="External"/><Relationship Id="rId134" Type="http://schemas.openxmlformats.org/officeDocument/2006/relationships/hyperlink" Target="mailto:beheer@buitenhoutmhc.nl" TargetMode="External"/><Relationship Id="rId80" Type="http://schemas.openxmlformats.org/officeDocument/2006/relationships/hyperlink" Target="mailto:vrijbuiter@optisport.nl" TargetMode="External"/><Relationship Id="rId155" Type="http://schemas.openxmlformats.org/officeDocument/2006/relationships/hyperlink" Target="mailto:aadam@almere.nl" TargetMode="External"/><Relationship Id="rId176" Type="http://schemas.openxmlformats.org/officeDocument/2006/relationships/hyperlink" Target="mailto:info@deschoor.nl?" TargetMode="External"/><Relationship Id="rId197" Type="http://schemas.openxmlformats.org/officeDocument/2006/relationships/hyperlink" Target="mailto:meldpuntvastgoedbedrijf@almere.nl" TargetMode="External"/><Relationship Id="rId201" Type="http://schemas.openxmlformats.org/officeDocument/2006/relationships/hyperlink" Target="mailto:wim.meijer@watertuin.asg.nl" TargetMode="External"/><Relationship Id="rId17" Type="http://schemas.openxmlformats.org/officeDocument/2006/relationships/hyperlink" Target="mailto:rogervandam@optisport.nl" TargetMode="External"/><Relationship Id="rId38" Type="http://schemas.openxmlformats.org/officeDocument/2006/relationships/hyperlink" Target="http://www.ontdekking.asg-almere.nl/" TargetMode="External"/><Relationship Id="rId59" Type="http://schemas.openxmlformats.org/officeDocument/2006/relationships/hyperlink" Target="mailto:dir.lichtboei@prisma-almere.nl" TargetMode="External"/><Relationship Id="rId103" Type="http://schemas.openxmlformats.org/officeDocument/2006/relationships/hyperlink" Target="mailto:directie@flierefluiter.asg.nl" TargetMode="External"/><Relationship Id="rId124" Type="http://schemas.openxmlformats.org/officeDocument/2006/relationships/hyperlink" Target="mailto:meldpuntvastgoedbedrijf@almere.nl" TargetMode="External"/><Relationship Id="rId70" Type="http://schemas.openxmlformats.org/officeDocument/2006/relationships/hyperlink" Target="mailto:directie@avontuur.asg.nl" TargetMode="External"/><Relationship Id="rId91" Type="http://schemas.openxmlformats.org/officeDocument/2006/relationships/hyperlink" Target="mailto:info@obssyncope.nl" TargetMode="External"/><Relationship Id="rId145" Type="http://schemas.openxmlformats.org/officeDocument/2006/relationships/hyperlink" Target="mailto:info@deschoor.nl" TargetMode="External"/><Relationship Id="rId166" Type="http://schemas.openxmlformats.org/officeDocument/2006/relationships/hyperlink" Target="mailto:directie@letterland.asg.nl" TargetMode="External"/><Relationship Id="rId187" Type="http://schemas.openxmlformats.org/officeDocument/2006/relationships/hyperlink" Target="mailto:info@taalcentrumalmere.nl" TargetMode="External"/><Relationship Id="rId1" Type="http://schemas.openxmlformats.org/officeDocument/2006/relationships/hyperlink" Target="mailto:directie@caleidoscoop.asg.nl" TargetMode="External"/><Relationship Id="rId212" Type="http://schemas.openxmlformats.org/officeDocument/2006/relationships/hyperlink" Target="mailto:meldpuntvastgoedbedrijf@almere.nl" TargetMode="External"/><Relationship Id="rId28" Type="http://schemas.openxmlformats.org/officeDocument/2006/relationships/hyperlink" Target="mailto:meldpuntvastgoedbedrijf@almere.nl" TargetMode="External"/><Relationship Id="rId49" Type="http://schemas.openxmlformats.org/officeDocument/2006/relationships/hyperlink" Target="mailto:meldpuntvastgoedbedrijf@almere.nl" TargetMode="External"/><Relationship Id="rId114" Type="http://schemas.openxmlformats.org/officeDocument/2006/relationships/hyperlink" Target="mailto:directie@flierefluiter.asg.nl" TargetMode="External"/><Relationship Id="rId60" Type="http://schemas.openxmlformats.org/officeDocument/2006/relationships/hyperlink" Target="mailto:meldpuntvastgoedbedrijf@almere.nl" TargetMode="External"/><Relationship Id="rId81" Type="http://schemas.openxmlformats.org/officeDocument/2006/relationships/hyperlink" Target="mailto:directie@kring.asg.nl" TargetMode="External"/><Relationship Id="rId135" Type="http://schemas.openxmlformats.org/officeDocument/2006/relationships/hyperlink" Target="mailto:meldpuntvastgoedbedrijf@almere.nl" TargetMode="External"/><Relationship Id="rId156" Type="http://schemas.openxmlformats.org/officeDocument/2006/relationships/hyperlink" Target="mailto:aadam@almere.nl" TargetMode="External"/><Relationship Id="rId177" Type="http://schemas.openxmlformats.org/officeDocument/2006/relationships/hyperlink" Target="mailto:directie@samenspel.asg.nl" TargetMode="External"/><Relationship Id="rId198" Type="http://schemas.openxmlformats.org/officeDocument/2006/relationships/hyperlink" Target="mailto:meldpuntvastgoedbedrijf@almere.nl" TargetMode="External"/><Relationship Id="rId202" Type="http://schemas.openxmlformats.org/officeDocument/2006/relationships/hyperlink" Target="mailto:wim.meijer@watertuin.asg.nl" TargetMode="External"/><Relationship Id="rId18" Type="http://schemas.openxmlformats.org/officeDocument/2006/relationships/hyperlink" Target="mailto:dir.ark@prisma-almere.nl" TargetMode="External"/><Relationship Id="rId39" Type="http://schemas.openxmlformats.org/officeDocument/2006/relationships/hyperlink" Target="mailto:dir.windwijzer@prisma-almere.nl" TargetMode="External"/><Relationship Id="rId50" Type="http://schemas.openxmlformats.org/officeDocument/2006/relationships/hyperlink" Target="mailto:s.hawinkels@zevensprong.asg.nl" TargetMode="External"/><Relationship Id="rId104" Type="http://schemas.openxmlformats.org/officeDocument/2006/relationships/hyperlink" Target="mailto:info@sportingalmere.nl" TargetMode="External"/><Relationship Id="rId125" Type="http://schemas.openxmlformats.org/officeDocument/2006/relationships/hyperlink" Target="mailto:cvkesteren@stadennatuur.nl" TargetMode="External"/><Relationship Id="rId146" Type="http://schemas.openxmlformats.org/officeDocument/2006/relationships/hyperlink" Target="mailto:rwestman@deschoor.nl" TargetMode="External"/><Relationship Id="rId167" Type="http://schemas.openxmlformats.org/officeDocument/2006/relationships/hyperlink" Target="mailto:dir.omnibus@prisma-almere.nl" TargetMode="External"/><Relationship Id="rId188" Type="http://schemas.openxmlformats.org/officeDocument/2006/relationships/hyperlink" Target="mailto:rwestman@deschoor.nl" TargetMode="External"/><Relationship Id="rId71" Type="http://schemas.openxmlformats.org/officeDocument/2006/relationships/hyperlink" Target="mailto:meldpuntvastgoedbedrijf@almere.nl" TargetMode="External"/><Relationship Id="rId92" Type="http://schemas.openxmlformats.org/officeDocument/2006/relationships/hyperlink" Target="mailto:directie@vuurvogel.asg.nl" TargetMode="External"/><Relationship Id="rId213" Type="http://schemas.openxmlformats.org/officeDocument/2006/relationships/hyperlink" Target="mailto:hhgabriel@almere.nl" TargetMode="External"/><Relationship Id="rId2" Type="http://schemas.openxmlformats.org/officeDocument/2006/relationships/hyperlink" Target="mailto:directie@polygoon.asg-almere.nl" TargetMode="External"/><Relationship Id="rId29" Type="http://schemas.openxmlformats.org/officeDocument/2006/relationships/hyperlink" Target="mailto:meldpuntvastgoedbedrijf@almere.nl" TargetMode="External"/><Relationship Id="rId40" Type="http://schemas.openxmlformats.org/officeDocument/2006/relationships/hyperlink" Target="mailto:meldpuntvastgoedbedrijf@almere.nl" TargetMode="External"/><Relationship Id="rId115" Type="http://schemas.openxmlformats.org/officeDocument/2006/relationships/hyperlink" Target="mailto:info@rcbulldogs.nl" TargetMode="External"/><Relationship Id="rId136" Type="http://schemas.openxmlformats.org/officeDocument/2006/relationships/hyperlink" Target="mailto:aadam@almere.nl" TargetMode="External"/><Relationship Id="rId157" Type="http://schemas.openxmlformats.org/officeDocument/2006/relationships/hyperlink" Target="mailto:aadam@almere.nl" TargetMode="External"/><Relationship Id="rId178" Type="http://schemas.openxmlformats.org/officeDocument/2006/relationships/hyperlink" Target="mailto:V.Bouwman@BrandweerFlevoland.nl" TargetMode="External"/><Relationship Id="rId61" Type="http://schemas.openxmlformats.org/officeDocument/2006/relationships/hyperlink" Target="mailto:directie@polygoon.asg-almere.nl" TargetMode="External"/><Relationship Id="rId82" Type="http://schemas.openxmlformats.org/officeDocument/2006/relationships/hyperlink" Target="mailto:directie@tjasker.asg.nl" TargetMode="External"/><Relationship Id="rId199" Type="http://schemas.openxmlformats.org/officeDocument/2006/relationships/hyperlink" Target="mailto:V.Bouwman@BrandweerFlevoland.nl" TargetMode="External"/><Relationship Id="rId203" Type="http://schemas.openxmlformats.org/officeDocument/2006/relationships/hyperlink" Target="mailto:info@deschoor.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33E4-65F6-47AD-B600-C4AA081712E9}">
  <dimension ref="A1:H22"/>
  <sheetViews>
    <sheetView topLeftCell="A2" zoomScaleNormal="100" workbookViewId="0">
      <selection activeCell="A15" sqref="A15"/>
    </sheetView>
  </sheetViews>
  <sheetFormatPr defaultColWidth="9" defaultRowHeight="13.9" x14ac:dyDescent="0.4"/>
  <cols>
    <col min="1" max="1" width="99" style="548" customWidth="1"/>
    <col min="2" max="16384" width="9" style="368"/>
  </cols>
  <sheetData>
    <row r="1" spans="1:8" x14ac:dyDescent="0.4">
      <c r="A1" s="555" t="s">
        <v>0</v>
      </c>
    </row>
    <row r="2" spans="1:8" ht="25.9" x14ac:dyDescent="0.4">
      <c r="A2" s="556" t="s">
        <v>1</v>
      </c>
    </row>
    <row r="3" spans="1:8" x14ac:dyDescent="0.4">
      <c r="A3" s="557"/>
    </row>
    <row r="4" spans="1:8" s="302" customFormat="1" x14ac:dyDescent="0.45">
      <c r="A4" s="534" t="s">
        <v>2</v>
      </c>
      <c r="B4" s="303"/>
      <c r="D4" s="523"/>
      <c r="E4" s="303"/>
      <c r="G4" s="523"/>
      <c r="H4" s="303"/>
    </row>
    <row r="5" spans="1:8" s="302" customFormat="1" x14ac:dyDescent="0.45">
      <c r="A5" s="534"/>
      <c r="B5" s="303"/>
      <c r="D5" s="523"/>
      <c r="E5" s="303"/>
      <c r="G5" s="523"/>
      <c r="H5" s="303"/>
    </row>
    <row r="6" spans="1:8" ht="32.65" customHeight="1" x14ac:dyDescent="0.4">
      <c r="A6" s="558" t="s">
        <v>3</v>
      </c>
    </row>
    <row r="7" spans="1:8" ht="31.15" customHeight="1" x14ac:dyDescent="0.4">
      <c r="A7" s="559" t="s">
        <v>4</v>
      </c>
    </row>
    <row r="8" spans="1:8" ht="25.9" customHeight="1" x14ac:dyDescent="0.4">
      <c r="A8" s="559" t="s">
        <v>5</v>
      </c>
    </row>
    <row r="9" spans="1:8" ht="36" customHeight="1" x14ac:dyDescent="0.4">
      <c r="A9" s="560" t="s">
        <v>6</v>
      </c>
    </row>
    <row r="10" spans="1:8" s="302" customFormat="1" ht="44.25" customHeight="1" x14ac:dyDescent="0.45">
      <c r="A10" s="559" t="s">
        <v>7</v>
      </c>
      <c r="B10" s="303"/>
      <c r="D10" s="523"/>
      <c r="E10" s="303"/>
      <c r="G10" s="523"/>
      <c r="H10" s="303"/>
    </row>
    <row r="11" spans="1:8" ht="21.75" customHeight="1" x14ac:dyDescent="0.4">
      <c r="A11" s="559" t="s">
        <v>8</v>
      </c>
    </row>
    <row r="12" spans="1:8" s="302" customFormat="1" ht="24" customHeight="1" x14ac:dyDescent="0.45">
      <c r="A12" s="559" t="s">
        <v>9</v>
      </c>
      <c r="B12" s="303"/>
      <c r="D12" s="523"/>
      <c r="E12" s="303"/>
      <c r="G12" s="523"/>
      <c r="H12" s="303"/>
    </row>
    <row r="13" spans="1:8" ht="23.25" customHeight="1" x14ac:dyDescent="0.4">
      <c r="A13" s="559" t="s">
        <v>10</v>
      </c>
    </row>
    <row r="14" spans="1:8" ht="203.25" customHeight="1" x14ac:dyDescent="0.4">
      <c r="A14" s="559" t="s">
        <v>11</v>
      </c>
    </row>
    <row r="15" spans="1:8" ht="40.15" customHeight="1" x14ac:dyDescent="0.4">
      <c r="A15" s="559" t="s">
        <v>12</v>
      </c>
    </row>
    <row r="16" spans="1:8" ht="44.25" customHeight="1" x14ac:dyDescent="0.4">
      <c r="A16" s="559" t="s">
        <v>13</v>
      </c>
    </row>
    <row r="17" spans="1:1" ht="43.9" customHeight="1" x14ac:dyDescent="0.4">
      <c r="A17" s="559" t="s">
        <v>14</v>
      </c>
    </row>
    <row r="18" spans="1:1" ht="13.9" customHeight="1" x14ac:dyDescent="0.4">
      <c r="A18" s="559"/>
    </row>
    <row r="19" spans="1:1" x14ac:dyDescent="0.4">
      <c r="A19" s="561" t="s">
        <v>15</v>
      </c>
    </row>
    <row r="20" spans="1:1" x14ac:dyDescent="0.4">
      <c r="A20" s="535" t="s">
        <v>16</v>
      </c>
    </row>
    <row r="21" spans="1:1" x14ac:dyDescent="0.4">
      <c r="A21" s="536" t="s">
        <v>17</v>
      </c>
    </row>
    <row r="22" spans="1:1" x14ac:dyDescent="0.4">
      <c r="A22" s="562" t="s">
        <v>18</v>
      </c>
    </row>
  </sheetData>
  <sheetProtection algorithmName="SHA-512" hashValue="cmcwdzXk+OBYf+ZMSJxfjSoPmtS1xeNdLCBbrOgn06JyV5Y7h/1Y3tgG2L721RST4PophtPIzHkjsYS1Aesc3Q==" saltValue="VInGyzt0K4rMujsRCXeyWg==" spinCount="100000" sheet="1" objects="1" scenarios="1"/>
  <pageMargins left="0.70866141732283472" right="0.70866141732283472" top="0.74803149606299213" bottom="0.74803149606299213" header="0.31496062992125984" footer="0.31496062992125984"/>
  <pageSetup paperSize="9" scale="9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850A-EEEC-4440-BC53-346A080C8F07}">
  <dimension ref="A1:L18"/>
  <sheetViews>
    <sheetView view="pageBreakPreview" zoomScale="60" zoomScaleNormal="100" workbookViewId="0">
      <selection activeCell="D8" sqref="D8"/>
    </sheetView>
  </sheetViews>
  <sheetFormatPr defaultColWidth="9" defaultRowHeight="13.9" x14ac:dyDescent="0.4"/>
  <cols>
    <col min="1" max="1" width="39.1328125" style="548" customWidth="1"/>
    <col min="2" max="2" width="27.265625" style="368" customWidth="1"/>
    <col min="3" max="3" width="25.59765625" style="368" customWidth="1"/>
    <col min="4" max="4" width="26.86328125" style="368" customWidth="1"/>
    <col min="5" max="5" width="4.265625" style="368" customWidth="1"/>
    <col min="6" max="6" width="25.265625" style="368" customWidth="1"/>
    <col min="7" max="16384" width="9" style="368"/>
  </cols>
  <sheetData>
    <row r="1" spans="1:12" ht="13.9" customHeight="1" x14ac:dyDescent="0.4">
      <c r="A1" s="595" t="s">
        <v>19</v>
      </c>
      <c r="B1" s="595"/>
      <c r="C1" s="537"/>
      <c r="D1" s="537"/>
      <c r="E1" s="537"/>
      <c r="F1" s="537"/>
    </row>
    <row r="2" spans="1:12" ht="49.9" customHeight="1" x14ac:dyDescent="0.4">
      <c r="A2" s="595" t="s">
        <v>20</v>
      </c>
      <c r="B2" s="595"/>
      <c r="C2" s="537"/>
      <c r="D2" s="537"/>
      <c r="E2" s="537"/>
      <c r="F2" s="537"/>
    </row>
    <row r="3" spans="1:12" x14ac:dyDescent="0.4">
      <c r="A3" s="538"/>
    </row>
    <row r="4" spans="1:12" s="302" customFormat="1" ht="74.25" customHeight="1" x14ac:dyDescent="0.45">
      <c r="A4" s="533" t="s">
        <v>21</v>
      </c>
      <c r="B4" s="539" t="s">
        <v>22</v>
      </c>
      <c r="C4" s="539" t="s">
        <v>23</v>
      </c>
      <c r="D4" s="539" t="s">
        <v>24</v>
      </c>
      <c r="E4" s="539"/>
      <c r="F4" s="539" t="s">
        <v>25</v>
      </c>
      <c r="H4" s="523"/>
      <c r="I4" s="303"/>
      <c r="K4" s="523"/>
      <c r="L4" s="303"/>
    </row>
    <row r="5" spans="1:12" s="302" customFormat="1" ht="28.15" customHeight="1" x14ac:dyDescent="0.45">
      <c r="A5" s="463" t="s">
        <v>26</v>
      </c>
      <c r="B5" s="540">
        <f>'Perceel 1'!AT97</f>
        <v>0</v>
      </c>
      <c r="C5" s="540">
        <f>'Diensten op afroep'!E34</f>
        <v>0</v>
      </c>
      <c r="D5" s="540">
        <f>B5+C5</f>
        <v>0</v>
      </c>
      <c r="E5" s="540"/>
      <c r="F5" s="549"/>
      <c r="H5" s="523"/>
      <c r="I5" s="303"/>
      <c r="K5" s="523"/>
      <c r="L5" s="303"/>
    </row>
    <row r="6" spans="1:12" ht="28.15" customHeight="1" x14ac:dyDescent="0.4">
      <c r="A6" s="435" t="s">
        <v>27</v>
      </c>
      <c r="B6" s="540">
        <f>'Perceel 2'!AS193</f>
        <v>0</v>
      </c>
      <c r="C6" s="540">
        <f>'Diensten op afroep'!E34</f>
        <v>0</v>
      </c>
      <c r="D6" s="540">
        <f t="shared" ref="D6:D7" si="0">B6+C6</f>
        <v>0</v>
      </c>
      <c r="E6" s="540"/>
      <c r="F6" s="550"/>
    </row>
    <row r="7" spans="1:12" ht="28.15" customHeight="1" x14ac:dyDescent="0.4">
      <c r="A7" s="541" t="s">
        <v>28</v>
      </c>
      <c r="B7" s="540">
        <f>'Perceel 3'!AS265</f>
        <v>0</v>
      </c>
      <c r="C7" s="540">
        <f>'Diensten op afroep'!E34</f>
        <v>0</v>
      </c>
      <c r="D7" s="540">
        <f t="shared" si="0"/>
        <v>0</v>
      </c>
      <c r="E7" s="540"/>
      <c r="F7" s="550"/>
    </row>
    <row r="8" spans="1:12" ht="28.15" customHeight="1" x14ac:dyDescent="0.4">
      <c r="A8" s="542" t="s">
        <v>29</v>
      </c>
      <c r="D8" s="371">
        <f>SUM(D5:D7)</f>
        <v>0</v>
      </c>
      <c r="E8" s="406"/>
    </row>
    <row r="9" spans="1:12" x14ac:dyDescent="0.4">
      <c r="A9" s="543"/>
    </row>
    <row r="10" spans="1:12" s="302" customFormat="1" x14ac:dyDescent="0.45">
      <c r="A10" s="544"/>
      <c r="B10" s="523"/>
      <c r="C10" s="523"/>
      <c r="D10" s="523"/>
      <c r="E10" s="523"/>
      <c r="F10" s="303"/>
      <c r="H10" s="523"/>
      <c r="I10" s="303"/>
      <c r="K10" s="523"/>
      <c r="L10" s="303"/>
    </row>
    <row r="11" spans="1:12" x14ac:dyDescent="0.4">
      <c r="A11" s="545" t="s">
        <v>30</v>
      </c>
      <c r="B11" s="554"/>
      <c r="C11" s="546"/>
      <c r="D11" s="547"/>
      <c r="E11" s="547"/>
    </row>
    <row r="12" spans="1:12" x14ac:dyDescent="0.4">
      <c r="A12" s="596" t="s">
        <v>31</v>
      </c>
      <c r="B12" s="598"/>
      <c r="C12" s="546"/>
      <c r="D12" s="547"/>
      <c r="E12" s="547"/>
    </row>
    <row r="13" spans="1:12" x14ac:dyDescent="0.4">
      <c r="A13" s="597"/>
      <c r="B13" s="599"/>
      <c r="C13" s="546"/>
      <c r="D13" s="547"/>
      <c r="E13" s="547"/>
    </row>
    <row r="14" spans="1:12" x14ac:dyDescent="0.4">
      <c r="A14" s="597"/>
      <c r="B14" s="599"/>
      <c r="C14" s="546"/>
      <c r="D14" s="547"/>
      <c r="E14" s="547"/>
    </row>
    <row r="15" spans="1:12" x14ac:dyDescent="0.4">
      <c r="A15" s="545" t="s">
        <v>32</v>
      </c>
      <c r="B15" s="552"/>
      <c r="C15" s="546"/>
      <c r="D15" s="547"/>
      <c r="E15" s="547"/>
    </row>
    <row r="16" spans="1:12" x14ac:dyDescent="0.4">
      <c r="A16" s="545" t="s">
        <v>33</v>
      </c>
      <c r="B16" s="552"/>
      <c r="C16" s="546"/>
      <c r="D16" s="547"/>
      <c r="E16" s="547"/>
    </row>
    <row r="17" spans="1:6" x14ac:dyDescent="0.4">
      <c r="A17" s="545" t="s">
        <v>34</v>
      </c>
      <c r="B17" s="553"/>
      <c r="C17" s="546"/>
      <c r="D17" s="547"/>
      <c r="E17" s="547"/>
    </row>
    <row r="18" spans="1:6" s="7" customFormat="1" ht="14.25" x14ac:dyDescent="0.45">
      <c r="A18" s="368"/>
      <c r="B18" s="368"/>
      <c r="C18" s="368"/>
      <c r="D18" s="368"/>
      <c r="E18" s="368"/>
      <c r="F18" s="368"/>
    </row>
  </sheetData>
  <sheetProtection algorithmName="SHA-512" hashValue="AsvRnImae1SrWadvInsJx6m35scfvFe+XlehADsQuZHVvAzns1WMyOwK8rEplSMpKveSR5687aPeGgqtf2s4zg==" saltValue="jsB0H7TkLEuRCAxQEw7N2w==" spinCount="100000" sheet="1" objects="1" scenarios="1"/>
  <mergeCells count="4">
    <mergeCell ref="A1:B1"/>
    <mergeCell ref="A2:B2"/>
    <mergeCell ref="A12:A14"/>
    <mergeCell ref="B12:B14"/>
  </mergeCells>
  <pageMargins left="0.70866141732283472" right="0.70866141732283472"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6842-2246-4997-81A7-ADC1D85B9DC3}">
  <dimension ref="A1:I68"/>
  <sheetViews>
    <sheetView tabSelected="1" view="pageBreakPreview" topLeftCell="A39" zoomScaleNormal="100" zoomScaleSheetLayoutView="100" workbookViewId="0">
      <selection activeCell="C6" sqref="C6"/>
    </sheetView>
  </sheetViews>
  <sheetFormatPr defaultColWidth="9" defaultRowHeight="13.9" x14ac:dyDescent="0.45"/>
  <cols>
    <col min="1" max="1" width="103" style="302" customWidth="1"/>
    <col min="2" max="2" width="9" style="523"/>
    <col min="3" max="3" width="11.3984375" style="303" bestFit="1" customWidth="1"/>
    <col min="4" max="4" width="3.1328125" style="302" customWidth="1"/>
    <col min="5" max="5" width="9" style="523"/>
    <col min="6" max="6" width="9.265625" style="303" bestFit="1" customWidth="1"/>
    <col min="7" max="7" width="3.1328125" style="302" customWidth="1"/>
    <col min="8" max="8" width="9" style="523"/>
    <col min="9" max="9" width="9.265625" style="303" bestFit="1" customWidth="1"/>
    <col min="10" max="16384" width="9" style="302"/>
  </cols>
  <sheetData>
    <row r="1" spans="1:9" ht="28.9" customHeight="1" x14ac:dyDescent="0.4">
      <c r="A1" s="603" t="s">
        <v>35</v>
      </c>
      <c r="B1" s="604"/>
      <c r="C1" s="604"/>
      <c r="D1" s="604"/>
      <c r="E1" s="604"/>
      <c r="F1" s="604"/>
      <c r="G1" s="604"/>
      <c r="H1" s="604"/>
      <c r="I1" s="605"/>
    </row>
    <row r="2" spans="1:9" ht="17.25" x14ac:dyDescent="0.45">
      <c r="A2" s="496"/>
      <c r="B2" s="600" t="s">
        <v>26</v>
      </c>
      <c r="C2" s="601"/>
      <c r="D2" s="508"/>
      <c r="E2" s="600" t="s">
        <v>27</v>
      </c>
      <c r="F2" s="601"/>
      <c r="G2" s="508"/>
      <c r="H2" s="600" t="s">
        <v>28</v>
      </c>
      <c r="I2" s="602"/>
    </row>
    <row r="3" spans="1:9" x14ac:dyDescent="0.45">
      <c r="A3" s="497"/>
      <c r="B3" s="510"/>
      <c r="C3" s="507"/>
      <c r="D3" s="508"/>
      <c r="E3" s="510"/>
      <c r="F3" s="507"/>
      <c r="G3" s="508"/>
      <c r="H3" s="510"/>
      <c r="I3" s="509"/>
    </row>
    <row r="4" spans="1:9" x14ac:dyDescent="0.45">
      <c r="A4" s="497"/>
      <c r="B4" s="511" t="s">
        <v>36</v>
      </c>
      <c r="C4" s="512" t="s">
        <v>37</v>
      </c>
      <c r="D4" s="508"/>
      <c r="E4" s="511" t="s">
        <v>36</v>
      </c>
      <c r="F4" s="512" t="s">
        <v>37</v>
      </c>
      <c r="G4" s="508"/>
      <c r="H4" s="511" t="s">
        <v>36</v>
      </c>
      <c r="I4" s="513" t="s">
        <v>37</v>
      </c>
    </row>
    <row r="5" spans="1:9" x14ac:dyDescent="0.45">
      <c r="A5" s="498" t="s">
        <v>38</v>
      </c>
      <c r="B5" s="510"/>
      <c r="C5" s="507"/>
      <c r="D5" s="508"/>
      <c r="E5" s="510"/>
      <c r="F5" s="507"/>
      <c r="G5" s="508"/>
      <c r="H5" s="510"/>
      <c r="I5" s="509"/>
    </row>
    <row r="6" spans="1:9" x14ac:dyDescent="0.45">
      <c r="A6" s="495" t="s">
        <v>39</v>
      </c>
      <c r="B6" s="529"/>
      <c r="C6" s="507" t="s">
        <v>40</v>
      </c>
      <c r="D6" s="508"/>
      <c r="E6" s="529"/>
      <c r="F6" s="507" t="s">
        <v>40</v>
      </c>
      <c r="G6" s="508"/>
      <c r="H6" s="529"/>
      <c r="I6" s="509" t="s">
        <v>40</v>
      </c>
    </row>
    <row r="7" spans="1:9" x14ac:dyDescent="0.45">
      <c r="A7" s="495"/>
      <c r="B7" s="510"/>
      <c r="C7" s="507"/>
      <c r="D7" s="508"/>
      <c r="E7" s="510"/>
      <c r="F7" s="507"/>
      <c r="G7" s="508"/>
      <c r="H7" s="510"/>
      <c r="I7" s="509"/>
    </row>
    <row r="8" spans="1:9" x14ac:dyDescent="0.45">
      <c r="A8" s="495" t="s">
        <v>41</v>
      </c>
      <c r="B8" s="529"/>
      <c r="C8" s="507" t="s">
        <v>42</v>
      </c>
      <c r="D8" s="508"/>
      <c r="E8" s="529"/>
      <c r="F8" s="507" t="s">
        <v>42</v>
      </c>
      <c r="G8" s="508"/>
      <c r="H8" s="529"/>
      <c r="I8" s="509" t="s">
        <v>42</v>
      </c>
    </row>
    <row r="9" spans="1:9" x14ac:dyDescent="0.45">
      <c r="A9" s="495"/>
      <c r="B9" s="510"/>
      <c r="C9" s="507"/>
      <c r="D9" s="508"/>
      <c r="E9" s="510"/>
      <c r="F9" s="507"/>
      <c r="G9" s="508"/>
      <c r="H9" s="510"/>
      <c r="I9" s="509"/>
    </row>
    <row r="10" spans="1:9" x14ac:dyDescent="0.45">
      <c r="A10" s="498" t="s">
        <v>43</v>
      </c>
      <c r="B10" s="510"/>
      <c r="C10" s="507"/>
      <c r="D10" s="508"/>
      <c r="E10" s="510"/>
      <c r="F10" s="507"/>
      <c r="G10" s="508"/>
      <c r="H10" s="510"/>
      <c r="I10" s="509"/>
    </row>
    <row r="11" spans="1:9" ht="27.75" x14ac:dyDescent="0.45">
      <c r="A11" s="499" t="s">
        <v>44</v>
      </c>
      <c r="B11" s="529"/>
      <c r="C11" s="507" t="s">
        <v>40</v>
      </c>
      <c r="D11" s="508"/>
      <c r="E11" s="529"/>
      <c r="F11" s="507" t="s">
        <v>40</v>
      </c>
      <c r="G11" s="508"/>
      <c r="H11" s="529"/>
      <c r="I11" s="509" t="s">
        <v>40</v>
      </c>
    </row>
    <row r="12" spans="1:9" x14ac:dyDescent="0.45">
      <c r="A12" s="499"/>
      <c r="B12" s="510"/>
      <c r="C12" s="507"/>
      <c r="D12" s="508"/>
      <c r="E12" s="510"/>
      <c r="F12" s="507"/>
      <c r="G12" s="508"/>
      <c r="H12" s="510"/>
      <c r="I12" s="509"/>
    </row>
    <row r="13" spans="1:9" x14ac:dyDescent="0.45">
      <c r="A13" s="495" t="s">
        <v>45</v>
      </c>
      <c r="B13" s="500">
        <f>B6+B11</f>
        <v>0</v>
      </c>
      <c r="C13" s="507" t="s">
        <v>40</v>
      </c>
      <c r="D13" s="508"/>
      <c r="E13" s="500">
        <f>E6+E11</f>
        <v>0</v>
      </c>
      <c r="F13" s="507" t="s">
        <v>40</v>
      </c>
      <c r="G13" s="508"/>
      <c r="H13" s="500">
        <f>H6+H11</f>
        <v>0</v>
      </c>
      <c r="I13" s="509" t="s">
        <v>40</v>
      </c>
    </row>
    <row r="14" spans="1:9" x14ac:dyDescent="0.45">
      <c r="A14" s="495"/>
      <c r="B14" s="510"/>
      <c r="C14" s="507"/>
      <c r="D14" s="508"/>
      <c r="E14" s="510"/>
      <c r="F14" s="507"/>
      <c r="G14" s="508"/>
      <c r="H14" s="510"/>
      <c r="I14" s="509"/>
    </row>
    <row r="15" spans="1:9" x14ac:dyDescent="0.45">
      <c r="A15" s="495" t="s">
        <v>46</v>
      </c>
      <c r="B15" s="500">
        <f>B8+B11</f>
        <v>0</v>
      </c>
      <c r="C15" s="507" t="s">
        <v>42</v>
      </c>
      <c r="D15" s="508"/>
      <c r="E15" s="500">
        <f>E8+E11</f>
        <v>0</v>
      </c>
      <c r="F15" s="507" t="s">
        <v>42</v>
      </c>
      <c r="G15" s="508"/>
      <c r="H15" s="500">
        <f>H8+H11</f>
        <v>0</v>
      </c>
      <c r="I15" s="509" t="s">
        <v>42</v>
      </c>
    </row>
    <row r="16" spans="1:9" x14ac:dyDescent="0.45">
      <c r="A16" s="495"/>
      <c r="B16" s="500"/>
      <c r="C16" s="507"/>
      <c r="D16" s="508"/>
      <c r="E16" s="500"/>
      <c r="F16" s="507"/>
      <c r="G16" s="508"/>
      <c r="H16" s="500"/>
      <c r="I16" s="509"/>
    </row>
    <row r="17" spans="1:9" x14ac:dyDescent="0.45">
      <c r="A17" s="498" t="s">
        <v>47</v>
      </c>
      <c r="B17" s="510"/>
      <c r="C17" s="507"/>
      <c r="D17" s="508"/>
      <c r="E17" s="510"/>
      <c r="F17" s="507"/>
      <c r="G17" s="508"/>
      <c r="H17" s="510"/>
      <c r="I17" s="509"/>
    </row>
    <row r="18" spans="1:9" x14ac:dyDescent="0.45">
      <c r="A18" s="495" t="s">
        <v>48</v>
      </c>
      <c r="B18" s="529"/>
      <c r="C18" s="507" t="s">
        <v>40</v>
      </c>
      <c r="D18" s="508"/>
      <c r="E18" s="529"/>
      <c r="F18" s="507" t="s">
        <v>40</v>
      </c>
      <c r="G18" s="508"/>
      <c r="H18" s="529"/>
      <c r="I18" s="509" t="s">
        <v>40</v>
      </c>
    </row>
    <row r="19" spans="1:9" x14ac:dyDescent="0.45">
      <c r="A19" s="495" t="s">
        <v>49</v>
      </c>
      <c r="B19" s="529"/>
      <c r="C19" s="507" t="s">
        <v>40</v>
      </c>
      <c r="D19" s="508"/>
      <c r="E19" s="529"/>
      <c r="F19" s="507" t="s">
        <v>40</v>
      </c>
      <c r="G19" s="508"/>
      <c r="H19" s="529"/>
      <c r="I19" s="509" t="s">
        <v>40</v>
      </c>
    </row>
    <row r="20" spans="1:9" x14ac:dyDescent="0.45">
      <c r="A20" s="501" t="s">
        <v>50</v>
      </c>
      <c r="B20" s="529"/>
      <c r="C20" s="507" t="s">
        <v>40</v>
      </c>
      <c r="D20" s="508"/>
      <c r="E20" s="529"/>
      <c r="F20" s="507" t="s">
        <v>40</v>
      </c>
      <c r="G20" s="508"/>
      <c r="H20" s="529"/>
      <c r="I20" s="509" t="s">
        <v>40</v>
      </c>
    </row>
    <row r="21" spans="1:9" x14ac:dyDescent="0.45">
      <c r="A21" s="501" t="s">
        <v>51</v>
      </c>
      <c r="B21" s="529"/>
      <c r="C21" s="507" t="s">
        <v>40</v>
      </c>
      <c r="D21" s="508"/>
      <c r="E21" s="529"/>
      <c r="F21" s="507" t="s">
        <v>40</v>
      </c>
      <c r="G21" s="508"/>
      <c r="H21" s="529"/>
      <c r="I21" s="509" t="s">
        <v>40</v>
      </c>
    </row>
    <row r="22" spans="1:9" x14ac:dyDescent="0.45">
      <c r="A22" s="501"/>
      <c r="B22" s="590"/>
      <c r="C22" s="507"/>
      <c r="D22" s="508"/>
      <c r="E22" s="590"/>
      <c r="F22" s="507"/>
      <c r="G22" s="508"/>
      <c r="H22" s="590"/>
      <c r="I22" s="509"/>
    </row>
    <row r="23" spans="1:9" x14ac:dyDescent="0.45">
      <c r="A23" s="591" t="s">
        <v>52</v>
      </c>
      <c r="B23" s="500"/>
      <c r="C23" s="507"/>
      <c r="D23" s="508"/>
      <c r="E23" s="500"/>
      <c r="F23" s="507"/>
      <c r="G23" s="508"/>
      <c r="H23" s="500"/>
      <c r="I23" s="509"/>
    </row>
    <row r="24" spans="1:9" x14ac:dyDescent="0.45">
      <c r="A24" s="501" t="s">
        <v>53</v>
      </c>
      <c r="B24" s="529"/>
      <c r="C24" s="507" t="s">
        <v>40</v>
      </c>
      <c r="D24" s="508"/>
      <c r="E24" s="529"/>
      <c r="F24" s="507" t="s">
        <v>40</v>
      </c>
      <c r="G24" s="508"/>
      <c r="H24" s="529"/>
      <c r="I24" s="507" t="s">
        <v>40</v>
      </c>
    </row>
    <row r="25" spans="1:9" x14ac:dyDescent="0.45">
      <c r="A25" s="497"/>
      <c r="B25" s="510"/>
      <c r="C25" s="507"/>
      <c r="D25" s="508"/>
      <c r="E25" s="510"/>
      <c r="F25" s="507"/>
      <c r="G25" s="508"/>
      <c r="H25" s="510"/>
      <c r="I25" s="509"/>
    </row>
    <row r="26" spans="1:9" x14ac:dyDescent="0.45">
      <c r="A26" s="498" t="s">
        <v>54</v>
      </c>
      <c r="B26" s="510"/>
      <c r="C26" s="507"/>
      <c r="D26" s="508"/>
      <c r="E26" s="510"/>
      <c r="F26" s="507"/>
      <c r="G26" s="508"/>
      <c r="H26" s="510"/>
      <c r="I26" s="509"/>
    </row>
    <row r="27" spans="1:9" ht="27.75" x14ac:dyDescent="0.45">
      <c r="A27" s="499" t="s">
        <v>55</v>
      </c>
      <c r="B27" s="529"/>
      <c r="C27" s="507" t="s">
        <v>56</v>
      </c>
      <c r="D27" s="508"/>
      <c r="E27" s="529"/>
      <c r="F27" s="507" t="s">
        <v>56</v>
      </c>
      <c r="G27" s="508"/>
      <c r="H27" s="529"/>
      <c r="I27" s="509" t="s">
        <v>56</v>
      </c>
    </row>
    <row r="28" spans="1:9" x14ac:dyDescent="0.45">
      <c r="A28" s="497"/>
      <c r="B28" s="510"/>
      <c r="C28" s="507"/>
      <c r="D28" s="508"/>
      <c r="E28" s="510"/>
      <c r="F28" s="507"/>
      <c r="G28" s="508"/>
      <c r="H28" s="510"/>
      <c r="I28" s="509"/>
    </row>
    <row r="29" spans="1:9" x14ac:dyDescent="0.45">
      <c r="A29" s="502" t="s">
        <v>57</v>
      </c>
      <c r="B29" s="510"/>
      <c r="C29" s="507"/>
      <c r="D29" s="508"/>
      <c r="E29" s="510"/>
      <c r="F29" s="507"/>
      <c r="G29" s="508"/>
      <c r="H29" s="510"/>
      <c r="I29" s="509"/>
    </row>
    <row r="30" spans="1:9" ht="38.25" x14ac:dyDescent="0.45">
      <c r="A30" s="495" t="s">
        <v>58</v>
      </c>
      <c r="B30" s="529"/>
      <c r="C30" s="507" t="s">
        <v>59</v>
      </c>
      <c r="D30" s="508"/>
      <c r="E30" s="529"/>
      <c r="F30" s="507" t="s">
        <v>59</v>
      </c>
      <c r="G30" s="508"/>
      <c r="H30" s="529"/>
      <c r="I30" s="509" t="s">
        <v>59</v>
      </c>
    </row>
    <row r="31" spans="1:9" x14ac:dyDescent="0.45">
      <c r="A31" s="497"/>
      <c r="B31" s="510"/>
      <c r="C31" s="507"/>
      <c r="D31" s="508"/>
      <c r="E31" s="510"/>
      <c r="F31" s="507"/>
      <c r="G31" s="508"/>
      <c r="H31" s="510"/>
      <c r="I31" s="509"/>
    </row>
    <row r="32" spans="1:9" s="518" customFormat="1" ht="15" x14ac:dyDescent="0.45">
      <c r="A32" s="502" t="s">
        <v>60</v>
      </c>
      <c r="B32" s="503" t="s">
        <v>61</v>
      </c>
      <c r="C32" s="514"/>
      <c r="D32" s="515"/>
      <c r="E32" s="516"/>
      <c r="F32" s="514"/>
      <c r="G32" s="515"/>
      <c r="H32" s="516"/>
      <c r="I32" s="517"/>
    </row>
    <row r="33" spans="1:9" x14ac:dyDescent="0.45">
      <c r="A33" s="504" t="s">
        <v>62</v>
      </c>
      <c r="B33" s="529"/>
      <c r="C33" s="507" t="s">
        <v>63</v>
      </c>
      <c r="D33" s="508"/>
      <c r="E33" s="500"/>
      <c r="F33" s="507"/>
      <c r="G33" s="508"/>
      <c r="H33" s="500"/>
      <c r="I33" s="509"/>
    </row>
    <row r="34" spans="1:9" x14ac:dyDescent="0.45">
      <c r="A34" s="497"/>
      <c r="B34" s="510"/>
      <c r="C34" s="507"/>
      <c r="D34" s="508"/>
      <c r="E34" s="510"/>
      <c r="F34" s="507"/>
      <c r="G34" s="508"/>
      <c r="H34" s="510"/>
      <c r="I34" s="509"/>
    </row>
    <row r="35" spans="1:9" ht="27.75" x14ac:dyDescent="0.45">
      <c r="A35" s="504" t="s">
        <v>64</v>
      </c>
      <c r="B35" s="529"/>
      <c r="C35" s="507" t="s">
        <v>59</v>
      </c>
      <c r="D35" s="508"/>
      <c r="E35" s="500"/>
      <c r="F35" s="507"/>
      <c r="G35" s="508"/>
      <c r="H35" s="500"/>
      <c r="I35" s="509"/>
    </row>
    <row r="36" spans="1:9" x14ac:dyDescent="0.45">
      <c r="A36" s="497"/>
      <c r="B36" s="510"/>
      <c r="C36" s="507"/>
      <c r="D36" s="508"/>
      <c r="E36" s="510"/>
      <c r="F36" s="507"/>
      <c r="G36" s="508"/>
      <c r="H36" s="510"/>
      <c r="I36" s="509"/>
    </row>
    <row r="37" spans="1:9" ht="27.75" x14ac:dyDescent="0.45">
      <c r="A37" s="504" t="s">
        <v>65</v>
      </c>
      <c r="B37" s="529"/>
      <c r="C37" s="507" t="s">
        <v>59</v>
      </c>
      <c r="D37" s="508"/>
      <c r="E37" s="500"/>
      <c r="F37" s="507"/>
      <c r="G37" s="508"/>
      <c r="H37" s="500"/>
      <c r="I37" s="509"/>
    </row>
    <row r="38" spans="1:9" x14ac:dyDescent="0.45">
      <c r="A38" s="504"/>
      <c r="B38" s="510"/>
      <c r="C38" s="507"/>
      <c r="D38" s="508"/>
      <c r="E38" s="510"/>
      <c r="F38" s="507"/>
      <c r="G38" s="508"/>
      <c r="H38" s="510"/>
      <c r="I38" s="509"/>
    </row>
    <row r="39" spans="1:9" ht="27.75" x14ac:dyDescent="0.45">
      <c r="A39" s="504" t="s">
        <v>66</v>
      </c>
      <c r="B39" s="529"/>
      <c r="C39" s="507" t="s">
        <v>59</v>
      </c>
      <c r="D39" s="508"/>
      <c r="E39" s="500"/>
      <c r="F39" s="507"/>
      <c r="G39" s="508"/>
      <c r="H39" s="500"/>
      <c r="I39" s="509"/>
    </row>
    <row r="40" spans="1:9" x14ac:dyDescent="0.45">
      <c r="A40" s="504"/>
      <c r="B40" s="510"/>
      <c r="C40" s="507"/>
      <c r="D40" s="508"/>
      <c r="E40" s="510"/>
      <c r="F40" s="507"/>
      <c r="G40" s="508"/>
      <c r="H40" s="510"/>
      <c r="I40" s="509"/>
    </row>
    <row r="41" spans="1:9" ht="14.25" customHeight="1" x14ac:dyDescent="0.45">
      <c r="A41" s="502" t="s">
        <v>67</v>
      </c>
      <c r="B41" s="503" t="s">
        <v>61</v>
      </c>
      <c r="C41" s="503"/>
      <c r="D41" s="508"/>
      <c r="E41" s="510"/>
      <c r="F41" s="507"/>
      <c r="G41" s="508"/>
      <c r="H41" s="510"/>
      <c r="I41" s="509"/>
    </row>
    <row r="42" spans="1:9" x14ac:dyDescent="0.45">
      <c r="A42" s="501" t="s">
        <v>68</v>
      </c>
      <c r="B42" s="529"/>
      <c r="C42" s="507" t="s">
        <v>69</v>
      </c>
      <c r="D42" s="508"/>
      <c r="E42" s="500"/>
      <c r="F42" s="507"/>
      <c r="G42" s="508"/>
      <c r="H42" s="500"/>
      <c r="I42" s="509"/>
    </row>
    <row r="43" spans="1:9" x14ac:dyDescent="0.45">
      <c r="A43" s="501" t="s">
        <v>70</v>
      </c>
      <c r="B43" s="529"/>
      <c r="C43" s="507" t="s">
        <v>69</v>
      </c>
      <c r="D43" s="508"/>
      <c r="E43" s="500"/>
      <c r="F43" s="507"/>
      <c r="G43" s="508"/>
      <c r="H43" s="500"/>
      <c r="I43" s="509"/>
    </row>
    <row r="44" spans="1:9" x14ac:dyDescent="0.45">
      <c r="A44" s="501" t="s">
        <v>71</v>
      </c>
      <c r="B44" s="529"/>
      <c r="C44" s="507" t="s">
        <v>72</v>
      </c>
      <c r="D44" s="508"/>
      <c r="E44" s="500"/>
      <c r="F44" s="507"/>
      <c r="G44" s="508"/>
      <c r="H44" s="500"/>
      <c r="I44" s="509"/>
    </row>
    <row r="45" spans="1:9" x14ac:dyDescent="0.45">
      <c r="A45" s="501" t="s">
        <v>73</v>
      </c>
      <c r="B45" s="529"/>
      <c r="C45" s="507" t="s">
        <v>72</v>
      </c>
      <c r="D45" s="508"/>
      <c r="E45" s="500"/>
      <c r="F45" s="507"/>
      <c r="G45" s="508"/>
      <c r="H45" s="500"/>
      <c r="I45" s="509"/>
    </row>
    <row r="46" spans="1:9" x14ac:dyDescent="0.45">
      <c r="A46" s="501" t="s">
        <v>74</v>
      </c>
      <c r="B46" s="529"/>
      <c r="C46" s="507" t="s">
        <v>72</v>
      </c>
      <c r="D46" s="508"/>
      <c r="E46" s="500"/>
      <c r="F46" s="507"/>
      <c r="G46" s="508"/>
      <c r="H46" s="500"/>
      <c r="I46" s="509"/>
    </row>
    <row r="47" spans="1:9" x14ac:dyDescent="0.45">
      <c r="A47" s="501" t="s">
        <v>75</v>
      </c>
      <c r="B47" s="529"/>
      <c r="C47" s="507" t="s">
        <v>76</v>
      </c>
      <c r="D47" s="508"/>
      <c r="E47" s="500"/>
      <c r="F47" s="507"/>
      <c r="G47" s="508"/>
      <c r="H47" s="500"/>
      <c r="I47" s="509"/>
    </row>
    <row r="48" spans="1:9" x14ac:dyDescent="0.45">
      <c r="A48" s="501" t="s">
        <v>77</v>
      </c>
      <c r="B48" s="529"/>
      <c r="C48" s="507" t="s">
        <v>76</v>
      </c>
      <c r="D48" s="508"/>
      <c r="E48" s="500"/>
      <c r="F48" s="507"/>
      <c r="G48" s="508"/>
      <c r="H48" s="500"/>
      <c r="I48" s="509"/>
    </row>
    <row r="49" spans="1:9" x14ac:dyDescent="0.45">
      <c r="A49" s="501" t="s">
        <v>78</v>
      </c>
      <c r="B49" s="529"/>
      <c r="C49" s="507" t="s">
        <v>76</v>
      </c>
      <c r="D49" s="508"/>
      <c r="E49" s="500"/>
      <c r="F49" s="507"/>
      <c r="G49" s="508"/>
      <c r="H49" s="500"/>
      <c r="I49" s="509"/>
    </row>
    <row r="50" spans="1:9" x14ac:dyDescent="0.45">
      <c r="A50" s="501" t="s">
        <v>79</v>
      </c>
      <c r="B50" s="529"/>
      <c r="C50" s="507" t="s">
        <v>76</v>
      </c>
      <c r="D50" s="508"/>
      <c r="E50" s="500"/>
      <c r="F50" s="507"/>
      <c r="G50" s="508"/>
      <c r="H50" s="500"/>
      <c r="I50" s="509"/>
    </row>
    <row r="51" spans="1:9" x14ac:dyDescent="0.45">
      <c r="A51" s="501" t="s">
        <v>80</v>
      </c>
      <c r="B51" s="529"/>
      <c r="C51" s="507" t="s">
        <v>69</v>
      </c>
      <c r="D51" s="508"/>
      <c r="E51" s="500"/>
      <c r="F51" s="507"/>
      <c r="G51" s="508"/>
      <c r="H51" s="500"/>
      <c r="I51" s="509"/>
    </row>
    <row r="52" spans="1:9" x14ac:dyDescent="0.45">
      <c r="A52" s="501" t="s">
        <v>81</v>
      </c>
      <c r="B52" s="529"/>
      <c r="C52" s="507" t="s">
        <v>69</v>
      </c>
      <c r="D52" s="508"/>
      <c r="E52" s="500"/>
      <c r="F52" s="507"/>
      <c r="G52" s="508"/>
      <c r="H52" s="500"/>
      <c r="I52" s="509"/>
    </row>
    <row r="53" spans="1:9" x14ac:dyDescent="0.45">
      <c r="A53" s="501" t="s">
        <v>82</v>
      </c>
      <c r="B53" s="529"/>
      <c r="C53" s="507" t="s">
        <v>69</v>
      </c>
      <c r="D53" s="508"/>
      <c r="E53" s="500"/>
      <c r="F53" s="507"/>
      <c r="G53" s="508"/>
      <c r="H53" s="500"/>
      <c r="I53" s="509"/>
    </row>
    <row r="54" spans="1:9" x14ac:dyDescent="0.45">
      <c r="A54" s="501" t="s">
        <v>83</v>
      </c>
      <c r="B54" s="529"/>
      <c r="C54" s="507" t="s">
        <v>76</v>
      </c>
      <c r="D54" s="508"/>
      <c r="E54" s="500"/>
      <c r="F54" s="507"/>
      <c r="G54" s="508"/>
      <c r="H54" s="500"/>
      <c r="I54" s="509"/>
    </row>
    <row r="55" spans="1:9" x14ac:dyDescent="0.45">
      <c r="A55" s="501" t="s">
        <v>84</v>
      </c>
      <c r="B55" s="529"/>
      <c r="C55" s="507" t="s">
        <v>69</v>
      </c>
      <c r="D55" s="508"/>
      <c r="E55" s="500"/>
      <c r="F55" s="507"/>
      <c r="G55" s="508"/>
      <c r="H55" s="500"/>
      <c r="I55" s="509"/>
    </row>
    <row r="56" spans="1:9" x14ac:dyDescent="0.45">
      <c r="A56" s="501" t="s">
        <v>85</v>
      </c>
      <c r="B56" s="529"/>
      <c r="C56" s="507" t="s">
        <v>76</v>
      </c>
      <c r="D56" s="508"/>
      <c r="E56" s="500"/>
      <c r="F56" s="507"/>
      <c r="G56" s="508"/>
      <c r="H56" s="500"/>
      <c r="I56" s="509"/>
    </row>
    <row r="57" spans="1:9" ht="25.5" x14ac:dyDescent="0.45">
      <c r="A57" s="551" t="s">
        <v>86</v>
      </c>
      <c r="B57" s="529"/>
      <c r="C57" s="507" t="s">
        <v>69</v>
      </c>
      <c r="D57" s="508"/>
      <c r="E57" s="500"/>
      <c r="F57" s="507"/>
      <c r="G57" s="508"/>
      <c r="H57" s="500"/>
      <c r="I57" s="509"/>
    </row>
    <row r="58" spans="1:9" x14ac:dyDescent="0.45">
      <c r="A58" s="501" t="s">
        <v>87</v>
      </c>
      <c r="B58" s="529"/>
      <c r="C58" s="507" t="s">
        <v>76</v>
      </c>
      <c r="D58" s="508"/>
      <c r="E58" s="500"/>
      <c r="F58" s="507"/>
      <c r="G58" s="508"/>
      <c r="H58" s="500"/>
      <c r="I58" s="509"/>
    </row>
    <row r="59" spans="1:9" x14ac:dyDescent="0.45">
      <c r="A59" s="501" t="s">
        <v>88</v>
      </c>
      <c r="B59" s="529"/>
      <c r="C59" s="507" t="s">
        <v>76</v>
      </c>
      <c r="D59" s="508"/>
      <c r="E59" s="500"/>
      <c r="F59" s="507"/>
      <c r="G59" s="508"/>
      <c r="H59" s="500"/>
      <c r="I59" s="509"/>
    </row>
    <row r="60" spans="1:9" x14ac:dyDescent="0.45">
      <c r="A60" s="501" t="s">
        <v>89</v>
      </c>
      <c r="B60" s="529"/>
      <c r="C60" s="507" t="s">
        <v>76</v>
      </c>
      <c r="D60" s="508"/>
      <c r="E60" s="500"/>
      <c r="F60" s="507"/>
      <c r="G60" s="508"/>
      <c r="H60" s="500"/>
      <c r="I60" s="509"/>
    </row>
    <row r="61" spans="1:9" x14ac:dyDescent="0.45">
      <c r="A61" s="501" t="s">
        <v>90</v>
      </c>
      <c r="B61" s="529"/>
      <c r="C61" s="507" t="s">
        <v>76</v>
      </c>
      <c r="D61" s="508"/>
      <c r="E61" s="500"/>
      <c r="F61" s="507"/>
      <c r="G61" s="508"/>
      <c r="H61" s="500"/>
      <c r="I61" s="509"/>
    </row>
    <row r="62" spans="1:9" x14ac:dyDescent="0.45">
      <c r="A62" s="501" t="s">
        <v>91</v>
      </c>
      <c r="B62" s="529"/>
      <c r="C62" s="507" t="s">
        <v>69</v>
      </c>
      <c r="D62" s="508"/>
      <c r="E62" s="500"/>
      <c r="F62" s="507"/>
      <c r="G62" s="508"/>
      <c r="H62" s="500"/>
      <c r="I62" s="509"/>
    </row>
    <row r="63" spans="1:9" x14ac:dyDescent="0.45">
      <c r="A63" s="501" t="s">
        <v>92</v>
      </c>
      <c r="B63" s="529"/>
      <c r="C63" s="507" t="s">
        <v>69</v>
      </c>
      <c r="D63" s="508"/>
      <c r="E63" s="500"/>
      <c r="F63" s="507"/>
      <c r="G63" s="508"/>
      <c r="H63" s="500"/>
      <c r="I63" s="509"/>
    </row>
    <row r="64" spans="1:9" x14ac:dyDescent="0.45">
      <c r="A64" s="501" t="s">
        <v>93</v>
      </c>
      <c r="B64" s="529"/>
      <c r="C64" s="507" t="s">
        <v>76</v>
      </c>
      <c r="D64" s="508"/>
      <c r="E64" s="500"/>
      <c r="F64" s="507"/>
      <c r="G64" s="508"/>
      <c r="H64" s="500"/>
      <c r="I64" s="509"/>
    </row>
    <row r="65" spans="1:9" x14ac:dyDescent="0.45">
      <c r="A65" s="497"/>
      <c r="B65" s="510"/>
      <c r="C65" s="507"/>
      <c r="D65" s="508"/>
      <c r="E65" s="510"/>
      <c r="F65" s="507"/>
      <c r="G65" s="508"/>
      <c r="H65" s="510"/>
      <c r="I65" s="509"/>
    </row>
    <row r="66" spans="1:9" x14ac:dyDescent="0.45">
      <c r="A66" s="504" t="s">
        <v>94</v>
      </c>
      <c r="B66" s="510"/>
      <c r="C66" s="507"/>
      <c r="D66" s="508"/>
      <c r="E66" s="510"/>
      <c r="F66" s="507"/>
      <c r="G66" s="508"/>
      <c r="H66" s="510"/>
      <c r="I66" s="509"/>
    </row>
    <row r="67" spans="1:9" x14ac:dyDescent="0.45">
      <c r="A67" s="504" t="s">
        <v>95</v>
      </c>
      <c r="B67" s="510"/>
      <c r="C67" s="507"/>
      <c r="D67" s="508"/>
      <c r="E67" s="510"/>
      <c r="F67" s="507"/>
      <c r="G67" s="508"/>
      <c r="H67" s="510"/>
      <c r="I67" s="509"/>
    </row>
    <row r="68" spans="1:9" x14ac:dyDescent="0.45">
      <c r="A68" s="505" t="s">
        <v>96</v>
      </c>
      <c r="B68" s="519"/>
      <c r="C68" s="520"/>
      <c r="D68" s="521"/>
      <c r="E68" s="519"/>
      <c r="F68" s="520"/>
      <c r="G68" s="521"/>
      <c r="H68" s="519"/>
      <c r="I68" s="522"/>
    </row>
  </sheetData>
  <sheetProtection algorithmName="SHA-512" hashValue="Gf+NttlfQoWOXMrE5APBsx6Gcrhln5RyXkp5vV7Pbn7mpHsOyrGqCPYve0c+0pksVXzAtv78pSm9eFQ8iA4HoA==" saltValue="wtsGS2yCAmdgiiSomCzqeA==" spinCount="100000" sheet="1" objects="1" scenarios="1"/>
  <mergeCells count="4">
    <mergeCell ref="B2:C2"/>
    <mergeCell ref="E2:F2"/>
    <mergeCell ref="H2:I2"/>
    <mergeCell ref="A1:I1"/>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6031-16FA-4109-8210-8C86E910DF77}">
  <sheetPr filterMode="1"/>
  <dimension ref="A1:AU375"/>
  <sheetViews>
    <sheetView view="pageBreakPreview" topLeftCell="B1" zoomScale="60" zoomScaleNormal="75" workbookViewId="0">
      <pane ySplit="1" topLeftCell="A2" activePane="bottomLeft" state="frozen"/>
      <selection activeCell="A14" sqref="A14"/>
      <selection pane="bottomLeft" activeCell="AC12" sqref="AC12"/>
    </sheetView>
  </sheetViews>
  <sheetFormatPr defaultColWidth="9.1328125" defaultRowHeight="14.25" x14ac:dyDescent="0.4"/>
  <cols>
    <col min="1" max="1" width="10" style="8" hidden="1" customWidth="1"/>
    <col min="2" max="2" width="7.1328125" style="378" customWidth="1"/>
    <col min="3" max="7" width="7.1328125" style="1" hidden="1" customWidth="1"/>
    <col min="8" max="8" width="14.3984375" style="38" hidden="1" customWidth="1"/>
    <col min="9" max="9" width="14.1328125" style="38" hidden="1" customWidth="1"/>
    <col min="10" max="11" width="13.86328125" style="38" hidden="1" customWidth="1"/>
    <col min="12" max="12" width="22" style="38" hidden="1" customWidth="1"/>
    <col min="13" max="13" width="17" style="19" hidden="1" customWidth="1"/>
    <col min="14" max="14" width="11.3984375" style="478" customWidth="1"/>
    <col min="15" max="15" width="66.1328125" style="478" customWidth="1"/>
    <col min="16" max="16" width="26" style="478" customWidth="1"/>
    <col min="17" max="17" width="9.3984375" style="478" customWidth="1"/>
    <col min="18" max="18" width="20.86328125" style="478" customWidth="1"/>
    <col min="19" max="19" width="19.1328125" style="478" customWidth="1"/>
    <col min="20" max="20" width="30.86328125" style="19" hidden="1" customWidth="1"/>
    <col min="21" max="21" width="25" style="19" hidden="1" customWidth="1"/>
    <col min="22" max="22" width="25.1328125" style="19" hidden="1" customWidth="1"/>
    <col min="23" max="23" width="8.86328125" style="393" customWidth="1"/>
    <col min="24" max="25" width="14.59765625" style="393" customWidth="1"/>
    <col min="26" max="26" width="16.86328125" style="394" customWidth="1"/>
    <col min="27" max="27" width="13.86328125" style="394" customWidth="1"/>
    <col min="28" max="28" width="12.265625" style="394" customWidth="1"/>
    <col min="29" max="34" width="10.86328125" style="394" customWidth="1"/>
    <col min="35" max="35" width="12" style="394" customWidth="1"/>
    <col min="36" max="36" width="12" style="39" hidden="1" customWidth="1"/>
    <col min="37" max="37" width="15" style="479" customWidth="1"/>
    <col min="38" max="38" width="30.86328125" style="450" customWidth="1"/>
    <col min="39" max="39" width="15.1328125" style="480" bestFit="1" customWidth="1"/>
    <col min="40" max="42" width="12.59765625" style="480" customWidth="1"/>
    <col min="43" max="43" width="16.3984375" style="480" bestFit="1" customWidth="1"/>
    <col min="44" max="44" width="12.59765625" style="450" customWidth="1"/>
    <col min="45" max="45" width="12.59765625" style="480" customWidth="1"/>
    <col min="46" max="46" width="20" style="480" bestFit="1" customWidth="1"/>
    <col min="47" max="16384" width="9.1328125" style="450"/>
  </cols>
  <sheetData>
    <row r="1" spans="1:46" s="442" customFormat="1" ht="217.5" customHeight="1" thickTop="1" thickBot="1" x14ac:dyDescent="0.5">
      <c r="A1" s="151" t="s">
        <v>97</v>
      </c>
      <c r="B1" s="483" t="s">
        <v>98</v>
      </c>
      <c r="C1" s="151" t="s">
        <v>99</v>
      </c>
      <c r="D1" s="153" t="s">
        <v>100</v>
      </c>
      <c r="E1" s="153" t="s">
        <v>101</v>
      </c>
      <c r="F1" s="153" t="s">
        <v>101</v>
      </c>
      <c r="G1" s="153" t="s">
        <v>102</v>
      </c>
      <c r="H1" s="152" t="s">
        <v>103</v>
      </c>
      <c r="I1" s="152" t="s">
        <v>104</v>
      </c>
      <c r="J1" s="152" t="s">
        <v>105</v>
      </c>
      <c r="K1" s="152" t="s">
        <v>106</v>
      </c>
      <c r="L1" s="154" t="s">
        <v>107</v>
      </c>
      <c r="M1" s="154" t="s">
        <v>108</v>
      </c>
      <c r="N1" s="483" t="s">
        <v>109</v>
      </c>
      <c r="O1" s="483" t="s">
        <v>110</v>
      </c>
      <c r="P1" s="483" t="s">
        <v>111</v>
      </c>
      <c r="Q1" s="483" t="s">
        <v>112</v>
      </c>
      <c r="R1" s="481" t="s">
        <v>113</v>
      </c>
      <c r="S1" s="482" t="s">
        <v>114</v>
      </c>
      <c r="T1" s="152" t="s">
        <v>115</v>
      </c>
      <c r="U1" s="152" t="s">
        <v>116</v>
      </c>
      <c r="V1" s="152" t="s">
        <v>117</v>
      </c>
      <c r="W1" s="483" t="s">
        <v>118</v>
      </c>
      <c r="X1" s="483" t="s">
        <v>119</v>
      </c>
      <c r="Y1" s="483" t="s">
        <v>120</v>
      </c>
      <c r="Z1" s="483" t="s">
        <v>121</v>
      </c>
      <c r="AA1" s="483" t="s">
        <v>122</v>
      </c>
      <c r="AB1" s="483" t="s">
        <v>123</v>
      </c>
      <c r="AC1" s="483" t="s">
        <v>124</v>
      </c>
      <c r="AD1" s="483" t="s">
        <v>125</v>
      </c>
      <c r="AE1" s="483" t="s">
        <v>126</v>
      </c>
      <c r="AF1" s="483" t="s">
        <v>127</v>
      </c>
      <c r="AG1" s="483" t="s">
        <v>128</v>
      </c>
      <c r="AH1" s="483" t="s">
        <v>129</v>
      </c>
      <c r="AI1" s="483" t="s">
        <v>130</v>
      </c>
      <c r="AJ1" s="152" t="s">
        <v>131</v>
      </c>
      <c r="AK1" s="483" t="s">
        <v>2329</v>
      </c>
      <c r="AL1" s="484" t="s">
        <v>132</v>
      </c>
      <c r="AM1" s="485" t="s">
        <v>2330</v>
      </c>
      <c r="AN1" s="486" t="s">
        <v>2331</v>
      </c>
      <c r="AO1" s="486" t="s">
        <v>2332</v>
      </c>
      <c r="AP1" s="486" t="s">
        <v>2333</v>
      </c>
      <c r="AQ1" s="486" t="s">
        <v>2334</v>
      </c>
      <c r="AR1" s="530" t="s">
        <v>133</v>
      </c>
      <c r="AS1" s="487" t="s">
        <v>2335</v>
      </c>
      <c r="AT1" s="488" t="s">
        <v>134</v>
      </c>
    </row>
    <row r="2" spans="1:46" ht="38.65" thickTop="1" x14ac:dyDescent="0.45">
      <c r="A2" s="155"/>
      <c r="B2" s="347">
        <v>1</v>
      </c>
      <c r="C2" s="156" t="s">
        <v>135</v>
      </c>
      <c r="D2" s="156" t="s">
        <v>136</v>
      </c>
      <c r="E2" s="156"/>
      <c r="F2" s="156"/>
      <c r="G2" s="156"/>
      <c r="H2" s="151" t="s">
        <v>137</v>
      </c>
      <c r="I2" s="151" t="s">
        <v>138</v>
      </c>
      <c r="J2" s="157"/>
      <c r="K2" s="158"/>
      <c r="L2" s="151" t="s">
        <v>139</v>
      </c>
      <c r="M2" s="159" t="s">
        <v>140</v>
      </c>
      <c r="N2" s="435" t="s">
        <v>141</v>
      </c>
      <c r="O2" s="353" t="s">
        <v>142</v>
      </c>
      <c r="P2" s="353" t="s">
        <v>143</v>
      </c>
      <c r="Q2" s="353" t="s">
        <v>144</v>
      </c>
      <c r="R2" s="354" t="s">
        <v>145</v>
      </c>
      <c r="S2" s="353" t="s">
        <v>146</v>
      </c>
      <c r="T2" s="159" t="s">
        <v>147</v>
      </c>
      <c r="U2" s="159" t="s">
        <v>148</v>
      </c>
      <c r="V2" s="176" t="s">
        <v>149</v>
      </c>
      <c r="W2" s="361">
        <v>2007</v>
      </c>
      <c r="X2" s="361">
        <v>531</v>
      </c>
      <c r="Y2" s="361"/>
      <c r="Z2" s="361"/>
      <c r="AA2" s="361" t="s">
        <v>150</v>
      </c>
      <c r="AB2" s="361">
        <v>10</v>
      </c>
      <c r="AC2" s="361">
        <v>82</v>
      </c>
      <c r="AD2" s="361" t="s">
        <v>151</v>
      </c>
      <c r="AE2" s="361"/>
      <c r="AF2" s="361"/>
      <c r="AG2" s="361"/>
      <c r="AH2" s="361"/>
      <c r="AI2" s="361"/>
      <c r="AJ2" s="177"/>
      <c r="AK2" s="443">
        <v>1</v>
      </c>
      <c r="AL2" s="444"/>
      <c r="AM2" s="445">
        <f>X2*P1_reinigen_daken_met_vaste_dakveiligheid</f>
        <v>0</v>
      </c>
      <c r="AN2" s="446">
        <f>Y2*P1_reinigen_goten_met_vaste_dakveiligheid</f>
        <v>0</v>
      </c>
      <c r="AO2" s="446">
        <f>(AE2*P1_Reinigen_Lichtkoepel_50X50)+('Perceel 1'!AF2*P1_Reinigen_Lichtkoepel_60x200)+('Perceel 1'!AG2*P1_Reinigen_Lichtkoepel_180x180)+('Perceel 1'!AH2*P1_Reinigen_Lichtstraten_groter_dan_180x180)</f>
        <v>0</v>
      </c>
      <c r="AP2" s="446"/>
      <c r="AQ2" s="446">
        <f>(X2+Y2)*P1_Inspecteren_daken_en_goten_1x_per_jaar_gelijktijdig_met_reiniging_inclusief_inspectierapport_en_een_managementrapport</f>
        <v>0</v>
      </c>
      <c r="AR2" s="447"/>
      <c r="AS2" s="448">
        <f t="shared" ref="AS2:AS8" si="0">AR2*P1_keuren_dakveiligheid_per_man_uur</f>
        <v>0</v>
      </c>
      <c r="AT2" s="449">
        <f>(AM2*AK2)+(Y2*AK2)+AO2+AQ2+AS2</f>
        <v>0</v>
      </c>
    </row>
    <row r="3" spans="1:46" ht="25.5" x14ac:dyDescent="0.45">
      <c r="A3" s="161"/>
      <c r="B3" s="347">
        <v>1</v>
      </c>
      <c r="C3" s="156" t="s">
        <v>135</v>
      </c>
      <c r="D3" s="156" t="s">
        <v>136</v>
      </c>
      <c r="E3" s="156"/>
      <c r="F3" s="156"/>
      <c r="G3" s="156"/>
      <c r="H3" s="162" t="s">
        <v>152</v>
      </c>
      <c r="I3" s="162" t="s">
        <v>153</v>
      </c>
      <c r="J3" s="157"/>
      <c r="K3" s="158"/>
      <c r="L3" s="151" t="s">
        <v>154</v>
      </c>
      <c r="M3" s="159" t="s">
        <v>155</v>
      </c>
      <c r="N3" s="353" t="s">
        <v>156</v>
      </c>
      <c r="O3" s="353" t="s">
        <v>157</v>
      </c>
      <c r="P3" s="353" t="s">
        <v>158</v>
      </c>
      <c r="Q3" s="353" t="s">
        <v>144</v>
      </c>
      <c r="R3" s="354" t="s">
        <v>159</v>
      </c>
      <c r="S3" s="353" t="s">
        <v>146</v>
      </c>
      <c r="T3" s="166" t="s">
        <v>160</v>
      </c>
      <c r="U3" s="166" t="s">
        <v>161</v>
      </c>
      <c r="V3" s="178" t="s">
        <v>162</v>
      </c>
      <c r="W3" s="361">
        <v>2021</v>
      </c>
      <c r="X3" s="361">
        <f>1365+115</f>
        <v>1480</v>
      </c>
      <c r="Y3" s="361"/>
      <c r="Z3" s="361"/>
      <c r="AA3" s="361"/>
      <c r="AB3" s="361">
        <v>20</v>
      </c>
      <c r="AC3" s="361">
        <v>121</v>
      </c>
      <c r="AD3" s="361"/>
      <c r="AE3" s="361"/>
      <c r="AF3" s="361"/>
      <c r="AG3" s="361"/>
      <c r="AH3" s="361"/>
      <c r="AI3" s="361" t="s">
        <v>163</v>
      </c>
      <c r="AJ3" s="177"/>
      <c r="AK3" s="361">
        <v>1</v>
      </c>
      <c r="AL3" s="369"/>
      <c r="AM3" s="451">
        <f>X3*P1_reinigen_daken_met_vaste_dakveiligheid</f>
        <v>0</v>
      </c>
      <c r="AN3" s="452">
        <f>Y3*P1_reinigen_goten_met_vaste_dakveiligheid</f>
        <v>0</v>
      </c>
      <c r="AO3" s="452">
        <f>(AE3*P1_Reinigen_Lichtkoepel_50X50)+('Perceel 1'!AF3*P1_Reinigen_Lichtkoepel_60x200)+('Perceel 1'!AG3*P1_Reinigen_Lichtkoepel_180x180)+('Perceel 1'!AH3*P1_Reinigen_Lichtstraten_groter_dan_180x180)</f>
        <v>0</v>
      </c>
      <c r="AP3" s="452"/>
      <c r="AQ3" s="452">
        <f t="shared" ref="AQ3:AQ8" si="1">(X3+Y3)*P1_Inspecteren_daken_en_goten_1x_per_jaar_gelijktijdig_met_reiniging_inclusief_inspectierapport_en_een_managementrapport</f>
        <v>0</v>
      </c>
      <c r="AR3" s="453"/>
      <c r="AS3" s="454">
        <f t="shared" si="0"/>
        <v>0</v>
      </c>
      <c r="AT3" s="455">
        <f t="shared" ref="AT3:AT66" si="2">(AM3*AK3)+(Y3*AK3)+AO3+AQ3+AS3</f>
        <v>0</v>
      </c>
    </row>
    <row r="4" spans="1:46" ht="51" x14ac:dyDescent="0.45">
      <c r="A4" s="161"/>
      <c r="B4" s="347">
        <v>1</v>
      </c>
      <c r="C4" s="156" t="s">
        <v>135</v>
      </c>
      <c r="D4" s="156" t="s">
        <v>136</v>
      </c>
      <c r="E4" s="156"/>
      <c r="F4" s="156"/>
      <c r="G4" s="156"/>
      <c r="H4" s="162" t="s">
        <v>164</v>
      </c>
      <c r="I4" s="162"/>
      <c r="J4" s="157"/>
      <c r="K4" s="163"/>
      <c r="L4" s="151" t="s">
        <v>154</v>
      </c>
      <c r="M4" s="159" t="s">
        <v>155</v>
      </c>
      <c r="N4" s="304">
        <v>1198</v>
      </c>
      <c r="O4" s="353" t="s">
        <v>165</v>
      </c>
      <c r="P4" s="353" t="s">
        <v>166</v>
      </c>
      <c r="Q4" s="353" t="s">
        <v>167</v>
      </c>
      <c r="R4" s="354" t="s">
        <v>168</v>
      </c>
      <c r="S4" s="353" t="s">
        <v>146</v>
      </c>
      <c r="T4" s="159" t="s">
        <v>169</v>
      </c>
      <c r="U4" s="159" t="s">
        <v>170</v>
      </c>
      <c r="V4" s="176" t="s">
        <v>171</v>
      </c>
      <c r="W4" s="361">
        <v>2022</v>
      </c>
      <c r="X4" s="361">
        <v>480</v>
      </c>
      <c r="Y4" s="361">
        <v>45</v>
      </c>
      <c r="Z4" s="361"/>
      <c r="AA4" s="361"/>
      <c r="AB4" s="361">
        <v>4</v>
      </c>
      <c r="AC4" s="361">
        <v>21</v>
      </c>
      <c r="AD4" s="361"/>
      <c r="AE4" s="361"/>
      <c r="AF4" s="361"/>
      <c r="AG4" s="361"/>
      <c r="AH4" s="361"/>
      <c r="AI4" s="361" t="s">
        <v>172</v>
      </c>
      <c r="AJ4" s="177" t="s">
        <v>173</v>
      </c>
      <c r="AK4" s="361">
        <v>2</v>
      </c>
      <c r="AL4" s="369"/>
      <c r="AM4" s="451">
        <f>X4*P1_reinigen_daken_met_vaste_dakveiligheid</f>
        <v>0</v>
      </c>
      <c r="AN4" s="452">
        <f>Y4*P1_reinigen_goten_met_vaste_dakveiligheid</f>
        <v>0</v>
      </c>
      <c r="AO4" s="452">
        <f>(AE4*P1_Reinigen_Lichtkoepel_50X50)+('Perceel 1'!AF4*P1_Reinigen_Lichtkoepel_60x200)+('Perceel 1'!AG4*P1_Reinigen_Lichtkoepel_180x180)+('Perceel 1'!AH4*P1_Reinigen_Lichtstraten_groter_dan_180x180)</f>
        <v>0</v>
      </c>
      <c r="AP4" s="452"/>
      <c r="AQ4" s="452">
        <f t="shared" si="1"/>
        <v>0</v>
      </c>
      <c r="AR4" s="453"/>
      <c r="AS4" s="454">
        <f t="shared" si="0"/>
        <v>0</v>
      </c>
      <c r="AT4" s="455">
        <f>(AM4*AK4)+(AN4*AK4)+AO4+AQ4+AS4</f>
        <v>0</v>
      </c>
    </row>
    <row r="5" spans="1:46" ht="38.25" x14ac:dyDescent="0.45">
      <c r="A5" s="161"/>
      <c r="B5" s="347">
        <v>1</v>
      </c>
      <c r="C5" s="156" t="s">
        <v>135</v>
      </c>
      <c r="D5" s="156" t="s">
        <v>174</v>
      </c>
      <c r="E5" s="156"/>
      <c r="F5" s="156"/>
      <c r="G5" s="156"/>
      <c r="H5" s="162" t="s">
        <v>175</v>
      </c>
      <c r="I5" s="162"/>
      <c r="J5" s="157"/>
      <c r="K5" s="163"/>
      <c r="L5" s="151"/>
      <c r="M5" s="159" t="s">
        <v>176</v>
      </c>
      <c r="N5" s="304">
        <v>1295</v>
      </c>
      <c r="O5" s="353" t="s">
        <v>177</v>
      </c>
      <c r="P5" s="353" t="s">
        <v>178</v>
      </c>
      <c r="Q5" s="353" t="s">
        <v>167</v>
      </c>
      <c r="R5" s="354" t="s">
        <v>168</v>
      </c>
      <c r="S5" s="353" t="s">
        <v>146</v>
      </c>
      <c r="T5" s="159" t="s">
        <v>179</v>
      </c>
      <c r="U5" s="159" t="s">
        <v>180</v>
      </c>
      <c r="V5" s="176" t="s">
        <v>181</v>
      </c>
      <c r="W5" s="361">
        <v>2022</v>
      </c>
      <c r="X5" s="361"/>
      <c r="Y5" s="361">
        <v>90</v>
      </c>
      <c r="Z5" s="361"/>
      <c r="AA5" s="361"/>
      <c r="AB5" s="361"/>
      <c r="AC5" s="361"/>
      <c r="AD5" s="361"/>
      <c r="AE5" s="361"/>
      <c r="AF5" s="361"/>
      <c r="AG5" s="361"/>
      <c r="AH5" s="361"/>
      <c r="AI5" s="361" t="s">
        <v>172</v>
      </c>
      <c r="AJ5" s="177" t="s">
        <v>173</v>
      </c>
      <c r="AK5" s="361">
        <v>2</v>
      </c>
      <c r="AL5" s="369"/>
      <c r="AM5" s="451">
        <f>X5*P1_Reinigen_daken_incl._extra_maatregelen_veilig_werken_volgens_VCA__eventuele_vergunningen_leges___voorrijkosten__adminstratieve_kosten__fotorapportage_en_kleine_reparaties_¹</f>
        <v>0</v>
      </c>
      <c r="AN5" s="452">
        <f>Y5*P1_Reinigen_goten_incl._extra_maatregelen_veilig_werken_volgens_VCA__eventuele_vergunningen_leges___voorrijkosten__adminstratieve_kosten__fotorapportage_en_kleine_reparaties_¹</f>
        <v>0</v>
      </c>
      <c r="AO5" s="452">
        <f>(AE5*P1_Reinigen_Lichtkoepel_50X50)+('Perceel 1'!AF5*P1_Reinigen_Lichtkoepel_60x200)+('Perceel 1'!AG5*P1_Reinigen_Lichtkoepel_180x180)+('Perceel 1'!AH5*P1_Reinigen_Lichtstraten_groter_dan_180x180)</f>
        <v>0</v>
      </c>
      <c r="AP5" s="452"/>
      <c r="AQ5" s="452">
        <f t="shared" ref="AQ5" si="3">(X5+Y5)*P1_Inspecteren_daken_en_goten_1x_per_jaar_gelijktijdig_met_reiniging_inclusief_inspectierapport_en_een_managementrapport</f>
        <v>0</v>
      </c>
      <c r="AR5" s="456"/>
      <c r="AS5" s="454">
        <f t="shared" si="0"/>
        <v>0</v>
      </c>
      <c r="AT5" s="455">
        <f>(AM5*AK5)+(AN5*AK5)+AO5+AQ5+AS5</f>
        <v>0</v>
      </c>
    </row>
    <row r="6" spans="1:46" ht="51" x14ac:dyDescent="0.45">
      <c r="A6" s="155"/>
      <c r="B6" s="348">
        <v>1</v>
      </c>
      <c r="C6" s="156" t="s">
        <v>135</v>
      </c>
      <c r="D6" s="156" t="s">
        <v>136</v>
      </c>
      <c r="E6" s="156"/>
      <c r="F6" s="156"/>
      <c r="G6" s="156"/>
      <c r="H6" s="151" t="s">
        <v>182</v>
      </c>
      <c r="I6" s="151" t="s">
        <v>183</v>
      </c>
      <c r="J6" s="157"/>
      <c r="K6" s="163"/>
      <c r="L6" s="163" t="s">
        <v>154</v>
      </c>
      <c r="M6" s="166" t="s">
        <v>155</v>
      </c>
      <c r="N6" s="435" t="s">
        <v>184</v>
      </c>
      <c r="O6" s="353" t="s">
        <v>185</v>
      </c>
      <c r="P6" s="353" t="s">
        <v>186</v>
      </c>
      <c r="Q6" s="353" t="s">
        <v>187</v>
      </c>
      <c r="R6" s="355" t="s">
        <v>188</v>
      </c>
      <c r="S6" s="353" t="s">
        <v>189</v>
      </c>
      <c r="T6" s="159" t="s">
        <v>169</v>
      </c>
      <c r="U6" s="159" t="s">
        <v>170</v>
      </c>
      <c r="V6" s="176" t="s">
        <v>171</v>
      </c>
      <c r="W6" s="361">
        <v>1980</v>
      </c>
      <c r="X6" s="361">
        <v>497</v>
      </c>
      <c r="Y6" s="361"/>
      <c r="Z6" s="361"/>
      <c r="AA6" s="361"/>
      <c r="AB6" s="361"/>
      <c r="AC6" s="361"/>
      <c r="AD6" s="361"/>
      <c r="AE6" s="361"/>
      <c r="AF6" s="361"/>
      <c r="AG6" s="361"/>
      <c r="AH6" s="361"/>
      <c r="AI6" s="361"/>
      <c r="AJ6" s="177"/>
      <c r="AK6" s="443">
        <v>1</v>
      </c>
      <c r="AL6" s="444"/>
      <c r="AM6" s="451">
        <f>X6*P1_Reinigen_daken_incl._extra_maatregelen_veilig_werken_volgens_VCA__eventuele_vergunningen_leges___voorrijkosten__adminstratieve_kosten__fotorapportage_en_kleine_reparaties_¹</f>
        <v>0</v>
      </c>
      <c r="AN6" s="452">
        <f>Y6*P1_Reinigen_goten_incl._extra_maatregelen_veilig_werken_volgens_VCA__eventuele_vergunningen_leges___voorrijkosten__adminstratieve_kosten__fotorapportage_en_kleine_reparaties_¹</f>
        <v>0</v>
      </c>
      <c r="AO6" s="452">
        <f>(AE6*P1_Reinigen_Lichtkoepel_50X50)+('Perceel 1'!AF6*P1_Reinigen_Lichtkoepel_60x200)+('Perceel 1'!AG6*P1_Reinigen_Lichtkoepel_180x180)+('Perceel 1'!AH6*P1_Reinigen_Lichtstraten_groter_dan_180x180)</f>
        <v>0</v>
      </c>
      <c r="AP6" s="452"/>
      <c r="AQ6" s="452">
        <f t="shared" si="1"/>
        <v>0</v>
      </c>
      <c r="AR6" s="456"/>
      <c r="AS6" s="454">
        <f t="shared" si="0"/>
        <v>0</v>
      </c>
      <c r="AT6" s="455">
        <f t="shared" si="2"/>
        <v>0</v>
      </c>
    </row>
    <row r="7" spans="1:46" ht="38.25" x14ac:dyDescent="0.45">
      <c r="A7" s="155"/>
      <c r="B7" s="347">
        <v>1</v>
      </c>
      <c r="C7" s="156" t="s">
        <v>135</v>
      </c>
      <c r="D7" s="156" t="s">
        <v>136</v>
      </c>
      <c r="E7" s="156"/>
      <c r="F7" s="156"/>
      <c r="G7" s="156"/>
      <c r="H7" s="151" t="s">
        <v>190</v>
      </c>
      <c r="I7" s="151"/>
      <c r="J7" s="157"/>
      <c r="K7" s="163"/>
      <c r="L7" s="163" t="s">
        <v>191</v>
      </c>
      <c r="M7" s="166" t="s">
        <v>192</v>
      </c>
      <c r="N7" s="356" t="s">
        <v>193</v>
      </c>
      <c r="O7" s="353" t="s">
        <v>194</v>
      </c>
      <c r="P7" s="353" t="s">
        <v>195</v>
      </c>
      <c r="Q7" s="353" t="s">
        <v>196</v>
      </c>
      <c r="R7" s="355" t="s">
        <v>197</v>
      </c>
      <c r="S7" s="353" t="s">
        <v>189</v>
      </c>
      <c r="T7" s="159" t="s">
        <v>198</v>
      </c>
      <c r="U7" s="159" t="s">
        <v>199</v>
      </c>
      <c r="V7" s="176" t="s">
        <v>200</v>
      </c>
      <c r="W7" s="361">
        <v>1984</v>
      </c>
      <c r="X7" s="361">
        <f>9.5+44+43.5+25+205</f>
        <v>327</v>
      </c>
      <c r="Y7" s="361"/>
      <c r="Z7" s="361"/>
      <c r="AA7" s="361"/>
      <c r="AB7" s="361"/>
      <c r="AC7" s="361"/>
      <c r="AD7" s="361"/>
      <c r="AE7" s="361"/>
      <c r="AF7" s="361"/>
      <c r="AG7" s="361"/>
      <c r="AH7" s="361"/>
      <c r="AI7" s="361"/>
      <c r="AJ7" s="177"/>
      <c r="AK7" s="361">
        <v>1</v>
      </c>
      <c r="AL7" s="369" t="s">
        <v>201</v>
      </c>
      <c r="AM7" s="451">
        <f>X7*P1_Reinigen_daken_incl._extra_maatregelen_veilig_werken_volgens_VCA__eventuele_vergunningen_leges___voorrijkosten__adminstratieve_kosten__fotorapportage_en_kleine_reparaties_¹</f>
        <v>0</v>
      </c>
      <c r="AN7" s="452">
        <f>Y7*P1_Reinigen_goten_incl._extra_maatregelen_veilig_werken_volgens_VCA__eventuele_vergunningen_leges___voorrijkosten__adminstratieve_kosten__fotorapportage_en_kleine_reparaties_¹</f>
        <v>0</v>
      </c>
      <c r="AO7" s="452">
        <f>(AE7*P1_Reinigen_Lichtkoepel_50X50)+('Perceel 1'!AF7*P1_Reinigen_Lichtkoepel_60x200)+('Perceel 1'!AG7*P1_Reinigen_Lichtkoepel_180x180)+('Perceel 1'!AH7*P1_Reinigen_Lichtstraten_groter_dan_180x180)</f>
        <v>0</v>
      </c>
      <c r="AP7" s="452"/>
      <c r="AQ7" s="452">
        <f t="shared" si="1"/>
        <v>0</v>
      </c>
      <c r="AR7" s="456"/>
      <c r="AS7" s="454">
        <f t="shared" si="0"/>
        <v>0</v>
      </c>
      <c r="AT7" s="455">
        <f t="shared" si="2"/>
        <v>0</v>
      </c>
    </row>
    <row r="8" spans="1:46" ht="25.5" x14ac:dyDescent="0.4">
      <c r="A8" s="169"/>
      <c r="B8" s="349">
        <v>1</v>
      </c>
      <c r="C8" s="171" t="s">
        <v>135</v>
      </c>
      <c r="D8" s="171" t="s">
        <v>136</v>
      </c>
      <c r="E8" s="171"/>
      <c r="F8" s="171"/>
      <c r="G8" s="171"/>
      <c r="H8" s="170" t="s">
        <v>202</v>
      </c>
      <c r="I8" s="170" t="s">
        <v>203</v>
      </c>
      <c r="J8" s="172"/>
      <c r="K8" s="173"/>
      <c r="L8" s="170" t="s">
        <v>139</v>
      </c>
      <c r="M8" s="169" t="s">
        <v>140</v>
      </c>
      <c r="N8" s="357" t="s">
        <v>204</v>
      </c>
      <c r="O8" s="357" t="s">
        <v>205</v>
      </c>
      <c r="P8" s="357"/>
      <c r="Q8" s="357"/>
      <c r="R8" s="407"/>
      <c r="S8" s="357"/>
      <c r="T8" s="170"/>
      <c r="U8" s="170"/>
      <c r="V8" s="170"/>
      <c r="W8" s="357"/>
      <c r="X8" s="387">
        <f>X9+X10</f>
        <v>117</v>
      </c>
      <c r="Y8" s="357"/>
      <c r="Z8" s="357"/>
      <c r="AA8" s="357"/>
      <c r="AB8" s="357"/>
      <c r="AC8" s="357"/>
      <c r="AD8" s="357"/>
      <c r="AE8" s="357"/>
      <c r="AF8" s="357"/>
      <c r="AG8" s="357"/>
      <c r="AH8" s="357"/>
      <c r="AI8" s="357"/>
      <c r="AJ8" s="170"/>
      <c r="AK8" s="361"/>
      <c r="AL8" s="369"/>
      <c r="AM8" s="451">
        <f>X8*P1_Reinigen_daken_incl._extra_maatregelen_veilig_werken_volgens_VCA__eventuele_vergunningen_leges___voorrijkosten__adminstratieve_kosten__fotorapportage_en_kleine_reparaties_¹</f>
        <v>0</v>
      </c>
      <c r="AN8" s="452">
        <f>Y8*P1_Reinigen_goten_incl._extra_maatregelen_veilig_werken_volgens_VCA__eventuele_vergunningen_leges___voorrijkosten__adminstratieve_kosten__fotorapportage_en_kleine_reparaties_¹</f>
        <v>0</v>
      </c>
      <c r="AO8" s="452">
        <f>(AE8*P1_Reinigen_Lichtkoepel_50X50)+('Perceel 1'!AF8*P1_Reinigen_Lichtkoepel_60x200)+('Perceel 1'!AG8*P1_Reinigen_Lichtkoepel_180x180)+('Perceel 1'!AH8*P1_Reinigen_Lichtstraten_groter_dan_180x180)</f>
        <v>0</v>
      </c>
      <c r="AP8" s="452"/>
      <c r="AQ8" s="452">
        <f t="shared" si="1"/>
        <v>0</v>
      </c>
      <c r="AR8" s="456"/>
      <c r="AS8" s="454">
        <f t="shared" si="0"/>
        <v>0</v>
      </c>
      <c r="AT8" s="455">
        <f t="shared" si="2"/>
        <v>0</v>
      </c>
    </row>
    <row r="9" spans="1:46" ht="51" x14ac:dyDescent="0.4">
      <c r="A9" s="174"/>
      <c r="B9" s="350">
        <v>1</v>
      </c>
      <c r="C9" s="175" t="s">
        <v>135</v>
      </c>
      <c r="D9" s="175" t="s">
        <v>136</v>
      </c>
      <c r="E9" s="174"/>
      <c r="F9" s="174"/>
      <c r="G9" s="174"/>
      <c r="H9" s="174" t="s">
        <v>202</v>
      </c>
      <c r="I9" s="174" t="s">
        <v>203</v>
      </c>
      <c r="J9" s="10"/>
      <c r="K9" s="10"/>
      <c r="L9" s="175"/>
      <c r="M9" s="175" t="s">
        <v>140</v>
      </c>
      <c r="N9" s="358" t="s">
        <v>206</v>
      </c>
      <c r="O9" s="358" t="s">
        <v>207</v>
      </c>
      <c r="P9" s="358" t="s">
        <v>208</v>
      </c>
      <c r="Q9" s="358" t="s">
        <v>209</v>
      </c>
      <c r="R9" s="359" t="s">
        <v>197</v>
      </c>
      <c r="S9" s="358" t="s">
        <v>189</v>
      </c>
      <c r="T9" s="175" t="s">
        <v>169</v>
      </c>
      <c r="U9" s="175" t="s">
        <v>170</v>
      </c>
      <c r="V9" s="175" t="s">
        <v>171</v>
      </c>
      <c r="W9" s="358">
        <v>1998</v>
      </c>
      <c r="X9" s="362">
        <v>27</v>
      </c>
      <c r="Y9" s="358"/>
      <c r="Z9" s="358"/>
      <c r="AA9" s="358"/>
      <c r="AB9" s="358"/>
      <c r="AC9" s="358"/>
      <c r="AD9" s="358"/>
      <c r="AE9" s="358"/>
      <c r="AF9" s="358"/>
      <c r="AG9" s="358"/>
      <c r="AH9" s="358"/>
      <c r="AI9" s="358"/>
      <c r="AJ9" s="175"/>
      <c r="AK9" s="361">
        <v>1</v>
      </c>
      <c r="AL9" s="369"/>
      <c r="AM9" s="457"/>
      <c r="AN9" s="456"/>
      <c r="AO9" s="456"/>
      <c r="AP9" s="456"/>
      <c r="AQ9" s="456"/>
      <c r="AR9" s="456"/>
      <c r="AS9" s="458"/>
      <c r="AT9" s="459"/>
    </row>
    <row r="10" spans="1:46" ht="51" x14ac:dyDescent="0.4">
      <c r="A10" s="174"/>
      <c r="B10" s="350">
        <v>1</v>
      </c>
      <c r="C10" s="175" t="s">
        <v>135</v>
      </c>
      <c r="D10" s="175" t="s">
        <v>136</v>
      </c>
      <c r="E10" s="174"/>
      <c r="F10" s="174"/>
      <c r="G10" s="174"/>
      <c r="H10" s="174" t="s">
        <v>202</v>
      </c>
      <c r="I10" s="174" t="s">
        <v>203</v>
      </c>
      <c r="J10" s="10"/>
      <c r="K10" s="10"/>
      <c r="L10" s="175"/>
      <c r="M10" s="175" t="s">
        <v>140</v>
      </c>
      <c r="N10" s="358" t="s">
        <v>210</v>
      </c>
      <c r="O10" s="358" t="s">
        <v>211</v>
      </c>
      <c r="P10" s="358" t="s">
        <v>212</v>
      </c>
      <c r="Q10" s="358" t="s">
        <v>213</v>
      </c>
      <c r="R10" s="359" t="s">
        <v>168</v>
      </c>
      <c r="S10" s="358" t="s">
        <v>146</v>
      </c>
      <c r="T10" s="175" t="s">
        <v>169</v>
      </c>
      <c r="U10" s="175" t="s">
        <v>170</v>
      </c>
      <c r="V10" s="175" t="s">
        <v>171</v>
      </c>
      <c r="W10" s="358">
        <v>1982</v>
      </c>
      <c r="X10" s="362">
        <f>45+45</f>
        <v>90</v>
      </c>
      <c r="Y10" s="358"/>
      <c r="Z10" s="358"/>
      <c r="AA10" s="358"/>
      <c r="AB10" s="358"/>
      <c r="AC10" s="358"/>
      <c r="AD10" s="358"/>
      <c r="AE10" s="358"/>
      <c r="AF10" s="358"/>
      <c r="AG10" s="358"/>
      <c r="AH10" s="358"/>
      <c r="AI10" s="358"/>
      <c r="AJ10" s="175"/>
      <c r="AK10" s="361">
        <v>2</v>
      </c>
      <c r="AL10" s="369"/>
      <c r="AM10" s="457"/>
      <c r="AN10" s="456"/>
      <c r="AO10" s="456"/>
      <c r="AP10" s="456"/>
      <c r="AQ10" s="456"/>
      <c r="AR10" s="456"/>
      <c r="AS10" s="458"/>
      <c r="AT10" s="459"/>
    </row>
    <row r="11" spans="1:46" ht="38.25" x14ac:dyDescent="0.45">
      <c r="A11" s="155"/>
      <c r="B11" s="347">
        <v>1</v>
      </c>
      <c r="C11" s="156" t="s">
        <v>135</v>
      </c>
      <c r="D11" s="156" t="s">
        <v>174</v>
      </c>
      <c r="E11" s="156"/>
      <c r="F11" s="156"/>
      <c r="G11" s="156"/>
      <c r="H11" s="151" t="s">
        <v>214</v>
      </c>
      <c r="I11" s="151" t="s">
        <v>215</v>
      </c>
      <c r="J11" s="157"/>
      <c r="K11" s="163"/>
      <c r="L11" s="151"/>
      <c r="M11" s="159" t="s">
        <v>176</v>
      </c>
      <c r="N11" s="353" t="s">
        <v>216</v>
      </c>
      <c r="O11" s="353" t="s">
        <v>217</v>
      </c>
      <c r="P11" s="353" t="s">
        <v>218</v>
      </c>
      <c r="Q11" s="353" t="s">
        <v>187</v>
      </c>
      <c r="R11" s="355" t="s">
        <v>188</v>
      </c>
      <c r="S11" s="353" t="s">
        <v>189</v>
      </c>
      <c r="T11" s="159" t="s">
        <v>219</v>
      </c>
      <c r="U11" s="159" t="s">
        <v>220</v>
      </c>
      <c r="V11" s="176" t="s">
        <v>221</v>
      </c>
      <c r="W11" s="361">
        <v>1980</v>
      </c>
      <c r="X11" s="361">
        <v>1828</v>
      </c>
      <c r="Y11" s="361"/>
      <c r="Z11" s="361"/>
      <c r="AA11" s="361"/>
      <c r="AB11" s="361"/>
      <c r="AC11" s="361"/>
      <c r="AD11" s="361"/>
      <c r="AE11" s="361"/>
      <c r="AF11" s="361"/>
      <c r="AG11" s="361"/>
      <c r="AH11" s="361"/>
      <c r="AI11" s="361" t="s">
        <v>222</v>
      </c>
      <c r="AJ11" s="189" t="s">
        <v>223</v>
      </c>
      <c r="AK11" s="443">
        <v>1</v>
      </c>
      <c r="AL11" s="369"/>
      <c r="AM11" s="451">
        <f>X11*P1_Reinigen_daken_incl._extra_maatregelen_veilig_werken_volgens_VCA__eventuele_vergunningen_leges___voorrijkosten__adminstratieve_kosten__fotorapportage_en_kleine_reparaties_¹</f>
        <v>0</v>
      </c>
      <c r="AN11" s="452">
        <f>Y11*P1_Reinigen_goten_incl._extra_maatregelen_veilig_werken_volgens_VCA__eventuele_vergunningen_leges___voorrijkosten__adminstratieve_kosten__fotorapportage_en_kleine_reparaties_¹</f>
        <v>0</v>
      </c>
      <c r="AO11" s="452">
        <f>(AE11*P1_Reinigen_Lichtkoepel_50X50)+('Perceel 1'!AF11*P1_Reinigen_Lichtkoepel_60x200)+('Perceel 1'!AG11*P1_Reinigen_Lichtkoepel_180x180)+('Perceel 1'!AH11*P1_Reinigen_Lichtstraten_groter_dan_180x180)</f>
        <v>0</v>
      </c>
      <c r="AP11" s="452"/>
      <c r="AQ11" s="452">
        <f>(X11+Y11)*P1_Inspecteren_daken_en_goten_1x_per_jaar_gelijktijdig_met_reiniging_inclusief_inspectierapport_en_een_managementrapport</f>
        <v>0</v>
      </c>
      <c r="AR11" s="456"/>
      <c r="AS11" s="454">
        <f>AR11*P1_keuren_dakveiligheid_per_man_uur</f>
        <v>0</v>
      </c>
      <c r="AT11" s="455">
        <f t="shared" si="2"/>
        <v>0</v>
      </c>
    </row>
    <row r="12" spans="1:46" ht="51" x14ac:dyDescent="0.45">
      <c r="A12" s="155"/>
      <c r="B12" s="348">
        <v>1</v>
      </c>
      <c r="C12" s="156" t="s">
        <v>135</v>
      </c>
      <c r="D12" s="156" t="s">
        <v>136</v>
      </c>
      <c r="E12" s="156"/>
      <c r="F12" s="156"/>
      <c r="G12" s="156"/>
      <c r="H12" s="151" t="s">
        <v>224</v>
      </c>
      <c r="I12" s="151" t="s">
        <v>225</v>
      </c>
      <c r="J12" s="157"/>
      <c r="K12" s="163"/>
      <c r="L12" s="163" t="s">
        <v>154</v>
      </c>
      <c r="M12" s="166" t="s">
        <v>155</v>
      </c>
      <c r="N12" s="353" t="s">
        <v>226</v>
      </c>
      <c r="O12" s="353" t="s">
        <v>227</v>
      </c>
      <c r="P12" s="353" t="s">
        <v>228</v>
      </c>
      <c r="Q12" s="353" t="s">
        <v>229</v>
      </c>
      <c r="R12" s="355" t="s">
        <v>230</v>
      </c>
      <c r="S12" s="353" t="s">
        <v>189</v>
      </c>
      <c r="T12" s="159" t="s">
        <v>169</v>
      </c>
      <c r="U12" s="159" t="s">
        <v>170</v>
      </c>
      <c r="V12" s="176" t="s">
        <v>171</v>
      </c>
      <c r="W12" s="361">
        <v>1977</v>
      </c>
      <c r="X12" s="361">
        <v>485</v>
      </c>
      <c r="Y12" s="361"/>
      <c r="Z12" s="361"/>
      <c r="AA12" s="361" t="s">
        <v>231</v>
      </c>
      <c r="AB12" s="361">
        <v>12</v>
      </c>
      <c r="AC12" s="361">
        <v>85</v>
      </c>
      <c r="AD12" s="361"/>
      <c r="AE12" s="361"/>
      <c r="AF12" s="361"/>
      <c r="AG12" s="361"/>
      <c r="AH12" s="361"/>
      <c r="AI12" s="361"/>
      <c r="AJ12" s="177"/>
      <c r="AK12" s="443">
        <v>3</v>
      </c>
      <c r="AL12" s="369"/>
      <c r="AM12" s="451">
        <f>X12*P1_reinigen_daken_met_vaste_dakveiligheid</f>
        <v>0</v>
      </c>
      <c r="AN12" s="452">
        <f>Y12*P1_reinigen_goten_met_vaste_dakveiligheid</f>
        <v>0</v>
      </c>
      <c r="AO12" s="452">
        <f>(AE12*P1_Reinigen_Lichtkoepel_50X50)+('Perceel 1'!AF12*P1_Reinigen_Lichtkoepel_60x200)+('Perceel 1'!AG12*P1_Reinigen_Lichtkoepel_180x180)+('Perceel 1'!AH12*P1_Reinigen_Lichtstraten_groter_dan_180x180)</f>
        <v>0</v>
      </c>
      <c r="AP12" s="452"/>
      <c r="AQ12" s="452">
        <f>(X12+Y12)*P1_Inspecteren_daken_en_goten_1x_per_jaar_gelijktijdig_met_reiniging_inclusief_inspectierapport_en_een_managementrapport</f>
        <v>0</v>
      </c>
      <c r="AR12" s="453"/>
      <c r="AS12" s="454">
        <f>AR12*P1_keuren_dakveiligheid_per_man_uur</f>
        <v>0</v>
      </c>
      <c r="AT12" s="455">
        <f t="shared" si="2"/>
        <v>0</v>
      </c>
    </row>
    <row r="13" spans="1:46" ht="25.5" x14ac:dyDescent="0.45">
      <c r="A13" s="155"/>
      <c r="B13" s="347">
        <v>1</v>
      </c>
      <c r="C13" s="156" t="s">
        <v>135</v>
      </c>
      <c r="D13" s="156" t="s">
        <v>174</v>
      </c>
      <c r="E13" s="156"/>
      <c r="F13" s="156"/>
      <c r="G13" s="156"/>
      <c r="H13" s="151" t="s">
        <v>232</v>
      </c>
      <c r="I13" s="151" t="s">
        <v>233</v>
      </c>
      <c r="J13" s="157"/>
      <c r="K13" s="163"/>
      <c r="L13" s="151"/>
      <c r="M13" s="159" t="s">
        <v>176</v>
      </c>
      <c r="N13" s="353" t="s">
        <v>234</v>
      </c>
      <c r="O13" s="353" t="s">
        <v>235</v>
      </c>
      <c r="P13" s="353" t="s">
        <v>236</v>
      </c>
      <c r="Q13" s="353" t="s">
        <v>229</v>
      </c>
      <c r="R13" s="360" t="s">
        <v>230</v>
      </c>
      <c r="S13" s="353" t="s">
        <v>189</v>
      </c>
      <c r="T13" s="159" t="s">
        <v>237</v>
      </c>
      <c r="U13" s="159" t="s">
        <v>238</v>
      </c>
      <c r="V13" s="176" t="s">
        <v>239</v>
      </c>
      <c r="W13" s="361">
        <v>1978</v>
      </c>
      <c r="X13" s="361">
        <v>1542</v>
      </c>
      <c r="Y13" s="361"/>
      <c r="Z13" s="361"/>
      <c r="AA13" s="361"/>
      <c r="AB13" s="361"/>
      <c r="AC13" s="361"/>
      <c r="AD13" s="361"/>
      <c r="AE13" s="361"/>
      <c r="AF13" s="361"/>
      <c r="AG13" s="361"/>
      <c r="AH13" s="361"/>
      <c r="AI13" s="361"/>
      <c r="AJ13" s="177"/>
      <c r="AK13" s="361">
        <v>2</v>
      </c>
      <c r="AL13" s="444"/>
      <c r="AM13" s="451">
        <f>X13*P1_Reinigen_daken_incl._extra_maatregelen_veilig_werken_volgens_VCA__eventuele_vergunningen_leges___voorrijkosten__adminstratieve_kosten__fotorapportage_en_kleine_reparaties_¹</f>
        <v>0</v>
      </c>
      <c r="AN13" s="452">
        <f>Y13*P1_Reinigen_goten_incl._extra_maatregelen_veilig_werken_volgens_VCA__eventuele_vergunningen_leges___voorrijkosten__adminstratieve_kosten__fotorapportage_en_kleine_reparaties_¹</f>
        <v>0</v>
      </c>
      <c r="AO13" s="452">
        <f>(AE13*P1_Reinigen_Lichtkoepel_50X50)+('Perceel 1'!AF13*P1_Reinigen_Lichtkoepel_60x200)+('Perceel 1'!AG13*P1_Reinigen_Lichtkoepel_180x180)+('Perceel 1'!AH13*P1_Reinigen_Lichtstraten_groter_dan_180x180)</f>
        <v>0</v>
      </c>
      <c r="AP13" s="452"/>
      <c r="AQ13" s="452">
        <f>(X13+Y13)*P1_Inspecteren_daken_en_goten_1x_per_jaar_gelijktijdig_met_reiniging_inclusief_inspectierapport_en_een_managementrapport</f>
        <v>0</v>
      </c>
      <c r="AR13" s="456"/>
      <c r="AS13" s="454">
        <f>AR13*P1_keuren_dakveiligheid_per_man_uur</f>
        <v>0</v>
      </c>
      <c r="AT13" s="455">
        <f t="shared" si="2"/>
        <v>0</v>
      </c>
    </row>
    <row r="14" spans="1:46" ht="55.5" x14ac:dyDescent="0.4">
      <c r="A14" s="183"/>
      <c r="B14" s="351">
        <v>1</v>
      </c>
      <c r="C14" s="171" t="s">
        <v>135</v>
      </c>
      <c r="D14" s="171" t="s">
        <v>136</v>
      </c>
      <c r="E14" s="171"/>
      <c r="F14" s="171"/>
      <c r="G14" s="171"/>
      <c r="H14" s="170" t="s">
        <v>240</v>
      </c>
      <c r="I14" s="170" t="s">
        <v>241</v>
      </c>
      <c r="J14" s="172"/>
      <c r="K14" s="173"/>
      <c r="L14" s="170" t="s">
        <v>139</v>
      </c>
      <c r="M14" s="169" t="s">
        <v>140</v>
      </c>
      <c r="N14" s="436" t="s">
        <v>2336</v>
      </c>
      <c r="O14" s="357" t="s">
        <v>2337</v>
      </c>
      <c r="P14" s="436" t="s">
        <v>244</v>
      </c>
      <c r="Q14" s="436" t="s">
        <v>245</v>
      </c>
      <c r="R14" s="437" t="s">
        <v>246</v>
      </c>
      <c r="S14" s="436" t="s">
        <v>189</v>
      </c>
      <c r="T14" s="169"/>
      <c r="U14" s="169"/>
      <c r="V14" s="169"/>
      <c r="W14" s="436" t="s">
        <v>247</v>
      </c>
      <c r="X14" s="440">
        <f>X15+X16+X17+X18</f>
        <v>5078</v>
      </c>
      <c r="Y14" s="436"/>
      <c r="Z14" s="357"/>
      <c r="AA14" s="357" t="s">
        <v>150</v>
      </c>
      <c r="AB14" s="357">
        <v>84</v>
      </c>
      <c r="AC14" s="357">
        <v>442</v>
      </c>
      <c r="AD14" s="357"/>
      <c r="AE14" s="357"/>
      <c r="AF14" s="357"/>
      <c r="AG14" s="357"/>
      <c r="AH14" s="357"/>
      <c r="AI14" s="357"/>
      <c r="AJ14" s="169"/>
      <c r="AK14" s="440"/>
      <c r="AL14" s="369"/>
      <c r="AM14" s="451">
        <f>X14*P1_reinigen_daken_met_vaste_dakveiligheid</f>
        <v>0</v>
      </c>
      <c r="AN14" s="452">
        <f>Y14*P1_reinigen_goten_met_vaste_dakveiligheid</f>
        <v>0</v>
      </c>
      <c r="AO14" s="452">
        <f>(AE14*P1_Reinigen_Lichtkoepel_50X50)+('Perceel 1'!AF14*P1_Reinigen_Lichtkoepel_60x200)+('Perceel 1'!AG14*P1_Reinigen_Lichtkoepel_180x180)+('Perceel 1'!AH14*P1_Reinigen_Lichtstraten_groter_dan_180x180)</f>
        <v>0</v>
      </c>
      <c r="AP14" s="452"/>
      <c r="AQ14" s="452">
        <f>(X14+Y14)*P1_Inspecteren_daken_en_goten_1x_per_jaar_gelijktijdig_met_reiniging_inclusief_inspectierapport_en_een_managementrapport</f>
        <v>0</v>
      </c>
      <c r="AR14" s="453"/>
      <c r="AS14" s="454">
        <f>AR14*P1_keuren_dakveiligheid_per_man_uur</f>
        <v>0</v>
      </c>
      <c r="AT14" s="455">
        <f t="shared" si="2"/>
        <v>0</v>
      </c>
    </row>
    <row r="15" spans="1:46" x14ac:dyDescent="0.4">
      <c r="A15" s="182"/>
      <c r="B15" s="352">
        <v>1</v>
      </c>
      <c r="C15" s="175" t="s">
        <v>135</v>
      </c>
      <c r="D15" s="175" t="s">
        <v>136</v>
      </c>
      <c r="E15" s="175"/>
      <c r="F15" s="175"/>
      <c r="G15" s="175"/>
      <c r="H15" s="174" t="s">
        <v>240</v>
      </c>
      <c r="I15" s="174" t="s">
        <v>241</v>
      </c>
      <c r="J15" s="11"/>
      <c r="K15" s="11"/>
      <c r="L15" s="174"/>
      <c r="M15" s="175" t="s">
        <v>140</v>
      </c>
      <c r="N15" s="358" t="s">
        <v>248</v>
      </c>
      <c r="O15" s="358" t="s">
        <v>249</v>
      </c>
      <c r="P15" s="438" t="s">
        <v>250</v>
      </c>
      <c r="Q15" s="438" t="s">
        <v>245</v>
      </c>
      <c r="R15" s="439" t="s">
        <v>246</v>
      </c>
      <c r="S15" s="438" t="s">
        <v>189</v>
      </c>
      <c r="T15" s="182" t="s">
        <v>147</v>
      </c>
      <c r="U15" s="182" t="s">
        <v>148</v>
      </c>
      <c r="V15" s="182" t="s">
        <v>149</v>
      </c>
      <c r="W15" s="438">
        <v>1982</v>
      </c>
      <c r="X15" s="441">
        <v>720</v>
      </c>
      <c r="Y15" s="438"/>
      <c r="Z15" s="358"/>
      <c r="AA15" s="358" t="s">
        <v>150</v>
      </c>
      <c r="AB15" s="358"/>
      <c r="AC15" s="358"/>
      <c r="AD15" s="358"/>
      <c r="AE15" s="358"/>
      <c r="AF15" s="358"/>
      <c r="AG15" s="358"/>
      <c r="AH15" s="358"/>
      <c r="AI15" s="358"/>
      <c r="AJ15" s="175"/>
      <c r="AK15" s="441">
        <v>1</v>
      </c>
      <c r="AL15" s="460"/>
      <c r="AM15" s="457"/>
      <c r="AN15" s="456"/>
      <c r="AO15" s="456"/>
      <c r="AP15" s="456"/>
      <c r="AQ15" s="456"/>
      <c r="AR15" s="456"/>
      <c r="AS15" s="458"/>
      <c r="AT15" s="459"/>
    </row>
    <row r="16" spans="1:46" s="7" customFormat="1" ht="18" customHeight="1" x14ac:dyDescent="0.45">
      <c r="A16" s="182"/>
      <c r="B16" s="352">
        <v>1</v>
      </c>
      <c r="C16" s="99" t="s">
        <v>135</v>
      </c>
      <c r="D16" s="99" t="s">
        <v>136</v>
      </c>
      <c r="E16" s="99"/>
      <c r="F16" s="99"/>
      <c r="G16" s="99"/>
      <c r="H16" s="174" t="s">
        <v>240</v>
      </c>
      <c r="I16" s="174" t="s">
        <v>241</v>
      </c>
      <c r="J16" s="13"/>
      <c r="K16" s="13"/>
      <c r="L16" s="101"/>
      <c r="M16" s="102" t="s">
        <v>140</v>
      </c>
      <c r="N16" s="100" t="s">
        <v>251</v>
      </c>
      <c r="O16" s="100" t="s">
        <v>252</v>
      </c>
      <c r="P16" s="100" t="s">
        <v>250</v>
      </c>
      <c r="Q16" s="100" t="s">
        <v>245</v>
      </c>
      <c r="R16" s="182" t="s">
        <v>246</v>
      </c>
      <c r="S16" s="100" t="s">
        <v>189</v>
      </c>
      <c r="T16" s="92" t="s">
        <v>147</v>
      </c>
      <c r="U16" s="92" t="s">
        <v>148</v>
      </c>
      <c r="V16" s="103" t="s">
        <v>149</v>
      </c>
      <c r="W16" s="100">
        <v>2018</v>
      </c>
      <c r="X16" s="260">
        <f>667+1197</f>
        <v>1864</v>
      </c>
      <c r="Y16" s="100"/>
      <c r="Z16" s="99"/>
      <c r="AA16" s="99" t="s">
        <v>150</v>
      </c>
      <c r="AB16" s="99"/>
      <c r="AC16" s="99"/>
      <c r="AD16" s="99"/>
      <c r="AE16" s="99"/>
      <c r="AF16" s="99"/>
      <c r="AG16" s="99"/>
      <c r="AH16" s="99"/>
      <c r="AI16" s="99" t="s">
        <v>253</v>
      </c>
      <c r="AJ16" s="99"/>
      <c r="AK16" s="260">
        <v>1</v>
      </c>
      <c r="AL16" s="275"/>
      <c r="AM16" s="299"/>
      <c r="AN16" s="298"/>
      <c r="AO16" s="298"/>
      <c r="AP16" s="298"/>
      <c r="AQ16" s="298"/>
      <c r="AR16" s="298"/>
      <c r="AS16" s="333"/>
      <c r="AT16" s="337"/>
    </row>
    <row r="17" spans="1:46" x14ac:dyDescent="0.4">
      <c r="A17" s="182"/>
      <c r="B17" s="350">
        <v>1</v>
      </c>
      <c r="C17" s="175" t="s">
        <v>135</v>
      </c>
      <c r="D17" s="175" t="s">
        <v>136</v>
      </c>
      <c r="E17" s="175"/>
      <c r="F17" s="175"/>
      <c r="G17" s="175"/>
      <c r="H17" s="174" t="s">
        <v>240</v>
      </c>
      <c r="I17" s="174" t="s">
        <v>241</v>
      </c>
      <c r="J17" s="13"/>
      <c r="K17" s="13"/>
      <c r="L17" s="182"/>
      <c r="M17" s="175" t="s">
        <v>140</v>
      </c>
      <c r="N17" s="438" t="s">
        <v>254</v>
      </c>
      <c r="O17" s="358" t="s">
        <v>255</v>
      </c>
      <c r="P17" s="438" t="s">
        <v>256</v>
      </c>
      <c r="Q17" s="438" t="s">
        <v>245</v>
      </c>
      <c r="R17" s="439" t="s">
        <v>246</v>
      </c>
      <c r="S17" s="438" t="s">
        <v>189</v>
      </c>
      <c r="T17" s="182" t="s">
        <v>147</v>
      </c>
      <c r="U17" s="182" t="s">
        <v>148</v>
      </c>
      <c r="V17" s="182" t="s">
        <v>149</v>
      </c>
      <c r="W17" s="438">
        <v>1981</v>
      </c>
      <c r="X17" s="441">
        <f>2494-700</f>
        <v>1794</v>
      </c>
      <c r="Y17" s="438"/>
      <c r="Z17" s="358"/>
      <c r="AA17" s="358" t="s">
        <v>150</v>
      </c>
      <c r="AB17" s="358"/>
      <c r="AC17" s="358"/>
      <c r="AD17" s="358"/>
      <c r="AE17" s="358"/>
      <c r="AF17" s="358"/>
      <c r="AG17" s="358"/>
      <c r="AH17" s="358"/>
      <c r="AI17" s="358"/>
      <c r="AJ17" s="175"/>
      <c r="AK17" s="441">
        <v>1</v>
      </c>
      <c r="AL17" s="460"/>
      <c r="AM17" s="457"/>
      <c r="AN17" s="456"/>
      <c r="AO17" s="456"/>
      <c r="AP17" s="456"/>
      <c r="AQ17" s="456"/>
      <c r="AR17" s="456"/>
      <c r="AS17" s="458"/>
      <c r="AT17" s="459"/>
    </row>
    <row r="18" spans="1:46" ht="102" x14ac:dyDescent="0.4">
      <c r="A18" s="182"/>
      <c r="B18" s="352">
        <v>1</v>
      </c>
      <c r="C18" s="175" t="s">
        <v>135</v>
      </c>
      <c r="D18" s="175" t="s">
        <v>136</v>
      </c>
      <c r="E18" s="175"/>
      <c r="F18" s="175"/>
      <c r="G18" s="175"/>
      <c r="H18" s="174" t="s">
        <v>240</v>
      </c>
      <c r="I18" s="174" t="s">
        <v>241</v>
      </c>
      <c r="J18" s="11"/>
      <c r="K18" s="11"/>
      <c r="L18" s="174"/>
      <c r="M18" s="175" t="s">
        <v>140</v>
      </c>
      <c r="N18" s="382" t="s">
        <v>257</v>
      </c>
      <c r="O18" s="358" t="s">
        <v>258</v>
      </c>
      <c r="P18" s="358" t="s">
        <v>259</v>
      </c>
      <c r="Q18" s="358" t="s">
        <v>245</v>
      </c>
      <c r="R18" s="408" t="s">
        <v>246</v>
      </c>
      <c r="S18" s="358" t="s">
        <v>189</v>
      </c>
      <c r="T18" s="191" t="s">
        <v>260</v>
      </c>
      <c r="U18" s="191" t="s">
        <v>261</v>
      </c>
      <c r="V18" s="191" t="s">
        <v>262</v>
      </c>
      <c r="W18" s="438">
        <v>1981</v>
      </c>
      <c r="X18" s="441">
        <v>700</v>
      </c>
      <c r="Y18" s="438"/>
      <c r="Z18" s="358"/>
      <c r="AA18" s="358" t="s">
        <v>150</v>
      </c>
      <c r="AB18" s="358"/>
      <c r="AC18" s="358"/>
      <c r="AD18" s="358"/>
      <c r="AE18" s="358"/>
      <c r="AF18" s="358"/>
      <c r="AG18" s="358"/>
      <c r="AH18" s="358"/>
      <c r="AI18" s="358"/>
      <c r="AJ18" s="175"/>
      <c r="AK18" s="441">
        <v>1</v>
      </c>
      <c r="AL18" s="460"/>
      <c r="AM18" s="457"/>
      <c r="AN18" s="456"/>
      <c r="AO18" s="456"/>
      <c r="AP18" s="456"/>
      <c r="AQ18" s="456"/>
      <c r="AR18" s="456"/>
      <c r="AS18" s="458"/>
      <c r="AT18" s="459"/>
    </row>
    <row r="19" spans="1:46" ht="25.5" x14ac:dyDescent="0.45">
      <c r="A19" s="155"/>
      <c r="B19" s="348">
        <v>1</v>
      </c>
      <c r="C19" s="156" t="s">
        <v>135</v>
      </c>
      <c r="D19" s="156" t="s">
        <v>136</v>
      </c>
      <c r="E19" s="156"/>
      <c r="F19" s="156"/>
      <c r="G19" s="156"/>
      <c r="H19" s="151" t="s">
        <v>263</v>
      </c>
      <c r="I19" s="151" t="s">
        <v>264</v>
      </c>
      <c r="J19" s="157"/>
      <c r="K19" s="163"/>
      <c r="L19" s="151" t="s">
        <v>139</v>
      </c>
      <c r="M19" s="159" t="s">
        <v>140</v>
      </c>
      <c r="N19" s="379" t="s">
        <v>265</v>
      </c>
      <c r="O19" s="353" t="s">
        <v>266</v>
      </c>
      <c r="P19" s="353" t="s">
        <v>267</v>
      </c>
      <c r="Q19" s="353" t="s">
        <v>268</v>
      </c>
      <c r="R19" s="354" t="s">
        <v>246</v>
      </c>
      <c r="S19" s="353" t="s">
        <v>189</v>
      </c>
      <c r="T19" s="166" t="s">
        <v>269</v>
      </c>
      <c r="U19" s="166" t="s">
        <v>270</v>
      </c>
      <c r="V19" s="178" t="s">
        <v>271</v>
      </c>
      <c r="W19" s="361">
        <v>2017</v>
      </c>
      <c r="X19" s="361">
        <v>2580</v>
      </c>
      <c r="Y19" s="361">
        <v>200</v>
      </c>
      <c r="Z19" s="361"/>
      <c r="AA19" s="361"/>
      <c r="AB19" s="361">
        <f>11+3</f>
        <v>14</v>
      </c>
      <c r="AC19" s="361">
        <v>136</v>
      </c>
      <c r="AD19" s="361" t="s">
        <v>272</v>
      </c>
      <c r="AE19" s="361"/>
      <c r="AF19" s="361"/>
      <c r="AG19" s="361"/>
      <c r="AH19" s="361"/>
      <c r="AI19" s="361"/>
      <c r="AJ19" s="177"/>
      <c r="AK19" s="443">
        <v>1</v>
      </c>
      <c r="AL19" s="444"/>
      <c r="AM19" s="451">
        <f>X19*P1_reinigen_daken_met_vaste_dakveiligheid</f>
        <v>0</v>
      </c>
      <c r="AN19" s="452">
        <f>Y19*P1_reinigen_goten_met_vaste_dakveiligheid</f>
        <v>0</v>
      </c>
      <c r="AO19" s="452">
        <f>(AE19*P1_Reinigen_Lichtkoepel_50X50)+('Perceel 1'!AF19*P1_Reinigen_Lichtkoepel_60x200)+('Perceel 1'!AG19*P1_Reinigen_Lichtkoepel_180x180)+('Perceel 1'!AH19*P1_Reinigen_Lichtstraten_groter_dan_180x180)</f>
        <v>0</v>
      </c>
      <c r="AP19" s="452"/>
      <c r="AQ19" s="452">
        <f>(X19+Y19)*P1_Inspecteren_daken_en_goten_1x_per_jaar_gelijktijdig_met_reiniging_inclusief_inspectierapport_en_een_managementrapport</f>
        <v>0</v>
      </c>
      <c r="AR19" s="453"/>
      <c r="AS19" s="454">
        <f>AR19*P1_keuren_dakveiligheid_per_man_uur</f>
        <v>0</v>
      </c>
      <c r="AT19" s="455">
        <f>(AM19*AK19)+(AN19*AK19)+AO19+AQ19+AS19</f>
        <v>0</v>
      </c>
    </row>
    <row r="20" spans="1:46" ht="63.75" x14ac:dyDescent="0.45">
      <c r="A20" s="193"/>
      <c r="B20" s="347">
        <v>1</v>
      </c>
      <c r="C20" s="156" t="s">
        <v>135</v>
      </c>
      <c r="D20" s="156" t="s">
        <v>136</v>
      </c>
      <c r="E20" s="156"/>
      <c r="F20" s="156"/>
      <c r="G20" s="156"/>
      <c r="H20" s="163" t="s">
        <v>273</v>
      </c>
      <c r="I20" s="151"/>
      <c r="J20" s="157"/>
      <c r="K20" s="163"/>
      <c r="L20" s="163" t="s">
        <v>139</v>
      </c>
      <c r="M20" s="166" t="s">
        <v>140</v>
      </c>
      <c r="N20" s="379" t="s">
        <v>274</v>
      </c>
      <c r="O20" s="353" t="s">
        <v>275</v>
      </c>
      <c r="P20" s="353" t="s">
        <v>276</v>
      </c>
      <c r="Q20" s="353" t="s">
        <v>268</v>
      </c>
      <c r="R20" s="354" t="s">
        <v>246</v>
      </c>
      <c r="S20" s="353" t="s">
        <v>189</v>
      </c>
      <c r="T20" s="166" t="s">
        <v>277</v>
      </c>
      <c r="U20" s="166" t="s">
        <v>170</v>
      </c>
      <c r="V20" s="178" t="s">
        <v>171</v>
      </c>
      <c r="W20" s="361">
        <v>1977</v>
      </c>
      <c r="X20" s="361">
        <v>810</v>
      </c>
      <c r="Y20" s="361"/>
      <c r="Z20" s="361"/>
      <c r="AA20" s="361"/>
      <c r="AB20" s="361"/>
      <c r="AC20" s="361"/>
      <c r="AD20" s="361"/>
      <c r="AE20" s="361"/>
      <c r="AF20" s="361"/>
      <c r="AG20" s="361"/>
      <c r="AH20" s="361"/>
      <c r="AI20" s="361"/>
      <c r="AJ20" s="189"/>
      <c r="AK20" s="361">
        <v>1</v>
      </c>
      <c r="AL20" s="369"/>
      <c r="AM20" s="451">
        <f>X20*P1_Reinigen_daken_incl._extra_maatregelen_veilig_werken_volgens_VCA__eventuele_vergunningen_leges___voorrijkosten__adminstratieve_kosten__fotorapportage_en_kleine_reparaties_¹</f>
        <v>0</v>
      </c>
      <c r="AN20" s="452">
        <f>Y20*P1_Reinigen_goten_incl._extra_maatregelen_veilig_werken_volgens_VCA__eventuele_vergunningen_leges___voorrijkosten__adminstratieve_kosten__fotorapportage_en_kleine_reparaties_¹</f>
        <v>0</v>
      </c>
      <c r="AO20" s="452">
        <f>(AE20*P1_Reinigen_Lichtkoepel_50X50)+('Perceel 1'!AF20*P1_Reinigen_Lichtkoepel_60x200)+('Perceel 1'!AG20*P1_Reinigen_Lichtkoepel_180x180)+('Perceel 1'!AH20*P1_Reinigen_Lichtstraten_groter_dan_180x180)</f>
        <v>0</v>
      </c>
      <c r="AP20" s="452"/>
      <c r="AQ20" s="452">
        <f>(X20+Y20)*P1_Inspecteren_daken_en_goten_1x_per_jaar_gelijktijdig_met_reiniging_inclusief_inspectierapport_en_een_managementrapport</f>
        <v>0</v>
      </c>
      <c r="AR20" s="456"/>
      <c r="AS20" s="454">
        <f>AR20*P1_keuren_dakveiligheid_per_man_uur</f>
        <v>0</v>
      </c>
      <c r="AT20" s="455">
        <f t="shared" si="2"/>
        <v>0</v>
      </c>
    </row>
    <row r="21" spans="1:46" ht="12.75" customHeight="1" x14ac:dyDescent="0.45">
      <c r="A21" s="155"/>
      <c r="B21" s="348">
        <v>1</v>
      </c>
      <c r="C21" s="156" t="s">
        <v>135</v>
      </c>
      <c r="D21" s="156" t="s">
        <v>136</v>
      </c>
      <c r="E21" s="156"/>
      <c r="F21" s="156"/>
      <c r="G21" s="156"/>
      <c r="H21" s="151" t="s">
        <v>278</v>
      </c>
      <c r="I21" s="151" t="s">
        <v>279</v>
      </c>
      <c r="J21" s="157"/>
      <c r="K21" s="163"/>
      <c r="L21" s="163" t="s">
        <v>280</v>
      </c>
      <c r="M21" s="166" t="s">
        <v>281</v>
      </c>
      <c r="N21" s="353" t="s">
        <v>282</v>
      </c>
      <c r="O21" s="353" t="s">
        <v>283</v>
      </c>
      <c r="P21" s="435" t="s">
        <v>284</v>
      </c>
      <c r="Q21" s="435" t="s">
        <v>285</v>
      </c>
      <c r="R21" s="461" t="s">
        <v>286</v>
      </c>
      <c r="S21" s="435" t="s">
        <v>189</v>
      </c>
      <c r="T21" s="159" t="s">
        <v>287</v>
      </c>
      <c r="U21" s="168" t="s">
        <v>288</v>
      </c>
      <c r="V21" s="176" t="s">
        <v>289</v>
      </c>
      <c r="W21" s="361">
        <v>1978</v>
      </c>
      <c r="X21" s="361">
        <v>398</v>
      </c>
      <c r="Y21" s="361"/>
      <c r="Z21" s="361"/>
      <c r="AA21" s="361"/>
      <c r="AB21" s="361"/>
      <c r="AC21" s="361"/>
      <c r="AD21" s="361"/>
      <c r="AE21" s="361"/>
      <c r="AF21" s="361"/>
      <c r="AG21" s="361"/>
      <c r="AH21" s="361"/>
      <c r="AI21" s="361"/>
      <c r="AJ21" s="177"/>
      <c r="AK21" s="443">
        <v>1</v>
      </c>
      <c r="AL21" s="444"/>
      <c r="AM21" s="451">
        <f>X21*P1_Reinigen_daken_incl._extra_maatregelen_veilig_werken_volgens_VCA__eventuele_vergunningen_leges___voorrijkosten__adminstratieve_kosten__fotorapportage_en_kleine_reparaties_¹</f>
        <v>0</v>
      </c>
      <c r="AN21" s="452">
        <f>Y21*P1_Reinigen_goten_incl._extra_maatregelen_veilig_werken_volgens_VCA__eventuele_vergunningen_leges___voorrijkosten__adminstratieve_kosten__fotorapportage_en_kleine_reparaties_¹</f>
        <v>0</v>
      </c>
      <c r="AO21" s="452">
        <f>(AE21*P1_Reinigen_Lichtkoepel_50X50)+('Perceel 1'!AF21*P1_Reinigen_Lichtkoepel_60x200)+('Perceel 1'!AG21*P1_Reinigen_Lichtkoepel_180x180)+('Perceel 1'!AH21*P1_Reinigen_Lichtstraten_groter_dan_180x180)</f>
        <v>0</v>
      </c>
      <c r="AP21" s="452"/>
      <c r="AQ21" s="452">
        <f>(X21+Y21)*P1_Inspecteren_daken_en_goten_1x_per_jaar_gelijktijdig_met_reiniging_inclusief_inspectierapport_en_een_managementrapport</f>
        <v>0</v>
      </c>
      <c r="AR21" s="456"/>
      <c r="AS21" s="454">
        <f>AR21*P1_keuren_dakveiligheid_per_man_uur</f>
        <v>0</v>
      </c>
      <c r="AT21" s="455">
        <f t="shared" si="2"/>
        <v>0</v>
      </c>
    </row>
    <row r="22" spans="1:46" ht="12.75" customHeight="1" x14ac:dyDescent="0.45">
      <c r="A22" s="155"/>
      <c r="B22" s="348">
        <v>1</v>
      </c>
      <c r="C22" s="156" t="s">
        <v>135</v>
      </c>
      <c r="D22" s="156" t="s">
        <v>136</v>
      </c>
      <c r="E22" s="156"/>
      <c r="F22" s="156"/>
      <c r="G22" s="156"/>
      <c r="H22" s="151" t="s">
        <v>290</v>
      </c>
      <c r="I22" s="151" t="s">
        <v>291</v>
      </c>
      <c r="J22" s="157"/>
      <c r="K22" s="163"/>
      <c r="L22" s="163" t="s">
        <v>280</v>
      </c>
      <c r="M22" s="166" t="s">
        <v>281</v>
      </c>
      <c r="N22" s="435" t="s">
        <v>292</v>
      </c>
      <c r="O22" s="353" t="s">
        <v>293</v>
      </c>
      <c r="P22" s="353" t="s">
        <v>294</v>
      </c>
      <c r="Q22" s="353" t="s">
        <v>285</v>
      </c>
      <c r="R22" s="355" t="s">
        <v>286</v>
      </c>
      <c r="S22" s="435" t="s">
        <v>189</v>
      </c>
      <c r="T22" s="159" t="s">
        <v>287</v>
      </c>
      <c r="U22" s="168" t="s">
        <v>288</v>
      </c>
      <c r="V22" s="176" t="s">
        <v>289</v>
      </c>
      <c r="W22" s="361">
        <v>2002</v>
      </c>
      <c r="X22" s="361">
        <v>165</v>
      </c>
      <c r="Y22" s="361"/>
      <c r="Z22" s="361"/>
      <c r="AA22" s="361"/>
      <c r="AB22" s="361"/>
      <c r="AC22" s="361"/>
      <c r="AD22" s="361"/>
      <c r="AE22" s="361"/>
      <c r="AF22" s="361"/>
      <c r="AG22" s="361"/>
      <c r="AH22" s="361"/>
      <c r="AI22" s="361"/>
      <c r="AJ22" s="177"/>
      <c r="AK22" s="443">
        <v>1</v>
      </c>
      <c r="AL22" s="444"/>
      <c r="AM22" s="451">
        <f>X22*P1_Reinigen_daken_incl._extra_maatregelen_veilig_werken_volgens_VCA__eventuele_vergunningen_leges___voorrijkosten__adminstratieve_kosten__fotorapportage_en_kleine_reparaties_¹</f>
        <v>0</v>
      </c>
      <c r="AN22" s="452">
        <f>Y22*P1_Reinigen_goten_incl._extra_maatregelen_veilig_werken_volgens_VCA__eventuele_vergunningen_leges___voorrijkosten__adminstratieve_kosten__fotorapportage_en_kleine_reparaties_¹</f>
        <v>0</v>
      </c>
      <c r="AO22" s="452">
        <f>(AE22*P1_Reinigen_Lichtkoepel_50X50)+('Perceel 1'!AF22*P1_Reinigen_Lichtkoepel_60x200)+('Perceel 1'!AG22*P1_Reinigen_Lichtkoepel_180x180)+('Perceel 1'!AH22*P1_Reinigen_Lichtstraten_groter_dan_180x180)</f>
        <v>0</v>
      </c>
      <c r="AP22" s="452"/>
      <c r="AQ22" s="452">
        <f>(X22+Y22)*P1_Inspecteren_daken_en_goten_1x_per_jaar_gelijktijdig_met_reiniging_inclusief_inspectierapport_en_een_managementrapport</f>
        <v>0</v>
      </c>
      <c r="AR22" s="456"/>
      <c r="AS22" s="454">
        <f>AR22*P1_keuren_dakveiligheid_per_man_uur</f>
        <v>0</v>
      </c>
      <c r="AT22" s="455">
        <f t="shared" si="2"/>
        <v>0</v>
      </c>
    </row>
    <row r="23" spans="1:46" ht="25.5" x14ac:dyDescent="0.45">
      <c r="A23" s="155"/>
      <c r="B23" s="347">
        <v>1</v>
      </c>
      <c r="C23" s="156" t="s">
        <v>135</v>
      </c>
      <c r="D23" s="156" t="s">
        <v>136</v>
      </c>
      <c r="E23" s="156"/>
      <c r="F23" s="156"/>
      <c r="G23" s="156"/>
      <c r="H23" s="151" t="s">
        <v>295</v>
      </c>
      <c r="I23" s="151" t="s">
        <v>296</v>
      </c>
      <c r="J23" s="157"/>
      <c r="K23" s="158"/>
      <c r="L23" s="151" t="s">
        <v>139</v>
      </c>
      <c r="M23" s="159" t="s">
        <v>297</v>
      </c>
      <c r="N23" s="353" t="s">
        <v>298</v>
      </c>
      <c r="O23" s="353" t="s">
        <v>299</v>
      </c>
      <c r="P23" s="353" t="s">
        <v>300</v>
      </c>
      <c r="Q23" s="353" t="s">
        <v>301</v>
      </c>
      <c r="R23" s="355" t="s">
        <v>302</v>
      </c>
      <c r="S23" s="435" t="s">
        <v>146</v>
      </c>
      <c r="T23" s="159" t="s">
        <v>303</v>
      </c>
      <c r="U23" s="159" t="s">
        <v>304</v>
      </c>
      <c r="V23" s="176" t="s">
        <v>305</v>
      </c>
      <c r="W23" s="361">
        <v>2009</v>
      </c>
      <c r="X23" s="361">
        <v>1157</v>
      </c>
      <c r="Y23" s="361"/>
      <c r="Z23" s="361"/>
      <c r="AA23" s="361" t="s">
        <v>150</v>
      </c>
      <c r="AB23" s="361">
        <v>18</v>
      </c>
      <c r="AC23" s="361"/>
      <c r="AD23" s="361"/>
      <c r="AE23" s="361"/>
      <c r="AF23" s="361"/>
      <c r="AG23" s="361"/>
      <c r="AH23" s="361"/>
      <c r="AI23" s="361"/>
      <c r="AJ23" s="177"/>
      <c r="AK23" s="443">
        <v>1</v>
      </c>
      <c r="AL23" s="444"/>
      <c r="AM23" s="451">
        <f>X23*P1_reinigen_daken_met_vaste_dakveiligheid</f>
        <v>0</v>
      </c>
      <c r="AN23" s="452">
        <f>Y23*P1_reinigen_goten_met_vaste_dakveiligheid</f>
        <v>0</v>
      </c>
      <c r="AO23" s="452">
        <f>(AE23*P1_Reinigen_Lichtkoepel_50X50)+('Perceel 1'!AF23*P1_Reinigen_Lichtkoepel_60x200)+('Perceel 1'!AG23*P1_Reinigen_Lichtkoepel_180x180)+('Perceel 1'!AH23*P1_Reinigen_Lichtstraten_groter_dan_180x180)</f>
        <v>0</v>
      </c>
      <c r="AP23" s="452"/>
      <c r="AQ23" s="452">
        <f>(X23+Y23)*P1_Inspecteren_daken_en_goten_1x_per_jaar_gelijktijdig_met_reiniging_inclusief_inspectierapport_en_een_managementrapport</f>
        <v>0</v>
      </c>
      <c r="AR23" s="453"/>
      <c r="AS23" s="454">
        <f>AR23*P1_keuren_dakveiligheid_per_man_uur</f>
        <v>0</v>
      </c>
      <c r="AT23" s="455">
        <f t="shared" si="2"/>
        <v>0</v>
      </c>
    </row>
    <row r="24" spans="1:46" ht="40.35" customHeight="1" x14ac:dyDescent="0.4">
      <c r="A24" s="169"/>
      <c r="B24" s="349">
        <v>1</v>
      </c>
      <c r="C24" s="169" t="s">
        <v>135</v>
      </c>
      <c r="D24" s="169" t="s">
        <v>136</v>
      </c>
      <c r="E24" s="169" t="s">
        <v>306</v>
      </c>
      <c r="F24" s="169"/>
      <c r="G24" s="169"/>
      <c r="H24" s="17"/>
      <c r="I24" s="17"/>
      <c r="J24" s="17"/>
      <c r="K24" s="17"/>
      <c r="L24" s="169" t="s">
        <v>154</v>
      </c>
      <c r="M24" s="169" t="s">
        <v>155</v>
      </c>
      <c r="N24" s="357" t="s">
        <v>307</v>
      </c>
      <c r="O24" s="357" t="s">
        <v>308</v>
      </c>
      <c r="P24" s="357" t="s">
        <v>309</v>
      </c>
      <c r="Q24" s="357" t="s">
        <v>310</v>
      </c>
      <c r="R24" s="357" t="s">
        <v>168</v>
      </c>
      <c r="S24" s="357" t="s">
        <v>146</v>
      </c>
      <c r="T24" s="169"/>
      <c r="U24" s="169"/>
      <c r="V24" s="169"/>
      <c r="W24" s="357">
        <v>2021</v>
      </c>
      <c r="X24" s="387">
        <v>945</v>
      </c>
      <c r="Y24" s="357"/>
      <c r="Z24" s="387" t="s">
        <v>311</v>
      </c>
      <c r="AA24" s="387" t="s">
        <v>311</v>
      </c>
      <c r="AB24" s="387">
        <v>13</v>
      </c>
      <c r="AC24" s="387">
        <v>30</v>
      </c>
      <c r="AD24" s="357" t="s">
        <v>312</v>
      </c>
      <c r="AE24" s="357"/>
      <c r="AF24" s="357"/>
      <c r="AG24" s="387">
        <v>6</v>
      </c>
      <c r="AH24" s="387"/>
      <c r="AI24" s="357" t="s">
        <v>163</v>
      </c>
      <c r="AJ24" s="169"/>
      <c r="AK24" s="387">
        <v>1</v>
      </c>
      <c r="AL24" s="460" t="s">
        <v>313</v>
      </c>
      <c r="AM24" s="457"/>
      <c r="AN24" s="456"/>
      <c r="AO24" s="456"/>
      <c r="AP24" s="456"/>
      <c r="AQ24" s="456"/>
      <c r="AR24" s="453"/>
      <c r="AS24" s="458"/>
      <c r="AT24" s="459"/>
    </row>
    <row r="25" spans="1:46" ht="40.35" customHeight="1" x14ac:dyDescent="0.4">
      <c r="A25" s="182"/>
      <c r="B25" s="352">
        <v>1</v>
      </c>
      <c r="C25" s="182" t="s">
        <v>135</v>
      </c>
      <c r="D25" s="182" t="s">
        <v>306</v>
      </c>
      <c r="E25" s="182"/>
      <c r="F25" s="182"/>
      <c r="G25" s="182"/>
      <c r="H25" s="182"/>
      <c r="I25" s="182"/>
      <c r="J25" s="182"/>
      <c r="K25" s="182"/>
      <c r="L25" s="182" t="s">
        <v>154</v>
      </c>
      <c r="M25" s="182" t="s">
        <v>155</v>
      </c>
      <c r="N25" s="438" t="s">
        <v>314</v>
      </c>
      <c r="O25" s="438" t="s">
        <v>315</v>
      </c>
      <c r="P25" s="438" t="s">
        <v>316</v>
      </c>
      <c r="Q25" s="438" t="s">
        <v>310</v>
      </c>
      <c r="R25" s="438" t="s">
        <v>168</v>
      </c>
      <c r="S25" s="438" t="s">
        <v>146</v>
      </c>
      <c r="T25" s="182"/>
      <c r="U25" s="182"/>
      <c r="V25" s="182"/>
      <c r="W25" s="438">
        <v>2021</v>
      </c>
      <c r="X25" s="441">
        <f>X24*18%</f>
        <v>170.1</v>
      </c>
      <c r="Y25" s="438"/>
      <c r="Z25" s="441" t="s">
        <v>311</v>
      </c>
      <c r="AA25" s="441" t="s">
        <v>311</v>
      </c>
      <c r="AB25" s="441">
        <f>AB24*18%</f>
        <v>2.34</v>
      </c>
      <c r="AC25" s="438"/>
      <c r="AD25" s="438"/>
      <c r="AE25" s="438"/>
      <c r="AF25" s="438"/>
      <c r="AG25" s="441">
        <f>AG24*18%</f>
        <v>1.08</v>
      </c>
      <c r="AH25" s="441"/>
      <c r="AI25" s="438" t="s">
        <v>163</v>
      </c>
      <c r="AJ25" s="182"/>
      <c r="AK25" s="441">
        <v>1</v>
      </c>
      <c r="AL25" s="444"/>
      <c r="AM25" s="451">
        <f>X25*P1_reinigen_daken_met_vaste_dakveiligheid</f>
        <v>0</v>
      </c>
      <c r="AN25" s="452">
        <f>Y25*P1_reinigen_goten_met_vaste_dakveiligheid</f>
        <v>0</v>
      </c>
      <c r="AO25" s="452">
        <f>(AE25*P1_Reinigen_Lichtkoepel_50X50)+('Perceel 1'!AF25*P1_Reinigen_Lichtkoepel_60x200)+('Perceel 1'!AG25*P1_Reinigen_Lichtkoepel_180x180)+('Perceel 1'!AH25*P1_Reinigen_Lichtstraten_groter_dan_180x180)</f>
        <v>0</v>
      </c>
      <c r="AP25" s="452"/>
      <c r="AQ25" s="452">
        <f>(X25+Y25)*P1_Inspecteren_daken_en_goten_1x_per_jaar_gelijktijdig_met_reiniging_inclusief_inspectierapport_en_een_managementrapport</f>
        <v>0</v>
      </c>
      <c r="AR25" s="472">
        <f>AR24*18%</f>
        <v>0</v>
      </c>
      <c r="AS25" s="454">
        <f>AR25*P1_keuren_dakveiligheid_per_man_uur</f>
        <v>0</v>
      </c>
      <c r="AT25" s="455">
        <f t="shared" si="2"/>
        <v>0</v>
      </c>
    </row>
    <row r="26" spans="1:46" ht="40.35" customHeight="1" x14ac:dyDescent="0.4">
      <c r="A26" s="182"/>
      <c r="B26" s="352">
        <v>1</v>
      </c>
      <c r="C26" s="182" t="s">
        <v>135</v>
      </c>
      <c r="D26" s="182" t="s">
        <v>136</v>
      </c>
      <c r="E26" s="182"/>
      <c r="F26" s="182"/>
      <c r="G26" s="182"/>
      <c r="H26" s="182"/>
      <c r="I26" s="182"/>
      <c r="J26" s="182"/>
      <c r="K26" s="182"/>
      <c r="L26" s="182" t="s">
        <v>154</v>
      </c>
      <c r="M26" s="182" t="s">
        <v>155</v>
      </c>
      <c r="N26" s="462">
        <v>1196</v>
      </c>
      <c r="O26" s="438" t="s">
        <v>317</v>
      </c>
      <c r="P26" s="438" t="s">
        <v>318</v>
      </c>
      <c r="Q26" s="438" t="s">
        <v>310</v>
      </c>
      <c r="R26" s="438" t="s">
        <v>168</v>
      </c>
      <c r="S26" s="438" t="s">
        <v>146</v>
      </c>
      <c r="T26" s="182"/>
      <c r="U26" s="182"/>
      <c r="V26" s="182"/>
      <c r="W26" s="438">
        <v>2021</v>
      </c>
      <c r="X26" s="441">
        <f>X24*82%</f>
        <v>774.9</v>
      </c>
      <c r="Y26" s="438"/>
      <c r="Z26" s="441" t="s">
        <v>311</v>
      </c>
      <c r="AA26" s="441" t="s">
        <v>311</v>
      </c>
      <c r="AB26" s="441">
        <f>AB24*82%</f>
        <v>10.66</v>
      </c>
      <c r="AC26" s="438"/>
      <c r="AD26" s="438"/>
      <c r="AE26" s="438"/>
      <c r="AF26" s="438"/>
      <c r="AG26" s="441">
        <f>AG24*82%</f>
        <v>4.92</v>
      </c>
      <c r="AH26" s="441"/>
      <c r="AI26" s="438" t="s">
        <v>163</v>
      </c>
      <c r="AJ26" s="182"/>
      <c r="AK26" s="441">
        <v>1</v>
      </c>
      <c r="AL26" s="444"/>
      <c r="AM26" s="451">
        <f>X26*P1_reinigen_daken_met_vaste_dakveiligheid</f>
        <v>0</v>
      </c>
      <c r="AN26" s="452">
        <f>Y26*P1_reinigen_goten_met_vaste_dakveiligheid</f>
        <v>0</v>
      </c>
      <c r="AO26" s="452">
        <f>(AE26*P1_Reinigen_Lichtkoepel_50X50)+('Perceel 1'!AF26*P1_Reinigen_Lichtkoepel_60x200)+('Perceel 1'!AG26*P1_Reinigen_Lichtkoepel_180x180)+('Perceel 1'!AH26*P1_Reinigen_Lichtstraten_groter_dan_180x180)</f>
        <v>0</v>
      </c>
      <c r="AP26" s="452"/>
      <c r="AQ26" s="452">
        <f>(X26+Y26)*P1_Inspecteren_daken_en_goten_1x_per_jaar_gelijktijdig_met_reiniging_inclusief_inspectierapport_en_een_managementrapport</f>
        <v>0</v>
      </c>
      <c r="AR26" s="472">
        <f>AR24*72%</f>
        <v>0</v>
      </c>
      <c r="AS26" s="454">
        <f>AR26*P1_keuren_dakveiligheid_per_man_uur</f>
        <v>0</v>
      </c>
      <c r="AT26" s="455">
        <f t="shared" si="2"/>
        <v>0</v>
      </c>
    </row>
    <row r="27" spans="1:46" ht="69.400000000000006" x14ac:dyDescent="0.4">
      <c r="A27" s="160"/>
      <c r="B27" s="348">
        <v>1</v>
      </c>
      <c r="C27" s="160" t="s">
        <v>135</v>
      </c>
      <c r="D27" s="160" t="s">
        <v>136</v>
      </c>
      <c r="E27" s="160"/>
      <c r="F27" s="160"/>
      <c r="G27" s="160"/>
      <c r="H27" s="160"/>
      <c r="I27" s="160"/>
      <c r="J27" s="160"/>
      <c r="K27" s="160"/>
      <c r="L27" s="160"/>
      <c r="M27" s="160" t="s">
        <v>319</v>
      </c>
      <c r="N27" s="463">
        <v>1030</v>
      </c>
      <c r="O27" s="435" t="s">
        <v>320</v>
      </c>
      <c r="P27" s="435" t="s">
        <v>321</v>
      </c>
      <c r="Q27" s="435" t="s">
        <v>322</v>
      </c>
      <c r="R27" s="461" t="s">
        <v>168</v>
      </c>
      <c r="S27" s="435" t="s">
        <v>146</v>
      </c>
      <c r="T27" s="160"/>
      <c r="U27" s="160"/>
      <c r="V27" s="160"/>
      <c r="W27" s="435">
        <v>2020</v>
      </c>
      <c r="X27" s="443">
        <v>42</v>
      </c>
      <c r="Y27" s="435"/>
      <c r="Z27" s="443" t="s">
        <v>311</v>
      </c>
      <c r="AA27" s="443" t="s">
        <v>323</v>
      </c>
      <c r="AB27" s="435"/>
      <c r="AC27" s="435"/>
      <c r="AD27" s="443" t="s">
        <v>323</v>
      </c>
      <c r="AE27" s="443"/>
      <c r="AF27" s="443"/>
      <c r="AG27" s="443"/>
      <c r="AH27" s="435"/>
      <c r="AI27" s="435" t="s">
        <v>324</v>
      </c>
      <c r="AJ27" s="160"/>
      <c r="AK27" s="443">
        <v>1</v>
      </c>
      <c r="AL27" s="444"/>
      <c r="AM27" s="451">
        <f>X27*P1_Reinigen_daken_incl._extra_maatregelen_veilig_werken_volgens_VCA__eventuele_vergunningen_leges___voorrijkosten__adminstratieve_kosten__fotorapportage_en_kleine_reparaties_¹</f>
        <v>0</v>
      </c>
      <c r="AN27" s="452">
        <f>Y27*P1_Reinigen_goten_incl._extra_maatregelen_veilig_werken_volgens_VCA__eventuele_vergunningen_leges___voorrijkosten__adminstratieve_kosten__fotorapportage_en_kleine_reparaties_¹</f>
        <v>0</v>
      </c>
      <c r="AO27" s="452">
        <f>(AE27*P1_Reinigen_Lichtkoepel_50X50)+('Perceel 1'!AF27*P1_Reinigen_Lichtkoepel_60x200)+('Perceel 1'!AG27*P1_Reinigen_Lichtkoepel_180x180)+('Perceel 1'!AH27*P1_Reinigen_Lichtstraten_groter_dan_180x180)</f>
        <v>0</v>
      </c>
      <c r="AP27" s="452"/>
      <c r="AQ27" s="452">
        <f>(X27+Y27)*P1_Inspecteren_daken_en_goten_1x_per_jaar_gelijktijdig_met_reiniging_inclusief_inspectierapport_en_een_managementrapport</f>
        <v>0</v>
      </c>
      <c r="AR27" s="453"/>
      <c r="AS27" s="454">
        <f>AR27*P1_keuren_dakveiligheid_per_man_uur</f>
        <v>0</v>
      </c>
      <c r="AT27" s="455">
        <f t="shared" si="2"/>
        <v>0</v>
      </c>
    </row>
    <row r="28" spans="1:46" ht="38.25" x14ac:dyDescent="0.45">
      <c r="A28" s="155"/>
      <c r="B28" s="347">
        <v>1</v>
      </c>
      <c r="C28" s="156" t="s">
        <v>135</v>
      </c>
      <c r="D28" s="156" t="s">
        <v>136</v>
      </c>
      <c r="E28" s="156"/>
      <c r="F28" s="156"/>
      <c r="G28" s="156"/>
      <c r="H28" s="151" t="s">
        <v>325</v>
      </c>
      <c r="I28" s="151" t="s">
        <v>326</v>
      </c>
      <c r="J28" s="157"/>
      <c r="K28" s="158"/>
      <c r="L28" s="163" t="s">
        <v>154</v>
      </c>
      <c r="M28" s="166" t="s">
        <v>155</v>
      </c>
      <c r="N28" s="463" t="s">
        <v>327</v>
      </c>
      <c r="O28" s="353" t="s">
        <v>328</v>
      </c>
      <c r="P28" s="353" t="s">
        <v>329</v>
      </c>
      <c r="Q28" s="353" t="s">
        <v>213</v>
      </c>
      <c r="R28" s="355" t="s">
        <v>168</v>
      </c>
      <c r="S28" s="435" t="s">
        <v>146</v>
      </c>
      <c r="T28" s="159" t="s">
        <v>330</v>
      </c>
      <c r="U28" s="159" t="s">
        <v>331</v>
      </c>
      <c r="V28" s="176" t="s">
        <v>332</v>
      </c>
      <c r="W28" s="361">
        <v>2013</v>
      </c>
      <c r="X28" s="361">
        <v>48</v>
      </c>
      <c r="Y28" s="361"/>
      <c r="Z28" s="361"/>
      <c r="AA28" s="388"/>
      <c r="AB28" s="388"/>
      <c r="AC28" s="388"/>
      <c r="AD28" s="388"/>
      <c r="AE28" s="388"/>
      <c r="AF28" s="388"/>
      <c r="AG28" s="388"/>
      <c r="AH28" s="388"/>
      <c r="AI28" s="389"/>
      <c r="AJ28" s="199"/>
      <c r="AK28" s="443">
        <v>1</v>
      </c>
      <c r="AL28" s="444"/>
      <c r="AM28" s="451">
        <f>X28*P1_Reinigen_daken_incl._extra_maatregelen_veilig_werken_volgens_VCA__eventuele_vergunningen_leges___voorrijkosten__adminstratieve_kosten__fotorapportage_en_kleine_reparaties_¹</f>
        <v>0</v>
      </c>
      <c r="AN28" s="452">
        <f>Y28*P1_Reinigen_goten_incl._extra_maatregelen_veilig_werken_volgens_VCA__eventuele_vergunningen_leges___voorrijkosten__adminstratieve_kosten__fotorapportage_en_kleine_reparaties_¹</f>
        <v>0</v>
      </c>
      <c r="AO28" s="452">
        <f>(AE28*P1_Reinigen_Lichtkoepel_50X50)+('Perceel 1'!AF28*P1_Reinigen_Lichtkoepel_60x200)+('Perceel 1'!AG28*P1_Reinigen_Lichtkoepel_180x180)+('Perceel 1'!AH28*P1_Reinigen_Lichtstraten_groter_dan_180x180)</f>
        <v>0</v>
      </c>
      <c r="AP28" s="452"/>
      <c r="AQ28" s="452">
        <f>(X28+Y28)*P1_Inspecteren_daken_en_goten_1x_per_jaar_gelijktijdig_met_reiniging_inclusief_inspectierapport_en_een_managementrapport</f>
        <v>0</v>
      </c>
      <c r="AR28" s="456"/>
      <c r="AS28" s="454">
        <f>AR28*P1_keuren_dakveiligheid_per_man_uur</f>
        <v>0</v>
      </c>
      <c r="AT28" s="455">
        <f t="shared" si="2"/>
        <v>0</v>
      </c>
    </row>
    <row r="29" spans="1:46" x14ac:dyDescent="0.45">
      <c r="A29" s="155"/>
      <c r="B29" s="348">
        <v>1</v>
      </c>
      <c r="C29" s="156" t="s">
        <v>135</v>
      </c>
      <c r="D29" s="156" t="s">
        <v>136</v>
      </c>
      <c r="E29" s="156"/>
      <c r="F29" s="156"/>
      <c r="G29" s="156"/>
      <c r="H29" s="151" t="s">
        <v>333</v>
      </c>
      <c r="I29" s="151" t="s">
        <v>334</v>
      </c>
      <c r="J29" s="157"/>
      <c r="K29" s="163"/>
      <c r="L29" s="163" t="s">
        <v>154</v>
      </c>
      <c r="M29" s="166" t="s">
        <v>155</v>
      </c>
      <c r="N29" s="435" t="s">
        <v>335</v>
      </c>
      <c r="O29" s="353" t="s">
        <v>336</v>
      </c>
      <c r="P29" s="435" t="s">
        <v>337</v>
      </c>
      <c r="Q29" s="435" t="s">
        <v>338</v>
      </c>
      <c r="R29" s="464" t="s">
        <v>339</v>
      </c>
      <c r="S29" s="435" t="s">
        <v>340</v>
      </c>
      <c r="T29" s="159" t="s">
        <v>341</v>
      </c>
      <c r="U29" s="159" t="s">
        <v>342</v>
      </c>
      <c r="V29" s="176" t="s">
        <v>343</v>
      </c>
      <c r="W29" s="361">
        <v>1984</v>
      </c>
      <c r="X29" s="361">
        <v>2826</v>
      </c>
      <c r="Y29" s="361"/>
      <c r="Z29" s="361" t="s">
        <v>311</v>
      </c>
      <c r="AA29" s="361" t="s">
        <v>150</v>
      </c>
      <c r="AB29" s="361">
        <v>37</v>
      </c>
      <c r="AC29" s="361">
        <v>265</v>
      </c>
      <c r="AD29" s="361" t="s">
        <v>344</v>
      </c>
      <c r="AE29" s="361"/>
      <c r="AF29" s="361"/>
      <c r="AG29" s="361"/>
      <c r="AH29" s="361"/>
      <c r="AI29" s="361" t="s">
        <v>345</v>
      </c>
      <c r="AJ29" s="177" t="s">
        <v>346</v>
      </c>
      <c r="AK29" s="443">
        <v>1</v>
      </c>
      <c r="AL29" s="444"/>
      <c r="AM29" s="451">
        <f>X29*P1_reinigen_daken_met_vaste_dakveiligheid</f>
        <v>0</v>
      </c>
      <c r="AN29" s="452">
        <f>Y29*P1_reinigen_goten_met_vaste_dakveiligheid</f>
        <v>0</v>
      </c>
      <c r="AO29" s="452">
        <f>(AE29*P1_Reinigen_Lichtkoepel_50X50)+('Perceel 1'!AF29*P1_Reinigen_Lichtkoepel_60x200)+('Perceel 1'!AG29*P1_Reinigen_Lichtkoepel_180x180)+('Perceel 1'!AH29*P1_Reinigen_Lichtstraten_groter_dan_180x180)</f>
        <v>0</v>
      </c>
      <c r="AP29" s="452"/>
      <c r="AQ29" s="452">
        <f>(X29+Y29)*P1_Inspecteren_daken_en_goten_1x_per_jaar_gelijktijdig_met_reiniging_inclusief_inspectierapport_en_een_managementrapport</f>
        <v>0</v>
      </c>
      <c r="AR29" s="453"/>
      <c r="AS29" s="454">
        <f>AR29*P1_keuren_dakveiligheid_per_man_uur</f>
        <v>0</v>
      </c>
      <c r="AT29" s="455">
        <f t="shared" si="2"/>
        <v>0</v>
      </c>
    </row>
    <row r="30" spans="1:46" ht="12.75" customHeight="1" x14ac:dyDescent="0.4">
      <c r="A30" s="169"/>
      <c r="B30" s="357">
        <v>1</v>
      </c>
      <c r="C30" s="169" t="s">
        <v>135</v>
      </c>
      <c r="D30" s="169" t="s">
        <v>347</v>
      </c>
      <c r="E30" s="169"/>
      <c r="F30" s="169"/>
      <c r="G30" s="169"/>
      <c r="H30" s="17"/>
      <c r="I30" s="17"/>
      <c r="J30" s="17"/>
      <c r="K30" s="17"/>
      <c r="L30" s="169" t="s">
        <v>348</v>
      </c>
      <c r="M30" s="169" t="s">
        <v>349</v>
      </c>
      <c r="N30" s="436" t="s">
        <v>350</v>
      </c>
      <c r="O30" s="357" t="s">
        <v>351</v>
      </c>
      <c r="P30" s="436" t="s">
        <v>352</v>
      </c>
      <c r="Q30" s="436" t="s">
        <v>338</v>
      </c>
      <c r="R30" s="437" t="s">
        <v>339</v>
      </c>
      <c r="S30" s="436" t="s">
        <v>340</v>
      </c>
      <c r="T30" s="169"/>
      <c r="U30" s="169"/>
      <c r="V30" s="169"/>
      <c r="W30" s="436">
        <v>1987</v>
      </c>
      <c r="X30" s="440">
        <v>2569</v>
      </c>
      <c r="Y30" s="436"/>
      <c r="Z30" s="357"/>
      <c r="AA30" s="357"/>
      <c r="AB30" s="357">
        <v>15</v>
      </c>
      <c r="AC30" s="357"/>
      <c r="AD30" s="357"/>
      <c r="AE30" s="357"/>
      <c r="AF30" s="357"/>
      <c r="AG30" s="357"/>
      <c r="AH30" s="357"/>
      <c r="AI30" s="357"/>
      <c r="AJ30" s="169"/>
      <c r="AK30" s="440">
        <v>1</v>
      </c>
      <c r="AL30" s="460"/>
      <c r="AM30" s="457"/>
      <c r="AN30" s="456"/>
      <c r="AO30" s="456"/>
      <c r="AP30" s="456"/>
      <c r="AQ30" s="456"/>
      <c r="AR30" s="456"/>
      <c r="AS30" s="458"/>
      <c r="AT30" s="459"/>
    </row>
    <row r="31" spans="1:46" ht="12.75" customHeight="1" x14ac:dyDescent="0.4">
      <c r="A31" s="182"/>
      <c r="B31" s="352">
        <v>1</v>
      </c>
      <c r="C31" s="175" t="s">
        <v>135</v>
      </c>
      <c r="D31" s="175" t="s">
        <v>347</v>
      </c>
      <c r="E31" s="175"/>
      <c r="F31" s="175"/>
      <c r="G31" s="175"/>
      <c r="H31" s="174" t="s">
        <v>353</v>
      </c>
      <c r="I31" s="174" t="s">
        <v>354</v>
      </c>
      <c r="J31" s="197"/>
      <c r="K31" s="197"/>
      <c r="L31" s="174"/>
      <c r="M31" s="175" t="s">
        <v>349</v>
      </c>
      <c r="N31" s="438" t="s">
        <v>355</v>
      </c>
      <c r="O31" s="358" t="s">
        <v>356</v>
      </c>
      <c r="P31" s="438" t="s">
        <v>352</v>
      </c>
      <c r="Q31" s="438" t="s">
        <v>338</v>
      </c>
      <c r="R31" s="439" t="s">
        <v>339</v>
      </c>
      <c r="S31" s="438" t="s">
        <v>340</v>
      </c>
      <c r="T31" s="175" t="s">
        <v>357</v>
      </c>
      <c r="U31" s="175" t="s">
        <v>358</v>
      </c>
      <c r="V31" s="175" t="s">
        <v>359</v>
      </c>
      <c r="W31" s="438">
        <v>1988</v>
      </c>
      <c r="X31" s="441">
        <f>X30*14%</f>
        <v>359.66</v>
      </c>
      <c r="Y31" s="438"/>
      <c r="Z31" s="358"/>
      <c r="AA31" s="358"/>
      <c r="AB31" s="358"/>
      <c r="AC31" s="358"/>
      <c r="AD31" s="358"/>
      <c r="AE31" s="358"/>
      <c r="AF31" s="358"/>
      <c r="AG31" s="358"/>
      <c r="AH31" s="358"/>
      <c r="AI31" s="358"/>
      <c r="AJ31" s="175"/>
      <c r="AK31" s="441">
        <v>1</v>
      </c>
      <c r="AL31" s="460"/>
      <c r="AM31" s="451">
        <f>X31*P1_reinigen_daken_met_vaste_dakveiligheid</f>
        <v>0</v>
      </c>
      <c r="AN31" s="452">
        <f>Y31*P1_reinigen_goten_met_vaste_dakveiligheid</f>
        <v>0</v>
      </c>
      <c r="AO31" s="452">
        <f>(AE31*P1_Reinigen_Lichtkoepel_50X50)+('Perceel 1'!AF31*P1_Reinigen_Lichtkoepel_60x200)+('Perceel 1'!AG31*P1_Reinigen_Lichtkoepel_180x180)+('Perceel 1'!AH31*P1_Reinigen_Lichtstraten_groter_dan_180x180)</f>
        <v>0</v>
      </c>
      <c r="AP31" s="452"/>
      <c r="AQ31" s="452">
        <f t="shared" ref="AQ31:AQ38" si="4">(X31+Y31)*P1_Inspecteren_daken_en_goten_1x_per_jaar_gelijktijdig_met_reiniging_inclusief_inspectierapport_en_een_managementrapport</f>
        <v>0</v>
      </c>
      <c r="AR31" s="456"/>
      <c r="AS31" s="454">
        <f t="shared" ref="AS31:AS38" si="5">AR31*P1_keuren_dakveiligheid_per_man_uur</f>
        <v>0</v>
      </c>
      <c r="AT31" s="455">
        <f t="shared" si="2"/>
        <v>0</v>
      </c>
    </row>
    <row r="32" spans="1:46" ht="25.5" x14ac:dyDescent="0.4">
      <c r="A32" s="182"/>
      <c r="B32" s="352">
        <v>1</v>
      </c>
      <c r="C32" s="175" t="s">
        <v>135</v>
      </c>
      <c r="D32" s="175" t="s">
        <v>347</v>
      </c>
      <c r="E32" s="175"/>
      <c r="F32" s="175"/>
      <c r="G32" s="175"/>
      <c r="H32" s="174" t="s">
        <v>360</v>
      </c>
      <c r="I32" s="174" t="s">
        <v>361</v>
      </c>
      <c r="J32" s="197"/>
      <c r="K32" s="197"/>
      <c r="L32" s="174"/>
      <c r="M32" s="175" t="s">
        <v>349</v>
      </c>
      <c r="N32" s="438" t="s">
        <v>362</v>
      </c>
      <c r="O32" s="358" t="s">
        <v>363</v>
      </c>
      <c r="P32" s="438" t="s">
        <v>352</v>
      </c>
      <c r="Q32" s="438" t="s">
        <v>338</v>
      </c>
      <c r="R32" s="439" t="s">
        <v>339</v>
      </c>
      <c r="S32" s="438" t="s">
        <v>340</v>
      </c>
      <c r="T32" s="175" t="s">
        <v>364</v>
      </c>
      <c r="U32" s="175" t="s">
        <v>365</v>
      </c>
      <c r="V32" s="175" t="s">
        <v>359</v>
      </c>
      <c r="W32" s="438">
        <v>1987</v>
      </c>
      <c r="X32" s="441">
        <f>X30*86%</f>
        <v>2209.34</v>
      </c>
      <c r="Y32" s="438"/>
      <c r="Z32" s="358"/>
      <c r="AA32" s="358" t="s">
        <v>311</v>
      </c>
      <c r="AB32" s="358">
        <v>15</v>
      </c>
      <c r="AC32" s="358"/>
      <c r="AD32" s="358"/>
      <c r="AE32" s="358"/>
      <c r="AF32" s="358"/>
      <c r="AG32" s="358"/>
      <c r="AH32" s="358"/>
      <c r="AI32" s="358"/>
      <c r="AJ32" s="175"/>
      <c r="AK32" s="441">
        <v>1</v>
      </c>
      <c r="AL32" s="460"/>
      <c r="AM32" s="451">
        <f>X32*P1_reinigen_daken_met_vaste_dakveiligheid</f>
        <v>0</v>
      </c>
      <c r="AN32" s="452">
        <f>Y32*P1_reinigen_goten_met_vaste_dakveiligheid</f>
        <v>0</v>
      </c>
      <c r="AO32" s="452">
        <f>(AE32*P1_Reinigen_Lichtkoepel_50X50)+('Perceel 1'!AF32*P1_Reinigen_Lichtkoepel_60x200)+('Perceel 1'!AG32*P1_Reinigen_Lichtkoepel_180x180)+('Perceel 1'!AH32*P1_Reinigen_Lichtstraten_groter_dan_180x180)</f>
        <v>0</v>
      </c>
      <c r="AP32" s="452"/>
      <c r="AQ32" s="452">
        <f t="shared" si="4"/>
        <v>0</v>
      </c>
      <c r="AR32" s="453"/>
      <c r="AS32" s="454">
        <f t="shared" si="5"/>
        <v>0</v>
      </c>
      <c r="AT32" s="455">
        <f t="shared" si="2"/>
        <v>0</v>
      </c>
    </row>
    <row r="33" spans="1:46" ht="51" x14ac:dyDescent="0.45">
      <c r="A33" s="155"/>
      <c r="B33" s="348">
        <v>1</v>
      </c>
      <c r="C33" s="156" t="s">
        <v>135</v>
      </c>
      <c r="D33" s="156" t="s">
        <v>136</v>
      </c>
      <c r="E33" s="156"/>
      <c r="F33" s="156"/>
      <c r="G33" s="156"/>
      <c r="H33" s="151" t="s">
        <v>366</v>
      </c>
      <c r="I33" s="151" t="s">
        <v>367</v>
      </c>
      <c r="J33" s="157"/>
      <c r="K33" s="163"/>
      <c r="L33" s="151" t="s">
        <v>139</v>
      </c>
      <c r="M33" s="159" t="s">
        <v>140</v>
      </c>
      <c r="N33" s="435" t="s">
        <v>368</v>
      </c>
      <c r="O33" s="353" t="s">
        <v>369</v>
      </c>
      <c r="P33" s="435" t="s">
        <v>370</v>
      </c>
      <c r="Q33" s="435" t="s">
        <v>371</v>
      </c>
      <c r="R33" s="465" t="s">
        <v>372</v>
      </c>
      <c r="S33" s="435" t="s">
        <v>189</v>
      </c>
      <c r="T33" s="159" t="s">
        <v>373</v>
      </c>
      <c r="U33" s="159" t="s">
        <v>374</v>
      </c>
      <c r="V33" s="176" t="s">
        <v>375</v>
      </c>
      <c r="W33" s="361">
        <v>1980</v>
      </c>
      <c r="X33" s="361">
        <v>486</v>
      </c>
      <c r="Y33" s="361">
        <v>28</v>
      </c>
      <c r="Z33" s="361" t="s">
        <v>311</v>
      </c>
      <c r="AA33" s="361" t="s">
        <v>311</v>
      </c>
      <c r="AB33" s="361">
        <v>8</v>
      </c>
      <c r="AC33" s="361">
        <v>35</v>
      </c>
      <c r="AD33" s="361"/>
      <c r="AE33" s="361"/>
      <c r="AF33" s="361"/>
      <c r="AG33" s="361"/>
      <c r="AH33" s="361"/>
      <c r="AI33" s="361" t="s">
        <v>376</v>
      </c>
      <c r="AJ33" s="177" t="s">
        <v>223</v>
      </c>
      <c r="AK33" s="443">
        <v>2</v>
      </c>
      <c r="AL33" s="369"/>
      <c r="AM33" s="451">
        <f>X33*P1_reinigen_daken_met_vaste_dakveiligheid</f>
        <v>0</v>
      </c>
      <c r="AN33" s="452">
        <f>Y33*P1_reinigen_goten_met_vaste_dakveiligheid</f>
        <v>0</v>
      </c>
      <c r="AO33" s="452">
        <f>(AE33*P1_Reinigen_Lichtkoepel_50X50)+('Perceel 1'!AF33*P1_Reinigen_Lichtkoepel_60x200)+('Perceel 1'!AG33*P1_Reinigen_Lichtkoepel_180x180)+('Perceel 1'!AH33*P1_Reinigen_Lichtstraten_groter_dan_180x180)</f>
        <v>0</v>
      </c>
      <c r="AP33" s="452"/>
      <c r="AQ33" s="452">
        <f t="shared" si="4"/>
        <v>0</v>
      </c>
      <c r="AR33" s="453"/>
      <c r="AS33" s="454">
        <f t="shared" si="5"/>
        <v>0</v>
      </c>
      <c r="AT33" s="455">
        <f>(AM33*AK33)+(AN33*AK33)+AO33+AQ33+AS33</f>
        <v>0</v>
      </c>
    </row>
    <row r="34" spans="1:46" ht="51" x14ac:dyDescent="0.45">
      <c r="A34" s="155"/>
      <c r="B34" s="348">
        <v>1</v>
      </c>
      <c r="C34" s="156" t="s">
        <v>135</v>
      </c>
      <c r="D34" s="156" t="s">
        <v>136</v>
      </c>
      <c r="E34" s="156"/>
      <c r="F34" s="156"/>
      <c r="G34" s="156"/>
      <c r="H34" s="151" t="s">
        <v>377</v>
      </c>
      <c r="I34" s="151" t="s">
        <v>378</v>
      </c>
      <c r="J34" s="157"/>
      <c r="K34" s="163"/>
      <c r="L34" s="163" t="s">
        <v>154</v>
      </c>
      <c r="M34" s="166" t="s">
        <v>155</v>
      </c>
      <c r="N34" s="435" t="s">
        <v>379</v>
      </c>
      <c r="O34" s="353" t="s">
        <v>380</v>
      </c>
      <c r="P34" s="435" t="s">
        <v>381</v>
      </c>
      <c r="Q34" s="435" t="s">
        <v>371</v>
      </c>
      <c r="R34" s="461" t="s">
        <v>372</v>
      </c>
      <c r="S34" s="435" t="s">
        <v>189</v>
      </c>
      <c r="T34" s="159" t="s">
        <v>169</v>
      </c>
      <c r="U34" s="159" t="s">
        <v>170</v>
      </c>
      <c r="V34" s="176" t="s">
        <v>171</v>
      </c>
      <c r="W34" s="361">
        <v>1980</v>
      </c>
      <c r="X34" s="361">
        <v>497</v>
      </c>
      <c r="Y34" s="361"/>
      <c r="Z34" s="361"/>
      <c r="AA34" s="361"/>
      <c r="AB34" s="361"/>
      <c r="AC34" s="361"/>
      <c r="AD34" s="361"/>
      <c r="AE34" s="361"/>
      <c r="AF34" s="361"/>
      <c r="AG34" s="361"/>
      <c r="AH34" s="361"/>
      <c r="AI34" s="361"/>
      <c r="AJ34" s="177"/>
      <c r="AK34" s="443">
        <v>1</v>
      </c>
      <c r="AL34" s="444"/>
      <c r="AM34" s="451">
        <f>X34*P1_Reinigen_daken_incl._extra_maatregelen_veilig_werken_volgens_VCA__eventuele_vergunningen_leges___voorrijkosten__adminstratieve_kosten__fotorapportage_en_kleine_reparaties_¹</f>
        <v>0</v>
      </c>
      <c r="AN34" s="452">
        <f>Y34*P1_Reinigen_goten_incl._extra_maatregelen_veilig_werken_volgens_VCA__eventuele_vergunningen_leges___voorrijkosten__adminstratieve_kosten__fotorapportage_en_kleine_reparaties_¹</f>
        <v>0</v>
      </c>
      <c r="AO34" s="452">
        <f>(AE34*P1_Reinigen_Lichtkoepel_50X50)+('Perceel 1'!AF34*P1_Reinigen_Lichtkoepel_60x200)+('Perceel 1'!AG34*P1_Reinigen_Lichtkoepel_180x180)+('Perceel 1'!AH34*P1_Reinigen_Lichtstraten_groter_dan_180x180)</f>
        <v>0</v>
      </c>
      <c r="AP34" s="452"/>
      <c r="AQ34" s="452">
        <f t="shared" si="4"/>
        <v>0</v>
      </c>
      <c r="AR34" s="456"/>
      <c r="AS34" s="454">
        <f t="shared" si="5"/>
        <v>0</v>
      </c>
      <c r="AT34" s="455">
        <f t="shared" si="2"/>
        <v>0</v>
      </c>
    </row>
    <row r="35" spans="1:46" ht="63.75" x14ac:dyDescent="0.45">
      <c r="A35" s="155"/>
      <c r="B35" s="347">
        <v>1</v>
      </c>
      <c r="C35" s="156" t="s">
        <v>135</v>
      </c>
      <c r="D35" s="156" t="s">
        <v>136</v>
      </c>
      <c r="E35" s="156"/>
      <c r="F35" s="156"/>
      <c r="G35" s="156"/>
      <c r="H35" s="151" t="s">
        <v>382</v>
      </c>
      <c r="I35" s="151" t="s">
        <v>383</v>
      </c>
      <c r="J35" s="157"/>
      <c r="K35" s="163"/>
      <c r="L35" s="151" t="s">
        <v>139</v>
      </c>
      <c r="M35" s="159" t="s">
        <v>140</v>
      </c>
      <c r="N35" s="304">
        <v>9003</v>
      </c>
      <c r="O35" s="353" t="s">
        <v>384</v>
      </c>
      <c r="P35" s="353" t="s">
        <v>385</v>
      </c>
      <c r="Q35" s="353" t="s">
        <v>386</v>
      </c>
      <c r="R35" s="355" t="s">
        <v>387</v>
      </c>
      <c r="S35" s="353" t="s">
        <v>189</v>
      </c>
      <c r="T35" s="159" t="s">
        <v>388</v>
      </c>
      <c r="U35" s="159" t="s">
        <v>389</v>
      </c>
      <c r="V35" s="176" t="s">
        <v>390</v>
      </c>
      <c r="W35" s="361">
        <v>1989</v>
      </c>
      <c r="X35" s="361">
        <f>875-41</f>
        <v>834</v>
      </c>
      <c r="Y35" s="361"/>
      <c r="Z35" s="361"/>
      <c r="AA35" s="361"/>
      <c r="AB35" s="361">
        <v>20</v>
      </c>
      <c r="AC35" s="361"/>
      <c r="AD35" s="361" t="s">
        <v>391</v>
      </c>
      <c r="AE35" s="361"/>
      <c r="AF35" s="361"/>
      <c r="AG35" s="361"/>
      <c r="AH35" s="361"/>
      <c r="AI35" s="361"/>
      <c r="AJ35" s="177"/>
      <c r="AK35" s="361">
        <v>1</v>
      </c>
      <c r="AL35" s="369"/>
      <c r="AM35" s="451">
        <f>X35*P1_reinigen_daken_met_vaste_dakveiligheid</f>
        <v>0</v>
      </c>
      <c r="AN35" s="452">
        <f>Y35*P1_reinigen_goten_met_vaste_dakveiligheid</f>
        <v>0</v>
      </c>
      <c r="AO35" s="452">
        <f>(AE35*P1_Reinigen_Lichtkoepel_50X50)+('Perceel 1'!AF35*P1_Reinigen_Lichtkoepel_60x200)+('Perceel 1'!AG35*P1_Reinigen_Lichtkoepel_180x180)+('Perceel 1'!AH35*P1_Reinigen_Lichtstraten_groter_dan_180x180)</f>
        <v>0</v>
      </c>
      <c r="AP35" s="452"/>
      <c r="AQ35" s="452">
        <f t="shared" si="4"/>
        <v>0</v>
      </c>
      <c r="AR35" s="453"/>
      <c r="AS35" s="454">
        <f t="shared" si="5"/>
        <v>0</v>
      </c>
      <c r="AT35" s="455">
        <f>(AM35*AK35)+(Y35*AK35)+AO35+AQ35+AS35</f>
        <v>0</v>
      </c>
    </row>
    <row r="36" spans="1:46" ht="27.75" x14ac:dyDescent="0.45">
      <c r="A36" s="155"/>
      <c r="B36" s="348">
        <v>1</v>
      </c>
      <c r="C36" s="156" t="s">
        <v>135</v>
      </c>
      <c r="D36" s="156" t="s">
        <v>136</v>
      </c>
      <c r="E36" s="156"/>
      <c r="F36" s="156"/>
      <c r="G36" s="156"/>
      <c r="H36" s="151" t="s">
        <v>392</v>
      </c>
      <c r="I36" s="151" t="s">
        <v>393</v>
      </c>
      <c r="J36" s="157"/>
      <c r="K36" s="163"/>
      <c r="L36" s="151" t="s">
        <v>139</v>
      </c>
      <c r="M36" s="159" t="s">
        <v>140</v>
      </c>
      <c r="N36" s="435" t="s">
        <v>394</v>
      </c>
      <c r="O36" s="353" t="s">
        <v>395</v>
      </c>
      <c r="P36" s="435" t="s">
        <v>396</v>
      </c>
      <c r="Q36" s="435" t="s">
        <v>397</v>
      </c>
      <c r="R36" s="461" t="s">
        <v>197</v>
      </c>
      <c r="S36" s="435" t="s">
        <v>189</v>
      </c>
      <c r="T36" s="159" t="s">
        <v>398</v>
      </c>
      <c r="U36" s="159" t="s">
        <v>399</v>
      </c>
      <c r="V36" s="176" t="s">
        <v>400</v>
      </c>
      <c r="W36" s="361">
        <v>1976</v>
      </c>
      <c r="X36" s="361">
        <v>247</v>
      </c>
      <c r="Y36" s="361"/>
      <c r="Z36" s="361"/>
      <c r="AA36" s="361"/>
      <c r="AB36" s="361"/>
      <c r="AC36" s="361"/>
      <c r="AD36" s="361"/>
      <c r="AE36" s="361"/>
      <c r="AF36" s="361"/>
      <c r="AG36" s="361"/>
      <c r="AH36" s="361"/>
      <c r="AI36" s="361"/>
      <c r="AJ36" s="177"/>
      <c r="AK36" s="443">
        <v>1</v>
      </c>
      <c r="AL36" s="444"/>
      <c r="AM36" s="451">
        <f>X36*P1_Reinigen_daken_incl._extra_maatregelen_veilig_werken_volgens_VCA__eventuele_vergunningen_leges___voorrijkosten__adminstratieve_kosten__fotorapportage_en_kleine_reparaties_¹</f>
        <v>0</v>
      </c>
      <c r="AN36" s="452">
        <f>Y36*P1_Reinigen_goten_incl._extra_maatregelen_veilig_werken_volgens_VCA__eventuele_vergunningen_leges___voorrijkosten__adminstratieve_kosten__fotorapportage_en_kleine_reparaties_¹</f>
        <v>0</v>
      </c>
      <c r="AO36" s="452">
        <f>(AE36*P1_Reinigen_Lichtkoepel_50X50)+('Perceel 1'!AF36*P1_Reinigen_Lichtkoepel_60x200)+('Perceel 1'!AG36*P1_Reinigen_Lichtkoepel_180x180)+('Perceel 1'!AH36*P1_Reinigen_Lichtstraten_groter_dan_180x180)</f>
        <v>0</v>
      </c>
      <c r="AP36" s="452"/>
      <c r="AQ36" s="452">
        <f t="shared" si="4"/>
        <v>0</v>
      </c>
      <c r="AR36" s="456"/>
      <c r="AS36" s="454">
        <f t="shared" si="5"/>
        <v>0</v>
      </c>
      <c r="AT36" s="455">
        <f>(AM36*AK36)+(Y36*AK36)+AO36+AQ36+AS36</f>
        <v>0</v>
      </c>
    </row>
    <row r="37" spans="1:46" x14ac:dyDescent="0.45">
      <c r="A37" s="155"/>
      <c r="B37" s="348">
        <v>1</v>
      </c>
      <c r="C37" s="156" t="s">
        <v>135</v>
      </c>
      <c r="D37" s="156" t="s">
        <v>136</v>
      </c>
      <c r="E37" s="156"/>
      <c r="F37" s="156"/>
      <c r="G37" s="156"/>
      <c r="H37" s="151" t="s">
        <v>401</v>
      </c>
      <c r="I37" s="151" t="s">
        <v>402</v>
      </c>
      <c r="J37" s="157"/>
      <c r="K37" s="163"/>
      <c r="L37" s="163" t="s">
        <v>154</v>
      </c>
      <c r="M37" s="166" t="s">
        <v>155</v>
      </c>
      <c r="N37" s="435" t="s">
        <v>403</v>
      </c>
      <c r="O37" s="353" t="s">
        <v>404</v>
      </c>
      <c r="P37" s="435" t="s">
        <v>405</v>
      </c>
      <c r="Q37" s="435" t="s">
        <v>406</v>
      </c>
      <c r="R37" s="461" t="s">
        <v>339</v>
      </c>
      <c r="S37" s="435" t="s">
        <v>340</v>
      </c>
      <c r="T37" s="159" t="s">
        <v>407</v>
      </c>
      <c r="U37" s="159" t="s">
        <v>408</v>
      </c>
      <c r="V37" s="176" t="s">
        <v>409</v>
      </c>
      <c r="W37" s="361">
        <v>1981</v>
      </c>
      <c r="X37" s="361">
        <v>382</v>
      </c>
      <c r="Y37" s="361"/>
      <c r="Z37" s="361"/>
      <c r="AA37" s="361"/>
      <c r="AB37" s="361">
        <v>12</v>
      </c>
      <c r="AC37" s="361">
        <v>36</v>
      </c>
      <c r="AD37" s="361"/>
      <c r="AE37" s="361"/>
      <c r="AF37" s="361"/>
      <c r="AG37" s="361"/>
      <c r="AH37" s="361"/>
      <c r="AI37" s="361"/>
      <c r="AJ37" s="177"/>
      <c r="AK37" s="443">
        <v>1</v>
      </c>
      <c r="AL37" s="369"/>
      <c r="AM37" s="451">
        <f>X37*P1_reinigen_daken_met_vaste_dakveiligheid</f>
        <v>0</v>
      </c>
      <c r="AN37" s="452">
        <f>Y37*P1_reinigen_goten_met_vaste_dakveiligheid</f>
        <v>0</v>
      </c>
      <c r="AO37" s="452">
        <f>(AE37*P1_Reinigen_Lichtkoepel_50X50)+('Perceel 1'!AF37*P1_Reinigen_Lichtkoepel_60x200)+('Perceel 1'!AG37*P1_Reinigen_Lichtkoepel_180x180)+('Perceel 1'!AH37*P1_Reinigen_Lichtstraten_groter_dan_180x180)</f>
        <v>0</v>
      </c>
      <c r="AP37" s="452"/>
      <c r="AQ37" s="452">
        <f t="shared" si="4"/>
        <v>0</v>
      </c>
      <c r="AR37" s="453"/>
      <c r="AS37" s="454">
        <f t="shared" si="5"/>
        <v>0</v>
      </c>
      <c r="AT37" s="455">
        <f t="shared" si="2"/>
        <v>0</v>
      </c>
    </row>
    <row r="38" spans="1:46" ht="38.25" x14ac:dyDescent="0.45">
      <c r="A38" s="155"/>
      <c r="B38" s="347">
        <v>1</v>
      </c>
      <c r="C38" s="156" t="s">
        <v>135</v>
      </c>
      <c r="D38" s="156" t="s">
        <v>136</v>
      </c>
      <c r="E38" s="156"/>
      <c r="F38" s="156"/>
      <c r="G38" s="156"/>
      <c r="H38" s="151" t="s">
        <v>410</v>
      </c>
      <c r="I38" s="151" t="s">
        <v>411</v>
      </c>
      <c r="J38" s="157"/>
      <c r="K38" s="163"/>
      <c r="L38" s="151" t="s">
        <v>280</v>
      </c>
      <c r="M38" s="159" t="s">
        <v>281</v>
      </c>
      <c r="N38" s="435" t="s">
        <v>412</v>
      </c>
      <c r="O38" s="353" t="s">
        <v>413</v>
      </c>
      <c r="P38" s="435" t="s">
        <v>414</v>
      </c>
      <c r="Q38" s="435" t="s">
        <v>415</v>
      </c>
      <c r="R38" s="464" t="s">
        <v>416</v>
      </c>
      <c r="S38" s="435" t="s">
        <v>189</v>
      </c>
      <c r="T38" s="159" t="s">
        <v>417</v>
      </c>
      <c r="U38" s="159" t="s">
        <v>418</v>
      </c>
      <c r="V38" s="159" t="s">
        <v>419</v>
      </c>
      <c r="W38" s="361">
        <v>1980</v>
      </c>
      <c r="X38" s="361">
        <v>1291</v>
      </c>
      <c r="Y38" s="361"/>
      <c r="Z38" s="361"/>
      <c r="AA38" s="361"/>
      <c r="AB38" s="361"/>
      <c r="AC38" s="361"/>
      <c r="AD38" s="361"/>
      <c r="AE38" s="361"/>
      <c r="AF38" s="361"/>
      <c r="AG38" s="361"/>
      <c r="AH38" s="361"/>
      <c r="AI38" s="361"/>
      <c r="AJ38" s="177"/>
      <c r="AK38" s="443">
        <v>2</v>
      </c>
      <c r="AL38" s="444"/>
      <c r="AM38" s="451">
        <f>X38*P1_Reinigen_daken_incl._extra_maatregelen_veilig_werken_volgens_VCA__eventuele_vergunningen_leges___voorrijkosten__adminstratieve_kosten__fotorapportage_en_kleine_reparaties_¹</f>
        <v>0</v>
      </c>
      <c r="AN38" s="452">
        <f>Y38*P1_Reinigen_goten_incl._extra_maatregelen_veilig_werken_volgens_VCA__eventuele_vergunningen_leges___voorrijkosten__adminstratieve_kosten__fotorapportage_en_kleine_reparaties_¹</f>
        <v>0</v>
      </c>
      <c r="AO38" s="452">
        <f>(AE38*P1_Reinigen_Lichtkoepel_50X50)+('Perceel 1'!AF38*P1_Reinigen_Lichtkoepel_60x200)+('Perceel 1'!AG38*P1_Reinigen_Lichtkoepel_180x180)+('Perceel 1'!AH38*P1_Reinigen_Lichtstraten_groter_dan_180x180)</f>
        <v>0</v>
      </c>
      <c r="AP38" s="452"/>
      <c r="AQ38" s="452">
        <f t="shared" si="4"/>
        <v>0</v>
      </c>
      <c r="AR38" s="456"/>
      <c r="AS38" s="454">
        <f t="shared" si="5"/>
        <v>0</v>
      </c>
      <c r="AT38" s="455">
        <f t="shared" si="2"/>
        <v>0</v>
      </c>
    </row>
    <row r="39" spans="1:46" ht="27.75" x14ac:dyDescent="0.4">
      <c r="A39" s="183"/>
      <c r="B39" s="351">
        <v>1</v>
      </c>
      <c r="C39" s="171" t="s">
        <v>135</v>
      </c>
      <c r="D39" s="171" t="s">
        <v>174</v>
      </c>
      <c r="E39" s="171" t="s">
        <v>136</v>
      </c>
      <c r="F39" s="171"/>
      <c r="G39" s="171"/>
      <c r="H39" s="17"/>
      <c r="I39" s="17"/>
      <c r="J39" s="17"/>
      <c r="K39" s="17"/>
      <c r="L39" s="196"/>
      <c r="M39" s="169"/>
      <c r="N39" s="436" t="s">
        <v>420</v>
      </c>
      <c r="O39" s="357" t="s">
        <v>421</v>
      </c>
      <c r="P39" s="436" t="s">
        <v>422</v>
      </c>
      <c r="Q39" s="436"/>
      <c r="R39" s="437"/>
      <c r="S39" s="436"/>
      <c r="T39" s="169"/>
      <c r="U39" s="169"/>
      <c r="V39" s="169"/>
      <c r="W39" s="436"/>
      <c r="X39" s="440">
        <v>2324</v>
      </c>
      <c r="Y39" s="436"/>
      <c r="Z39" s="357"/>
      <c r="AA39" s="357" t="s">
        <v>150</v>
      </c>
      <c r="AB39" s="357">
        <v>38</v>
      </c>
      <c r="AC39" s="357"/>
      <c r="AD39" s="357" t="s">
        <v>423</v>
      </c>
      <c r="AE39" s="357"/>
      <c r="AF39" s="357"/>
      <c r="AG39" s="357"/>
      <c r="AH39" s="357"/>
      <c r="AI39" s="357"/>
      <c r="AJ39" s="169"/>
      <c r="AK39" s="440">
        <v>2</v>
      </c>
      <c r="AL39" s="369"/>
      <c r="AM39" s="457"/>
      <c r="AN39" s="456"/>
      <c r="AO39" s="456"/>
      <c r="AP39" s="456"/>
      <c r="AQ39" s="456"/>
      <c r="AR39" s="453"/>
      <c r="AS39" s="458"/>
      <c r="AT39" s="459"/>
    </row>
    <row r="40" spans="1:46" ht="38.25" x14ac:dyDescent="0.4">
      <c r="A40" s="182"/>
      <c r="B40" s="352">
        <v>1</v>
      </c>
      <c r="C40" s="175" t="s">
        <v>135</v>
      </c>
      <c r="D40" s="175" t="s">
        <v>174</v>
      </c>
      <c r="E40" s="175"/>
      <c r="F40" s="175"/>
      <c r="G40" s="175"/>
      <c r="H40" s="174" t="s">
        <v>424</v>
      </c>
      <c r="I40" s="174" t="s">
        <v>425</v>
      </c>
      <c r="J40" s="197"/>
      <c r="K40" s="197"/>
      <c r="L40" s="174"/>
      <c r="M40" s="175" t="s">
        <v>349</v>
      </c>
      <c r="N40" s="438" t="s">
        <v>426</v>
      </c>
      <c r="O40" s="358" t="s">
        <v>427</v>
      </c>
      <c r="P40" s="438" t="s">
        <v>428</v>
      </c>
      <c r="Q40" s="438" t="s">
        <v>429</v>
      </c>
      <c r="R40" s="439" t="s">
        <v>339</v>
      </c>
      <c r="S40" s="438" t="s">
        <v>340</v>
      </c>
      <c r="T40" s="175" t="s">
        <v>430</v>
      </c>
      <c r="U40" s="175" t="s">
        <v>431</v>
      </c>
      <c r="V40" s="175" t="s">
        <v>432</v>
      </c>
      <c r="W40" s="438">
        <v>1992</v>
      </c>
      <c r="X40" s="441">
        <f>X39*81%</f>
        <v>1882.44</v>
      </c>
      <c r="Y40" s="438"/>
      <c r="Z40" s="358"/>
      <c r="AA40" s="358" t="s">
        <v>150</v>
      </c>
      <c r="AB40" s="358"/>
      <c r="AC40" s="358"/>
      <c r="AD40" s="358"/>
      <c r="AE40" s="358"/>
      <c r="AF40" s="358"/>
      <c r="AG40" s="358"/>
      <c r="AH40" s="358"/>
      <c r="AI40" s="358"/>
      <c r="AJ40" s="175" t="s">
        <v>433</v>
      </c>
      <c r="AK40" s="441">
        <v>2</v>
      </c>
      <c r="AL40" s="369"/>
      <c r="AM40" s="451">
        <f>X40*P1_reinigen_daken_met_vaste_dakveiligheid</f>
        <v>0</v>
      </c>
      <c r="AN40" s="452">
        <f>Y40*P1_reinigen_goten_met_vaste_dakveiligheid</f>
        <v>0</v>
      </c>
      <c r="AO40" s="452">
        <f>(AE40*P1_Reinigen_Lichtkoepel_50X50)+('Perceel 1'!AF40*P1_Reinigen_Lichtkoepel_60x200)+('Perceel 1'!AG40*P1_Reinigen_Lichtkoepel_180x180)+('Perceel 1'!AH40*P1_Reinigen_Lichtstraten_groter_dan_180x180)</f>
        <v>0</v>
      </c>
      <c r="AP40" s="452"/>
      <c r="AQ40" s="452">
        <f t="shared" ref="AQ40:AQ52" si="6">(X40+Y40)*P1_Inspecteren_daken_en_goten_1x_per_jaar_gelijktijdig_met_reiniging_inclusief_inspectierapport_en_een_managementrapport</f>
        <v>0</v>
      </c>
      <c r="AR40" s="472">
        <f>AR39*81%</f>
        <v>0</v>
      </c>
      <c r="AS40" s="454">
        <f t="shared" ref="AS40:AS52" si="7">AR40*P1_keuren_dakveiligheid_per_man_uur</f>
        <v>0</v>
      </c>
      <c r="AT40" s="455">
        <f t="shared" si="2"/>
        <v>0</v>
      </c>
    </row>
    <row r="41" spans="1:46" x14ac:dyDescent="0.4">
      <c r="A41" s="182"/>
      <c r="B41" s="352">
        <v>1</v>
      </c>
      <c r="C41" s="175" t="s">
        <v>135</v>
      </c>
      <c r="D41" s="175" t="s">
        <v>136</v>
      </c>
      <c r="E41" s="175"/>
      <c r="F41" s="175"/>
      <c r="G41" s="175"/>
      <c r="H41" s="174"/>
      <c r="I41" s="174"/>
      <c r="J41" s="197"/>
      <c r="K41" s="197"/>
      <c r="L41" s="174"/>
      <c r="M41" s="175"/>
      <c r="N41" s="462">
        <v>2429</v>
      </c>
      <c r="O41" s="358" t="s">
        <v>434</v>
      </c>
      <c r="P41" s="358" t="s">
        <v>435</v>
      </c>
      <c r="Q41" s="438" t="s">
        <v>429</v>
      </c>
      <c r="R41" s="439" t="s">
        <v>340</v>
      </c>
      <c r="S41" s="438" t="s">
        <v>340</v>
      </c>
      <c r="T41" s="175"/>
      <c r="U41" s="175"/>
      <c r="V41" s="175"/>
      <c r="W41" s="438">
        <v>1992</v>
      </c>
      <c r="X41" s="441">
        <f>X39*4%</f>
        <v>92.960000000000008</v>
      </c>
      <c r="Y41" s="438"/>
      <c r="Z41" s="358"/>
      <c r="AA41" s="358" t="s">
        <v>150</v>
      </c>
      <c r="AB41" s="358"/>
      <c r="AC41" s="358"/>
      <c r="AD41" s="358"/>
      <c r="AE41" s="358"/>
      <c r="AF41" s="358"/>
      <c r="AG41" s="358"/>
      <c r="AH41" s="358"/>
      <c r="AI41" s="358"/>
      <c r="AJ41" s="175" t="s">
        <v>433</v>
      </c>
      <c r="AK41" s="441">
        <v>2</v>
      </c>
      <c r="AL41" s="369"/>
      <c r="AM41" s="451">
        <f>X41*P1_reinigen_daken_met_vaste_dakveiligheid</f>
        <v>0</v>
      </c>
      <c r="AN41" s="452">
        <f>Y41*P1_reinigen_goten_met_vaste_dakveiligheid</f>
        <v>0</v>
      </c>
      <c r="AO41" s="452">
        <f>(AE41*P1_Reinigen_Lichtkoepel_50X50)+('Perceel 1'!AF41*P1_Reinigen_Lichtkoepel_60x200)+('Perceel 1'!AG41*P1_Reinigen_Lichtkoepel_180x180)+('Perceel 1'!AH41*P1_Reinigen_Lichtstraten_groter_dan_180x180)</f>
        <v>0</v>
      </c>
      <c r="AP41" s="452"/>
      <c r="AQ41" s="452">
        <f t="shared" si="6"/>
        <v>0</v>
      </c>
      <c r="AR41" s="472">
        <f>AR39*4%</f>
        <v>0</v>
      </c>
      <c r="AS41" s="454">
        <f t="shared" si="7"/>
        <v>0</v>
      </c>
      <c r="AT41" s="455">
        <f t="shared" si="2"/>
        <v>0</v>
      </c>
    </row>
    <row r="42" spans="1:46" ht="51" x14ac:dyDescent="0.4">
      <c r="A42" s="182"/>
      <c r="B42" s="352">
        <v>1</v>
      </c>
      <c r="C42" s="175" t="s">
        <v>135</v>
      </c>
      <c r="D42" s="175" t="s">
        <v>136</v>
      </c>
      <c r="E42" s="175"/>
      <c r="F42" s="175"/>
      <c r="G42" s="175"/>
      <c r="H42" s="174" t="s">
        <v>436</v>
      </c>
      <c r="I42" s="174" t="s">
        <v>437</v>
      </c>
      <c r="J42" s="202"/>
      <c r="K42" s="197"/>
      <c r="L42" s="174"/>
      <c r="M42" s="191" t="s">
        <v>155</v>
      </c>
      <c r="N42" s="438" t="s">
        <v>438</v>
      </c>
      <c r="O42" s="358" t="s">
        <v>439</v>
      </c>
      <c r="P42" s="358" t="s">
        <v>435</v>
      </c>
      <c r="Q42" s="438" t="s">
        <v>429</v>
      </c>
      <c r="R42" s="439" t="s">
        <v>339</v>
      </c>
      <c r="S42" s="438" t="s">
        <v>340</v>
      </c>
      <c r="T42" s="175" t="s">
        <v>169</v>
      </c>
      <c r="U42" s="175" t="s">
        <v>170</v>
      </c>
      <c r="V42" s="175" t="s">
        <v>171</v>
      </c>
      <c r="W42" s="438">
        <v>1992</v>
      </c>
      <c r="X42" s="441">
        <f>X39*15%</f>
        <v>348.59999999999997</v>
      </c>
      <c r="Y42" s="438"/>
      <c r="Z42" s="358"/>
      <c r="AA42" s="358" t="s">
        <v>150</v>
      </c>
      <c r="AB42" s="358"/>
      <c r="AC42" s="358"/>
      <c r="AD42" s="358"/>
      <c r="AE42" s="358"/>
      <c r="AF42" s="358"/>
      <c r="AG42" s="358"/>
      <c r="AH42" s="358"/>
      <c r="AI42" s="358"/>
      <c r="AJ42" s="175" t="s">
        <v>433</v>
      </c>
      <c r="AK42" s="441">
        <v>2</v>
      </c>
      <c r="AL42" s="369"/>
      <c r="AM42" s="451">
        <f>X42*P1_reinigen_daken_met_vaste_dakveiligheid</f>
        <v>0</v>
      </c>
      <c r="AN42" s="452">
        <f>Y42*P1_reinigen_goten_met_vaste_dakveiligheid</f>
        <v>0</v>
      </c>
      <c r="AO42" s="452">
        <f>(AE42*P1_Reinigen_Lichtkoepel_50X50)+('Perceel 1'!AF42*P1_Reinigen_Lichtkoepel_60x200)+('Perceel 1'!AG42*P1_Reinigen_Lichtkoepel_180x180)+('Perceel 1'!AH42*P1_Reinigen_Lichtstraten_groter_dan_180x180)</f>
        <v>0</v>
      </c>
      <c r="AP42" s="452"/>
      <c r="AQ42" s="452">
        <f t="shared" si="6"/>
        <v>0</v>
      </c>
      <c r="AR42" s="472">
        <f>AR39*15%</f>
        <v>0</v>
      </c>
      <c r="AS42" s="454">
        <f t="shared" si="7"/>
        <v>0</v>
      </c>
      <c r="AT42" s="455">
        <f t="shared" si="2"/>
        <v>0</v>
      </c>
    </row>
    <row r="43" spans="1:46" ht="25.5" x14ac:dyDescent="0.45">
      <c r="A43" s="155"/>
      <c r="B43" s="347">
        <v>1</v>
      </c>
      <c r="C43" s="156" t="s">
        <v>135</v>
      </c>
      <c r="D43" s="156" t="s">
        <v>174</v>
      </c>
      <c r="E43" s="156"/>
      <c r="F43" s="156"/>
      <c r="G43" s="156"/>
      <c r="H43" s="151" t="s">
        <v>440</v>
      </c>
      <c r="I43" s="151" t="s">
        <v>441</v>
      </c>
      <c r="J43" s="157"/>
      <c r="K43" s="163"/>
      <c r="L43" s="151" t="s">
        <v>348</v>
      </c>
      <c r="M43" s="159" t="s">
        <v>442</v>
      </c>
      <c r="N43" s="353" t="s">
        <v>443</v>
      </c>
      <c r="O43" s="353" t="s">
        <v>444</v>
      </c>
      <c r="P43" s="353" t="s">
        <v>445</v>
      </c>
      <c r="Q43" s="353" t="s">
        <v>446</v>
      </c>
      <c r="R43" s="354" t="s">
        <v>339</v>
      </c>
      <c r="S43" s="353" t="s">
        <v>340</v>
      </c>
      <c r="T43" s="159" t="s">
        <v>447</v>
      </c>
      <c r="U43" s="159" t="s">
        <v>448</v>
      </c>
      <c r="V43" s="176" t="s">
        <v>449</v>
      </c>
      <c r="W43" s="361">
        <v>1988</v>
      </c>
      <c r="X43" s="361">
        <v>1082</v>
      </c>
      <c r="Y43" s="361"/>
      <c r="Z43" s="361"/>
      <c r="AA43" s="361"/>
      <c r="AB43" s="361"/>
      <c r="AC43" s="361"/>
      <c r="AD43" s="361"/>
      <c r="AE43" s="361"/>
      <c r="AF43" s="361"/>
      <c r="AG43" s="361"/>
      <c r="AH43" s="361"/>
      <c r="AI43" s="361"/>
      <c r="AJ43" s="177" t="s">
        <v>450</v>
      </c>
      <c r="AK43" s="443">
        <v>2</v>
      </c>
      <c r="AL43" s="369"/>
      <c r="AM43" s="451">
        <f>X43*P1_Reinigen_daken_incl._extra_maatregelen_veilig_werken_volgens_VCA__eventuele_vergunningen_leges___voorrijkosten__adminstratieve_kosten__fotorapportage_en_kleine_reparaties_¹</f>
        <v>0</v>
      </c>
      <c r="AN43" s="452">
        <f>Y43*P1_Reinigen_goten_incl._extra_maatregelen_veilig_werken_volgens_VCA__eventuele_vergunningen_leges___voorrijkosten__adminstratieve_kosten__fotorapportage_en_kleine_reparaties_¹</f>
        <v>0</v>
      </c>
      <c r="AO43" s="452">
        <f>(AE43*P1_Reinigen_Lichtkoepel_50X50)+('Perceel 1'!AF43*P1_Reinigen_Lichtkoepel_60x200)+('Perceel 1'!AG43*P1_Reinigen_Lichtkoepel_180x180)+('Perceel 1'!AH43*P1_Reinigen_Lichtstraten_groter_dan_180x180)</f>
        <v>0</v>
      </c>
      <c r="AP43" s="452"/>
      <c r="AQ43" s="452">
        <f t="shared" si="6"/>
        <v>0</v>
      </c>
      <c r="AR43" s="456"/>
      <c r="AS43" s="454">
        <f t="shared" si="7"/>
        <v>0</v>
      </c>
      <c r="AT43" s="455">
        <f t="shared" si="2"/>
        <v>0</v>
      </c>
    </row>
    <row r="44" spans="1:46" ht="51" x14ac:dyDescent="0.45">
      <c r="A44" s="155"/>
      <c r="B44" s="348">
        <v>1</v>
      </c>
      <c r="C44" s="156" t="s">
        <v>135</v>
      </c>
      <c r="D44" s="156" t="s">
        <v>136</v>
      </c>
      <c r="E44" s="156"/>
      <c r="F44" s="156"/>
      <c r="G44" s="156"/>
      <c r="H44" s="151" t="s">
        <v>451</v>
      </c>
      <c r="I44" s="151" t="s">
        <v>452</v>
      </c>
      <c r="J44" s="157"/>
      <c r="K44" s="163"/>
      <c r="L44" s="163" t="s">
        <v>139</v>
      </c>
      <c r="M44" s="166" t="s">
        <v>140</v>
      </c>
      <c r="N44" s="435" t="s">
        <v>453</v>
      </c>
      <c r="O44" s="353" t="s">
        <v>454</v>
      </c>
      <c r="P44" s="353" t="s">
        <v>455</v>
      </c>
      <c r="Q44" s="435" t="s">
        <v>456</v>
      </c>
      <c r="R44" s="461" t="s">
        <v>457</v>
      </c>
      <c r="S44" s="435" t="s">
        <v>189</v>
      </c>
      <c r="T44" s="159" t="s">
        <v>458</v>
      </c>
      <c r="U44" s="159" t="s">
        <v>459</v>
      </c>
      <c r="V44" s="176" t="s">
        <v>460</v>
      </c>
      <c r="W44" s="361">
        <v>2003</v>
      </c>
      <c r="X44" s="361">
        <v>981</v>
      </c>
      <c r="Y44" s="361"/>
      <c r="Z44" s="361" t="s">
        <v>311</v>
      </c>
      <c r="AA44" s="361"/>
      <c r="AB44" s="361">
        <v>13</v>
      </c>
      <c r="AC44" s="361"/>
      <c r="AD44" s="361"/>
      <c r="AE44" s="361"/>
      <c r="AF44" s="361"/>
      <c r="AG44" s="361"/>
      <c r="AH44" s="361"/>
      <c r="AI44" s="361"/>
      <c r="AJ44" s="177"/>
      <c r="AK44" s="443">
        <v>1</v>
      </c>
      <c r="AL44" s="444"/>
      <c r="AM44" s="451">
        <f>X44*P1_reinigen_daken_met_vaste_dakveiligheid</f>
        <v>0</v>
      </c>
      <c r="AN44" s="452">
        <f>Y44*P1_reinigen_goten_met_vaste_dakveiligheid</f>
        <v>0</v>
      </c>
      <c r="AO44" s="452">
        <f>(AE44*P1_Reinigen_Lichtkoepel_50X50)+('Perceel 1'!AF44*P1_Reinigen_Lichtkoepel_60x200)+('Perceel 1'!AG44*P1_Reinigen_Lichtkoepel_180x180)+('Perceel 1'!AH44*P1_Reinigen_Lichtstraten_groter_dan_180x180)</f>
        <v>0</v>
      </c>
      <c r="AP44" s="452"/>
      <c r="AQ44" s="452">
        <f t="shared" si="6"/>
        <v>0</v>
      </c>
      <c r="AR44" s="453"/>
      <c r="AS44" s="454">
        <f t="shared" si="7"/>
        <v>0</v>
      </c>
      <c r="AT44" s="455">
        <f t="shared" si="2"/>
        <v>0</v>
      </c>
    </row>
    <row r="45" spans="1:46" ht="51" x14ac:dyDescent="0.45">
      <c r="A45" s="155"/>
      <c r="B45" s="348">
        <v>1</v>
      </c>
      <c r="C45" s="156" t="s">
        <v>135</v>
      </c>
      <c r="D45" s="156" t="s">
        <v>136</v>
      </c>
      <c r="E45" s="156"/>
      <c r="F45" s="156"/>
      <c r="G45" s="156"/>
      <c r="H45" s="151" t="s">
        <v>461</v>
      </c>
      <c r="I45" s="151" t="s">
        <v>462</v>
      </c>
      <c r="J45" s="157"/>
      <c r="K45" s="163"/>
      <c r="L45" s="163" t="s">
        <v>139</v>
      </c>
      <c r="M45" s="166" t="s">
        <v>140</v>
      </c>
      <c r="N45" s="435" t="s">
        <v>463</v>
      </c>
      <c r="O45" s="353" t="s">
        <v>464</v>
      </c>
      <c r="P45" s="435" t="s">
        <v>465</v>
      </c>
      <c r="Q45" s="435" t="s">
        <v>466</v>
      </c>
      <c r="R45" s="461" t="s">
        <v>339</v>
      </c>
      <c r="S45" s="435" t="s">
        <v>340</v>
      </c>
      <c r="T45" s="159" t="s">
        <v>467</v>
      </c>
      <c r="U45" s="159" t="s">
        <v>468</v>
      </c>
      <c r="V45" s="176" t="s">
        <v>469</v>
      </c>
      <c r="W45" s="361">
        <v>1991</v>
      </c>
      <c r="X45" s="361">
        <v>808</v>
      </c>
      <c r="Y45" s="361"/>
      <c r="Z45" s="361"/>
      <c r="AA45" s="361" t="s">
        <v>150</v>
      </c>
      <c r="AB45" s="361">
        <v>12</v>
      </c>
      <c r="AC45" s="361"/>
      <c r="AD45" s="361"/>
      <c r="AE45" s="361"/>
      <c r="AF45" s="361"/>
      <c r="AG45" s="361"/>
      <c r="AH45" s="361"/>
      <c r="AI45" s="361"/>
      <c r="AJ45" s="177" t="s">
        <v>470</v>
      </c>
      <c r="AK45" s="443">
        <v>2</v>
      </c>
      <c r="AL45" s="444"/>
      <c r="AM45" s="451">
        <f>X45*P1_reinigen_daken_met_vaste_dakveiligheid</f>
        <v>0</v>
      </c>
      <c r="AN45" s="452">
        <f>Y45*P1_reinigen_goten_met_vaste_dakveiligheid</f>
        <v>0</v>
      </c>
      <c r="AO45" s="452">
        <f>(AE45*P1_Reinigen_Lichtkoepel_50X50)+('Perceel 1'!AF45*P1_Reinigen_Lichtkoepel_60x200)+('Perceel 1'!AG45*P1_Reinigen_Lichtkoepel_180x180)+('Perceel 1'!AH45*P1_Reinigen_Lichtstraten_groter_dan_180x180)</f>
        <v>0</v>
      </c>
      <c r="AP45" s="452"/>
      <c r="AQ45" s="452">
        <f t="shared" si="6"/>
        <v>0</v>
      </c>
      <c r="AR45" s="453"/>
      <c r="AS45" s="454">
        <f t="shared" si="7"/>
        <v>0</v>
      </c>
      <c r="AT45" s="455">
        <f t="shared" si="2"/>
        <v>0</v>
      </c>
    </row>
    <row r="46" spans="1:46" ht="25.5" x14ac:dyDescent="0.45">
      <c r="A46" s="161"/>
      <c r="B46" s="347">
        <v>1</v>
      </c>
      <c r="C46" s="156" t="s">
        <v>135</v>
      </c>
      <c r="D46" s="156" t="s">
        <v>471</v>
      </c>
      <c r="E46" s="156"/>
      <c r="F46" s="156"/>
      <c r="G46" s="156"/>
      <c r="H46" s="203" t="s">
        <v>472</v>
      </c>
      <c r="I46" s="203" t="s">
        <v>473</v>
      </c>
      <c r="J46" s="157"/>
      <c r="K46" s="163"/>
      <c r="L46" s="163" t="s">
        <v>154</v>
      </c>
      <c r="M46" s="166" t="s">
        <v>155</v>
      </c>
      <c r="N46" s="379" t="s">
        <v>474</v>
      </c>
      <c r="O46" s="353" t="s">
        <v>475</v>
      </c>
      <c r="P46" s="353" t="s">
        <v>476</v>
      </c>
      <c r="Q46" s="353" t="s">
        <v>466</v>
      </c>
      <c r="R46" s="355" t="s">
        <v>339</v>
      </c>
      <c r="S46" s="353" t="s">
        <v>340</v>
      </c>
      <c r="T46" s="159" t="s">
        <v>477</v>
      </c>
      <c r="U46" s="159" t="s">
        <v>478</v>
      </c>
      <c r="V46" s="176" t="s">
        <v>479</v>
      </c>
      <c r="W46" s="361">
        <v>1983</v>
      </c>
      <c r="X46" s="361"/>
      <c r="Y46" s="361">
        <f>49+17+17+36+20</f>
        <v>139</v>
      </c>
      <c r="Z46" s="361"/>
      <c r="AA46" s="361"/>
      <c r="AB46" s="361"/>
      <c r="AC46" s="361"/>
      <c r="AD46" s="361"/>
      <c r="AE46" s="361"/>
      <c r="AF46" s="361"/>
      <c r="AG46" s="361"/>
      <c r="AH46" s="361"/>
      <c r="AI46" s="361"/>
      <c r="AJ46" s="177"/>
      <c r="AK46" s="361">
        <v>1</v>
      </c>
      <c r="AL46" s="369"/>
      <c r="AM46" s="451">
        <f>X46*P1_Reinigen_daken_incl._extra_maatregelen_veilig_werken_volgens_VCA__eventuele_vergunningen_leges___voorrijkosten__adminstratieve_kosten__fotorapportage_en_kleine_reparaties_¹</f>
        <v>0</v>
      </c>
      <c r="AN46" s="452">
        <f>Y46*P1_Reinigen_goten_incl._extra_maatregelen_veilig_werken_volgens_VCA__eventuele_vergunningen_leges___voorrijkosten__adminstratieve_kosten__fotorapportage_en_kleine_reparaties_¹</f>
        <v>0</v>
      </c>
      <c r="AO46" s="452">
        <f>(AE46*P1_Reinigen_Lichtkoepel_50X50)+('Perceel 1'!AF46*P1_Reinigen_Lichtkoepel_60x200)+('Perceel 1'!AG46*P1_Reinigen_Lichtkoepel_180x180)+('Perceel 1'!AH46*P1_Reinigen_Lichtstraten_groter_dan_180x180)</f>
        <v>0</v>
      </c>
      <c r="AP46" s="452"/>
      <c r="AQ46" s="452">
        <f t="shared" si="6"/>
        <v>0</v>
      </c>
      <c r="AR46" s="456"/>
      <c r="AS46" s="454">
        <f t="shared" si="7"/>
        <v>0</v>
      </c>
      <c r="AT46" s="455">
        <f>(AM46*AK46)+(AN46*AK46)+AO46+AQ46+AS46</f>
        <v>0</v>
      </c>
    </row>
    <row r="47" spans="1:46" ht="12.75" customHeight="1" x14ac:dyDescent="0.45">
      <c r="A47" s="155"/>
      <c r="B47" s="348">
        <v>1</v>
      </c>
      <c r="C47" s="156" t="s">
        <v>135</v>
      </c>
      <c r="D47" s="156" t="s">
        <v>136</v>
      </c>
      <c r="E47" s="156"/>
      <c r="F47" s="156"/>
      <c r="G47" s="156"/>
      <c r="H47" s="151" t="s">
        <v>480</v>
      </c>
      <c r="I47" s="151" t="s">
        <v>481</v>
      </c>
      <c r="J47" s="157"/>
      <c r="K47" s="163"/>
      <c r="L47" s="163" t="s">
        <v>280</v>
      </c>
      <c r="M47" s="166" t="s">
        <v>482</v>
      </c>
      <c r="N47" s="435" t="s">
        <v>483</v>
      </c>
      <c r="O47" s="353" t="s">
        <v>484</v>
      </c>
      <c r="P47" s="435" t="s">
        <v>485</v>
      </c>
      <c r="Q47" s="435" t="s">
        <v>466</v>
      </c>
      <c r="R47" s="461" t="s">
        <v>339</v>
      </c>
      <c r="S47" s="435" t="s">
        <v>340</v>
      </c>
      <c r="T47" s="159" t="s">
        <v>486</v>
      </c>
      <c r="U47" s="159" t="s">
        <v>487</v>
      </c>
      <c r="V47" s="176" t="s">
        <v>488</v>
      </c>
      <c r="W47" s="361">
        <v>1994</v>
      </c>
      <c r="X47" s="361">
        <v>522</v>
      </c>
      <c r="Y47" s="361"/>
      <c r="Z47" s="361"/>
      <c r="AA47" s="361" t="s">
        <v>150</v>
      </c>
      <c r="AB47" s="361">
        <v>15</v>
      </c>
      <c r="AC47" s="361">
        <v>96</v>
      </c>
      <c r="AD47" s="361" t="s">
        <v>489</v>
      </c>
      <c r="AE47" s="361"/>
      <c r="AF47" s="361"/>
      <c r="AG47" s="361"/>
      <c r="AH47" s="361"/>
      <c r="AI47" s="361"/>
      <c r="AJ47" s="177"/>
      <c r="AK47" s="443">
        <v>2</v>
      </c>
      <c r="AL47" s="444"/>
      <c r="AM47" s="451">
        <f>X47*P1_reinigen_daken_met_vaste_dakveiligheid</f>
        <v>0</v>
      </c>
      <c r="AN47" s="452">
        <f>Y47*P1_reinigen_goten_met_vaste_dakveiligheid</f>
        <v>0</v>
      </c>
      <c r="AO47" s="452">
        <f>(AE47*P1_Reinigen_Lichtkoepel_50X50)+('Perceel 1'!AF47*P1_Reinigen_Lichtkoepel_60x200)+('Perceel 1'!AG47*P1_Reinigen_Lichtkoepel_180x180)+('Perceel 1'!AH47*P1_Reinigen_Lichtstraten_groter_dan_180x180)</f>
        <v>0</v>
      </c>
      <c r="AP47" s="452"/>
      <c r="AQ47" s="452">
        <f t="shared" si="6"/>
        <v>0</v>
      </c>
      <c r="AR47" s="453"/>
      <c r="AS47" s="454">
        <f t="shared" si="7"/>
        <v>0</v>
      </c>
      <c r="AT47" s="455">
        <f t="shared" si="2"/>
        <v>0</v>
      </c>
    </row>
    <row r="48" spans="1:46" ht="12.75" customHeight="1" x14ac:dyDescent="0.45">
      <c r="A48" s="155"/>
      <c r="B48" s="348">
        <v>1</v>
      </c>
      <c r="C48" s="156" t="s">
        <v>135</v>
      </c>
      <c r="D48" s="156" t="s">
        <v>490</v>
      </c>
      <c r="E48" s="156"/>
      <c r="F48" s="156"/>
      <c r="G48" s="156"/>
      <c r="H48" s="151" t="s">
        <v>491</v>
      </c>
      <c r="I48" s="151" t="s">
        <v>492</v>
      </c>
      <c r="J48" s="157"/>
      <c r="K48" s="163"/>
      <c r="L48" s="163" t="s">
        <v>154</v>
      </c>
      <c r="M48" s="166" t="s">
        <v>155</v>
      </c>
      <c r="N48" s="435" t="s">
        <v>493</v>
      </c>
      <c r="O48" s="353" t="s">
        <v>494</v>
      </c>
      <c r="P48" s="353" t="s">
        <v>495</v>
      </c>
      <c r="Q48" s="435" t="s">
        <v>466</v>
      </c>
      <c r="R48" s="461" t="s">
        <v>339</v>
      </c>
      <c r="S48" s="435" t="s">
        <v>340</v>
      </c>
      <c r="T48" s="159" t="s">
        <v>496</v>
      </c>
      <c r="U48" s="159" t="s">
        <v>497</v>
      </c>
      <c r="V48" s="176" t="s">
        <v>498</v>
      </c>
      <c r="W48" s="361">
        <v>2011</v>
      </c>
      <c r="X48" s="361">
        <v>1540</v>
      </c>
      <c r="Y48" s="361"/>
      <c r="Z48" s="361"/>
      <c r="AA48" s="361" t="s">
        <v>150</v>
      </c>
      <c r="AB48" s="361">
        <v>19</v>
      </c>
      <c r="AC48" s="361">
        <v>125</v>
      </c>
      <c r="AD48" s="361"/>
      <c r="AE48" s="361"/>
      <c r="AF48" s="361"/>
      <c r="AG48" s="361"/>
      <c r="AH48" s="361"/>
      <c r="AI48" s="361"/>
      <c r="AJ48" s="177"/>
      <c r="AK48" s="443">
        <v>1</v>
      </c>
      <c r="AL48" s="444"/>
      <c r="AM48" s="451">
        <f>X48*P1_reinigen_daken_met_vaste_dakveiligheid</f>
        <v>0</v>
      </c>
      <c r="AN48" s="452">
        <f>Y48*P1_reinigen_goten_met_vaste_dakveiligheid</f>
        <v>0</v>
      </c>
      <c r="AO48" s="452">
        <f>(AE48*P1_Reinigen_Lichtkoepel_50X50)+('Perceel 1'!AF48*P1_Reinigen_Lichtkoepel_60x200)+('Perceel 1'!AG48*P1_Reinigen_Lichtkoepel_180x180)+('Perceel 1'!AH48*P1_Reinigen_Lichtstraten_groter_dan_180x180)</f>
        <v>0</v>
      </c>
      <c r="AP48" s="452"/>
      <c r="AQ48" s="452">
        <f t="shared" si="6"/>
        <v>0</v>
      </c>
      <c r="AR48" s="453"/>
      <c r="AS48" s="454">
        <f t="shared" si="7"/>
        <v>0</v>
      </c>
      <c r="AT48" s="455">
        <f t="shared" si="2"/>
        <v>0</v>
      </c>
    </row>
    <row r="49" spans="1:46" ht="25.5" customHeight="1" x14ac:dyDescent="0.45">
      <c r="A49" s="155"/>
      <c r="B49" s="348">
        <v>1</v>
      </c>
      <c r="C49" s="156" t="s">
        <v>135</v>
      </c>
      <c r="D49" s="156" t="s">
        <v>136</v>
      </c>
      <c r="E49" s="156"/>
      <c r="F49" s="156"/>
      <c r="G49" s="156"/>
      <c r="H49" s="151" t="s">
        <v>499</v>
      </c>
      <c r="I49" s="151" t="s">
        <v>500</v>
      </c>
      <c r="J49" s="157"/>
      <c r="K49" s="163"/>
      <c r="L49" s="151" t="s">
        <v>139</v>
      </c>
      <c r="M49" s="159" t="s">
        <v>140</v>
      </c>
      <c r="N49" s="435" t="s">
        <v>501</v>
      </c>
      <c r="O49" s="353" t="s">
        <v>502</v>
      </c>
      <c r="P49" s="435" t="s">
        <v>503</v>
      </c>
      <c r="Q49" s="435" t="s">
        <v>466</v>
      </c>
      <c r="R49" s="461" t="s">
        <v>339</v>
      </c>
      <c r="S49" s="435" t="s">
        <v>340</v>
      </c>
      <c r="T49" s="159" t="s">
        <v>504</v>
      </c>
      <c r="U49" s="159" t="s">
        <v>505</v>
      </c>
      <c r="V49" s="176" t="s">
        <v>506</v>
      </c>
      <c r="W49" s="361">
        <v>2003</v>
      </c>
      <c r="X49" s="361">
        <v>783</v>
      </c>
      <c r="Y49" s="361"/>
      <c r="Z49" s="361" t="s">
        <v>311</v>
      </c>
      <c r="AA49" s="361" t="s">
        <v>150</v>
      </c>
      <c r="AB49" s="361">
        <v>18</v>
      </c>
      <c r="AC49" s="361">
        <v>117</v>
      </c>
      <c r="AD49" s="361"/>
      <c r="AE49" s="361"/>
      <c r="AF49" s="361"/>
      <c r="AG49" s="361"/>
      <c r="AH49" s="361"/>
      <c r="AI49" s="361"/>
      <c r="AJ49" s="177"/>
      <c r="AK49" s="443">
        <v>1</v>
      </c>
      <c r="AL49" s="444"/>
      <c r="AM49" s="451">
        <f>X49*P1_reinigen_daken_met_vaste_dakveiligheid</f>
        <v>0</v>
      </c>
      <c r="AN49" s="452">
        <f>Y49*P1_reinigen_goten_met_vaste_dakveiligheid</f>
        <v>0</v>
      </c>
      <c r="AO49" s="452">
        <f>(AE49*P1_Reinigen_Lichtkoepel_50X50)+('Perceel 1'!AF49*P1_Reinigen_Lichtkoepel_60x200)+('Perceel 1'!AG49*P1_Reinigen_Lichtkoepel_180x180)+('Perceel 1'!AH49*P1_Reinigen_Lichtstraten_groter_dan_180x180)</f>
        <v>0</v>
      </c>
      <c r="AP49" s="452"/>
      <c r="AQ49" s="452">
        <f t="shared" si="6"/>
        <v>0</v>
      </c>
      <c r="AR49" s="453"/>
      <c r="AS49" s="454">
        <f t="shared" si="7"/>
        <v>0</v>
      </c>
      <c r="AT49" s="455">
        <f t="shared" si="2"/>
        <v>0</v>
      </c>
    </row>
    <row r="50" spans="1:46" ht="38.25" x14ac:dyDescent="0.45">
      <c r="A50" s="155"/>
      <c r="B50" s="348">
        <v>1</v>
      </c>
      <c r="C50" s="156" t="s">
        <v>135</v>
      </c>
      <c r="D50" s="156" t="s">
        <v>136</v>
      </c>
      <c r="E50" s="156"/>
      <c r="F50" s="156"/>
      <c r="G50" s="156"/>
      <c r="H50" s="151" t="s">
        <v>507</v>
      </c>
      <c r="I50" s="151" t="s">
        <v>508</v>
      </c>
      <c r="J50" s="157"/>
      <c r="K50" s="163"/>
      <c r="L50" s="151" t="s">
        <v>139</v>
      </c>
      <c r="M50" s="159" t="s">
        <v>140</v>
      </c>
      <c r="N50" s="435" t="s">
        <v>509</v>
      </c>
      <c r="O50" s="353" t="s">
        <v>510</v>
      </c>
      <c r="P50" s="435" t="s">
        <v>511</v>
      </c>
      <c r="Q50" s="435" t="s">
        <v>512</v>
      </c>
      <c r="R50" s="461" t="s">
        <v>339</v>
      </c>
      <c r="S50" s="435" t="s">
        <v>340</v>
      </c>
      <c r="T50" s="159" t="s">
        <v>513</v>
      </c>
      <c r="U50" s="159" t="s">
        <v>514</v>
      </c>
      <c r="V50" s="176" t="s">
        <v>515</v>
      </c>
      <c r="W50" s="361">
        <v>1998</v>
      </c>
      <c r="X50" s="361">
        <v>353</v>
      </c>
      <c r="Y50" s="361"/>
      <c r="Z50" s="361"/>
      <c r="AA50" s="361"/>
      <c r="AB50" s="361"/>
      <c r="AC50" s="361"/>
      <c r="AD50" s="361"/>
      <c r="AE50" s="361"/>
      <c r="AF50" s="361"/>
      <c r="AG50" s="361"/>
      <c r="AH50" s="361"/>
      <c r="AI50" s="361"/>
      <c r="AJ50" s="177"/>
      <c r="AK50" s="443">
        <v>1</v>
      </c>
      <c r="AL50" s="444"/>
      <c r="AM50" s="451">
        <f>X50*P1_Reinigen_daken_incl._extra_maatregelen_veilig_werken_volgens_VCA__eventuele_vergunningen_leges___voorrijkosten__adminstratieve_kosten__fotorapportage_en_kleine_reparaties_¹</f>
        <v>0</v>
      </c>
      <c r="AN50" s="452">
        <f>Y50*P1_Reinigen_goten_incl._extra_maatregelen_veilig_werken_volgens_VCA__eventuele_vergunningen_leges___voorrijkosten__adminstratieve_kosten__fotorapportage_en_kleine_reparaties_¹</f>
        <v>0</v>
      </c>
      <c r="AO50" s="452">
        <f>(AE50*P1_Reinigen_Lichtkoepel_50X50)+('Perceel 1'!AF50*P1_Reinigen_Lichtkoepel_60x200)+('Perceel 1'!AG50*P1_Reinigen_Lichtkoepel_180x180)+('Perceel 1'!AH50*P1_Reinigen_Lichtstraten_groter_dan_180x180)</f>
        <v>0</v>
      </c>
      <c r="AP50" s="452"/>
      <c r="AQ50" s="452">
        <f t="shared" si="6"/>
        <v>0</v>
      </c>
      <c r="AR50" s="456"/>
      <c r="AS50" s="454">
        <f t="shared" si="7"/>
        <v>0</v>
      </c>
      <c r="AT50" s="455">
        <f t="shared" si="2"/>
        <v>0</v>
      </c>
    </row>
    <row r="51" spans="1:46" x14ac:dyDescent="0.45">
      <c r="A51" s="155"/>
      <c r="B51" s="348">
        <v>1</v>
      </c>
      <c r="C51" s="156" t="s">
        <v>135</v>
      </c>
      <c r="D51" s="156" t="s">
        <v>136</v>
      </c>
      <c r="E51" s="156"/>
      <c r="F51" s="156"/>
      <c r="G51" s="156"/>
      <c r="H51" s="151"/>
      <c r="I51" s="151"/>
      <c r="J51" s="157"/>
      <c r="K51" s="163"/>
      <c r="L51" s="151"/>
      <c r="M51" s="159"/>
      <c r="N51" s="463">
        <v>2467</v>
      </c>
      <c r="O51" s="353" t="s">
        <v>516</v>
      </c>
      <c r="P51" s="353" t="s">
        <v>517</v>
      </c>
      <c r="Q51" s="353" t="s">
        <v>518</v>
      </c>
      <c r="R51" s="355" t="s">
        <v>146</v>
      </c>
      <c r="S51" s="353" t="s">
        <v>146</v>
      </c>
      <c r="T51" s="159"/>
      <c r="U51" s="159"/>
      <c r="V51" s="176"/>
      <c r="W51" s="361">
        <v>2009</v>
      </c>
      <c r="X51" s="361">
        <v>139</v>
      </c>
      <c r="Y51" s="361"/>
      <c r="Z51" s="361"/>
      <c r="AA51" s="361" t="s">
        <v>231</v>
      </c>
      <c r="AB51" s="361">
        <v>2</v>
      </c>
      <c r="AC51" s="361"/>
      <c r="AD51" s="361"/>
      <c r="AE51" s="361"/>
      <c r="AF51" s="361"/>
      <c r="AG51" s="361"/>
      <c r="AH51" s="361"/>
      <c r="AI51" s="361"/>
      <c r="AJ51" s="177"/>
      <c r="AK51" s="443">
        <v>1</v>
      </c>
      <c r="AL51" s="444"/>
      <c r="AM51" s="451">
        <f>X51*P1_reinigen_daken_met_vaste_dakveiligheid</f>
        <v>0</v>
      </c>
      <c r="AN51" s="452">
        <f>Y51*P1_reinigen_goten_met_vaste_dakveiligheid</f>
        <v>0</v>
      </c>
      <c r="AO51" s="452">
        <f>(AE51*P1_Reinigen_Lichtkoepel_50X50)+('Perceel 1'!AF51*P1_Reinigen_Lichtkoepel_60x200)+('Perceel 1'!AG51*P1_Reinigen_Lichtkoepel_180x180)+('Perceel 1'!AH51*P1_Reinigen_Lichtstraten_groter_dan_180x180)</f>
        <v>0</v>
      </c>
      <c r="AP51" s="452"/>
      <c r="AQ51" s="452">
        <f t="shared" si="6"/>
        <v>0</v>
      </c>
      <c r="AR51" s="453"/>
      <c r="AS51" s="454">
        <f t="shared" si="7"/>
        <v>0</v>
      </c>
      <c r="AT51" s="455">
        <f t="shared" si="2"/>
        <v>0</v>
      </c>
    </row>
    <row r="52" spans="1:46" ht="38.450000000000003" customHeight="1" x14ac:dyDescent="0.45">
      <c r="A52" s="155"/>
      <c r="B52" s="347">
        <v>1</v>
      </c>
      <c r="C52" s="156" t="s">
        <v>135</v>
      </c>
      <c r="D52" s="156" t="s">
        <v>174</v>
      </c>
      <c r="E52" s="156"/>
      <c r="F52" s="156"/>
      <c r="G52" s="156"/>
      <c r="H52" s="151" t="s">
        <v>519</v>
      </c>
      <c r="I52" s="151" t="s">
        <v>520</v>
      </c>
      <c r="J52" s="157"/>
      <c r="K52" s="158"/>
      <c r="L52" s="151" t="s">
        <v>348</v>
      </c>
      <c r="M52" s="159" t="s">
        <v>349</v>
      </c>
      <c r="N52" s="353" t="s">
        <v>521</v>
      </c>
      <c r="O52" s="353" t="s">
        <v>522</v>
      </c>
      <c r="P52" s="353" t="s">
        <v>523</v>
      </c>
      <c r="Q52" s="353" t="s">
        <v>518</v>
      </c>
      <c r="R52" s="355" t="s">
        <v>302</v>
      </c>
      <c r="S52" s="353" t="s">
        <v>146</v>
      </c>
      <c r="T52" s="159" t="s">
        <v>524</v>
      </c>
      <c r="U52" s="159" t="s">
        <v>525</v>
      </c>
      <c r="V52" s="176" t="s">
        <v>526</v>
      </c>
      <c r="W52" s="361">
        <v>2009</v>
      </c>
      <c r="X52" s="361">
        <v>1128</v>
      </c>
      <c r="Y52" s="361"/>
      <c r="Z52" s="361"/>
      <c r="AA52" s="361" t="s">
        <v>231</v>
      </c>
      <c r="AB52" s="361">
        <v>26</v>
      </c>
      <c r="AC52" s="361">
        <v>86</v>
      </c>
      <c r="AD52" s="361"/>
      <c r="AE52" s="361"/>
      <c r="AF52" s="361"/>
      <c r="AG52" s="361"/>
      <c r="AH52" s="361"/>
      <c r="AI52" s="361"/>
      <c r="AJ52" s="177"/>
      <c r="AK52" s="443">
        <v>1</v>
      </c>
      <c r="AL52" s="369"/>
      <c r="AM52" s="451">
        <f>X52*P1_reinigen_daken_met_vaste_dakveiligheid</f>
        <v>0</v>
      </c>
      <c r="AN52" s="452">
        <f>Y52*P1_reinigen_goten_met_vaste_dakveiligheid</f>
        <v>0</v>
      </c>
      <c r="AO52" s="452">
        <f>(AE52*P1_Reinigen_Lichtkoepel_50X50)+('Perceel 1'!AF52*P1_Reinigen_Lichtkoepel_60x200)+('Perceel 1'!AG52*P1_Reinigen_Lichtkoepel_180x180)+('Perceel 1'!AH52*P1_Reinigen_Lichtstraten_groter_dan_180x180)</f>
        <v>0</v>
      </c>
      <c r="AP52" s="452"/>
      <c r="AQ52" s="452">
        <f t="shared" si="6"/>
        <v>0</v>
      </c>
      <c r="AR52" s="453"/>
      <c r="AS52" s="454">
        <f t="shared" si="7"/>
        <v>0</v>
      </c>
      <c r="AT52" s="455">
        <f t="shared" si="2"/>
        <v>0</v>
      </c>
    </row>
    <row r="53" spans="1:46" ht="38.85" customHeight="1" x14ac:dyDescent="0.4">
      <c r="A53" s="155"/>
      <c r="B53" s="349">
        <v>1</v>
      </c>
      <c r="C53" s="171" t="s">
        <v>135</v>
      </c>
      <c r="D53" s="171" t="s">
        <v>174</v>
      </c>
      <c r="E53" s="171" t="s">
        <v>136</v>
      </c>
      <c r="F53" s="171"/>
      <c r="G53" s="171"/>
      <c r="H53" s="22"/>
      <c r="I53" s="17"/>
      <c r="J53" s="17"/>
      <c r="K53" s="17"/>
      <c r="L53" s="196"/>
      <c r="M53" s="169"/>
      <c r="N53" s="436" t="s">
        <v>527</v>
      </c>
      <c r="O53" s="357" t="s">
        <v>528</v>
      </c>
      <c r="P53" s="357" t="s">
        <v>529</v>
      </c>
      <c r="Q53" s="357" t="s">
        <v>530</v>
      </c>
      <c r="R53" s="380" t="s">
        <v>457</v>
      </c>
      <c r="S53" s="357" t="s">
        <v>189</v>
      </c>
      <c r="T53" s="169"/>
      <c r="U53" s="169"/>
      <c r="V53" s="169"/>
      <c r="W53" s="387">
        <v>2016</v>
      </c>
      <c r="X53" s="387">
        <v>1498</v>
      </c>
      <c r="Y53" s="387"/>
      <c r="Z53" s="387"/>
      <c r="AA53" s="387" t="s">
        <v>150</v>
      </c>
      <c r="AB53" s="387">
        <f>7+18+4</f>
        <v>29</v>
      </c>
      <c r="AC53" s="387">
        <v>177</v>
      </c>
      <c r="AD53" s="387" t="s">
        <v>531</v>
      </c>
      <c r="AE53" s="387"/>
      <c r="AF53" s="387"/>
      <c r="AG53" s="387"/>
      <c r="AH53" s="387"/>
      <c r="AI53" s="390" t="s">
        <v>532</v>
      </c>
      <c r="AJ53" s="204" t="s">
        <v>533</v>
      </c>
      <c r="AK53" s="440">
        <v>1</v>
      </c>
      <c r="AL53" s="444"/>
      <c r="AM53" s="457"/>
      <c r="AN53" s="456"/>
      <c r="AO53" s="456"/>
      <c r="AP53" s="456"/>
      <c r="AQ53" s="456"/>
      <c r="AR53" s="453"/>
      <c r="AS53" s="458"/>
      <c r="AT53" s="459"/>
    </row>
    <row r="54" spans="1:46" ht="28.5" x14ac:dyDescent="0.4">
      <c r="A54" s="155"/>
      <c r="B54" s="352">
        <v>1</v>
      </c>
      <c r="C54" s="175" t="s">
        <v>135</v>
      </c>
      <c r="D54" s="175" t="s">
        <v>174</v>
      </c>
      <c r="E54" s="175"/>
      <c r="F54" s="175"/>
      <c r="G54" s="175"/>
      <c r="H54" s="175" t="s">
        <v>534</v>
      </c>
      <c r="I54" s="182" t="s">
        <v>535</v>
      </c>
      <c r="J54" s="197"/>
      <c r="K54" s="197"/>
      <c r="L54" s="174"/>
      <c r="M54" s="175" t="s">
        <v>349</v>
      </c>
      <c r="N54" s="438">
        <v>1293</v>
      </c>
      <c r="O54" s="358" t="s">
        <v>536</v>
      </c>
      <c r="P54" s="438" t="s">
        <v>537</v>
      </c>
      <c r="Q54" s="438" t="s">
        <v>530</v>
      </c>
      <c r="R54" s="439" t="s">
        <v>457</v>
      </c>
      <c r="S54" s="438" t="s">
        <v>189</v>
      </c>
      <c r="T54" s="175" t="s">
        <v>538</v>
      </c>
      <c r="U54" s="175" t="s">
        <v>539</v>
      </c>
      <c r="V54" s="187" t="s">
        <v>540</v>
      </c>
      <c r="W54" s="438">
        <v>2016</v>
      </c>
      <c r="X54" s="441">
        <f>X53*84%</f>
        <v>1258.32</v>
      </c>
      <c r="Y54" s="438"/>
      <c r="Z54" s="438"/>
      <c r="AA54" s="438"/>
      <c r="AB54" s="441">
        <f t="shared" ref="AB54:AC54" si="8">AB53*84%</f>
        <v>24.36</v>
      </c>
      <c r="AC54" s="441">
        <f t="shared" si="8"/>
        <v>148.68</v>
      </c>
      <c r="AD54" s="438"/>
      <c r="AE54" s="438"/>
      <c r="AF54" s="438"/>
      <c r="AG54" s="438"/>
      <c r="AH54" s="438"/>
      <c r="AI54" s="470" t="s">
        <v>541</v>
      </c>
      <c r="AJ54" s="182" t="s">
        <v>533</v>
      </c>
      <c r="AK54" s="441">
        <v>1</v>
      </c>
      <c r="AL54" s="444"/>
      <c r="AM54" s="451">
        <f>X54*P1_reinigen_daken_met_vaste_dakveiligheid</f>
        <v>0</v>
      </c>
      <c r="AN54" s="452">
        <f>Y54*P1_reinigen_goten_met_vaste_dakveiligheid</f>
        <v>0</v>
      </c>
      <c r="AO54" s="452">
        <f>(AE54*P1_Reinigen_Lichtkoepel_50X50)+('Perceel 1'!AF54*P1_Reinigen_Lichtkoepel_60x200)+('Perceel 1'!AG54*P1_Reinigen_Lichtkoepel_180x180)+('Perceel 1'!AH54*P1_Reinigen_Lichtstraten_groter_dan_180x180)</f>
        <v>0</v>
      </c>
      <c r="AP54" s="452"/>
      <c r="AQ54" s="452">
        <f t="shared" ref="AQ54:AQ73" si="9">(X54+Y54)*P1_Inspecteren_daken_en_goten_1x_per_jaar_gelijktijdig_met_reiniging_inclusief_inspectierapport_en_een_managementrapport</f>
        <v>0</v>
      </c>
      <c r="AR54" s="472">
        <f>AR53*84%</f>
        <v>0</v>
      </c>
      <c r="AS54" s="454">
        <f t="shared" ref="AS54:AS73" si="10">AR54*P1_keuren_dakveiligheid_per_man_uur</f>
        <v>0</v>
      </c>
      <c r="AT54" s="455">
        <f t="shared" si="2"/>
        <v>0</v>
      </c>
    </row>
    <row r="55" spans="1:46" ht="51" x14ac:dyDescent="0.4">
      <c r="A55" s="155"/>
      <c r="B55" s="352">
        <v>1</v>
      </c>
      <c r="C55" s="175" t="s">
        <v>135</v>
      </c>
      <c r="D55" s="175" t="s">
        <v>136</v>
      </c>
      <c r="E55" s="175"/>
      <c r="F55" s="175"/>
      <c r="G55" s="175"/>
      <c r="H55" s="175" t="s">
        <v>542</v>
      </c>
      <c r="I55" s="182" t="s">
        <v>543</v>
      </c>
      <c r="J55" s="197"/>
      <c r="K55" s="197"/>
      <c r="L55" s="174"/>
      <c r="M55" s="191" t="s">
        <v>544</v>
      </c>
      <c r="N55" s="438">
        <v>1195</v>
      </c>
      <c r="O55" s="358" t="s">
        <v>545</v>
      </c>
      <c r="P55" s="438" t="s">
        <v>546</v>
      </c>
      <c r="Q55" s="438" t="s">
        <v>530</v>
      </c>
      <c r="R55" s="439" t="s">
        <v>457</v>
      </c>
      <c r="S55" s="438" t="s">
        <v>189</v>
      </c>
      <c r="T55" s="175" t="s">
        <v>169</v>
      </c>
      <c r="U55" s="175" t="s">
        <v>170</v>
      </c>
      <c r="V55" s="175" t="s">
        <v>171</v>
      </c>
      <c r="W55" s="438">
        <v>2016</v>
      </c>
      <c r="X55" s="441">
        <f>X53*16%</f>
        <v>239.68</v>
      </c>
      <c r="Y55" s="438"/>
      <c r="Z55" s="438"/>
      <c r="AA55" s="438"/>
      <c r="AB55" s="441">
        <f t="shared" ref="AB55:AC55" si="11">AB53*16%</f>
        <v>4.6399999999999997</v>
      </c>
      <c r="AC55" s="441">
        <f t="shared" si="11"/>
        <v>28.32</v>
      </c>
      <c r="AD55" s="438"/>
      <c r="AE55" s="438"/>
      <c r="AF55" s="438"/>
      <c r="AG55" s="438"/>
      <c r="AH55" s="438"/>
      <c r="AI55" s="470" t="s">
        <v>541</v>
      </c>
      <c r="AJ55" s="182" t="s">
        <v>533</v>
      </c>
      <c r="AK55" s="441">
        <v>1</v>
      </c>
      <c r="AL55" s="444"/>
      <c r="AM55" s="451">
        <f>X55*P1_reinigen_daken_met_vaste_dakveiligheid</f>
        <v>0</v>
      </c>
      <c r="AN55" s="452">
        <f>Y55*P1_reinigen_goten_met_vaste_dakveiligheid</f>
        <v>0</v>
      </c>
      <c r="AO55" s="452">
        <f>(AE55*P1_Reinigen_Lichtkoepel_50X50)+('Perceel 1'!AF55*P1_Reinigen_Lichtkoepel_60x200)+('Perceel 1'!AG55*P1_Reinigen_Lichtkoepel_180x180)+('Perceel 1'!AH55*P1_Reinigen_Lichtstraten_groter_dan_180x180)</f>
        <v>0</v>
      </c>
      <c r="AP55" s="452"/>
      <c r="AQ55" s="452">
        <f t="shared" si="9"/>
        <v>0</v>
      </c>
      <c r="AR55" s="472">
        <f>AR53*16%</f>
        <v>0</v>
      </c>
      <c r="AS55" s="454">
        <f t="shared" si="10"/>
        <v>0</v>
      </c>
      <c r="AT55" s="455">
        <f t="shared" si="2"/>
        <v>0</v>
      </c>
    </row>
    <row r="56" spans="1:46" ht="22.5" customHeight="1" x14ac:dyDescent="0.45">
      <c r="A56" s="155"/>
      <c r="B56" s="348">
        <v>1</v>
      </c>
      <c r="C56" s="156" t="s">
        <v>135</v>
      </c>
      <c r="D56" s="156" t="s">
        <v>136</v>
      </c>
      <c r="E56" s="156"/>
      <c r="F56" s="156"/>
      <c r="G56" s="156"/>
      <c r="H56" s="151" t="s">
        <v>547</v>
      </c>
      <c r="I56" s="151" t="s">
        <v>548</v>
      </c>
      <c r="J56" s="157"/>
      <c r="K56" s="163"/>
      <c r="L56" s="163" t="s">
        <v>154</v>
      </c>
      <c r="M56" s="166" t="s">
        <v>544</v>
      </c>
      <c r="N56" s="353" t="s">
        <v>549</v>
      </c>
      <c r="O56" s="353" t="s">
        <v>550</v>
      </c>
      <c r="P56" s="435" t="s">
        <v>551</v>
      </c>
      <c r="Q56" s="435" t="s">
        <v>552</v>
      </c>
      <c r="R56" s="461" t="s">
        <v>457</v>
      </c>
      <c r="S56" s="435" t="s">
        <v>189</v>
      </c>
      <c r="T56" s="159" t="s">
        <v>553</v>
      </c>
      <c r="U56" s="207" t="s">
        <v>554</v>
      </c>
      <c r="V56" s="208" t="s">
        <v>555</v>
      </c>
      <c r="W56" s="361">
        <v>1982</v>
      </c>
      <c r="X56" s="361">
        <v>460</v>
      </c>
      <c r="Y56" s="361"/>
      <c r="Z56" s="361"/>
      <c r="AA56" s="361"/>
      <c r="AB56" s="361"/>
      <c r="AC56" s="361"/>
      <c r="AD56" s="361"/>
      <c r="AE56" s="361"/>
      <c r="AF56" s="361"/>
      <c r="AG56" s="361"/>
      <c r="AH56" s="361"/>
      <c r="AI56" s="361"/>
      <c r="AJ56" s="177"/>
      <c r="AK56" s="443">
        <v>1</v>
      </c>
      <c r="AL56" s="444"/>
      <c r="AM56" s="451">
        <f t="shared" ref="AM56:AM67" si="12">X56*P1_Reinigen_daken_incl._extra_maatregelen_veilig_werken_volgens_VCA__eventuele_vergunningen_leges___voorrijkosten__adminstratieve_kosten__fotorapportage_en_kleine_reparaties_¹</f>
        <v>0</v>
      </c>
      <c r="AN56" s="452">
        <f t="shared" ref="AN56:AN67" si="13">Y56*P1_Reinigen_goten_incl._extra_maatregelen_veilig_werken_volgens_VCA__eventuele_vergunningen_leges___voorrijkosten__adminstratieve_kosten__fotorapportage_en_kleine_reparaties_¹</f>
        <v>0</v>
      </c>
      <c r="AO56" s="452">
        <f>(AE56*P1_Reinigen_Lichtkoepel_50X50)+('Perceel 1'!AF56*P1_Reinigen_Lichtkoepel_60x200)+('Perceel 1'!AG56*P1_Reinigen_Lichtkoepel_180x180)+('Perceel 1'!AH56*P1_Reinigen_Lichtstraten_groter_dan_180x180)</f>
        <v>0</v>
      </c>
      <c r="AP56" s="452"/>
      <c r="AQ56" s="452">
        <f t="shared" si="9"/>
        <v>0</v>
      </c>
      <c r="AR56" s="456"/>
      <c r="AS56" s="454">
        <f t="shared" si="10"/>
        <v>0</v>
      </c>
      <c r="AT56" s="455">
        <f t="shared" si="2"/>
        <v>0</v>
      </c>
    </row>
    <row r="57" spans="1:46" ht="38.25" x14ac:dyDescent="0.45">
      <c r="A57" s="161"/>
      <c r="B57" s="347">
        <v>1</v>
      </c>
      <c r="C57" s="156" t="s">
        <v>135</v>
      </c>
      <c r="D57" s="156" t="s">
        <v>136</v>
      </c>
      <c r="E57" s="156"/>
      <c r="F57" s="156"/>
      <c r="G57" s="156"/>
      <c r="H57" s="162" t="s">
        <v>556</v>
      </c>
      <c r="I57" s="162" t="s">
        <v>557</v>
      </c>
      <c r="J57" s="157"/>
      <c r="K57" s="163"/>
      <c r="L57" s="151" t="s">
        <v>139</v>
      </c>
      <c r="M57" s="159" t="s">
        <v>140</v>
      </c>
      <c r="N57" s="304">
        <v>2435</v>
      </c>
      <c r="O57" s="353" t="s">
        <v>558</v>
      </c>
      <c r="P57" s="353" t="s">
        <v>559</v>
      </c>
      <c r="Q57" s="353" t="s">
        <v>560</v>
      </c>
      <c r="R57" s="355" t="s">
        <v>230</v>
      </c>
      <c r="S57" s="353" t="s">
        <v>189</v>
      </c>
      <c r="T57" s="159" t="s">
        <v>561</v>
      </c>
      <c r="U57" s="159" t="s">
        <v>399</v>
      </c>
      <c r="V57" s="176" t="s">
        <v>400</v>
      </c>
      <c r="W57" s="361">
        <v>2020</v>
      </c>
      <c r="X57" s="361"/>
      <c r="Y57" s="361">
        <v>33</v>
      </c>
      <c r="Z57" s="361"/>
      <c r="AA57" s="361"/>
      <c r="AB57" s="361"/>
      <c r="AC57" s="361"/>
      <c r="AD57" s="361"/>
      <c r="AE57" s="361"/>
      <c r="AF57" s="361"/>
      <c r="AG57" s="361"/>
      <c r="AH57" s="361"/>
      <c r="AI57" s="361" t="s">
        <v>324</v>
      </c>
      <c r="AJ57" s="177" t="s">
        <v>562</v>
      </c>
      <c r="AK57" s="361">
        <v>1</v>
      </c>
      <c r="AL57" s="369"/>
      <c r="AM57" s="451">
        <f t="shared" si="12"/>
        <v>0</v>
      </c>
      <c r="AN57" s="452">
        <f t="shared" si="13"/>
        <v>0</v>
      </c>
      <c r="AO57" s="452">
        <f>(AE57*P1_Reinigen_Lichtkoepel_50X50)+('Perceel 1'!AF57*P1_Reinigen_Lichtkoepel_60x200)+('Perceel 1'!AG57*P1_Reinigen_Lichtkoepel_180x180)+('Perceel 1'!AH57*P1_Reinigen_Lichtstraten_groter_dan_180x180)</f>
        <v>0</v>
      </c>
      <c r="AP57" s="452"/>
      <c r="AQ57" s="452">
        <f t="shared" si="9"/>
        <v>0</v>
      </c>
      <c r="AR57" s="456"/>
      <c r="AS57" s="454">
        <f t="shared" si="10"/>
        <v>0</v>
      </c>
      <c r="AT57" s="455">
        <f>+(AM57*AK57)+(AN57*AK57)+AO57+AQ57+AS57</f>
        <v>0</v>
      </c>
    </row>
    <row r="58" spans="1:46" ht="38.450000000000003" customHeight="1" x14ac:dyDescent="0.45">
      <c r="A58" s="161"/>
      <c r="B58" s="347">
        <v>1</v>
      </c>
      <c r="C58" s="156" t="s">
        <v>135</v>
      </c>
      <c r="D58" s="156" t="s">
        <v>471</v>
      </c>
      <c r="E58" s="156"/>
      <c r="F58" s="156"/>
      <c r="G58" s="156"/>
      <c r="H58" s="151" t="s">
        <v>563</v>
      </c>
      <c r="I58" s="151" t="s">
        <v>564</v>
      </c>
      <c r="J58" s="157"/>
      <c r="K58" s="163"/>
      <c r="L58" s="163" t="s">
        <v>154</v>
      </c>
      <c r="M58" s="166" t="s">
        <v>155</v>
      </c>
      <c r="N58" s="353" t="s">
        <v>565</v>
      </c>
      <c r="O58" s="353" t="s">
        <v>566</v>
      </c>
      <c r="P58" s="353" t="s">
        <v>567</v>
      </c>
      <c r="Q58" s="353" t="s">
        <v>568</v>
      </c>
      <c r="R58" s="355" t="s">
        <v>339</v>
      </c>
      <c r="S58" s="353" t="s">
        <v>340</v>
      </c>
      <c r="T58" s="159" t="s">
        <v>477</v>
      </c>
      <c r="U58" s="159" t="s">
        <v>478</v>
      </c>
      <c r="V58" s="176" t="s">
        <v>479</v>
      </c>
      <c r="W58" s="361">
        <v>1983</v>
      </c>
      <c r="X58" s="361">
        <v>1527</v>
      </c>
      <c r="Y58" s="361"/>
      <c r="Z58" s="361"/>
      <c r="AA58" s="361"/>
      <c r="AB58" s="361"/>
      <c r="AC58" s="361"/>
      <c r="AD58" s="361"/>
      <c r="AE58" s="361"/>
      <c r="AF58" s="361"/>
      <c r="AG58" s="361"/>
      <c r="AH58" s="361"/>
      <c r="AI58" s="361"/>
      <c r="AJ58" s="177"/>
      <c r="AK58" s="361">
        <v>1</v>
      </c>
      <c r="AL58" s="369"/>
      <c r="AM58" s="451">
        <f t="shared" si="12"/>
        <v>0</v>
      </c>
      <c r="AN58" s="452">
        <f t="shared" si="13"/>
        <v>0</v>
      </c>
      <c r="AO58" s="452">
        <f>(AE58*P1_Reinigen_Lichtkoepel_50X50)+('Perceel 1'!AF58*P1_Reinigen_Lichtkoepel_60x200)+('Perceel 1'!AG58*P1_Reinigen_Lichtkoepel_180x180)+('Perceel 1'!AH58*P1_Reinigen_Lichtstraten_groter_dan_180x180)</f>
        <v>0</v>
      </c>
      <c r="AP58" s="452"/>
      <c r="AQ58" s="452">
        <f t="shared" si="9"/>
        <v>0</v>
      </c>
      <c r="AR58" s="456"/>
      <c r="AS58" s="454">
        <f t="shared" si="10"/>
        <v>0</v>
      </c>
      <c r="AT58" s="455">
        <f t="shared" si="2"/>
        <v>0</v>
      </c>
    </row>
    <row r="59" spans="1:46" ht="12.75" customHeight="1" x14ac:dyDescent="0.45">
      <c r="A59" s="155"/>
      <c r="B59" s="348">
        <v>1</v>
      </c>
      <c r="C59" s="156" t="s">
        <v>135</v>
      </c>
      <c r="D59" s="156" t="s">
        <v>136</v>
      </c>
      <c r="E59" s="156"/>
      <c r="F59" s="156"/>
      <c r="G59" s="156"/>
      <c r="H59" s="151" t="s">
        <v>569</v>
      </c>
      <c r="I59" s="151" t="s">
        <v>570</v>
      </c>
      <c r="J59" s="157"/>
      <c r="K59" s="163"/>
      <c r="L59" s="151" t="s">
        <v>139</v>
      </c>
      <c r="M59" s="159" t="s">
        <v>140</v>
      </c>
      <c r="N59" s="435" t="s">
        <v>571</v>
      </c>
      <c r="O59" s="353" t="s">
        <v>572</v>
      </c>
      <c r="P59" s="435" t="s">
        <v>573</v>
      </c>
      <c r="Q59" s="435" t="s">
        <v>574</v>
      </c>
      <c r="R59" s="461" t="s">
        <v>339</v>
      </c>
      <c r="S59" s="435" t="s">
        <v>340</v>
      </c>
      <c r="T59" s="159" t="s">
        <v>575</v>
      </c>
      <c r="U59" s="192" t="s">
        <v>576</v>
      </c>
      <c r="V59" s="176" t="s">
        <v>577</v>
      </c>
      <c r="W59" s="361">
        <v>2001</v>
      </c>
      <c r="X59" s="361">
        <v>288</v>
      </c>
      <c r="Y59" s="361"/>
      <c r="Z59" s="361"/>
      <c r="AA59" s="361"/>
      <c r="AB59" s="361"/>
      <c r="AC59" s="361"/>
      <c r="AD59" s="361"/>
      <c r="AE59" s="361"/>
      <c r="AF59" s="361"/>
      <c r="AG59" s="361"/>
      <c r="AH59" s="361"/>
      <c r="AI59" s="361"/>
      <c r="AJ59" s="177"/>
      <c r="AK59" s="443">
        <v>1</v>
      </c>
      <c r="AL59" s="444"/>
      <c r="AM59" s="451">
        <f t="shared" si="12"/>
        <v>0</v>
      </c>
      <c r="AN59" s="452">
        <f t="shared" si="13"/>
        <v>0</v>
      </c>
      <c r="AO59" s="452">
        <f>(AE59*P1_Reinigen_Lichtkoepel_50X50)+('Perceel 1'!AF59*P1_Reinigen_Lichtkoepel_60x200)+('Perceel 1'!AG59*P1_Reinigen_Lichtkoepel_180x180)+('Perceel 1'!AH59*P1_Reinigen_Lichtstraten_groter_dan_180x180)</f>
        <v>0</v>
      </c>
      <c r="AP59" s="452"/>
      <c r="AQ59" s="452">
        <f t="shared" si="9"/>
        <v>0</v>
      </c>
      <c r="AR59" s="456"/>
      <c r="AS59" s="454">
        <f t="shared" si="10"/>
        <v>0</v>
      </c>
      <c r="AT59" s="455">
        <f t="shared" si="2"/>
        <v>0</v>
      </c>
    </row>
    <row r="60" spans="1:46" ht="25.5" x14ac:dyDescent="0.45">
      <c r="A60" s="155"/>
      <c r="B60" s="348">
        <v>1</v>
      </c>
      <c r="C60" s="156" t="s">
        <v>135</v>
      </c>
      <c r="D60" s="156" t="s">
        <v>136</v>
      </c>
      <c r="E60" s="156"/>
      <c r="F60" s="156"/>
      <c r="G60" s="156"/>
      <c r="H60" s="151" t="s">
        <v>578</v>
      </c>
      <c r="I60" s="151" t="s">
        <v>579</v>
      </c>
      <c r="J60" s="157"/>
      <c r="K60" s="163"/>
      <c r="L60" s="163" t="s">
        <v>154</v>
      </c>
      <c r="M60" s="166" t="s">
        <v>544</v>
      </c>
      <c r="N60" s="304">
        <v>2366</v>
      </c>
      <c r="O60" s="353" t="s">
        <v>580</v>
      </c>
      <c r="P60" s="353" t="s">
        <v>581</v>
      </c>
      <c r="Q60" s="353" t="s">
        <v>582</v>
      </c>
      <c r="R60" s="355" t="s">
        <v>583</v>
      </c>
      <c r="S60" s="353" t="s">
        <v>189</v>
      </c>
      <c r="T60" s="159" t="s">
        <v>584</v>
      </c>
      <c r="U60" s="192" t="s">
        <v>585</v>
      </c>
      <c r="V60" s="176" t="s">
        <v>586</v>
      </c>
      <c r="W60" s="361">
        <v>1980</v>
      </c>
      <c r="X60" s="361">
        <v>179</v>
      </c>
      <c r="Y60" s="361">
        <v>40</v>
      </c>
      <c r="Z60" s="361"/>
      <c r="AA60" s="361"/>
      <c r="AB60" s="361"/>
      <c r="AC60" s="361"/>
      <c r="AD60" s="361"/>
      <c r="AE60" s="361"/>
      <c r="AF60" s="361"/>
      <c r="AG60" s="361"/>
      <c r="AH60" s="361"/>
      <c r="AI60" s="361"/>
      <c r="AJ60" s="177"/>
      <c r="AK60" s="361">
        <v>2</v>
      </c>
      <c r="AL60" s="369"/>
      <c r="AM60" s="451">
        <f t="shared" si="12"/>
        <v>0</v>
      </c>
      <c r="AN60" s="452">
        <f t="shared" si="13"/>
        <v>0</v>
      </c>
      <c r="AO60" s="452">
        <f>(AE60*P1_Reinigen_Lichtkoepel_50X50)+('Perceel 1'!AF60*P1_Reinigen_Lichtkoepel_60x200)+('Perceel 1'!AG60*P1_Reinigen_Lichtkoepel_180x180)+('Perceel 1'!AH60*P1_Reinigen_Lichtstraten_groter_dan_180x180)</f>
        <v>0</v>
      </c>
      <c r="AP60" s="452"/>
      <c r="AQ60" s="452">
        <f t="shared" si="9"/>
        <v>0</v>
      </c>
      <c r="AR60" s="456"/>
      <c r="AS60" s="454">
        <f t="shared" si="10"/>
        <v>0</v>
      </c>
      <c r="AT60" s="455">
        <f>(AM60*AK60)+(AN60*AK60)+AO60+AQ60+AS60</f>
        <v>0</v>
      </c>
    </row>
    <row r="61" spans="1:46" ht="25.5" x14ac:dyDescent="0.45">
      <c r="A61" s="155"/>
      <c r="B61" s="348">
        <v>1</v>
      </c>
      <c r="C61" s="156" t="s">
        <v>135</v>
      </c>
      <c r="D61" s="156" t="s">
        <v>136</v>
      </c>
      <c r="E61" s="156"/>
      <c r="F61" s="156"/>
      <c r="G61" s="156"/>
      <c r="H61" s="151" t="s">
        <v>587</v>
      </c>
      <c r="I61" s="151" t="s">
        <v>588</v>
      </c>
      <c r="J61" s="157"/>
      <c r="K61" s="163"/>
      <c r="L61" s="163" t="s">
        <v>154</v>
      </c>
      <c r="M61" s="166" t="s">
        <v>544</v>
      </c>
      <c r="N61" s="435" t="s">
        <v>589</v>
      </c>
      <c r="O61" s="353" t="s">
        <v>590</v>
      </c>
      <c r="P61" s="435" t="s">
        <v>591</v>
      </c>
      <c r="Q61" s="435" t="s">
        <v>582</v>
      </c>
      <c r="R61" s="461" t="s">
        <v>583</v>
      </c>
      <c r="S61" s="435" t="s">
        <v>189</v>
      </c>
      <c r="T61" s="159" t="s">
        <v>592</v>
      </c>
      <c r="U61" s="159" t="s">
        <v>593</v>
      </c>
      <c r="V61" s="176" t="s">
        <v>594</v>
      </c>
      <c r="W61" s="361">
        <v>1982</v>
      </c>
      <c r="X61" s="361">
        <f>546+125+173+272+145+85+195</f>
        <v>1541</v>
      </c>
      <c r="Y61" s="361"/>
      <c r="Z61" s="361"/>
      <c r="AA61" s="361"/>
      <c r="AB61" s="361"/>
      <c r="AC61" s="361"/>
      <c r="AD61" s="361"/>
      <c r="AE61" s="361"/>
      <c r="AF61" s="361"/>
      <c r="AG61" s="361"/>
      <c r="AH61" s="361"/>
      <c r="AI61" s="361"/>
      <c r="AJ61" s="177"/>
      <c r="AK61" s="443">
        <v>1</v>
      </c>
      <c r="AL61" s="444"/>
      <c r="AM61" s="451">
        <f t="shared" si="12"/>
        <v>0</v>
      </c>
      <c r="AN61" s="452">
        <f t="shared" si="13"/>
        <v>0</v>
      </c>
      <c r="AO61" s="452">
        <f>(AE61*P1_Reinigen_Lichtkoepel_50X50)+('Perceel 1'!AF61*P1_Reinigen_Lichtkoepel_60x200)+('Perceel 1'!AG61*P1_Reinigen_Lichtkoepel_180x180)+('Perceel 1'!AH61*P1_Reinigen_Lichtstraten_groter_dan_180x180)</f>
        <v>0</v>
      </c>
      <c r="AP61" s="452"/>
      <c r="AQ61" s="452">
        <f t="shared" si="9"/>
        <v>0</v>
      </c>
      <c r="AR61" s="456"/>
      <c r="AS61" s="454">
        <f t="shared" si="10"/>
        <v>0</v>
      </c>
      <c r="AT61" s="455">
        <f t="shared" si="2"/>
        <v>0</v>
      </c>
    </row>
    <row r="62" spans="1:46" x14ac:dyDescent="0.45">
      <c r="A62" s="155"/>
      <c r="B62" s="348">
        <v>1</v>
      </c>
      <c r="C62" s="156" t="s">
        <v>135</v>
      </c>
      <c r="D62" s="156" t="s">
        <v>136</v>
      </c>
      <c r="E62" s="156"/>
      <c r="F62" s="156"/>
      <c r="G62" s="156"/>
      <c r="H62" s="151" t="s">
        <v>595</v>
      </c>
      <c r="I62" s="151" t="s">
        <v>596</v>
      </c>
      <c r="J62" s="157"/>
      <c r="K62" s="163"/>
      <c r="L62" s="151" t="s">
        <v>348</v>
      </c>
      <c r="M62" s="159" t="s">
        <v>349</v>
      </c>
      <c r="N62" s="435" t="s">
        <v>597</v>
      </c>
      <c r="O62" s="353" t="s">
        <v>598</v>
      </c>
      <c r="P62" s="435" t="s">
        <v>599</v>
      </c>
      <c r="Q62" s="435" t="s">
        <v>600</v>
      </c>
      <c r="R62" s="461" t="s">
        <v>339</v>
      </c>
      <c r="S62" s="435" t="s">
        <v>340</v>
      </c>
      <c r="T62" s="159" t="s">
        <v>601</v>
      </c>
      <c r="U62" s="159" t="s">
        <v>602</v>
      </c>
      <c r="V62" s="176" t="s">
        <v>603</v>
      </c>
      <c r="W62" s="361">
        <v>1997</v>
      </c>
      <c r="X62" s="361">
        <v>725</v>
      </c>
      <c r="Y62" s="361"/>
      <c r="Z62" s="361"/>
      <c r="AA62" s="361"/>
      <c r="AB62" s="361"/>
      <c r="AC62" s="361"/>
      <c r="AD62" s="361"/>
      <c r="AE62" s="361"/>
      <c r="AF62" s="361"/>
      <c r="AG62" s="361"/>
      <c r="AH62" s="361"/>
      <c r="AI62" s="361"/>
      <c r="AJ62" s="177"/>
      <c r="AK62" s="443">
        <v>1</v>
      </c>
      <c r="AL62" s="444"/>
      <c r="AM62" s="451">
        <f t="shared" si="12"/>
        <v>0</v>
      </c>
      <c r="AN62" s="452">
        <f t="shared" si="13"/>
        <v>0</v>
      </c>
      <c r="AO62" s="452">
        <f>(AE62*P1_Reinigen_Lichtkoepel_50X50)+('Perceel 1'!AF62*P1_Reinigen_Lichtkoepel_60x200)+('Perceel 1'!AG62*P1_Reinigen_Lichtkoepel_180x180)+('Perceel 1'!AH62*P1_Reinigen_Lichtstraten_groter_dan_180x180)</f>
        <v>0</v>
      </c>
      <c r="AP62" s="452"/>
      <c r="AQ62" s="452">
        <f t="shared" si="9"/>
        <v>0</v>
      </c>
      <c r="AR62" s="456"/>
      <c r="AS62" s="454">
        <f t="shared" si="10"/>
        <v>0</v>
      </c>
      <c r="AT62" s="455">
        <f t="shared" si="2"/>
        <v>0</v>
      </c>
    </row>
    <row r="63" spans="1:46" ht="51" x14ac:dyDescent="0.45">
      <c r="A63" s="155"/>
      <c r="B63" s="348">
        <v>1</v>
      </c>
      <c r="C63" s="156" t="s">
        <v>135</v>
      </c>
      <c r="D63" s="156" t="s">
        <v>136</v>
      </c>
      <c r="E63" s="156"/>
      <c r="F63" s="156"/>
      <c r="G63" s="156"/>
      <c r="H63" s="151" t="s">
        <v>604</v>
      </c>
      <c r="I63" s="151" t="s">
        <v>605</v>
      </c>
      <c r="J63" s="157"/>
      <c r="K63" s="163"/>
      <c r="L63" s="163" t="s">
        <v>154</v>
      </c>
      <c r="M63" s="166" t="s">
        <v>544</v>
      </c>
      <c r="N63" s="435" t="s">
        <v>606</v>
      </c>
      <c r="O63" s="353" t="s">
        <v>607</v>
      </c>
      <c r="P63" s="435" t="s">
        <v>608</v>
      </c>
      <c r="Q63" s="435" t="s">
        <v>446</v>
      </c>
      <c r="R63" s="461" t="s">
        <v>339</v>
      </c>
      <c r="S63" s="435" t="s">
        <v>340</v>
      </c>
      <c r="T63" s="159" t="s">
        <v>169</v>
      </c>
      <c r="U63" s="159" t="s">
        <v>170</v>
      </c>
      <c r="V63" s="176" t="s">
        <v>171</v>
      </c>
      <c r="W63" s="361">
        <v>1988</v>
      </c>
      <c r="X63" s="361">
        <v>454</v>
      </c>
      <c r="Y63" s="361"/>
      <c r="Z63" s="361"/>
      <c r="AA63" s="361"/>
      <c r="AB63" s="361"/>
      <c r="AC63" s="361"/>
      <c r="AD63" s="361"/>
      <c r="AE63" s="361"/>
      <c r="AF63" s="361"/>
      <c r="AG63" s="361"/>
      <c r="AH63" s="361"/>
      <c r="AI63" s="361"/>
      <c r="AJ63" s="177"/>
      <c r="AK63" s="443">
        <v>2</v>
      </c>
      <c r="AL63" s="444"/>
      <c r="AM63" s="451">
        <f t="shared" si="12"/>
        <v>0</v>
      </c>
      <c r="AN63" s="452">
        <f t="shared" si="13"/>
        <v>0</v>
      </c>
      <c r="AO63" s="452">
        <f>(AE63*P1_Reinigen_Lichtkoepel_50X50)+('Perceel 1'!AF63*P1_Reinigen_Lichtkoepel_60x200)+('Perceel 1'!AG63*P1_Reinigen_Lichtkoepel_180x180)+('Perceel 1'!AH63*P1_Reinigen_Lichtstraten_groter_dan_180x180)</f>
        <v>0</v>
      </c>
      <c r="AP63" s="452"/>
      <c r="AQ63" s="452">
        <f t="shared" si="9"/>
        <v>0</v>
      </c>
      <c r="AR63" s="456"/>
      <c r="AS63" s="454">
        <f t="shared" si="10"/>
        <v>0</v>
      </c>
      <c r="AT63" s="455">
        <f t="shared" si="2"/>
        <v>0</v>
      </c>
    </row>
    <row r="64" spans="1:46" ht="27.75" customHeight="1" x14ac:dyDescent="0.45">
      <c r="A64" s="155"/>
      <c r="B64" s="348">
        <v>1</v>
      </c>
      <c r="C64" s="156" t="s">
        <v>135</v>
      </c>
      <c r="D64" s="156" t="s">
        <v>136</v>
      </c>
      <c r="E64" s="156"/>
      <c r="F64" s="156"/>
      <c r="G64" s="156"/>
      <c r="H64" s="151" t="s">
        <v>609</v>
      </c>
      <c r="I64" s="151" t="s">
        <v>610</v>
      </c>
      <c r="J64" s="157"/>
      <c r="K64" s="163"/>
      <c r="L64" s="151" t="s">
        <v>139</v>
      </c>
      <c r="M64" s="159" t="s">
        <v>140</v>
      </c>
      <c r="N64" s="435" t="s">
        <v>611</v>
      </c>
      <c r="O64" s="353" t="s">
        <v>612</v>
      </c>
      <c r="P64" s="353" t="s">
        <v>613</v>
      </c>
      <c r="Q64" s="435" t="s">
        <v>614</v>
      </c>
      <c r="R64" s="461" t="s">
        <v>286</v>
      </c>
      <c r="S64" s="435" t="s">
        <v>189</v>
      </c>
      <c r="T64" s="159" t="s">
        <v>615</v>
      </c>
      <c r="U64" s="159" t="s">
        <v>616</v>
      </c>
      <c r="V64" s="176" t="s">
        <v>400</v>
      </c>
      <c r="W64" s="361">
        <v>2002</v>
      </c>
      <c r="X64" s="361">
        <v>12</v>
      </c>
      <c r="Y64" s="361">
        <v>20</v>
      </c>
      <c r="Z64" s="361"/>
      <c r="AA64" s="361"/>
      <c r="AB64" s="361"/>
      <c r="AC64" s="361"/>
      <c r="AD64" s="361"/>
      <c r="AE64" s="361"/>
      <c r="AF64" s="361"/>
      <c r="AG64" s="361"/>
      <c r="AH64" s="361"/>
      <c r="AI64" s="361"/>
      <c r="AJ64" s="177"/>
      <c r="AK64" s="443">
        <v>2</v>
      </c>
      <c r="AL64" s="369"/>
      <c r="AM64" s="451">
        <f t="shared" si="12"/>
        <v>0</v>
      </c>
      <c r="AN64" s="452">
        <f t="shared" si="13"/>
        <v>0</v>
      </c>
      <c r="AO64" s="452">
        <f>(AE64*P1_Reinigen_Lichtkoepel_50X50)+('Perceel 1'!AF64*P1_Reinigen_Lichtkoepel_60x200)+('Perceel 1'!AG64*P1_Reinigen_Lichtkoepel_180x180)+('Perceel 1'!AH64*P1_Reinigen_Lichtstraten_groter_dan_180x180)</f>
        <v>0</v>
      </c>
      <c r="AP64" s="452"/>
      <c r="AQ64" s="452">
        <f t="shared" si="9"/>
        <v>0</v>
      </c>
      <c r="AR64" s="456"/>
      <c r="AS64" s="454">
        <f t="shared" si="10"/>
        <v>0</v>
      </c>
      <c r="AT64" s="455">
        <f>(AM64*AK64)+(AN64*AK64)+AO64+AQ64+AS64</f>
        <v>0</v>
      </c>
    </row>
    <row r="65" spans="1:46" ht="32.25" customHeight="1" x14ac:dyDescent="0.45">
      <c r="A65" s="155"/>
      <c r="B65" s="348">
        <v>1</v>
      </c>
      <c r="C65" s="156" t="s">
        <v>135</v>
      </c>
      <c r="D65" s="156" t="s">
        <v>136</v>
      </c>
      <c r="E65" s="156"/>
      <c r="F65" s="156"/>
      <c r="G65" s="156"/>
      <c r="H65" s="151" t="s">
        <v>617</v>
      </c>
      <c r="I65" s="151" t="s">
        <v>618</v>
      </c>
      <c r="J65" s="157"/>
      <c r="K65" s="163"/>
      <c r="L65" s="151" t="s">
        <v>139</v>
      </c>
      <c r="M65" s="159" t="s">
        <v>140</v>
      </c>
      <c r="N65" s="435" t="s">
        <v>619</v>
      </c>
      <c r="O65" s="353" t="s">
        <v>620</v>
      </c>
      <c r="P65" s="435" t="s">
        <v>621</v>
      </c>
      <c r="Q65" s="435" t="s">
        <v>196</v>
      </c>
      <c r="R65" s="461" t="s">
        <v>197</v>
      </c>
      <c r="S65" s="435" t="s">
        <v>189</v>
      </c>
      <c r="T65" s="166" t="s">
        <v>622</v>
      </c>
      <c r="U65" s="166" t="s">
        <v>623</v>
      </c>
      <c r="V65" s="176"/>
      <c r="W65" s="361">
        <v>1991</v>
      </c>
      <c r="X65" s="361">
        <f>45+8+75+43</f>
        <v>171</v>
      </c>
      <c r="Y65" s="361"/>
      <c r="Z65" s="361"/>
      <c r="AA65" s="361"/>
      <c r="AB65" s="361"/>
      <c r="AC65" s="361"/>
      <c r="AD65" s="361"/>
      <c r="AE65" s="361"/>
      <c r="AF65" s="361"/>
      <c r="AG65" s="361"/>
      <c r="AH65" s="361"/>
      <c r="AI65" s="361"/>
      <c r="AJ65" s="177"/>
      <c r="AK65" s="443">
        <v>1</v>
      </c>
      <c r="AL65" s="444"/>
      <c r="AM65" s="451">
        <f t="shared" si="12"/>
        <v>0</v>
      </c>
      <c r="AN65" s="452">
        <f t="shared" si="13"/>
        <v>0</v>
      </c>
      <c r="AO65" s="452">
        <f>(AE65*P1_Reinigen_Lichtkoepel_50X50)+('Perceel 1'!AF65*P1_Reinigen_Lichtkoepel_60x200)+('Perceel 1'!AG65*P1_Reinigen_Lichtkoepel_180x180)+('Perceel 1'!AH65*P1_Reinigen_Lichtstraten_groter_dan_180x180)</f>
        <v>0</v>
      </c>
      <c r="AP65" s="452"/>
      <c r="AQ65" s="452">
        <f t="shared" si="9"/>
        <v>0</v>
      </c>
      <c r="AR65" s="456"/>
      <c r="AS65" s="454">
        <f t="shared" si="10"/>
        <v>0</v>
      </c>
      <c r="AT65" s="455">
        <f t="shared" si="2"/>
        <v>0</v>
      </c>
    </row>
    <row r="66" spans="1:46" ht="51" x14ac:dyDescent="0.45">
      <c r="A66" s="161"/>
      <c r="B66" s="347">
        <v>1</v>
      </c>
      <c r="C66" s="156" t="s">
        <v>135</v>
      </c>
      <c r="D66" s="156" t="s">
        <v>136</v>
      </c>
      <c r="E66" s="156"/>
      <c r="F66" s="156"/>
      <c r="G66" s="156"/>
      <c r="H66" s="203" t="s">
        <v>624</v>
      </c>
      <c r="I66" s="203" t="s">
        <v>625</v>
      </c>
      <c r="J66" s="157"/>
      <c r="K66" s="163"/>
      <c r="L66" s="151" t="s">
        <v>139</v>
      </c>
      <c r="M66" s="159" t="s">
        <v>140</v>
      </c>
      <c r="N66" s="379" t="s">
        <v>626</v>
      </c>
      <c r="O66" s="353" t="s">
        <v>627</v>
      </c>
      <c r="P66" s="353" t="s">
        <v>628</v>
      </c>
      <c r="Q66" s="353" t="s">
        <v>196</v>
      </c>
      <c r="R66" s="355" t="s">
        <v>197</v>
      </c>
      <c r="S66" s="353" t="s">
        <v>189</v>
      </c>
      <c r="T66" s="159" t="s">
        <v>169</v>
      </c>
      <c r="U66" s="159" t="s">
        <v>170</v>
      </c>
      <c r="V66" s="176" t="s">
        <v>171</v>
      </c>
      <c r="W66" s="361">
        <v>2020</v>
      </c>
      <c r="X66" s="361">
        <v>52</v>
      </c>
      <c r="Y66" s="361"/>
      <c r="Z66" s="361"/>
      <c r="AA66" s="361"/>
      <c r="AB66" s="361"/>
      <c r="AC66" s="361"/>
      <c r="AD66" s="361"/>
      <c r="AE66" s="361"/>
      <c r="AF66" s="361"/>
      <c r="AG66" s="361"/>
      <c r="AH66" s="361"/>
      <c r="AI66" s="361" t="s">
        <v>324</v>
      </c>
      <c r="AJ66" s="177"/>
      <c r="AK66" s="361">
        <v>1</v>
      </c>
      <c r="AL66" s="369"/>
      <c r="AM66" s="451">
        <f t="shared" si="12"/>
        <v>0</v>
      </c>
      <c r="AN66" s="452">
        <f t="shared" si="13"/>
        <v>0</v>
      </c>
      <c r="AO66" s="452">
        <f>(AE66*P1_Reinigen_Lichtkoepel_50X50)+('Perceel 1'!AF66*P1_Reinigen_Lichtkoepel_60x200)+('Perceel 1'!AG66*P1_Reinigen_Lichtkoepel_180x180)+('Perceel 1'!AH66*P1_Reinigen_Lichtstraten_groter_dan_180x180)</f>
        <v>0</v>
      </c>
      <c r="AP66" s="452"/>
      <c r="AQ66" s="452">
        <f t="shared" si="9"/>
        <v>0</v>
      </c>
      <c r="AR66" s="456"/>
      <c r="AS66" s="454">
        <f t="shared" si="10"/>
        <v>0</v>
      </c>
      <c r="AT66" s="455">
        <f t="shared" si="2"/>
        <v>0</v>
      </c>
    </row>
    <row r="67" spans="1:46" ht="38.25" x14ac:dyDescent="0.45">
      <c r="A67" s="155"/>
      <c r="B67" s="348">
        <v>1</v>
      </c>
      <c r="C67" s="156" t="s">
        <v>135</v>
      </c>
      <c r="D67" s="156" t="s">
        <v>136</v>
      </c>
      <c r="E67" s="156"/>
      <c r="F67" s="156"/>
      <c r="G67" s="156"/>
      <c r="H67" s="151" t="s">
        <v>325</v>
      </c>
      <c r="I67" s="151" t="s">
        <v>326</v>
      </c>
      <c r="J67" s="157"/>
      <c r="K67" s="163"/>
      <c r="L67" s="163" t="s">
        <v>154</v>
      </c>
      <c r="M67" s="166" t="s">
        <v>544</v>
      </c>
      <c r="N67" s="304">
        <v>4141</v>
      </c>
      <c r="O67" s="353" t="s">
        <v>629</v>
      </c>
      <c r="P67" s="353" t="s">
        <v>630</v>
      </c>
      <c r="Q67" s="353"/>
      <c r="R67" s="355" t="s">
        <v>197</v>
      </c>
      <c r="S67" s="353" t="s">
        <v>189</v>
      </c>
      <c r="T67" s="159" t="s">
        <v>330</v>
      </c>
      <c r="U67" s="159" t="s">
        <v>331</v>
      </c>
      <c r="V67" s="209" t="s">
        <v>332</v>
      </c>
      <c r="W67" s="361">
        <v>2013</v>
      </c>
      <c r="X67" s="361">
        <v>48</v>
      </c>
      <c r="Y67" s="361"/>
      <c r="Z67" s="361"/>
      <c r="AA67" s="388"/>
      <c r="AB67" s="388"/>
      <c r="AC67" s="388"/>
      <c r="AD67" s="388"/>
      <c r="AE67" s="388"/>
      <c r="AF67" s="388"/>
      <c r="AG67" s="388"/>
      <c r="AH67" s="388"/>
      <c r="AI67" s="388"/>
      <c r="AJ67" s="210"/>
      <c r="AK67" s="361">
        <v>1</v>
      </c>
      <c r="AL67" s="369"/>
      <c r="AM67" s="451">
        <f t="shared" si="12"/>
        <v>0</v>
      </c>
      <c r="AN67" s="452">
        <f t="shared" si="13"/>
        <v>0</v>
      </c>
      <c r="AO67" s="452">
        <f>(AE67*P1_Reinigen_Lichtkoepel_50X50)+('Perceel 1'!AF67*P1_Reinigen_Lichtkoepel_60x200)+('Perceel 1'!AG67*P1_Reinigen_Lichtkoepel_180x180)+('Perceel 1'!AH67*P1_Reinigen_Lichtstraten_groter_dan_180x180)</f>
        <v>0</v>
      </c>
      <c r="AP67" s="452"/>
      <c r="AQ67" s="452">
        <f t="shared" si="9"/>
        <v>0</v>
      </c>
      <c r="AR67" s="456"/>
      <c r="AS67" s="454">
        <f t="shared" si="10"/>
        <v>0</v>
      </c>
      <c r="AT67" s="455">
        <f t="shared" ref="AT67:AT96" si="14">(AM67*AK67)+(Y67*AK67)+AO67+AQ67+AS67</f>
        <v>0</v>
      </c>
    </row>
    <row r="68" spans="1:46" ht="51" x14ac:dyDescent="0.45">
      <c r="A68" s="155"/>
      <c r="B68" s="348">
        <v>1</v>
      </c>
      <c r="C68" s="156" t="s">
        <v>135</v>
      </c>
      <c r="D68" s="156" t="s">
        <v>136</v>
      </c>
      <c r="E68" s="156"/>
      <c r="F68" s="156"/>
      <c r="G68" s="156"/>
      <c r="H68" s="151" t="s">
        <v>631</v>
      </c>
      <c r="I68" s="151" t="s">
        <v>632</v>
      </c>
      <c r="J68" s="157"/>
      <c r="K68" s="163"/>
      <c r="L68" s="163" t="s">
        <v>154</v>
      </c>
      <c r="M68" s="166" t="s">
        <v>544</v>
      </c>
      <c r="N68" s="435" t="s">
        <v>633</v>
      </c>
      <c r="O68" s="353" t="s">
        <v>634</v>
      </c>
      <c r="P68" s="435" t="s">
        <v>635</v>
      </c>
      <c r="Q68" s="435" t="s">
        <v>636</v>
      </c>
      <c r="R68" s="461" t="s">
        <v>637</v>
      </c>
      <c r="S68" s="435" t="s">
        <v>189</v>
      </c>
      <c r="T68" s="159" t="s">
        <v>169</v>
      </c>
      <c r="U68" s="159" t="s">
        <v>170</v>
      </c>
      <c r="V68" s="176" t="s">
        <v>171</v>
      </c>
      <c r="W68" s="361">
        <v>1980</v>
      </c>
      <c r="X68" s="361">
        <v>441</v>
      </c>
      <c r="Y68" s="361"/>
      <c r="Z68" s="361" t="s">
        <v>311</v>
      </c>
      <c r="AA68" s="361" t="s">
        <v>231</v>
      </c>
      <c r="AB68" s="361">
        <v>15</v>
      </c>
      <c r="AC68" s="361">
        <f>85+18</f>
        <v>103</v>
      </c>
      <c r="AD68" s="361"/>
      <c r="AE68" s="361"/>
      <c r="AF68" s="361"/>
      <c r="AG68" s="361"/>
      <c r="AH68" s="361"/>
      <c r="AI68" s="361" t="s">
        <v>638</v>
      </c>
      <c r="AJ68" s="177" t="s">
        <v>639</v>
      </c>
      <c r="AK68" s="361">
        <v>3</v>
      </c>
      <c r="AL68" s="369"/>
      <c r="AM68" s="451">
        <f>X68*P1_reinigen_daken_met_vaste_dakveiligheid</f>
        <v>0</v>
      </c>
      <c r="AN68" s="452">
        <f>Y68*P1_reinigen_goten_met_vaste_dakveiligheid</f>
        <v>0</v>
      </c>
      <c r="AO68" s="452">
        <f>(AE68*P1_Reinigen_Lichtkoepel_50X50)+('Perceel 1'!AF68*P1_Reinigen_Lichtkoepel_60x200)+('Perceel 1'!AG68*P1_Reinigen_Lichtkoepel_180x180)+('Perceel 1'!AH68*P1_Reinigen_Lichtstraten_groter_dan_180x180)</f>
        <v>0</v>
      </c>
      <c r="AP68" s="452"/>
      <c r="AQ68" s="452">
        <f t="shared" si="9"/>
        <v>0</v>
      </c>
      <c r="AR68" s="453"/>
      <c r="AS68" s="454">
        <f t="shared" si="10"/>
        <v>0</v>
      </c>
      <c r="AT68" s="455">
        <f t="shared" si="14"/>
        <v>0</v>
      </c>
    </row>
    <row r="69" spans="1:46" ht="32.25" customHeight="1" x14ac:dyDescent="0.45">
      <c r="A69" s="155"/>
      <c r="B69" s="348">
        <v>1</v>
      </c>
      <c r="C69" s="156" t="s">
        <v>135</v>
      </c>
      <c r="D69" s="156" t="s">
        <v>136</v>
      </c>
      <c r="E69" s="156"/>
      <c r="F69" s="156"/>
      <c r="G69" s="156"/>
      <c r="H69" s="151" t="s">
        <v>640</v>
      </c>
      <c r="I69" s="151" t="s">
        <v>641</v>
      </c>
      <c r="J69" s="157"/>
      <c r="K69" s="163"/>
      <c r="L69" s="151" t="s">
        <v>139</v>
      </c>
      <c r="M69" s="159" t="s">
        <v>140</v>
      </c>
      <c r="N69" s="435" t="s">
        <v>642</v>
      </c>
      <c r="O69" s="353" t="s">
        <v>643</v>
      </c>
      <c r="P69" s="435" t="s">
        <v>644</v>
      </c>
      <c r="Q69" s="435" t="s">
        <v>645</v>
      </c>
      <c r="R69" s="461" t="s">
        <v>637</v>
      </c>
      <c r="S69" s="435" t="s">
        <v>189</v>
      </c>
      <c r="T69" s="159" t="s">
        <v>646</v>
      </c>
      <c r="U69" s="159" t="s">
        <v>647</v>
      </c>
      <c r="V69" s="159" t="s">
        <v>648</v>
      </c>
      <c r="W69" s="361">
        <v>1978</v>
      </c>
      <c r="X69" s="361">
        <v>360</v>
      </c>
      <c r="Y69" s="361"/>
      <c r="Z69" s="361"/>
      <c r="AA69" s="361"/>
      <c r="AB69" s="361"/>
      <c r="AC69" s="361"/>
      <c r="AD69" s="361"/>
      <c r="AE69" s="361"/>
      <c r="AF69" s="361"/>
      <c r="AG69" s="361"/>
      <c r="AH69" s="361"/>
      <c r="AI69" s="361"/>
      <c r="AJ69" s="177"/>
      <c r="AK69" s="443">
        <v>1</v>
      </c>
      <c r="AL69" s="444"/>
      <c r="AM69" s="451">
        <f>X69*P1_Reinigen_daken_incl._extra_maatregelen_veilig_werken_volgens_VCA__eventuele_vergunningen_leges___voorrijkosten__adminstratieve_kosten__fotorapportage_en_kleine_reparaties_¹</f>
        <v>0</v>
      </c>
      <c r="AN69" s="452">
        <f>Y69*P1_Reinigen_goten_incl._extra_maatregelen_veilig_werken_volgens_VCA__eventuele_vergunningen_leges___voorrijkosten__adminstratieve_kosten__fotorapportage_en_kleine_reparaties_¹</f>
        <v>0</v>
      </c>
      <c r="AO69" s="452">
        <f>(AE69*P1_Reinigen_Lichtkoepel_50X50)+('Perceel 1'!AF69*P1_Reinigen_Lichtkoepel_60x200)+('Perceel 1'!AG69*P1_Reinigen_Lichtkoepel_180x180)+('Perceel 1'!AH69*P1_Reinigen_Lichtstraten_groter_dan_180x180)</f>
        <v>0</v>
      </c>
      <c r="AP69" s="452"/>
      <c r="AQ69" s="452">
        <f t="shared" si="9"/>
        <v>0</v>
      </c>
      <c r="AR69" s="456"/>
      <c r="AS69" s="454">
        <f t="shared" si="10"/>
        <v>0</v>
      </c>
      <c r="AT69" s="455">
        <f t="shared" si="14"/>
        <v>0</v>
      </c>
    </row>
    <row r="70" spans="1:46" ht="41.25" customHeight="1" x14ac:dyDescent="0.45">
      <c r="A70" s="155"/>
      <c r="B70" s="347">
        <v>1</v>
      </c>
      <c r="C70" s="156" t="s">
        <v>135</v>
      </c>
      <c r="D70" s="156" t="s">
        <v>174</v>
      </c>
      <c r="E70" s="156"/>
      <c r="F70" s="156"/>
      <c r="G70" s="156"/>
      <c r="H70" s="151" t="s">
        <v>649</v>
      </c>
      <c r="I70" s="151" t="s">
        <v>650</v>
      </c>
      <c r="J70" s="157"/>
      <c r="K70" s="163"/>
      <c r="L70" s="151" t="s">
        <v>348</v>
      </c>
      <c r="M70" s="159" t="s">
        <v>349</v>
      </c>
      <c r="N70" s="353" t="s">
        <v>651</v>
      </c>
      <c r="O70" s="353" t="s">
        <v>652</v>
      </c>
      <c r="P70" s="353" t="s">
        <v>653</v>
      </c>
      <c r="Q70" s="353" t="s">
        <v>654</v>
      </c>
      <c r="R70" s="355" t="s">
        <v>230</v>
      </c>
      <c r="S70" s="353" t="s">
        <v>189</v>
      </c>
      <c r="T70" s="159" t="s">
        <v>655</v>
      </c>
      <c r="U70" s="159" t="s">
        <v>656</v>
      </c>
      <c r="V70" s="176" t="s">
        <v>221</v>
      </c>
      <c r="W70" s="361">
        <v>1979</v>
      </c>
      <c r="X70" s="361">
        <v>1100</v>
      </c>
      <c r="Y70" s="361"/>
      <c r="Z70" s="361"/>
      <c r="AA70" s="361" t="s">
        <v>657</v>
      </c>
      <c r="AB70" s="361">
        <v>33</v>
      </c>
      <c r="AC70" s="361">
        <v>121</v>
      </c>
      <c r="AD70" s="361"/>
      <c r="AE70" s="361"/>
      <c r="AF70" s="361"/>
      <c r="AG70" s="361"/>
      <c r="AH70" s="361"/>
      <c r="AI70" s="361"/>
      <c r="AJ70" s="177"/>
      <c r="AK70" s="361">
        <v>3</v>
      </c>
      <c r="AL70" s="369"/>
      <c r="AM70" s="451">
        <f>X70*P1_reinigen_daken_met_vaste_dakveiligheid</f>
        <v>0</v>
      </c>
      <c r="AN70" s="452">
        <f>Y70*P1_reinigen_goten_met_vaste_dakveiligheid</f>
        <v>0</v>
      </c>
      <c r="AO70" s="452">
        <f>(AE70*P1_Reinigen_Lichtkoepel_50X50)+('Perceel 1'!AF70*P1_Reinigen_Lichtkoepel_60x200)+('Perceel 1'!AG70*P1_Reinigen_Lichtkoepel_180x180)+('Perceel 1'!AH70*P1_Reinigen_Lichtstraten_groter_dan_180x180)</f>
        <v>0</v>
      </c>
      <c r="AP70" s="452"/>
      <c r="AQ70" s="452">
        <f t="shared" si="9"/>
        <v>0</v>
      </c>
      <c r="AR70" s="453"/>
      <c r="AS70" s="454">
        <f t="shared" si="10"/>
        <v>0</v>
      </c>
      <c r="AT70" s="455">
        <f t="shared" si="14"/>
        <v>0</v>
      </c>
    </row>
    <row r="71" spans="1:46" ht="25.5" x14ac:dyDescent="0.45">
      <c r="A71" s="155"/>
      <c r="B71" s="347">
        <v>1</v>
      </c>
      <c r="C71" s="156" t="s">
        <v>135</v>
      </c>
      <c r="D71" s="156" t="s">
        <v>174</v>
      </c>
      <c r="E71" s="156"/>
      <c r="F71" s="156"/>
      <c r="G71" s="156"/>
      <c r="H71" s="151" t="s">
        <v>658</v>
      </c>
      <c r="I71" s="151" t="s">
        <v>659</v>
      </c>
      <c r="J71" s="157"/>
      <c r="K71" s="163"/>
      <c r="L71" s="151" t="s">
        <v>348</v>
      </c>
      <c r="M71" s="159" t="s">
        <v>349</v>
      </c>
      <c r="N71" s="353" t="s">
        <v>660</v>
      </c>
      <c r="O71" s="353" t="s">
        <v>661</v>
      </c>
      <c r="P71" s="353" t="s">
        <v>662</v>
      </c>
      <c r="Q71" s="353" t="s">
        <v>663</v>
      </c>
      <c r="R71" s="355" t="s">
        <v>372</v>
      </c>
      <c r="S71" s="353" t="s">
        <v>189</v>
      </c>
      <c r="T71" s="159" t="s">
        <v>664</v>
      </c>
      <c r="U71" s="159" t="s">
        <v>665</v>
      </c>
      <c r="V71" s="176" t="s">
        <v>666</v>
      </c>
      <c r="W71" s="361">
        <v>1980</v>
      </c>
      <c r="X71" s="361">
        <v>2239</v>
      </c>
      <c r="Y71" s="361"/>
      <c r="Z71" s="361"/>
      <c r="AA71" s="361"/>
      <c r="AB71" s="361"/>
      <c r="AC71" s="361"/>
      <c r="AD71" s="361"/>
      <c r="AE71" s="361"/>
      <c r="AF71" s="361"/>
      <c r="AG71" s="361"/>
      <c r="AH71" s="361"/>
      <c r="AI71" s="361"/>
      <c r="AJ71" s="177"/>
      <c r="AK71" s="443">
        <v>1</v>
      </c>
      <c r="AL71" s="444"/>
      <c r="AM71" s="451">
        <f>X71*P1_Reinigen_daken_incl._extra_maatregelen_veilig_werken_volgens_VCA__eventuele_vergunningen_leges___voorrijkosten__adminstratieve_kosten__fotorapportage_en_kleine_reparaties_¹</f>
        <v>0</v>
      </c>
      <c r="AN71" s="452">
        <f>Y71*P1_Reinigen_goten_incl._extra_maatregelen_veilig_werken_volgens_VCA__eventuele_vergunningen_leges___voorrijkosten__adminstratieve_kosten__fotorapportage_en_kleine_reparaties_¹</f>
        <v>0</v>
      </c>
      <c r="AO71" s="452">
        <f>(AE71*P1_Reinigen_Lichtkoepel_50X50)+('Perceel 1'!AF71*P1_Reinigen_Lichtkoepel_60x200)+('Perceel 1'!AG71*P1_Reinigen_Lichtkoepel_180x180)+('Perceel 1'!AH71*P1_Reinigen_Lichtstraten_groter_dan_180x180)</f>
        <v>0</v>
      </c>
      <c r="AP71" s="452"/>
      <c r="AQ71" s="452">
        <f t="shared" si="9"/>
        <v>0</v>
      </c>
      <c r="AR71" s="456"/>
      <c r="AS71" s="454">
        <f t="shared" si="10"/>
        <v>0</v>
      </c>
      <c r="AT71" s="455">
        <f t="shared" si="14"/>
        <v>0</v>
      </c>
    </row>
    <row r="72" spans="1:46" ht="25.5" x14ac:dyDescent="0.45">
      <c r="A72" s="155"/>
      <c r="B72" s="347">
        <v>1</v>
      </c>
      <c r="C72" s="156" t="s">
        <v>135</v>
      </c>
      <c r="D72" s="156" t="s">
        <v>174</v>
      </c>
      <c r="E72" s="156"/>
      <c r="F72" s="156"/>
      <c r="G72" s="156"/>
      <c r="H72" s="151" t="s">
        <v>667</v>
      </c>
      <c r="I72" s="151" t="s">
        <v>668</v>
      </c>
      <c r="J72" s="157"/>
      <c r="K72" s="158"/>
      <c r="L72" s="151" t="s">
        <v>280</v>
      </c>
      <c r="M72" s="159" t="s">
        <v>669</v>
      </c>
      <c r="N72" s="353" t="s">
        <v>670</v>
      </c>
      <c r="O72" s="353" t="s">
        <v>671</v>
      </c>
      <c r="P72" s="353" t="s">
        <v>672</v>
      </c>
      <c r="Q72" s="353" t="s">
        <v>673</v>
      </c>
      <c r="R72" s="355" t="s">
        <v>302</v>
      </c>
      <c r="S72" s="353" t="s">
        <v>146</v>
      </c>
      <c r="T72" s="159" t="s">
        <v>674</v>
      </c>
      <c r="U72" s="159" t="s">
        <v>675</v>
      </c>
      <c r="V72" s="176" t="s">
        <v>676</v>
      </c>
      <c r="W72" s="361">
        <v>2011</v>
      </c>
      <c r="X72" s="361">
        <f>25+41</f>
        <v>66</v>
      </c>
      <c r="Y72" s="361">
        <v>29</v>
      </c>
      <c r="Z72" s="361"/>
      <c r="AA72" s="361"/>
      <c r="AB72" s="361"/>
      <c r="AC72" s="361"/>
      <c r="AD72" s="361"/>
      <c r="AE72" s="361"/>
      <c r="AF72" s="361"/>
      <c r="AG72" s="361"/>
      <c r="AH72" s="361"/>
      <c r="AI72" s="361"/>
      <c r="AJ72" s="177"/>
      <c r="AK72" s="361">
        <v>1</v>
      </c>
      <c r="AL72" s="395"/>
      <c r="AM72" s="451">
        <f>X72*P1_Reinigen_daken_incl._extra_maatregelen_veilig_werken_volgens_VCA__eventuele_vergunningen_leges___voorrijkosten__adminstratieve_kosten__fotorapportage_en_kleine_reparaties_¹</f>
        <v>0</v>
      </c>
      <c r="AN72" s="452">
        <f>Y72*P1_Reinigen_goten_incl._extra_maatregelen_veilig_werken_volgens_VCA__eventuele_vergunningen_leges___voorrijkosten__adminstratieve_kosten__fotorapportage_en_kleine_reparaties_¹</f>
        <v>0</v>
      </c>
      <c r="AO72" s="452">
        <f>(AE72*P1_Reinigen_Lichtkoepel_50X50)+('Perceel 1'!AF72*P1_Reinigen_Lichtkoepel_60x200)+('Perceel 1'!AG72*P1_Reinigen_Lichtkoepel_180x180)+('Perceel 1'!AH72*P1_Reinigen_Lichtstraten_groter_dan_180x180)</f>
        <v>0</v>
      </c>
      <c r="AP72" s="452"/>
      <c r="AQ72" s="452">
        <f t="shared" si="9"/>
        <v>0</v>
      </c>
      <c r="AR72" s="456"/>
      <c r="AS72" s="454">
        <f t="shared" si="10"/>
        <v>0</v>
      </c>
      <c r="AT72" s="455">
        <f>(AM72*AK72)+(AN72*AK72)+AO72+AQ72+AS72</f>
        <v>0</v>
      </c>
    </row>
    <row r="73" spans="1:46" ht="25.5" x14ac:dyDescent="0.45">
      <c r="A73" s="155"/>
      <c r="B73" s="347">
        <v>1</v>
      </c>
      <c r="C73" s="156" t="s">
        <v>135</v>
      </c>
      <c r="D73" s="156" t="s">
        <v>174</v>
      </c>
      <c r="E73" s="156"/>
      <c r="F73" s="156"/>
      <c r="G73" s="156"/>
      <c r="H73" s="151" t="s">
        <v>677</v>
      </c>
      <c r="I73" s="151" t="s">
        <v>678</v>
      </c>
      <c r="J73" s="157"/>
      <c r="K73" s="158"/>
      <c r="L73" s="151" t="s">
        <v>348</v>
      </c>
      <c r="M73" s="159" t="s">
        <v>349</v>
      </c>
      <c r="N73" s="304">
        <v>1486</v>
      </c>
      <c r="O73" s="353" t="s">
        <v>679</v>
      </c>
      <c r="P73" s="353" t="s">
        <v>680</v>
      </c>
      <c r="Q73" s="353" t="s">
        <v>681</v>
      </c>
      <c r="R73" s="355" t="s">
        <v>302</v>
      </c>
      <c r="S73" s="353" t="s">
        <v>146</v>
      </c>
      <c r="T73" s="159" t="s">
        <v>682</v>
      </c>
      <c r="U73" s="159" t="s">
        <v>683</v>
      </c>
      <c r="V73" s="176" t="s">
        <v>684</v>
      </c>
      <c r="W73" s="361">
        <v>2016</v>
      </c>
      <c r="X73" s="361">
        <v>1116</v>
      </c>
      <c r="Y73" s="361"/>
      <c r="Z73" s="361"/>
      <c r="AA73" s="361"/>
      <c r="AB73" s="361"/>
      <c r="AC73" s="361"/>
      <c r="AD73" s="361"/>
      <c r="AE73" s="361"/>
      <c r="AF73" s="361"/>
      <c r="AG73" s="361"/>
      <c r="AH73" s="361"/>
      <c r="AI73" s="391"/>
      <c r="AJ73" s="177"/>
      <c r="AK73" s="443">
        <v>1</v>
      </c>
      <c r="AL73" s="444"/>
      <c r="AM73" s="451">
        <f>X73*P1_Reinigen_daken_incl._extra_maatregelen_veilig_werken_volgens_VCA__eventuele_vergunningen_leges___voorrijkosten__adminstratieve_kosten__fotorapportage_en_kleine_reparaties_¹</f>
        <v>0</v>
      </c>
      <c r="AN73" s="452">
        <f>Y73*P1_Reinigen_goten_incl._extra_maatregelen_veilig_werken_volgens_VCA__eventuele_vergunningen_leges___voorrijkosten__adminstratieve_kosten__fotorapportage_en_kleine_reparaties_¹</f>
        <v>0</v>
      </c>
      <c r="AO73" s="452">
        <f>(AE73*P1_Reinigen_Lichtkoepel_50X50)+('Perceel 1'!AF73*P1_Reinigen_Lichtkoepel_60x200)+('Perceel 1'!AG73*P1_Reinigen_Lichtkoepel_180x180)+('Perceel 1'!AH73*P1_Reinigen_Lichtstraten_groter_dan_180x180)</f>
        <v>0</v>
      </c>
      <c r="AP73" s="452"/>
      <c r="AQ73" s="452">
        <f t="shared" si="9"/>
        <v>0</v>
      </c>
      <c r="AR73" s="456"/>
      <c r="AS73" s="454">
        <f t="shared" si="10"/>
        <v>0</v>
      </c>
      <c r="AT73" s="455">
        <f t="shared" si="14"/>
        <v>0</v>
      </c>
    </row>
    <row r="74" spans="1:46" ht="25.5" x14ac:dyDescent="0.4">
      <c r="A74" s="211"/>
      <c r="B74" s="374">
        <v>1</v>
      </c>
      <c r="C74" s="171" t="s">
        <v>135</v>
      </c>
      <c r="D74" s="171" t="s">
        <v>174</v>
      </c>
      <c r="E74" s="171" t="s">
        <v>136</v>
      </c>
      <c r="F74" s="171"/>
      <c r="G74" s="171"/>
      <c r="H74" s="15"/>
      <c r="I74" s="15"/>
      <c r="J74" s="15"/>
      <c r="K74" s="15"/>
      <c r="L74" s="196"/>
      <c r="M74" s="171"/>
      <c r="N74" s="381">
        <v>1288.1184000000001</v>
      </c>
      <c r="O74" s="381" t="s">
        <v>685</v>
      </c>
      <c r="P74" s="381" t="s">
        <v>686</v>
      </c>
      <c r="Q74" s="466"/>
      <c r="R74" s="467"/>
      <c r="S74" s="466"/>
      <c r="T74" s="171"/>
      <c r="U74" s="171"/>
      <c r="V74" s="171"/>
      <c r="W74" s="466"/>
      <c r="X74" s="471">
        <v>2010</v>
      </c>
      <c r="Y74" s="466"/>
      <c r="Z74" s="381"/>
      <c r="AA74" s="381" t="s">
        <v>150</v>
      </c>
      <c r="AB74" s="381">
        <v>16</v>
      </c>
      <c r="AC74" s="381">
        <v>180</v>
      </c>
      <c r="AD74" s="381"/>
      <c r="AE74" s="381"/>
      <c r="AF74" s="381"/>
      <c r="AG74" s="381"/>
      <c r="AH74" s="381"/>
      <c r="AI74" s="381"/>
      <c r="AJ74" s="171"/>
      <c r="AK74" s="471">
        <v>1</v>
      </c>
      <c r="AL74" s="444"/>
      <c r="AM74" s="457"/>
      <c r="AN74" s="456"/>
      <c r="AO74" s="456"/>
      <c r="AP74" s="456"/>
      <c r="AQ74" s="456"/>
      <c r="AR74" s="456"/>
      <c r="AS74" s="458"/>
      <c r="AT74" s="459"/>
    </row>
    <row r="75" spans="1:46" ht="25.5" customHeight="1" x14ac:dyDescent="0.4">
      <c r="A75" s="213"/>
      <c r="B75" s="375">
        <v>1</v>
      </c>
      <c r="C75" s="175" t="s">
        <v>135</v>
      </c>
      <c r="D75" s="175" t="s">
        <v>174</v>
      </c>
      <c r="E75" s="175"/>
      <c r="F75" s="175"/>
      <c r="G75" s="175"/>
      <c r="H75" s="215" t="s">
        <v>687</v>
      </c>
      <c r="I75" s="215" t="s">
        <v>688</v>
      </c>
      <c r="J75" s="216"/>
      <c r="K75" s="216"/>
      <c r="L75" s="215"/>
      <c r="M75" s="213" t="s">
        <v>349</v>
      </c>
      <c r="N75" s="382" t="s">
        <v>689</v>
      </c>
      <c r="O75" s="382" t="s">
        <v>690</v>
      </c>
      <c r="P75" s="382" t="s">
        <v>691</v>
      </c>
      <c r="Q75" s="382" t="s">
        <v>692</v>
      </c>
      <c r="R75" s="383" t="s">
        <v>693</v>
      </c>
      <c r="S75" s="382" t="s">
        <v>146</v>
      </c>
      <c r="T75" s="213" t="s">
        <v>524</v>
      </c>
      <c r="U75" s="213" t="s">
        <v>525</v>
      </c>
      <c r="V75" s="213" t="s">
        <v>526</v>
      </c>
      <c r="W75" s="382">
        <v>2010</v>
      </c>
      <c r="X75" s="392">
        <f>X74*50%</f>
        <v>1005</v>
      </c>
      <c r="Y75" s="382"/>
      <c r="Z75" s="382"/>
      <c r="AA75" s="382" t="s">
        <v>150</v>
      </c>
      <c r="AB75" s="382">
        <v>16</v>
      </c>
      <c r="AC75" s="382">
        <v>180</v>
      </c>
      <c r="AD75" s="382"/>
      <c r="AE75" s="382"/>
      <c r="AF75" s="382"/>
      <c r="AG75" s="382"/>
      <c r="AH75" s="382"/>
      <c r="AI75" s="382"/>
      <c r="AJ75" s="213"/>
      <c r="AK75" s="392">
        <v>1</v>
      </c>
      <c r="AL75" s="444"/>
      <c r="AM75" s="451">
        <f>X75*P1_reinigen_daken_met_vaste_dakveiligheid</f>
        <v>0</v>
      </c>
      <c r="AN75" s="452">
        <f>Y75*P1_reinigen_goten_met_vaste_dakveiligheid</f>
        <v>0</v>
      </c>
      <c r="AO75" s="452">
        <f>(AE75*P1_Reinigen_Lichtkoepel_50X50)+('Perceel 1'!AF75*P1_Reinigen_Lichtkoepel_60x200)+('Perceel 1'!AG75*P1_Reinigen_Lichtkoepel_180x180)+('Perceel 1'!AH75*P1_Reinigen_Lichtstraten_groter_dan_180x180)</f>
        <v>0</v>
      </c>
      <c r="AP75" s="452"/>
      <c r="AQ75" s="452">
        <f t="shared" ref="AQ75:AQ81" si="15">(X75+Y75)*P1_Inspecteren_daken_en_goten_1x_per_jaar_gelijktijdig_met_reiniging_inclusief_inspectierapport_en_een_managementrapport</f>
        <v>0</v>
      </c>
      <c r="AR75" s="453"/>
      <c r="AS75" s="454">
        <f t="shared" ref="AS75:AS81" si="16">AR75*P1_keuren_dakveiligheid_per_man_uur</f>
        <v>0</v>
      </c>
      <c r="AT75" s="455">
        <f t="shared" si="14"/>
        <v>0</v>
      </c>
    </row>
    <row r="76" spans="1:46" ht="51" x14ac:dyDescent="0.4">
      <c r="A76" s="213"/>
      <c r="B76" s="375">
        <v>1</v>
      </c>
      <c r="C76" s="175" t="s">
        <v>135</v>
      </c>
      <c r="D76" s="175" t="s">
        <v>136</v>
      </c>
      <c r="E76" s="175"/>
      <c r="F76" s="175"/>
      <c r="G76" s="175"/>
      <c r="H76" s="215" t="s">
        <v>694</v>
      </c>
      <c r="I76" s="215" t="s">
        <v>695</v>
      </c>
      <c r="J76" s="216"/>
      <c r="K76" s="216"/>
      <c r="L76" s="215"/>
      <c r="M76" s="190" t="s">
        <v>544</v>
      </c>
      <c r="N76" s="382" t="s">
        <v>696</v>
      </c>
      <c r="O76" s="382" t="s">
        <v>697</v>
      </c>
      <c r="P76" s="382" t="s">
        <v>698</v>
      </c>
      <c r="Q76" s="382" t="s">
        <v>699</v>
      </c>
      <c r="R76" s="383" t="s">
        <v>693</v>
      </c>
      <c r="S76" s="382" t="s">
        <v>146</v>
      </c>
      <c r="T76" s="213" t="s">
        <v>169</v>
      </c>
      <c r="U76" s="213" t="s">
        <v>170</v>
      </c>
      <c r="V76" s="213" t="s">
        <v>171</v>
      </c>
      <c r="W76" s="382">
        <v>2010</v>
      </c>
      <c r="X76" s="392">
        <f>X74*50%</f>
        <v>1005</v>
      </c>
      <c r="Y76" s="382"/>
      <c r="Z76" s="382"/>
      <c r="AA76" s="382" t="s">
        <v>150</v>
      </c>
      <c r="AB76" s="382"/>
      <c r="AC76" s="382"/>
      <c r="AD76" s="382"/>
      <c r="AE76" s="382"/>
      <c r="AF76" s="382"/>
      <c r="AG76" s="382"/>
      <c r="AH76" s="382"/>
      <c r="AI76" s="382"/>
      <c r="AJ76" s="213"/>
      <c r="AK76" s="392">
        <v>1</v>
      </c>
      <c r="AL76" s="444"/>
      <c r="AM76" s="451">
        <f>X76*P1_reinigen_daken_met_vaste_dakveiligheid</f>
        <v>0</v>
      </c>
      <c r="AN76" s="452">
        <f>Y76*P1_reinigen_goten_met_vaste_dakveiligheid</f>
        <v>0</v>
      </c>
      <c r="AO76" s="452">
        <f>(AE76*P1_Reinigen_Lichtkoepel_50X50)+('Perceel 1'!AF76*P1_Reinigen_Lichtkoepel_60x200)+('Perceel 1'!AG76*P1_Reinigen_Lichtkoepel_180x180)+('Perceel 1'!AH76*P1_Reinigen_Lichtstraten_groter_dan_180x180)</f>
        <v>0</v>
      </c>
      <c r="AP76" s="452"/>
      <c r="AQ76" s="452">
        <f t="shared" si="15"/>
        <v>0</v>
      </c>
      <c r="AR76" s="456"/>
      <c r="AS76" s="454">
        <f t="shared" si="16"/>
        <v>0</v>
      </c>
      <c r="AT76" s="455">
        <f t="shared" si="14"/>
        <v>0</v>
      </c>
    </row>
    <row r="77" spans="1:46" ht="26.25" x14ac:dyDescent="0.45">
      <c r="A77" s="194"/>
      <c r="B77" s="376">
        <v>1</v>
      </c>
      <c r="C77" s="156" t="s">
        <v>135</v>
      </c>
      <c r="D77" s="156" t="s">
        <v>174</v>
      </c>
      <c r="E77" s="156"/>
      <c r="F77" s="156"/>
      <c r="G77" s="156"/>
      <c r="H77" s="218" t="s">
        <v>700</v>
      </c>
      <c r="I77" s="203" t="s">
        <v>701</v>
      </c>
      <c r="J77" s="218"/>
      <c r="K77" s="218"/>
      <c r="L77" s="151" t="s">
        <v>280</v>
      </c>
      <c r="M77" s="192" t="s">
        <v>669</v>
      </c>
      <c r="N77" s="379" t="s">
        <v>702</v>
      </c>
      <c r="O77" s="379" t="s">
        <v>703</v>
      </c>
      <c r="P77" s="379" t="s">
        <v>704</v>
      </c>
      <c r="Q77" s="379" t="s">
        <v>692</v>
      </c>
      <c r="R77" s="468" t="s">
        <v>693</v>
      </c>
      <c r="S77" s="379" t="s">
        <v>146</v>
      </c>
      <c r="T77" s="192" t="s">
        <v>524</v>
      </c>
      <c r="U77" s="192" t="s">
        <v>525</v>
      </c>
      <c r="V77" s="222" t="s">
        <v>526</v>
      </c>
      <c r="W77" s="379">
        <v>2009</v>
      </c>
      <c r="X77" s="396">
        <v>881</v>
      </c>
      <c r="Y77" s="379"/>
      <c r="Z77" s="379"/>
      <c r="AA77" s="379" t="s">
        <v>150</v>
      </c>
      <c r="AB77" s="379">
        <v>22</v>
      </c>
      <c r="AC77" s="379">
        <v>5</v>
      </c>
      <c r="AD77" s="379"/>
      <c r="AE77" s="379"/>
      <c r="AF77" s="379"/>
      <c r="AG77" s="379"/>
      <c r="AH77" s="379"/>
      <c r="AI77" s="379"/>
      <c r="AJ77" s="194"/>
      <c r="AK77" s="396">
        <v>1</v>
      </c>
      <c r="AL77" s="369"/>
      <c r="AM77" s="451">
        <f>X77*P1_reinigen_daken_met_vaste_dakveiligheid</f>
        <v>0</v>
      </c>
      <c r="AN77" s="452">
        <f>Y77*P1_reinigen_goten_met_vaste_dakveiligheid</f>
        <v>0</v>
      </c>
      <c r="AO77" s="452">
        <f>(AE77*P1_Reinigen_Lichtkoepel_50X50)+('Perceel 1'!AF77*P1_Reinigen_Lichtkoepel_60x200)+('Perceel 1'!AG77*P1_Reinigen_Lichtkoepel_180x180)+('Perceel 1'!AH77*P1_Reinigen_Lichtstraten_groter_dan_180x180)</f>
        <v>0</v>
      </c>
      <c r="AP77" s="452"/>
      <c r="AQ77" s="452">
        <f t="shared" si="15"/>
        <v>0</v>
      </c>
      <c r="AR77" s="453"/>
      <c r="AS77" s="454">
        <f t="shared" si="16"/>
        <v>0</v>
      </c>
      <c r="AT77" s="455">
        <f t="shared" si="14"/>
        <v>0</v>
      </c>
    </row>
    <row r="78" spans="1:46" ht="140.25" x14ac:dyDescent="0.45">
      <c r="A78" s="192"/>
      <c r="B78" s="347">
        <v>1</v>
      </c>
      <c r="C78" s="156" t="s">
        <v>135</v>
      </c>
      <c r="D78" s="156" t="s">
        <v>136</v>
      </c>
      <c r="E78" s="156"/>
      <c r="F78" s="156"/>
      <c r="G78" s="156"/>
      <c r="H78" s="203" t="s">
        <v>705</v>
      </c>
      <c r="I78" s="203" t="s">
        <v>706</v>
      </c>
      <c r="J78" s="219"/>
      <c r="K78" s="218"/>
      <c r="L78" s="151" t="s">
        <v>348</v>
      </c>
      <c r="M78" s="192" t="s">
        <v>349</v>
      </c>
      <c r="N78" s="384">
        <v>1491</v>
      </c>
      <c r="O78" s="379" t="s">
        <v>707</v>
      </c>
      <c r="P78" s="379" t="s">
        <v>708</v>
      </c>
      <c r="Q78" s="379" t="s">
        <v>709</v>
      </c>
      <c r="R78" s="355" t="s">
        <v>710</v>
      </c>
      <c r="S78" s="353" t="s">
        <v>146</v>
      </c>
      <c r="T78" s="192" t="s">
        <v>711</v>
      </c>
      <c r="U78" s="192" t="s">
        <v>712</v>
      </c>
      <c r="V78" s="222" t="s">
        <v>713</v>
      </c>
      <c r="W78" s="379">
        <v>2020</v>
      </c>
      <c r="X78" s="396">
        <v>1100</v>
      </c>
      <c r="Y78" s="379"/>
      <c r="Z78" s="379"/>
      <c r="AA78" s="379"/>
      <c r="AB78" s="379"/>
      <c r="AC78" s="379"/>
      <c r="AD78" s="379"/>
      <c r="AE78" s="379"/>
      <c r="AF78" s="379"/>
      <c r="AG78" s="379"/>
      <c r="AH78" s="379"/>
      <c r="AI78" s="379" t="s">
        <v>2338</v>
      </c>
      <c r="AJ78" s="192" t="s">
        <v>715</v>
      </c>
      <c r="AK78" s="396">
        <v>1</v>
      </c>
      <c r="AL78" s="369"/>
      <c r="AM78" s="451">
        <f>X78*P1_Reinigen_daken_incl._extra_maatregelen_veilig_werken_volgens_VCA__eventuele_vergunningen_leges___voorrijkosten__adminstratieve_kosten__fotorapportage_en_kleine_reparaties_¹</f>
        <v>0</v>
      </c>
      <c r="AN78" s="452">
        <f>Y78*P1_Reinigen_goten_incl._extra_maatregelen_veilig_werken_volgens_VCA__eventuele_vergunningen_leges___voorrijkosten__adminstratieve_kosten__fotorapportage_en_kleine_reparaties_¹</f>
        <v>0</v>
      </c>
      <c r="AO78" s="452">
        <f>(AE78*P1_Reinigen_Lichtkoepel_50X50)+('Perceel 1'!AF78*P1_Reinigen_Lichtkoepel_60x200)+('Perceel 1'!AG78*P1_Reinigen_Lichtkoepel_180x180)+('Perceel 1'!AH78*P1_Reinigen_Lichtstraten_groter_dan_180x180)</f>
        <v>0</v>
      </c>
      <c r="AP78" s="452"/>
      <c r="AQ78" s="452">
        <f t="shared" si="15"/>
        <v>0</v>
      </c>
      <c r="AR78" s="456"/>
      <c r="AS78" s="454">
        <f t="shared" si="16"/>
        <v>0</v>
      </c>
      <c r="AT78" s="455">
        <f t="shared" si="14"/>
        <v>0</v>
      </c>
    </row>
    <row r="79" spans="1:46" ht="38.25" x14ac:dyDescent="0.45">
      <c r="A79" s="155"/>
      <c r="B79" s="347">
        <v>1</v>
      </c>
      <c r="C79" s="156" t="s">
        <v>135</v>
      </c>
      <c r="D79" s="156" t="s">
        <v>136</v>
      </c>
      <c r="E79" s="156"/>
      <c r="F79" s="156"/>
      <c r="G79" s="156"/>
      <c r="H79" s="151" t="s">
        <v>716</v>
      </c>
      <c r="I79" s="151" t="s">
        <v>717</v>
      </c>
      <c r="J79" s="163"/>
      <c r="K79" s="163"/>
      <c r="L79" s="163" t="s">
        <v>154</v>
      </c>
      <c r="M79" s="166" t="s">
        <v>544</v>
      </c>
      <c r="N79" s="353" t="s">
        <v>718</v>
      </c>
      <c r="O79" s="353" t="s">
        <v>719</v>
      </c>
      <c r="P79" s="435" t="s">
        <v>720</v>
      </c>
      <c r="Q79" s="435" t="s">
        <v>721</v>
      </c>
      <c r="R79" s="461" t="s">
        <v>710</v>
      </c>
      <c r="S79" s="435" t="s">
        <v>146</v>
      </c>
      <c r="T79" s="159" t="s">
        <v>722</v>
      </c>
      <c r="U79" s="168" t="s">
        <v>723</v>
      </c>
      <c r="V79" s="209" t="s">
        <v>724</v>
      </c>
      <c r="W79" s="361">
        <v>2007</v>
      </c>
      <c r="X79" s="361">
        <v>7396</v>
      </c>
      <c r="Y79" s="361"/>
      <c r="Z79" s="361" t="s">
        <v>311</v>
      </c>
      <c r="AA79" s="361" t="s">
        <v>150</v>
      </c>
      <c r="AB79" s="361">
        <v>45</v>
      </c>
      <c r="AC79" s="361">
        <v>207</v>
      </c>
      <c r="AD79" s="361"/>
      <c r="AE79" s="361"/>
      <c r="AF79" s="361"/>
      <c r="AG79" s="361"/>
      <c r="AH79" s="361"/>
      <c r="AI79" s="361"/>
      <c r="AJ79" s="177"/>
      <c r="AK79" s="443">
        <v>1</v>
      </c>
      <c r="AL79" s="444"/>
      <c r="AM79" s="451">
        <f>X79*P1_reinigen_daken_met_vaste_dakveiligheid</f>
        <v>0</v>
      </c>
      <c r="AN79" s="452">
        <f>Y79*P1_reinigen_goten_met_vaste_dakveiligheid</f>
        <v>0</v>
      </c>
      <c r="AO79" s="452">
        <f>(AE79*P1_Reinigen_Lichtkoepel_50X50)+('Perceel 1'!AF79*P1_Reinigen_Lichtkoepel_60x200)+('Perceel 1'!AG79*P1_Reinigen_Lichtkoepel_180x180)+('Perceel 1'!AH79*P1_Reinigen_Lichtstraten_groter_dan_180x180)</f>
        <v>0</v>
      </c>
      <c r="AP79" s="452"/>
      <c r="AQ79" s="452">
        <f t="shared" si="15"/>
        <v>0</v>
      </c>
      <c r="AR79" s="453"/>
      <c r="AS79" s="454">
        <f t="shared" si="16"/>
        <v>0</v>
      </c>
      <c r="AT79" s="455">
        <f t="shared" si="14"/>
        <v>0</v>
      </c>
    </row>
    <row r="80" spans="1:46" ht="38.450000000000003" customHeight="1" x14ac:dyDescent="0.45">
      <c r="A80" s="155"/>
      <c r="B80" s="347">
        <v>1</v>
      </c>
      <c r="C80" s="156" t="s">
        <v>135</v>
      </c>
      <c r="D80" s="156" t="s">
        <v>136</v>
      </c>
      <c r="E80" s="156"/>
      <c r="F80" s="156"/>
      <c r="G80" s="156"/>
      <c r="H80" s="151" t="s">
        <v>725</v>
      </c>
      <c r="I80" s="151" t="s">
        <v>726</v>
      </c>
      <c r="J80" s="157"/>
      <c r="K80" s="163"/>
      <c r="L80" s="163" t="s">
        <v>154</v>
      </c>
      <c r="M80" s="166" t="s">
        <v>544</v>
      </c>
      <c r="N80" s="304">
        <v>2104</v>
      </c>
      <c r="O80" s="353" t="s">
        <v>727</v>
      </c>
      <c r="P80" s="353" t="s">
        <v>728</v>
      </c>
      <c r="Q80" s="435" t="s">
        <v>721</v>
      </c>
      <c r="R80" s="461" t="s">
        <v>710</v>
      </c>
      <c r="S80" s="435" t="s">
        <v>146</v>
      </c>
      <c r="T80" s="159" t="s">
        <v>722</v>
      </c>
      <c r="U80" s="168" t="s">
        <v>723</v>
      </c>
      <c r="V80" s="209" t="s">
        <v>724</v>
      </c>
      <c r="W80" s="361">
        <v>2016</v>
      </c>
      <c r="X80" s="361">
        <v>1701</v>
      </c>
      <c r="Y80" s="361"/>
      <c r="Z80" s="361" t="s">
        <v>311</v>
      </c>
      <c r="AA80" s="361" t="s">
        <v>150</v>
      </c>
      <c r="AB80" s="361">
        <v>22</v>
      </c>
      <c r="AC80" s="361">
        <v>186</v>
      </c>
      <c r="AD80" s="361"/>
      <c r="AE80" s="361"/>
      <c r="AF80" s="361"/>
      <c r="AG80" s="361"/>
      <c r="AH80" s="361"/>
      <c r="AI80" s="361" t="s">
        <v>345</v>
      </c>
      <c r="AJ80" s="177"/>
      <c r="AK80" s="443">
        <v>1</v>
      </c>
      <c r="AL80" s="444"/>
      <c r="AM80" s="451">
        <f>X80*P1_reinigen_daken_met_vaste_dakveiligheid</f>
        <v>0</v>
      </c>
      <c r="AN80" s="452">
        <f>Y80*P1_reinigen_goten_met_vaste_dakveiligheid</f>
        <v>0</v>
      </c>
      <c r="AO80" s="452">
        <f>(AE80*P1_Reinigen_Lichtkoepel_50X50)+('Perceel 1'!AF80*P1_Reinigen_Lichtkoepel_60x200)+('Perceel 1'!AG80*P1_Reinigen_Lichtkoepel_180x180)+('Perceel 1'!AH80*P1_Reinigen_Lichtstraten_groter_dan_180x180)</f>
        <v>0</v>
      </c>
      <c r="AP80" s="452"/>
      <c r="AQ80" s="452">
        <f t="shared" si="15"/>
        <v>0</v>
      </c>
      <c r="AR80" s="453"/>
      <c r="AS80" s="454">
        <f t="shared" si="16"/>
        <v>0</v>
      </c>
      <c r="AT80" s="455">
        <f t="shared" si="14"/>
        <v>0</v>
      </c>
    </row>
    <row r="81" spans="1:46" ht="25.5" x14ac:dyDescent="0.45">
      <c r="A81" s="155"/>
      <c r="B81" s="348">
        <v>1</v>
      </c>
      <c r="C81" s="156" t="s">
        <v>135</v>
      </c>
      <c r="D81" s="156" t="s">
        <v>136</v>
      </c>
      <c r="E81" s="156"/>
      <c r="F81" s="156"/>
      <c r="G81" s="156"/>
      <c r="H81" s="151" t="s">
        <v>729</v>
      </c>
      <c r="I81" s="151" t="s">
        <v>730</v>
      </c>
      <c r="J81" s="157"/>
      <c r="K81" s="163"/>
      <c r="L81" s="163" t="s">
        <v>154</v>
      </c>
      <c r="M81" s="163" t="s">
        <v>155</v>
      </c>
      <c r="N81" s="353" t="s">
        <v>731</v>
      </c>
      <c r="O81" s="304" t="s">
        <v>732</v>
      </c>
      <c r="P81" s="353" t="s">
        <v>733</v>
      </c>
      <c r="Q81" s="353" t="s">
        <v>734</v>
      </c>
      <c r="R81" s="355" t="s">
        <v>339</v>
      </c>
      <c r="S81" s="353" t="s">
        <v>340</v>
      </c>
      <c r="T81" s="159" t="s">
        <v>735</v>
      </c>
      <c r="U81" s="159" t="s">
        <v>736</v>
      </c>
      <c r="V81" s="176" t="s">
        <v>737</v>
      </c>
      <c r="W81" s="361">
        <v>1990</v>
      </c>
      <c r="X81" s="361">
        <v>1008</v>
      </c>
      <c r="Y81" s="361"/>
      <c r="Z81" s="361"/>
      <c r="AA81" s="361"/>
      <c r="AB81" s="361"/>
      <c r="AC81" s="361"/>
      <c r="AD81" s="361"/>
      <c r="AE81" s="361"/>
      <c r="AF81" s="361"/>
      <c r="AG81" s="361"/>
      <c r="AH81" s="361"/>
      <c r="AI81" s="361"/>
      <c r="AJ81" s="177"/>
      <c r="AK81" s="361">
        <v>2</v>
      </c>
      <c r="AL81" s="369"/>
      <c r="AM81" s="451">
        <f>X81*P1_Reinigen_daken_incl._extra_maatregelen_veilig_werken_volgens_VCA__eventuele_vergunningen_leges___voorrijkosten__adminstratieve_kosten__fotorapportage_en_kleine_reparaties_¹</f>
        <v>0</v>
      </c>
      <c r="AN81" s="452">
        <f>Y81*P1_Reinigen_goten_incl._extra_maatregelen_veilig_werken_volgens_VCA__eventuele_vergunningen_leges___voorrijkosten__adminstratieve_kosten__fotorapportage_en_kleine_reparaties_¹</f>
        <v>0</v>
      </c>
      <c r="AO81" s="452">
        <f>(AE81*P1_Reinigen_Lichtkoepel_50X50)+('Perceel 1'!AF81*P1_Reinigen_Lichtkoepel_60x200)+('Perceel 1'!AG81*P1_Reinigen_Lichtkoepel_180x180)+('Perceel 1'!AH81*P1_Reinigen_Lichtstraten_groter_dan_180x180)</f>
        <v>0</v>
      </c>
      <c r="AP81" s="452"/>
      <c r="AQ81" s="452">
        <f t="shared" si="15"/>
        <v>0</v>
      </c>
      <c r="AR81" s="456"/>
      <c r="AS81" s="454">
        <f t="shared" si="16"/>
        <v>0</v>
      </c>
      <c r="AT81" s="455">
        <f t="shared" si="14"/>
        <v>0</v>
      </c>
    </row>
    <row r="82" spans="1:46" ht="38.450000000000003" customHeight="1" x14ac:dyDescent="0.45">
      <c r="A82" s="238"/>
      <c r="B82" s="374">
        <v>1</v>
      </c>
      <c r="C82" s="156" t="s">
        <v>135</v>
      </c>
      <c r="D82" s="156" t="s">
        <v>136</v>
      </c>
      <c r="E82" s="156" t="s">
        <v>174</v>
      </c>
      <c r="F82" s="156"/>
      <c r="G82" s="156"/>
      <c r="H82" s="15"/>
      <c r="I82" s="15"/>
      <c r="J82" s="15"/>
      <c r="K82" s="16"/>
      <c r="L82" s="196"/>
      <c r="M82" s="171"/>
      <c r="N82" s="466" t="s">
        <v>738</v>
      </c>
      <c r="O82" s="381" t="s">
        <v>739</v>
      </c>
      <c r="P82" s="466" t="s">
        <v>740</v>
      </c>
      <c r="Q82" s="466" t="s">
        <v>741</v>
      </c>
      <c r="R82" s="467" t="s">
        <v>339</v>
      </c>
      <c r="S82" s="466" t="s">
        <v>340</v>
      </c>
      <c r="T82" s="171"/>
      <c r="U82" s="171"/>
      <c r="V82" s="171"/>
      <c r="W82" s="466">
        <v>1990</v>
      </c>
      <c r="X82" s="471">
        <v>2316</v>
      </c>
      <c r="Y82" s="466"/>
      <c r="Z82" s="381"/>
      <c r="AA82" s="381"/>
      <c r="AB82" s="381"/>
      <c r="AC82" s="381"/>
      <c r="AD82" s="381"/>
      <c r="AE82" s="381"/>
      <c r="AF82" s="381"/>
      <c r="AG82" s="381"/>
      <c r="AH82" s="381"/>
      <c r="AI82" s="381"/>
      <c r="AJ82" s="171"/>
      <c r="AK82" s="397">
        <v>3</v>
      </c>
      <c r="AL82" s="369"/>
      <c r="AM82" s="457"/>
      <c r="AN82" s="456"/>
      <c r="AO82" s="456"/>
      <c r="AP82" s="456"/>
      <c r="AQ82" s="456"/>
      <c r="AR82" s="456"/>
      <c r="AS82" s="458"/>
      <c r="AT82" s="459"/>
    </row>
    <row r="83" spans="1:46" ht="38.450000000000003" customHeight="1" x14ac:dyDescent="0.45">
      <c r="A83" s="182"/>
      <c r="B83" s="352">
        <v>1</v>
      </c>
      <c r="C83" s="156" t="s">
        <v>135</v>
      </c>
      <c r="D83" s="156" t="s">
        <v>174</v>
      </c>
      <c r="E83" s="156"/>
      <c r="F83" s="156"/>
      <c r="G83" s="156"/>
      <c r="H83" s="174" t="s">
        <v>742</v>
      </c>
      <c r="I83" s="174" t="s">
        <v>743</v>
      </c>
      <c r="J83" s="197"/>
      <c r="K83" s="197"/>
      <c r="L83" s="174"/>
      <c r="M83" s="175" t="s">
        <v>349</v>
      </c>
      <c r="N83" s="438" t="s">
        <v>744</v>
      </c>
      <c r="O83" s="358" t="s">
        <v>745</v>
      </c>
      <c r="P83" s="438" t="s">
        <v>746</v>
      </c>
      <c r="Q83" s="438" t="s">
        <v>747</v>
      </c>
      <c r="R83" s="439" t="s">
        <v>339</v>
      </c>
      <c r="S83" s="438" t="s">
        <v>340</v>
      </c>
      <c r="T83" s="175" t="s">
        <v>748</v>
      </c>
      <c r="U83" s="175" t="s">
        <v>749</v>
      </c>
      <c r="V83" s="187" t="s">
        <v>750</v>
      </c>
      <c r="W83" s="438">
        <v>1990</v>
      </c>
      <c r="X83" s="441">
        <f>X82*59%</f>
        <v>1366.4399999999998</v>
      </c>
      <c r="Y83" s="438"/>
      <c r="Z83" s="358"/>
      <c r="AA83" s="358"/>
      <c r="AB83" s="358"/>
      <c r="AC83" s="358"/>
      <c r="AD83" s="358"/>
      <c r="AE83" s="358"/>
      <c r="AF83" s="358"/>
      <c r="AG83" s="358"/>
      <c r="AH83" s="358"/>
      <c r="AI83" s="358"/>
      <c r="AJ83" s="175"/>
      <c r="AK83" s="441">
        <v>3</v>
      </c>
      <c r="AL83" s="369"/>
      <c r="AM83" s="451">
        <f>X83*P1_Reinigen_daken_incl._extra_maatregelen_veilig_werken_volgens_VCA__eventuele_vergunningen_leges___voorrijkosten__adminstratieve_kosten__fotorapportage_en_kleine_reparaties_¹</f>
        <v>0</v>
      </c>
      <c r="AN83" s="452">
        <f>Y83*P1_Reinigen_goten_incl._extra_maatregelen_veilig_werken_volgens_VCA__eventuele_vergunningen_leges___voorrijkosten__adminstratieve_kosten__fotorapportage_en_kleine_reparaties_¹</f>
        <v>0</v>
      </c>
      <c r="AO83" s="452">
        <f>(AE83*P1_Reinigen_Lichtkoepel_50X50)+('Perceel 1'!AF83*P1_Reinigen_Lichtkoepel_60x200)+('Perceel 1'!AG83*P1_Reinigen_Lichtkoepel_180x180)+('Perceel 1'!AH83*P1_Reinigen_Lichtstraten_groter_dan_180x180)</f>
        <v>0</v>
      </c>
      <c r="AP83" s="452"/>
      <c r="AQ83" s="452">
        <f>(X83+Y83)*P1_Inspecteren_daken_en_goten_1x_per_jaar_gelijktijdig_met_reiniging_inclusief_inspectierapport_en_een_managementrapport</f>
        <v>0</v>
      </c>
      <c r="AR83" s="456"/>
      <c r="AS83" s="454">
        <f>AR83*P1_keuren_dakveiligheid_per_man_uur</f>
        <v>0</v>
      </c>
      <c r="AT83" s="455">
        <f t="shared" si="14"/>
        <v>0</v>
      </c>
    </row>
    <row r="84" spans="1:46" ht="12.75" customHeight="1" x14ac:dyDescent="0.45">
      <c r="A84" s="182"/>
      <c r="B84" s="352">
        <v>1</v>
      </c>
      <c r="C84" s="156" t="s">
        <v>135</v>
      </c>
      <c r="D84" s="156" t="s">
        <v>136</v>
      </c>
      <c r="E84" s="156"/>
      <c r="F84" s="156"/>
      <c r="G84" s="156"/>
      <c r="H84" s="174" t="s">
        <v>751</v>
      </c>
      <c r="I84" s="174" t="s">
        <v>752</v>
      </c>
      <c r="J84" s="197"/>
      <c r="K84" s="197"/>
      <c r="L84" s="174"/>
      <c r="M84" s="175" t="s">
        <v>140</v>
      </c>
      <c r="N84" s="438" t="s">
        <v>753</v>
      </c>
      <c r="O84" s="358" t="s">
        <v>2339</v>
      </c>
      <c r="P84" s="438" t="s">
        <v>755</v>
      </c>
      <c r="Q84" s="438" t="s">
        <v>741</v>
      </c>
      <c r="R84" s="439" t="s">
        <v>339</v>
      </c>
      <c r="S84" s="438" t="s">
        <v>340</v>
      </c>
      <c r="T84" s="175" t="s">
        <v>756</v>
      </c>
      <c r="U84" s="175" t="s">
        <v>757</v>
      </c>
      <c r="V84" s="175" t="s">
        <v>758</v>
      </c>
      <c r="W84" s="438">
        <v>1990</v>
      </c>
      <c r="X84" s="441">
        <f>X82*21%</f>
        <v>486.35999999999996</v>
      </c>
      <c r="Y84" s="438"/>
      <c r="Z84" s="358"/>
      <c r="AA84" s="358"/>
      <c r="AB84" s="358"/>
      <c r="AC84" s="358"/>
      <c r="AD84" s="358"/>
      <c r="AE84" s="358"/>
      <c r="AF84" s="358"/>
      <c r="AG84" s="358"/>
      <c r="AH84" s="358"/>
      <c r="AI84" s="358"/>
      <c r="AJ84" s="175"/>
      <c r="AK84" s="441">
        <v>3</v>
      </c>
      <c r="AL84" s="369"/>
      <c r="AM84" s="451">
        <f>X84*P1_Reinigen_daken_incl._extra_maatregelen_veilig_werken_volgens_VCA__eventuele_vergunningen_leges___voorrijkosten__adminstratieve_kosten__fotorapportage_en_kleine_reparaties_¹</f>
        <v>0</v>
      </c>
      <c r="AN84" s="452">
        <f>Y84*P1_Reinigen_goten_incl._extra_maatregelen_veilig_werken_volgens_VCA__eventuele_vergunningen_leges___voorrijkosten__adminstratieve_kosten__fotorapportage_en_kleine_reparaties_¹</f>
        <v>0</v>
      </c>
      <c r="AO84" s="452">
        <f>(AE84*P1_Reinigen_Lichtkoepel_50X50)+('Perceel 1'!AF84*P1_Reinigen_Lichtkoepel_60x200)+('Perceel 1'!AG84*P1_Reinigen_Lichtkoepel_180x180)+('Perceel 1'!AH84*P1_Reinigen_Lichtstraten_groter_dan_180x180)</f>
        <v>0</v>
      </c>
      <c r="AP84" s="452"/>
      <c r="AQ84" s="452">
        <f>(X84+Y84)*P1_Inspecteren_daken_en_goten_1x_per_jaar_gelijktijdig_met_reiniging_inclusief_inspectierapport_en_een_managementrapport</f>
        <v>0</v>
      </c>
      <c r="AR84" s="456"/>
      <c r="AS84" s="454">
        <f>AR84*P1_keuren_dakveiligheid_per_man_uur</f>
        <v>0</v>
      </c>
      <c r="AT84" s="455">
        <f t="shared" si="14"/>
        <v>0</v>
      </c>
    </row>
    <row r="85" spans="1:46" ht="51" x14ac:dyDescent="0.45">
      <c r="A85" s="182"/>
      <c r="B85" s="352">
        <v>1</v>
      </c>
      <c r="C85" s="156" t="s">
        <v>135</v>
      </c>
      <c r="D85" s="156" t="s">
        <v>136</v>
      </c>
      <c r="E85" s="156"/>
      <c r="F85" s="156"/>
      <c r="G85" s="156"/>
      <c r="H85" s="174" t="s">
        <v>759</v>
      </c>
      <c r="I85" s="174" t="s">
        <v>760</v>
      </c>
      <c r="J85" s="202"/>
      <c r="K85" s="197"/>
      <c r="L85" s="174"/>
      <c r="M85" s="191" t="s">
        <v>544</v>
      </c>
      <c r="N85" s="438" t="s">
        <v>761</v>
      </c>
      <c r="O85" s="358" t="s">
        <v>2340</v>
      </c>
      <c r="P85" s="438" t="s">
        <v>763</v>
      </c>
      <c r="Q85" s="438" t="s">
        <v>741</v>
      </c>
      <c r="R85" s="439" t="s">
        <v>339</v>
      </c>
      <c r="S85" s="438" t="s">
        <v>340</v>
      </c>
      <c r="T85" s="175" t="s">
        <v>169</v>
      </c>
      <c r="U85" s="175" t="s">
        <v>170</v>
      </c>
      <c r="V85" s="175" t="s">
        <v>171</v>
      </c>
      <c r="W85" s="438">
        <v>1990</v>
      </c>
      <c r="X85" s="441">
        <f>X82*20%</f>
        <v>463.20000000000005</v>
      </c>
      <c r="Y85" s="438"/>
      <c r="Z85" s="358"/>
      <c r="AA85" s="358"/>
      <c r="AB85" s="358"/>
      <c r="AC85" s="358"/>
      <c r="AD85" s="358"/>
      <c r="AE85" s="358"/>
      <c r="AF85" s="358"/>
      <c r="AG85" s="358"/>
      <c r="AH85" s="358"/>
      <c r="AI85" s="358"/>
      <c r="AJ85" s="175"/>
      <c r="AK85" s="441">
        <v>3</v>
      </c>
      <c r="AL85" s="369"/>
      <c r="AM85" s="451">
        <f>X85*P1_Reinigen_daken_incl._extra_maatregelen_veilig_werken_volgens_VCA__eventuele_vergunningen_leges___voorrijkosten__adminstratieve_kosten__fotorapportage_en_kleine_reparaties_¹</f>
        <v>0</v>
      </c>
      <c r="AN85" s="452">
        <f>Y85*P1_Reinigen_goten_incl._extra_maatregelen_veilig_werken_volgens_VCA__eventuele_vergunningen_leges___voorrijkosten__adminstratieve_kosten__fotorapportage_en_kleine_reparaties_¹</f>
        <v>0</v>
      </c>
      <c r="AO85" s="452">
        <f>(AE85*P1_Reinigen_Lichtkoepel_50X50)+('Perceel 1'!AF85*P1_Reinigen_Lichtkoepel_60x200)+('Perceel 1'!AG85*P1_Reinigen_Lichtkoepel_180x180)+('Perceel 1'!AH85*P1_Reinigen_Lichtstraten_groter_dan_180x180)</f>
        <v>0</v>
      </c>
      <c r="AP85" s="452"/>
      <c r="AQ85" s="452">
        <f>(X85+Y85)*P1_Inspecteren_daken_en_goten_1x_per_jaar_gelijktijdig_met_reiniging_inclusief_inspectierapport_en_een_managementrapport</f>
        <v>0</v>
      </c>
      <c r="AR85" s="456"/>
      <c r="AS85" s="454">
        <f>AR85*P1_keuren_dakveiligheid_per_man_uur</f>
        <v>0</v>
      </c>
      <c r="AT85" s="455">
        <f t="shared" si="14"/>
        <v>0</v>
      </c>
    </row>
    <row r="86" spans="1:46" ht="30" customHeight="1" x14ac:dyDescent="0.45">
      <c r="A86" s="211"/>
      <c r="B86" s="377">
        <v>1</v>
      </c>
      <c r="C86" s="156" t="s">
        <v>135</v>
      </c>
      <c r="D86" s="156" t="s">
        <v>136</v>
      </c>
      <c r="E86" s="156"/>
      <c r="F86" s="156"/>
      <c r="G86" s="156"/>
      <c r="H86" s="15"/>
      <c r="I86" s="15"/>
      <c r="J86" s="16"/>
      <c r="K86" s="16"/>
      <c r="L86" s="196"/>
      <c r="M86" s="196"/>
      <c r="N86" s="466" t="s">
        <v>764</v>
      </c>
      <c r="O86" s="381" t="s">
        <v>765</v>
      </c>
      <c r="P86" s="466" t="s">
        <v>766</v>
      </c>
      <c r="Q86" s="466" t="s">
        <v>767</v>
      </c>
      <c r="R86" s="467" t="s">
        <v>768</v>
      </c>
      <c r="S86" s="466" t="s">
        <v>340</v>
      </c>
      <c r="T86" s="171"/>
      <c r="U86" s="171"/>
      <c r="V86" s="171"/>
      <c r="W86" s="466">
        <v>2001</v>
      </c>
      <c r="X86" s="471">
        <v>1636</v>
      </c>
      <c r="Y86" s="466"/>
      <c r="Z86" s="381"/>
      <c r="AA86" s="381"/>
      <c r="AB86" s="381"/>
      <c r="AC86" s="381"/>
      <c r="AD86" s="381"/>
      <c r="AE86" s="381"/>
      <c r="AF86" s="381"/>
      <c r="AG86" s="381"/>
      <c r="AH86" s="381"/>
      <c r="AI86" s="381"/>
      <c r="AJ86" s="171"/>
      <c r="AK86" s="471">
        <v>1</v>
      </c>
      <c r="AL86" s="460"/>
      <c r="AM86" s="457"/>
      <c r="AN86" s="456"/>
      <c r="AO86" s="456"/>
      <c r="AP86" s="456"/>
      <c r="AQ86" s="456"/>
      <c r="AR86" s="456"/>
      <c r="AS86" s="458"/>
      <c r="AT86" s="459"/>
    </row>
    <row r="87" spans="1:46" ht="30" customHeight="1" x14ac:dyDescent="0.45">
      <c r="A87" s="182"/>
      <c r="B87" s="352">
        <v>1</v>
      </c>
      <c r="C87" s="156" t="s">
        <v>135</v>
      </c>
      <c r="D87" s="156" t="s">
        <v>136</v>
      </c>
      <c r="E87" s="156"/>
      <c r="F87" s="156"/>
      <c r="G87" s="156"/>
      <c r="H87" s="174" t="s">
        <v>769</v>
      </c>
      <c r="I87" s="174" t="s">
        <v>770</v>
      </c>
      <c r="J87" s="197"/>
      <c r="K87" s="197"/>
      <c r="L87" s="174"/>
      <c r="M87" s="175" t="s">
        <v>140</v>
      </c>
      <c r="N87" s="438" t="s">
        <v>771</v>
      </c>
      <c r="O87" s="358" t="s">
        <v>772</v>
      </c>
      <c r="P87" s="438" t="s">
        <v>773</v>
      </c>
      <c r="Q87" s="438" t="s">
        <v>767</v>
      </c>
      <c r="R87" s="439" t="s">
        <v>768</v>
      </c>
      <c r="S87" s="438" t="s">
        <v>340</v>
      </c>
      <c r="T87" s="175" t="s">
        <v>774</v>
      </c>
      <c r="U87" s="175" t="s">
        <v>775</v>
      </c>
      <c r="V87" s="175" t="s">
        <v>776</v>
      </c>
      <c r="W87" s="438">
        <v>2001</v>
      </c>
      <c r="X87" s="441">
        <f>X86*31%</f>
        <v>507.15999999999997</v>
      </c>
      <c r="Y87" s="438"/>
      <c r="Z87" s="358" t="s">
        <v>311</v>
      </c>
      <c r="AA87" s="358"/>
      <c r="AB87" s="358"/>
      <c r="AC87" s="358"/>
      <c r="AD87" s="358"/>
      <c r="AE87" s="358"/>
      <c r="AF87" s="358"/>
      <c r="AG87" s="358"/>
      <c r="AH87" s="358"/>
      <c r="AI87" s="358"/>
      <c r="AJ87" s="175"/>
      <c r="AK87" s="441">
        <v>1</v>
      </c>
      <c r="AL87" s="460"/>
      <c r="AM87" s="451">
        <f>X87*P1_Reinigen_daken_incl._extra_maatregelen_veilig_werken_volgens_VCA__eventuele_vergunningen_leges___voorrijkosten__adminstratieve_kosten__fotorapportage_en_kleine_reparaties_¹</f>
        <v>0</v>
      </c>
      <c r="AN87" s="452">
        <f>Y87*P1_Reinigen_goten_incl._extra_maatregelen_veilig_werken_volgens_VCA__eventuele_vergunningen_leges___voorrijkosten__adminstratieve_kosten__fotorapportage_en_kleine_reparaties_¹</f>
        <v>0</v>
      </c>
      <c r="AO87" s="452">
        <f>(AE87*P1_Reinigen_Lichtkoepel_50X50)+('Perceel 1'!AF87*P1_Reinigen_Lichtkoepel_60x200)+('Perceel 1'!AG87*P1_Reinigen_Lichtkoepel_180x180)+('Perceel 1'!AH87*P1_Reinigen_Lichtstraten_groter_dan_180x180)</f>
        <v>0</v>
      </c>
      <c r="AP87" s="452"/>
      <c r="AQ87" s="452">
        <f>(X87+Y87)*P1_Inspecteren_daken_en_goten_1x_per_jaar_gelijktijdig_met_reiniging_inclusief_inspectierapport_en_een_managementrapport</f>
        <v>0</v>
      </c>
      <c r="AR87" s="456"/>
      <c r="AS87" s="454">
        <f>AR87*P1_keuren_dakveiligheid_per_man_uur</f>
        <v>0</v>
      </c>
      <c r="AT87" s="455">
        <f t="shared" si="14"/>
        <v>0</v>
      </c>
    </row>
    <row r="88" spans="1:46" ht="51" x14ac:dyDescent="0.45">
      <c r="A88" s="182"/>
      <c r="B88" s="352">
        <v>1</v>
      </c>
      <c r="C88" s="156" t="s">
        <v>135</v>
      </c>
      <c r="D88" s="156" t="s">
        <v>136</v>
      </c>
      <c r="E88" s="156"/>
      <c r="F88" s="156"/>
      <c r="G88" s="156"/>
      <c r="H88" s="174" t="s">
        <v>777</v>
      </c>
      <c r="I88" s="174" t="s">
        <v>778</v>
      </c>
      <c r="J88" s="197"/>
      <c r="K88" s="197"/>
      <c r="L88" s="197"/>
      <c r="M88" s="197" t="s">
        <v>349</v>
      </c>
      <c r="N88" s="438" t="s">
        <v>779</v>
      </c>
      <c r="O88" s="358" t="s">
        <v>780</v>
      </c>
      <c r="P88" s="438" t="s">
        <v>781</v>
      </c>
      <c r="Q88" s="438" t="s">
        <v>767</v>
      </c>
      <c r="R88" s="439" t="s">
        <v>768</v>
      </c>
      <c r="S88" s="438" t="s">
        <v>340</v>
      </c>
      <c r="T88" s="175" t="s">
        <v>782</v>
      </c>
      <c r="U88" s="175" t="s">
        <v>783</v>
      </c>
      <c r="V88" s="175" t="s">
        <v>784</v>
      </c>
      <c r="W88" s="438">
        <v>2001</v>
      </c>
      <c r="X88" s="441">
        <f>X86*15%</f>
        <v>245.39999999999998</v>
      </c>
      <c r="Y88" s="438"/>
      <c r="Z88" s="358"/>
      <c r="AA88" s="358"/>
      <c r="AB88" s="358"/>
      <c r="AC88" s="358"/>
      <c r="AD88" s="358"/>
      <c r="AE88" s="358"/>
      <c r="AF88" s="358"/>
      <c r="AG88" s="358"/>
      <c r="AH88" s="358"/>
      <c r="AI88" s="358"/>
      <c r="AJ88" s="175"/>
      <c r="AK88" s="441">
        <v>1</v>
      </c>
      <c r="AL88" s="369" t="s">
        <v>2341</v>
      </c>
      <c r="AM88" s="451">
        <f>X88*P1_Reinigen_daken_incl._extra_maatregelen_veilig_werken_volgens_VCA__eventuele_vergunningen_leges___voorrijkosten__adminstratieve_kosten__fotorapportage_en_kleine_reparaties_¹</f>
        <v>0</v>
      </c>
      <c r="AN88" s="452">
        <f>Y88*P1_Reinigen_goten_incl._extra_maatregelen_veilig_werken_volgens_VCA__eventuele_vergunningen_leges___voorrijkosten__adminstratieve_kosten__fotorapportage_en_kleine_reparaties_¹</f>
        <v>0</v>
      </c>
      <c r="AO88" s="452">
        <f>(AE88*P1_Reinigen_Lichtkoepel_50X50)+('Perceel 1'!AF88*P1_Reinigen_Lichtkoepel_60x200)+('Perceel 1'!AG88*P1_Reinigen_Lichtkoepel_180x180)+('Perceel 1'!AH88*P1_Reinigen_Lichtstraten_groter_dan_180x180)</f>
        <v>0</v>
      </c>
      <c r="AP88" s="452">
        <f>oppervlak_dak_1527*P1_Meer_prijs_anti_mosbehandeling</f>
        <v>0</v>
      </c>
      <c r="AQ88" s="452">
        <f>(X88+Y88)*P1_Inspecteren_daken_en_goten_1x_per_jaar_gelijktijdig_met_reiniging_inclusief_inspectierapport_en_een_managementrapport</f>
        <v>0</v>
      </c>
      <c r="AR88" s="456"/>
      <c r="AS88" s="454">
        <f>AR88*P1_keuren_dakveiligheid_per_man_uur</f>
        <v>0</v>
      </c>
      <c r="AT88" s="455">
        <f>(AM88*AK88)+(Y88*AK88)+AO88+AQ88+AS88+(AP88*2)</f>
        <v>0</v>
      </c>
    </row>
    <row r="89" spans="1:46" ht="51" x14ac:dyDescent="0.45">
      <c r="A89" s="182"/>
      <c r="B89" s="352">
        <v>1</v>
      </c>
      <c r="C89" s="156" t="s">
        <v>135</v>
      </c>
      <c r="D89" s="156" t="s">
        <v>136</v>
      </c>
      <c r="E89" s="156"/>
      <c r="F89" s="156"/>
      <c r="G89" s="156"/>
      <c r="H89" s="174" t="s">
        <v>786</v>
      </c>
      <c r="I89" s="174" t="s">
        <v>787</v>
      </c>
      <c r="J89" s="202"/>
      <c r="K89" s="197"/>
      <c r="L89" s="174"/>
      <c r="M89" s="191" t="s">
        <v>544</v>
      </c>
      <c r="N89" s="438" t="s">
        <v>788</v>
      </c>
      <c r="O89" s="358" t="s">
        <v>789</v>
      </c>
      <c r="P89" s="438" t="s">
        <v>790</v>
      </c>
      <c r="Q89" s="438" t="s">
        <v>767</v>
      </c>
      <c r="R89" s="439" t="s">
        <v>768</v>
      </c>
      <c r="S89" s="438" t="s">
        <v>340</v>
      </c>
      <c r="T89" s="175" t="s">
        <v>169</v>
      </c>
      <c r="U89" s="175" t="s">
        <v>170</v>
      </c>
      <c r="V89" s="175" t="s">
        <v>171</v>
      </c>
      <c r="W89" s="438">
        <v>2001</v>
      </c>
      <c r="X89" s="441">
        <f>X86*54%</f>
        <v>883.44</v>
      </c>
      <c r="Y89" s="438"/>
      <c r="Z89" s="358" t="s">
        <v>311</v>
      </c>
      <c r="AA89" s="358"/>
      <c r="AB89" s="358"/>
      <c r="AC89" s="358"/>
      <c r="AD89" s="358"/>
      <c r="AE89" s="358"/>
      <c r="AF89" s="358"/>
      <c r="AG89" s="358"/>
      <c r="AH89" s="358"/>
      <c r="AI89" s="358"/>
      <c r="AJ89" s="175"/>
      <c r="AK89" s="441">
        <v>1</v>
      </c>
      <c r="AL89" s="460"/>
      <c r="AM89" s="451">
        <f>X89*P1_Reinigen_daken_incl._extra_maatregelen_veilig_werken_volgens_VCA__eventuele_vergunningen_leges___voorrijkosten__adminstratieve_kosten__fotorapportage_en_kleine_reparaties_¹</f>
        <v>0</v>
      </c>
      <c r="AN89" s="452">
        <f>Y89*P1_Reinigen_goten_incl._extra_maatregelen_veilig_werken_volgens_VCA__eventuele_vergunningen_leges___voorrijkosten__adminstratieve_kosten__fotorapportage_en_kleine_reparaties_¹</f>
        <v>0</v>
      </c>
      <c r="AO89" s="452">
        <f>(AE89*P1_Reinigen_Lichtkoepel_50X50)+('Perceel 1'!AF89*P1_Reinigen_Lichtkoepel_60x200)+('Perceel 1'!AG89*P1_Reinigen_Lichtkoepel_180x180)+('Perceel 1'!AH89*P1_Reinigen_Lichtstraten_groter_dan_180x180)</f>
        <v>0</v>
      </c>
      <c r="AP89" s="452"/>
      <c r="AQ89" s="452">
        <f>(X89+Y89)*P1_Inspecteren_daken_en_goten_1x_per_jaar_gelijktijdig_met_reiniging_inclusief_inspectierapport_en_een_managementrapport</f>
        <v>0</v>
      </c>
      <c r="AR89" s="456"/>
      <c r="AS89" s="454">
        <f>AR89*P1_keuren_dakveiligheid_per_man_uur</f>
        <v>0</v>
      </c>
      <c r="AT89" s="455">
        <f t="shared" si="14"/>
        <v>0</v>
      </c>
    </row>
    <row r="90" spans="1:46" ht="15" x14ac:dyDescent="0.45">
      <c r="A90" s="155"/>
      <c r="B90" s="348">
        <v>1</v>
      </c>
      <c r="C90" s="156" t="s">
        <v>135</v>
      </c>
      <c r="D90" s="156" t="s">
        <v>136</v>
      </c>
      <c r="E90" s="156"/>
      <c r="F90" s="156"/>
      <c r="G90" s="156"/>
      <c r="H90" s="151" t="s">
        <v>791</v>
      </c>
      <c r="I90" s="151" t="s">
        <v>792</v>
      </c>
      <c r="J90" s="157"/>
      <c r="K90" s="163"/>
      <c r="L90" s="151" t="s">
        <v>348</v>
      </c>
      <c r="M90" s="159" t="s">
        <v>349</v>
      </c>
      <c r="N90" s="435" t="s">
        <v>793</v>
      </c>
      <c r="O90" s="353" t="s">
        <v>794</v>
      </c>
      <c r="P90" s="435" t="s">
        <v>795</v>
      </c>
      <c r="Q90" s="435" t="s">
        <v>796</v>
      </c>
      <c r="R90" s="461" t="s">
        <v>768</v>
      </c>
      <c r="S90" s="435" t="s">
        <v>340</v>
      </c>
      <c r="T90" s="159" t="s">
        <v>797</v>
      </c>
      <c r="U90" s="230" t="s">
        <v>798</v>
      </c>
      <c r="V90" s="176" t="s">
        <v>799</v>
      </c>
      <c r="W90" s="361">
        <v>2007</v>
      </c>
      <c r="X90" s="361">
        <v>314</v>
      </c>
      <c r="Y90" s="361"/>
      <c r="Z90" s="361"/>
      <c r="AA90" s="361"/>
      <c r="AB90" s="361"/>
      <c r="AC90" s="361"/>
      <c r="AD90" s="361"/>
      <c r="AE90" s="361"/>
      <c r="AF90" s="361"/>
      <c r="AG90" s="361"/>
      <c r="AH90" s="361"/>
      <c r="AI90" s="361"/>
      <c r="AJ90" s="177"/>
      <c r="AK90" s="443">
        <v>1</v>
      </c>
      <c r="AL90" s="444"/>
      <c r="AM90" s="451">
        <f>X90*P1_Reinigen_daken_incl._extra_maatregelen_veilig_werken_volgens_VCA__eventuele_vergunningen_leges___voorrijkosten__adminstratieve_kosten__fotorapportage_en_kleine_reparaties_¹</f>
        <v>0</v>
      </c>
      <c r="AN90" s="452">
        <f>Y90*P1_Reinigen_goten_incl._extra_maatregelen_veilig_werken_volgens_VCA__eventuele_vergunningen_leges___voorrijkosten__adminstratieve_kosten__fotorapportage_en_kleine_reparaties_¹</f>
        <v>0</v>
      </c>
      <c r="AO90" s="452">
        <f>(AE90*P1_Reinigen_Lichtkoepel_50X50)+('Perceel 1'!AF90*P1_Reinigen_Lichtkoepel_60x200)+('Perceel 1'!AG90*P1_Reinigen_Lichtkoepel_180x180)+('Perceel 1'!AH90*P1_Reinigen_Lichtstraten_groter_dan_180x180)</f>
        <v>0</v>
      </c>
      <c r="AP90" s="452"/>
      <c r="AQ90" s="452">
        <f>(X90+Y90)*P1_Inspecteren_daken_en_goten_1x_per_jaar_gelijktijdig_met_reiniging_inclusief_inspectierapport_en_een_managementrapport</f>
        <v>0</v>
      </c>
      <c r="AR90" s="456"/>
      <c r="AS90" s="454">
        <f>AR90*P1_keuren_dakveiligheid_per_man_uur</f>
        <v>0</v>
      </c>
      <c r="AT90" s="455">
        <f t="shared" si="14"/>
        <v>0</v>
      </c>
    </row>
    <row r="91" spans="1:46" ht="25.5" x14ac:dyDescent="0.45">
      <c r="A91" s="155"/>
      <c r="B91" s="348">
        <v>1</v>
      </c>
      <c r="C91" s="156" t="s">
        <v>135</v>
      </c>
      <c r="D91" s="156" t="s">
        <v>136</v>
      </c>
      <c r="E91" s="156"/>
      <c r="F91" s="156"/>
      <c r="G91" s="156"/>
      <c r="H91" s="151" t="s">
        <v>800</v>
      </c>
      <c r="I91" s="151" t="s">
        <v>801</v>
      </c>
      <c r="J91" s="157"/>
      <c r="K91" s="163"/>
      <c r="L91" s="151" t="s">
        <v>348</v>
      </c>
      <c r="M91" s="159" t="s">
        <v>349</v>
      </c>
      <c r="N91" s="435" t="s">
        <v>802</v>
      </c>
      <c r="O91" s="353" t="s">
        <v>803</v>
      </c>
      <c r="P91" s="353" t="s">
        <v>804</v>
      </c>
      <c r="Q91" s="435" t="s">
        <v>805</v>
      </c>
      <c r="R91" s="464" t="s">
        <v>768</v>
      </c>
      <c r="S91" s="435" t="s">
        <v>340</v>
      </c>
      <c r="T91" s="227" t="s">
        <v>806</v>
      </c>
      <c r="U91" s="227" t="s">
        <v>807</v>
      </c>
      <c r="V91" s="228" t="s">
        <v>808</v>
      </c>
      <c r="W91" s="361">
        <v>2003</v>
      </c>
      <c r="X91" s="361">
        <v>504</v>
      </c>
      <c r="Y91" s="361"/>
      <c r="Z91" s="361"/>
      <c r="AA91" s="361"/>
      <c r="AB91" s="361"/>
      <c r="AC91" s="361"/>
      <c r="AD91" s="361"/>
      <c r="AE91" s="361"/>
      <c r="AF91" s="361"/>
      <c r="AG91" s="361"/>
      <c r="AH91" s="361"/>
      <c r="AI91" s="361"/>
      <c r="AJ91" s="177"/>
      <c r="AK91" s="443">
        <v>1</v>
      </c>
      <c r="AL91" s="444"/>
      <c r="AM91" s="451">
        <f>X91*P1_Reinigen_daken_incl._extra_maatregelen_veilig_werken_volgens_VCA__eventuele_vergunningen_leges___voorrijkosten__adminstratieve_kosten__fotorapportage_en_kleine_reparaties_¹</f>
        <v>0</v>
      </c>
      <c r="AN91" s="452">
        <f>Y91*P1_Reinigen_goten_incl._extra_maatregelen_veilig_werken_volgens_VCA__eventuele_vergunningen_leges___voorrijkosten__adminstratieve_kosten__fotorapportage_en_kleine_reparaties_¹</f>
        <v>0</v>
      </c>
      <c r="AO91" s="452">
        <f>(AE91*P1_Reinigen_Lichtkoepel_50X50)+('Perceel 1'!AF91*P1_Reinigen_Lichtkoepel_60x200)+('Perceel 1'!AG91*P1_Reinigen_Lichtkoepel_180x180)+('Perceel 1'!AH91*P1_Reinigen_Lichtstraten_groter_dan_180x180)</f>
        <v>0</v>
      </c>
      <c r="AP91" s="452"/>
      <c r="AQ91" s="452">
        <f>(X91+Y91)*P1_Inspecteren_daken_en_goten_1x_per_jaar_gelijktijdig_met_reiniging_inclusief_inspectierapport_en_een_managementrapport</f>
        <v>0</v>
      </c>
      <c r="AR91" s="456"/>
      <c r="AS91" s="454">
        <f>AR91*P1_keuren_dakveiligheid_per_man_uur</f>
        <v>0</v>
      </c>
      <c r="AT91" s="455">
        <f t="shared" si="14"/>
        <v>0</v>
      </c>
    </row>
    <row r="92" spans="1:46" x14ac:dyDescent="0.45">
      <c r="A92" s="211"/>
      <c r="B92" s="374">
        <v>1</v>
      </c>
      <c r="C92" s="156" t="s">
        <v>135</v>
      </c>
      <c r="D92" s="156" t="s">
        <v>136</v>
      </c>
      <c r="E92" s="156" t="s">
        <v>174</v>
      </c>
      <c r="F92" s="156"/>
      <c r="G92" s="156"/>
      <c r="H92" s="15"/>
      <c r="I92" s="15"/>
      <c r="J92" s="16"/>
      <c r="K92" s="16"/>
      <c r="L92" s="196"/>
      <c r="M92" s="196"/>
      <c r="N92" s="466" t="s">
        <v>809</v>
      </c>
      <c r="O92" s="381" t="s">
        <v>810</v>
      </c>
      <c r="P92" s="466" t="s">
        <v>811</v>
      </c>
      <c r="Q92" s="466" t="s">
        <v>805</v>
      </c>
      <c r="R92" s="467" t="s">
        <v>768</v>
      </c>
      <c r="S92" s="466"/>
      <c r="T92" s="171"/>
      <c r="U92" s="171"/>
      <c r="V92" s="171"/>
      <c r="W92" s="466">
        <v>2001</v>
      </c>
      <c r="X92" s="471">
        <v>1814</v>
      </c>
      <c r="Y92" s="466"/>
      <c r="Z92" s="381"/>
      <c r="AA92" s="381"/>
      <c r="AB92" s="381"/>
      <c r="AC92" s="381"/>
      <c r="AD92" s="381"/>
      <c r="AE92" s="381"/>
      <c r="AF92" s="381"/>
      <c r="AG92" s="381"/>
      <c r="AH92" s="381"/>
      <c r="AI92" s="381"/>
      <c r="AJ92" s="171"/>
      <c r="AK92" s="471">
        <v>1</v>
      </c>
      <c r="AL92" s="460"/>
      <c r="AM92" s="457"/>
      <c r="AN92" s="456"/>
      <c r="AO92" s="456"/>
      <c r="AP92" s="456"/>
      <c r="AQ92" s="456"/>
      <c r="AR92" s="456"/>
      <c r="AS92" s="458"/>
      <c r="AT92" s="459"/>
    </row>
    <row r="93" spans="1:46" ht="25.5" x14ac:dyDescent="0.45">
      <c r="A93" s="182"/>
      <c r="B93" s="352">
        <v>1</v>
      </c>
      <c r="C93" s="156" t="s">
        <v>135</v>
      </c>
      <c r="D93" s="156" t="s">
        <v>136</v>
      </c>
      <c r="E93" s="156"/>
      <c r="F93" s="156"/>
      <c r="G93" s="156"/>
      <c r="H93" s="174" t="s">
        <v>812</v>
      </c>
      <c r="I93" s="174" t="s">
        <v>813</v>
      </c>
      <c r="J93" s="197"/>
      <c r="K93" s="197"/>
      <c r="L93" s="174"/>
      <c r="M93" s="174" t="s">
        <v>349</v>
      </c>
      <c r="N93" s="438" t="s">
        <v>814</v>
      </c>
      <c r="O93" s="358" t="s">
        <v>815</v>
      </c>
      <c r="P93" s="438" t="s">
        <v>811</v>
      </c>
      <c r="Q93" s="438" t="s">
        <v>805</v>
      </c>
      <c r="R93" s="439" t="s">
        <v>768</v>
      </c>
      <c r="S93" s="438" t="s">
        <v>340</v>
      </c>
      <c r="T93" s="175" t="s">
        <v>816</v>
      </c>
      <c r="U93" s="175" t="s">
        <v>817</v>
      </c>
      <c r="V93" s="175" t="s">
        <v>818</v>
      </c>
      <c r="W93" s="438">
        <v>2001</v>
      </c>
      <c r="X93" s="441">
        <f>X92*9%</f>
        <v>163.26</v>
      </c>
      <c r="Y93" s="438"/>
      <c r="Z93" s="358"/>
      <c r="AA93" s="358"/>
      <c r="AB93" s="358"/>
      <c r="AC93" s="358"/>
      <c r="AD93" s="358"/>
      <c r="AE93" s="358"/>
      <c r="AF93" s="358"/>
      <c r="AG93" s="358"/>
      <c r="AH93" s="358"/>
      <c r="AI93" s="358"/>
      <c r="AJ93" s="175"/>
      <c r="AK93" s="441">
        <v>1</v>
      </c>
      <c r="AL93" s="460"/>
      <c r="AM93" s="451">
        <f>X93*P1_Reinigen_daken_incl._extra_maatregelen_veilig_werken_volgens_VCA__eventuele_vergunningen_leges___voorrijkosten__adminstratieve_kosten__fotorapportage_en_kleine_reparaties_¹</f>
        <v>0</v>
      </c>
      <c r="AN93" s="452">
        <f>Y93*P1_Reinigen_goten_incl._extra_maatregelen_veilig_werken_volgens_VCA__eventuele_vergunningen_leges___voorrijkosten__adminstratieve_kosten__fotorapportage_en_kleine_reparaties_¹</f>
        <v>0</v>
      </c>
      <c r="AO93" s="452">
        <f>(AE93*P1_Reinigen_Lichtkoepel_50X50)+('Perceel 1'!AF93*P1_Reinigen_Lichtkoepel_60x200)+('Perceel 1'!AG93*P1_Reinigen_Lichtkoepel_180x180)+('Perceel 1'!AH93*P1_Reinigen_Lichtstraten_groter_dan_180x180)</f>
        <v>0</v>
      </c>
      <c r="AP93" s="452"/>
      <c r="AQ93" s="452">
        <f>(X93+Y93)*P1_Inspecteren_daken_en_goten_1x_per_jaar_gelijktijdig_met_reiniging_inclusief_inspectierapport_en_een_managementrapport</f>
        <v>0</v>
      </c>
      <c r="AR93" s="456"/>
      <c r="AS93" s="454">
        <f>AR93*P1_keuren_dakveiligheid_per_man_uur</f>
        <v>0</v>
      </c>
      <c r="AT93" s="455">
        <f t="shared" si="14"/>
        <v>0</v>
      </c>
    </row>
    <row r="94" spans="1:46" ht="25.5" x14ac:dyDescent="0.45">
      <c r="A94" s="182"/>
      <c r="B94" s="352">
        <v>1</v>
      </c>
      <c r="C94" s="156" t="s">
        <v>135</v>
      </c>
      <c r="D94" s="156" t="s">
        <v>174</v>
      </c>
      <c r="E94" s="156"/>
      <c r="F94" s="156"/>
      <c r="G94" s="156"/>
      <c r="H94" s="174" t="s">
        <v>819</v>
      </c>
      <c r="I94" s="174" t="s">
        <v>820</v>
      </c>
      <c r="J94" s="197"/>
      <c r="K94" s="197"/>
      <c r="L94" s="174"/>
      <c r="M94" s="174" t="s">
        <v>349</v>
      </c>
      <c r="N94" s="438" t="s">
        <v>821</v>
      </c>
      <c r="O94" s="358" t="s">
        <v>822</v>
      </c>
      <c r="P94" s="438" t="s">
        <v>811</v>
      </c>
      <c r="Q94" s="438" t="s">
        <v>805</v>
      </c>
      <c r="R94" s="439" t="s">
        <v>768</v>
      </c>
      <c r="S94" s="438" t="s">
        <v>340</v>
      </c>
      <c r="T94" s="175" t="s">
        <v>806</v>
      </c>
      <c r="U94" s="175" t="s">
        <v>807</v>
      </c>
      <c r="V94" s="187" t="s">
        <v>808</v>
      </c>
      <c r="W94" s="438">
        <v>2001</v>
      </c>
      <c r="X94" s="441">
        <f>X92*91%</f>
        <v>1650.74</v>
      </c>
      <c r="Y94" s="438"/>
      <c r="Z94" s="358"/>
      <c r="AA94" s="358"/>
      <c r="AB94" s="358"/>
      <c r="AC94" s="358"/>
      <c r="AD94" s="358"/>
      <c r="AE94" s="358"/>
      <c r="AF94" s="358"/>
      <c r="AG94" s="358"/>
      <c r="AH94" s="358"/>
      <c r="AI94" s="358"/>
      <c r="AJ94" s="175"/>
      <c r="AK94" s="441">
        <v>1</v>
      </c>
      <c r="AL94" s="460"/>
      <c r="AM94" s="451">
        <f>X94*P1_Reinigen_daken_incl._extra_maatregelen_veilig_werken_volgens_VCA__eventuele_vergunningen_leges___voorrijkosten__adminstratieve_kosten__fotorapportage_en_kleine_reparaties_¹</f>
        <v>0</v>
      </c>
      <c r="AN94" s="452">
        <f>Y94*P1_Reinigen_goten_incl._extra_maatregelen_veilig_werken_volgens_VCA__eventuele_vergunningen_leges___voorrijkosten__adminstratieve_kosten__fotorapportage_en_kleine_reparaties_¹</f>
        <v>0</v>
      </c>
      <c r="AO94" s="452">
        <f>(AE94*P1_Reinigen_Lichtkoepel_50X50)+('Perceel 1'!AF94*P1_Reinigen_Lichtkoepel_60x200)+('Perceel 1'!AG94*P1_Reinigen_Lichtkoepel_180x180)+('Perceel 1'!AH94*P1_Reinigen_Lichtstraten_groter_dan_180x180)</f>
        <v>0</v>
      </c>
      <c r="AP94" s="452"/>
      <c r="AQ94" s="452">
        <f>(X94+Y94)*P1_Inspecteren_daken_en_goten_1x_per_jaar_gelijktijdig_met_reiniging_inclusief_inspectierapport_en_een_managementrapport</f>
        <v>0</v>
      </c>
      <c r="AR94" s="456"/>
      <c r="AS94" s="454">
        <f>AR94*P1_keuren_dakveiligheid_per_man_uur</f>
        <v>0</v>
      </c>
      <c r="AT94" s="455">
        <f t="shared" si="14"/>
        <v>0</v>
      </c>
    </row>
    <row r="95" spans="1:46" ht="76.5" x14ac:dyDescent="0.45">
      <c r="A95" s="161"/>
      <c r="B95" s="347">
        <v>1</v>
      </c>
      <c r="C95" s="156" t="s">
        <v>135</v>
      </c>
      <c r="D95" s="156" t="s">
        <v>136</v>
      </c>
      <c r="E95" s="156"/>
      <c r="F95" s="156"/>
      <c r="G95" s="156"/>
      <c r="H95" s="151" t="s">
        <v>823</v>
      </c>
      <c r="I95" s="151"/>
      <c r="J95" s="163"/>
      <c r="K95" s="163"/>
      <c r="L95" s="151" t="s">
        <v>348</v>
      </c>
      <c r="M95" s="151" t="s">
        <v>349</v>
      </c>
      <c r="N95" s="304">
        <v>1294</v>
      </c>
      <c r="O95" s="353" t="s">
        <v>824</v>
      </c>
      <c r="P95" s="353" t="s">
        <v>825</v>
      </c>
      <c r="Q95" s="353" t="s">
        <v>826</v>
      </c>
      <c r="R95" s="355" t="s">
        <v>827</v>
      </c>
      <c r="S95" s="353" t="s">
        <v>146</v>
      </c>
      <c r="T95" s="159" t="s">
        <v>828</v>
      </c>
      <c r="U95" s="159" t="s">
        <v>829</v>
      </c>
      <c r="V95" s="176" t="s">
        <v>830</v>
      </c>
      <c r="W95" s="361">
        <v>2020</v>
      </c>
      <c r="X95" s="361">
        <v>1677</v>
      </c>
      <c r="Y95" s="361"/>
      <c r="Z95" s="361"/>
      <c r="AA95" s="361" t="s">
        <v>150</v>
      </c>
      <c r="AB95" s="361">
        <v>19</v>
      </c>
      <c r="AC95" s="361">
        <v>61</v>
      </c>
      <c r="AD95" s="361"/>
      <c r="AE95" s="361"/>
      <c r="AF95" s="361"/>
      <c r="AG95" s="361"/>
      <c r="AH95" s="361"/>
      <c r="AI95" s="361" t="s">
        <v>324</v>
      </c>
      <c r="AJ95" s="177" t="s">
        <v>831</v>
      </c>
      <c r="AK95" s="361">
        <v>1</v>
      </c>
      <c r="AL95" s="369"/>
      <c r="AM95" s="451">
        <f>X95*P1_reinigen_daken_met_vaste_dakveiligheid</f>
        <v>0</v>
      </c>
      <c r="AN95" s="452">
        <f>Y95*P1_reinigen_goten_met_vaste_dakveiligheid</f>
        <v>0</v>
      </c>
      <c r="AO95" s="452">
        <f>(AE95*P1_Reinigen_Lichtkoepel_50X50)+('Perceel 1'!AF95*P1_Reinigen_Lichtkoepel_60x200)+('Perceel 1'!AG95*P1_Reinigen_Lichtkoepel_180x180)+('Perceel 1'!AH95*P1_Reinigen_Lichtstraten_groter_dan_180x180)</f>
        <v>0</v>
      </c>
      <c r="AP95" s="452"/>
      <c r="AQ95" s="452">
        <f>(X95+Y95)*P1_Inspecteren_daken_en_goten_1x_per_jaar_gelijktijdig_met_reiniging_inclusief_inspectierapport_en_een_managementrapport</f>
        <v>0</v>
      </c>
      <c r="AR95" s="453"/>
      <c r="AS95" s="454">
        <f>AR95*P1_keuren_dakveiligheid_per_man_uur</f>
        <v>0</v>
      </c>
      <c r="AT95" s="455">
        <f t="shared" si="14"/>
        <v>0</v>
      </c>
    </row>
    <row r="96" spans="1:46" ht="102.4" thickBot="1" x14ac:dyDescent="0.5">
      <c r="A96" s="155"/>
      <c r="B96" s="347">
        <v>1</v>
      </c>
      <c r="C96" s="156" t="s">
        <v>135</v>
      </c>
      <c r="D96" s="156" t="s">
        <v>136</v>
      </c>
      <c r="E96" s="156" t="s">
        <v>832</v>
      </c>
      <c r="F96" s="156"/>
      <c r="G96" s="156" t="s">
        <v>833</v>
      </c>
      <c r="H96" s="151" t="s">
        <v>834</v>
      </c>
      <c r="I96" s="151" t="s">
        <v>835</v>
      </c>
      <c r="J96" s="157"/>
      <c r="K96" s="163"/>
      <c r="L96" s="151" t="s">
        <v>280</v>
      </c>
      <c r="M96" s="159" t="s">
        <v>669</v>
      </c>
      <c r="N96" s="356" t="s">
        <v>836</v>
      </c>
      <c r="O96" s="353" t="s">
        <v>837</v>
      </c>
      <c r="P96" s="353" t="s">
        <v>2342</v>
      </c>
      <c r="Q96" s="353" t="s">
        <v>839</v>
      </c>
      <c r="R96" s="355" t="s">
        <v>827</v>
      </c>
      <c r="S96" s="353" t="s">
        <v>146</v>
      </c>
      <c r="T96" s="159" t="s">
        <v>840</v>
      </c>
      <c r="U96" s="159" t="s">
        <v>841</v>
      </c>
      <c r="V96" s="176" t="s">
        <v>842</v>
      </c>
      <c r="W96" s="361">
        <v>2015</v>
      </c>
      <c r="X96" s="361">
        <v>1836</v>
      </c>
      <c r="Y96" s="361"/>
      <c r="Z96" s="361" t="s">
        <v>311</v>
      </c>
      <c r="AA96" s="361" t="s">
        <v>150</v>
      </c>
      <c r="AB96" s="361">
        <v>30</v>
      </c>
      <c r="AC96" s="361">
        <v>176</v>
      </c>
      <c r="AD96" s="361"/>
      <c r="AE96" s="361"/>
      <c r="AF96" s="361"/>
      <c r="AG96" s="361"/>
      <c r="AH96" s="361"/>
      <c r="AI96" s="361"/>
      <c r="AJ96" s="177"/>
      <c r="AK96" s="443">
        <v>1</v>
      </c>
      <c r="AL96" s="444"/>
      <c r="AM96" s="473">
        <f>X96*P1_reinigen_daken_met_vaste_dakveiligheid</f>
        <v>0</v>
      </c>
      <c r="AN96" s="474">
        <f>Y96*P1_reinigen_goten_met_vaste_dakveiligheid</f>
        <v>0</v>
      </c>
      <c r="AO96" s="474">
        <f>(AE96*P1_Reinigen_Lichtkoepel_50X50)+('Perceel 1'!AF96*P1_Reinigen_Lichtkoepel_60x200)+('Perceel 1'!AG96*P1_Reinigen_Lichtkoepel_180x180)+('Perceel 1'!AH96*P1_Reinigen_Lichtstraten_groter_dan_180x180)</f>
        <v>0</v>
      </c>
      <c r="AP96" s="474"/>
      <c r="AQ96" s="474">
        <f>(X96+Y96)*P1_Inspecteren_daken_en_goten_1x_per_jaar_gelijktijdig_met_reiniging_inclusief_inspectierapport_en_een_managementrapport</f>
        <v>0</v>
      </c>
      <c r="AR96" s="475"/>
      <c r="AS96" s="476">
        <f>AR96*P1_keuren_dakveiligheid_per_man_uur</f>
        <v>0</v>
      </c>
      <c r="AT96" s="477">
        <f t="shared" si="14"/>
        <v>0</v>
      </c>
    </row>
    <row r="97" spans="1:47" ht="14.65" thickTop="1" x14ac:dyDescent="0.45">
      <c r="B97" s="378">
        <v>1</v>
      </c>
      <c r="C97" s="2" t="s">
        <v>135</v>
      </c>
      <c r="D97" s="2"/>
      <c r="E97" s="2"/>
      <c r="F97" s="2"/>
      <c r="G97" s="2"/>
      <c r="J97" s="244"/>
      <c r="K97" s="245"/>
      <c r="L97" s="245"/>
      <c r="M97" s="245"/>
      <c r="N97" s="385" t="s">
        <v>843</v>
      </c>
      <c r="O97" s="469" t="s">
        <v>844</v>
      </c>
      <c r="P97" s="385"/>
      <c r="Q97" s="385"/>
      <c r="R97" s="385"/>
      <c r="S97" s="385"/>
      <c r="V97" s="20"/>
      <c r="X97" s="393">
        <f>X2+X3+X4+X5+X6+X7+X8+X11+X12+X13+X14+X19+X20+X21+X22+X23+X25+X26+X27+X28+X29+X31+X32+X33+X34+X35+X36+X37+X38+X40+X41+X42+X43+X44+X45+X46+X47+X48+X49+X50+X51+X52+X54+X55+X56+X57+X58+X59+X60+X61+X62+X63+X64+X65+X66+X67+X68+X69+X70+X71+X72+X73+X75+X76+X77+X78+X79+X80+X81+X83+X84+X85+X87+X88+X89+X90+X91+X93+X94+X95+X96</f>
        <v>73772</v>
      </c>
      <c r="Y97" s="393">
        <f>Y2+Y3+Y4+Y5+Y6+Y7+Y8+Y11+Y12+Y13+Y14+Y19+Y20+Y21+Y22+Y23+Y25+Y26+Y27+Y28+Y29+Y31+Y32+Y33+Y34+Y35+Y36+Y37+Y38+Y40+Y41+Y42+Y43+Y44+Y45+Y46+Y47+Y48+Y49+Y50+Y51+Y52+Y54+Y55+Y56+Y57+Y58+Y59+Y60+Y61+Y62+Y63+Y64+Y65+Y66+Y67+Y68+Y69+Y70+Y71+Y72+Y73+Y75+Y76+Y77+Y78+Y79+Y80+Y81+Y83+Y84+Y85+Y87+Y88+Y89+Y90+Y91+Y93+Y94+Y95+Y96</f>
        <v>624</v>
      </c>
      <c r="AB97" s="393">
        <f t="shared" ref="AB97:AC97" si="17">AB2+AB3+AB4+AB5+AB6+AB7+AB8+AB11+AB12+AB13+AB14+AB19+AB20+AB21+AB22+AB23+AB25+AB26+AB27+AB28+AB29+AB31+AB32+AB33+AB34+AB35+AB36+AB37+AB38+AB40+AB41+AB42+AB43+AB44+AB45+AB46+AB47+AB48+AB49+AB50+AB51+AB52+AB54+AB55+AB56+AB57+AB58+AB59+AB60+AB61+AB62+AB63+AB64+AB65+AB66+AB67+AB68+AB69+AB70+AB71+AB72+AB73+AB75+AB76+AB77+AB78+AB79+AB80+AB81+AB83+AB84+AB85+AB87+AB88+AB89+AB90+AB91+AB93+AB94+AB95+AB96</f>
        <v>603</v>
      </c>
      <c r="AC97" s="393">
        <f t="shared" si="17"/>
        <v>2863</v>
      </c>
      <c r="AK97" s="394"/>
      <c r="AL97" s="385"/>
      <c r="AM97" s="402">
        <f>AM2+AM3+AM4+AM5+AM6+AM7+AM8+AM11+AM12+AM13+AM14+AM19+AM20+AM21+AM22+AM23+AM25+AM26+AM27+AM28+AM29+AM31+AM32+AM33+AM34+AM35+AM36+AM37+AM38+AM40+AM41+AM42+AM43+AM44+AM45+AM46+AM47+AM48+AM49+AM50+AM51+AM52+AM54+AM55+AM56+AM57+AM58+AM59+AM60+AM61+AM61+AM62+AM63+AM64+AM65+AM66+AM67+AM68+AM69+AM70+AM71+AM72+AM73+AM75+AM76+AM77+AM78+AM79+AM80+AM81+AM83+AM84+AM85+AM87+AM88+AM89+AM90+AM91+AM93+AM94+AM95+AM96</f>
        <v>0</v>
      </c>
      <c r="AN97" s="402">
        <f>AN2+AN3+AN4+AN5+AN6+AN7+AN8+AN11+AN12+AN13+AN14+AN19+AN20+AN21+AN22+AN23+AN25+AN26+AN27+AN28+AN29+AN31+AN32+AN33+AN34+AN35+AN36+AN37+AN38+AN40+AN41+AN42+AN43+AN44+AN45+AN46+AN47+AN48+AN49+AN50+AN51+AN52+AN54+AN55+AN56+AN57+AN58+AN59+AN60+AN61+AN61+AN62+AN63+AN64+AN65+AN66+AN67+AN68+AN69+AN70+AN71+AN72+AN73+AN75+AN76+AN77+AN78+AN79+AN80+AN81+AN83+AN84+AN85+AN87+AN88+AN89+AN90+AN91+AN93+AN94+AN95+AN96</f>
        <v>0</v>
      </c>
      <c r="AO97" s="402">
        <f t="shared" ref="AO97:AT97" si="18">AO2+AO3+AO4+AO5+AO6+AO7+AO8+AO11+AO12+AO13+AO14+AO19+AO20+AO21+AO22+AO23+AO25+AO26+AO27+AO28+AO29+AO31+AO32+AO33+AO34+AO35+AO36+AO37+AO38+AO40+AO41+AO42+AO43+AO44+AO45+AO46+AO47+AO48+AO49+AO50+AO51+AO52+AO54+AO55+AO56+AO57+AO58+AO59+AO60+AO61+AO61+AO62+AO63+AO64+AO65+AO66+AO67+AO68+AO69+AO70+AO71+AO72+AO73+AO75+AO76+AO77+AO78+AO79+AO80+AO81+AO83+AO84+AO85+AO87+AO88+AO89+AO90+AO91+AO93+AO94+AO95+AO96</f>
        <v>0</v>
      </c>
      <c r="AP97" s="402"/>
      <c r="AQ97" s="402">
        <f t="shared" si="18"/>
        <v>0</v>
      </c>
      <c r="AR97" s="403">
        <f t="shared" si="18"/>
        <v>0</v>
      </c>
      <c r="AS97" s="402">
        <f t="shared" si="18"/>
        <v>0</v>
      </c>
      <c r="AT97" s="402">
        <f t="shared" si="18"/>
        <v>0</v>
      </c>
      <c r="AU97" s="402"/>
    </row>
    <row r="98" spans="1:47" s="7" customFormat="1" hidden="1" x14ac:dyDescent="0.45">
      <c r="A98" s="8"/>
      <c r="B98" s="40"/>
      <c r="C98" s="2"/>
      <c r="D98" s="2"/>
      <c r="E98" s="2"/>
      <c r="F98" s="2"/>
      <c r="G98" s="2"/>
      <c r="H98" s="38"/>
      <c r="I98" s="38"/>
      <c r="J98" s="244"/>
      <c r="K98" s="245"/>
      <c r="L98" s="245"/>
      <c r="M98" s="245"/>
      <c r="N98" s="19"/>
      <c r="O98" s="247"/>
      <c r="P98" s="19"/>
      <c r="Q98" s="19"/>
      <c r="R98" s="19"/>
      <c r="S98" s="19"/>
      <c r="T98" s="19"/>
      <c r="U98" s="19"/>
      <c r="V98" s="20"/>
      <c r="W98" s="30"/>
      <c r="X98" s="30"/>
      <c r="Y98" s="30"/>
      <c r="Z98" s="250"/>
      <c r="AA98" s="39"/>
      <c r="AB98" s="39"/>
      <c r="AC98" s="39"/>
      <c r="AD98" s="39"/>
      <c r="AE98" s="39"/>
      <c r="AF98" s="39"/>
      <c r="AG98" s="39"/>
      <c r="AH98" s="39"/>
      <c r="AI98" s="39"/>
      <c r="AJ98" s="39"/>
      <c r="AK98" s="39"/>
      <c r="AL98" s="246"/>
      <c r="AM98" s="278"/>
      <c r="AN98" s="278"/>
      <c r="AO98" s="278"/>
      <c r="AP98" s="278"/>
      <c r="AQ98" s="278"/>
      <c r="AS98" s="278"/>
      <c r="AT98" s="278"/>
    </row>
    <row r="99" spans="1:47" s="7" customFormat="1" hidden="1" x14ac:dyDescent="0.45">
      <c r="A99" s="8"/>
      <c r="B99" s="40"/>
      <c r="C99" s="2"/>
      <c r="D99" s="2"/>
      <c r="E99" s="2"/>
      <c r="F99" s="2"/>
      <c r="G99" s="2"/>
      <c r="H99" s="38"/>
      <c r="I99" s="38"/>
      <c r="J99" s="244"/>
      <c r="K99" s="245"/>
      <c r="L99" s="245"/>
      <c r="M99" s="245"/>
      <c r="N99" s="19"/>
      <c r="O99" s="247"/>
      <c r="P99" s="19"/>
      <c r="Q99" s="19"/>
      <c r="R99" s="19"/>
      <c r="S99" s="19"/>
      <c r="T99" s="19"/>
      <c r="U99" s="19"/>
      <c r="V99" s="20"/>
      <c r="W99" s="30"/>
      <c r="X99" s="30"/>
      <c r="Y99" s="30"/>
      <c r="Z99" s="250"/>
      <c r="AA99" s="39"/>
      <c r="AB99" s="39"/>
      <c r="AC99" s="39"/>
      <c r="AD99" s="39"/>
      <c r="AE99" s="39"/>
      <c r="AF99" s="39"/>
      <c r="AG99" s="39"/>
      <c r="AH99" s="39"/>
      <c r="AI99" s="39"/>
      <c r="AJ99" s="39"/>
      <c r="AK99" s="39"/>
      <c r="AL99" s="246"/>
      <c r="AM99" s="278"/>
      <c r="AN99" s="278"/>
      <c r="AO99" s="278"/>
      <c r="AP99" s="278"/>
      <c r="AQ99" s="278"/>
      <c r="AS99" s="278"/>
      <c r="AT99" s="278"/>
    </row>
    <row r="100" spans="1:47" s="7" customFormat="1" ht="38.450000000000003" hidden="1" customHeight="1" x14ac:dyDescent="0.45">
      <c r="A100" s="8"/>
      <c r="B100" s="30"/>
      <c r="C100" s="2"/>
      <c r="D100" s="2"/>
      <c r="E100" s="2"/>
      <c r="F100" s="2"/>
      <c r="G100" s="2"/>
      <c r="H100" s="38"/>
      <c r="I100" s="38"/>
      <c r="J100" s="244"/>
      <c r="K100" s="245"/>
      <c r="L100" s="245"/>
      <c r="M100" s="246"/>
      <c r="N100" s="247"/>
      <c r="O100" s="19"/>
      <c r="P100" s="19"/>
      <c r="Q100" s="1"/>
      <c r="R100" s="1"/>
      <c r="S100" s="1"/>
      <c r="T100" s="19"/>
      <c r="U100" s="248"/>
      <c r="V100" s="249"/>
      <c r="W100" s="30"/>
      <c r="X100" s="30"/>
      <c r="Y100" s="30"/>
      <c r="Z100" s="39"/>
      <c r="AA100" s="39"/>
      <c r="AB100" s="39"/>
      <c r="AC100" s="39"/>
      <c r="AD100" s="39"/>
      <c r="AE100" s="39"/>
      <c r="AF100" s="39"/>
      <c r="AG100" s="39"/>
      <c r="AH100" s="39"/>
      <c r="AI100" s="39"/>
      <c r="AJ100" s="39"/>
      <c r="AK100" s="283"/>
      <c r="AM100" s="278"/>
      <c r="AN100" s="278"/>
      <c r="AO100" s="278"/>
      <c r="AP100" s="278"/>
      <c r="AQ100" s="278"/>
      <c r="AS100" s="278"/>
      <c r="AT100" s="278"/>
    </row>
    <row r="101" spans="1:47" s="7" customFormat="1" hidden="1" x14ac:dyDescent="0.45">
      <c r="A101" s="8"/>
      <c r="B101" s="40"/>
      <c r="C101" s="1"/>
      <c r="D101" s="1"/>
      <c r="E101" s="1"/>
      <c r="F101" s="1"/>
      <c r="G101" s="1"/>
      <c r="H101" s="38"/>
      <c r="I101" s="38"/>
      <c r="J101" s="38"/>
      <c r="K101" s="38"/>
      <c r="L101" s="38"/>
      <c r="M101" s="19"/>
      <c r="N101" s="1"/>
      <c r="O101" s="1"/>
      <c r="P101" s="1"/>
      <c r="Q101" s="1"/>
      <c r="R101" s="1"/>
      <c r="S101" s="1"/>
      <c r="T101" s="19"/>
      <c r="U101" s="19"/>
      <c r="V101" s="19"/>
      <c r="W101" s="30"/>
      <c r="X101" s="30"/>
      <c r="Y101" s="30"/>
      <c r="Z101" s="39"/>
      <c r="AA101" s="39"/>
      <c r="AB101" s="39"/>
      <c r="AC101" s="39"/>
      <c r="AD101" s="39"/>
      <c r="AE101" s="39"/>
      <c r="AF101" s="39"/>
      <c r="AG101" s="39"/>
      <c r="AH101" s="39"/>
      <c r="AI101" s="39"/>
      <c r="AJ101" s="39"/>
      <c r="AK101" s="283"/>
      <c r="AM101" s="278"/>
      <c r="AN101" s="278"/>
      <c r="AO101" s="278"/>
      <c r="AP101" s="278"/>
      <c r="AQ101" s="278"/>
      <c r="AS101" s="278"/>
      <c r="AT101" s="278"/>
    </row>
    <row r="102" spans="1:47" s="7" customFormat="1" ht="45" hidden="1" customHeight="1" thickTop="1" x14ac:dyDescent="0.45">
      <c r="A102" s="169"/>
      <c r="B102" s="180">
        <v>2</v>
      </c>
      <c r="C102" s="171" t="s">
        <v>135</v>
      </c>
      <c r="D102" s="171" t="s">
        <v>136</v>
      </c>
      <c r="E102" s="171"/>
      <c r="F102" s="171"/>
      <c r="G102" s="171"/>
      <c r="H102" s="170" t="s">
        <v>202</v>
      </c>
      <c r="I102" s="170" t="s">
        <v>203</v>
      </c>
      <c r="J102" s="172"/>
      <c r="K102" s="173"/>
      <c r="L102" s="170" t="s">
        <v>139</v>
      </c>
      <c r="M102" s="169" t="s">
        <v>140</v>
      </c>
      <c r="N102" s="169" t="s">
        <v>845</v>
      </c>
      <c r="O102" s="169" t="s">
        <v>205</v>
      </c>
      <c r="P102" s="169"/>
      <c r="Q102" s="169"/>
      <c r="R102" s="45"/>
      <c r="S102" s="169"/>
      <c r="T102" s="169"/>
      <c r="U102" s="169"/>
      <c r="V102" s="169"/>
      <c r="W102" s="169"/>
      <c r="X102" s="180">
        <f>X103+X104+X105+X106</f>
        <v>92</v>
      </c>
      <c r="Y102" s="169"/>
      <c r="Z102" s="169"/>
      <c r="AA102" s="169"/>
      <c r="AB102" s="169"/>
      <c r="AC102" s="169"/>
      <c r="AD102" s="169"/>
      <c r="AE102" s="169"/>
      <c r="AF102" s="169"/>
      <c r="AG102" s="169"/>
      <c r="AH102" s="169"/>
      <c r="AI102" s="186"/>
      <c r="AJ102" s="186"/>
      <c r="AK102" s="177">
        <v>2</v>
      </c>
      <c r="AL102" s="272"/>
      <c r="AM102" s="308">
        <f>X102*P2_Reinigen_daken_incl._extra_maatregelen_veilig_werken_volgens_VCA__eventuele_vergunningen_leges___voorrijkosten__adminstratieve_kosten__fotorapportage_en_kleine_reparaties</f>
        <v>0</v>
      </c>
      <c r="AN102" s="309">
        <f>Y102*P2_Reinigen_goten_incl._extra_maatregelen_veilig_werken_volgens_VCA__eventuele_vergunningen_leges___voorrijkosten__adminstratieve_kosten__fotorapportage_en_kleine_reparaties</f>
        <v>0</v>
      </c>
      <c r="AO102" s="309">
        <f>(AE102*P2_Reinigen_Lichtkoepel_50X50)+('Perceel 1'!AF102*P2_Reinigen_Lichtkoepel_60x200)+('Perceel 1'!AG102*P2_Reinigen_Lichtkoepel_180x180)+('Perceel 1'!AH102*P2_Reinigen_Lichtstraten_groter_dan_180x180)</f>
        <v>0</v>
      </c>
      <c r="AP102" s="309"/>
      <c r="AQ102" s="309">
        <f>('Perceel 1'!X102+'Perceel 1'!Y102)*P2_Inspecteren_daken_en_goten_1x_per_jaar_gelijktijdig_met_reiniging_inclusief_inspectierapport_en_een_managementrapport</f>
        <v>0</v>
      </c>
      <c r="AR102" s="324"/>
      <c r="AS102" s="331">
        <f>AR102*P2_keuren_dakveiligheid_per_man_uur</f>
        <v>0</v>
      </c>
      <c r="AT102" s="335">
        <f t="shared" ref="AT102" si="19">(AM102*AK102)+(Y102*AK102)+AO102+AQ102+AS102</f>
        <v>0</v>
      </c>
    </row>
    <row r="103" spans="1:47" s="7" customFormat="1" ht="51" hidden="1" x14ac:dyDescent="0.45">
      <c r="A103" s="174"/>
      <c r="B103" s="181">
        <v>2</v>
      </c>
      <c r="C103" s="175" t="s">
        <v>135</v>
      </c>
      <c r="D103" s="175" t="s">
        <v>136</v>
      </c>
      <c r="E103" s="175"/>
      <c r="F103" s="175"/>
      <c r="G103" s="175"/>
      <c r="H103" s="174" t="s">
        <v>202</v>
      </c>
      <c r="I103" s="174" t="s">
        <v>203</v>
      </c>
      <c r="J103" s="10"/>
      <c r="K103" s="10"/>
      <c r="L103" s="175"/>
      <c r="M103" s="175" t="s">
        <v>140</v>
      </c>
      <c r="N103" s="175" t="s">
        <v>846</v>
      </c>
      <c r="O103" s="175" t="s">
        <v>847</v>
      </c>
      <c r="P103" s="175" t="s">
        <v>848</v>
      </c>
      <c r="Q103" s="175"/>
      <c r="R103" s="46" t="s">
        <v>849</v>
      </c>
      <c r="S103" s="175" t="s">
        <v>340</v>
      </c>
      <c r="T103" s="175" t="s">
        <v>169</v>
      </c>
      <c r="U103" s="175" t="s">
        <v>170</v>
      </c>
      <c r="V103" s="187" t="s">
        <v>171</v>
      </c>
      <c r="W103" s="175">
        <v>1995</v>
      </c>
      <c r="X103" s="258">
        <v>38</v>
      </c>
      <c r="Y103" s="175"/>
      <c r="Z103" s="175"/>
      <c r="AA103" s="175"/>
      <c r="AB103" s="175"/>
      <c r="AC103" s="188"/>
      <c r="AD103" s="188"/>
      <c r="AE103" s="188"/>
      <c r="AF103" s="188"/>
      <c r="AG103" s="188"/>
      <c r="AH103" s="188"/>
      <c r="AI103" s="188"/>
      <c r="AJ103" s="188"/>
      <c r="AK103" s="177">
        <v>2</v>
      </c>
      <c r="AL103" s="272"/>
      <c r="AM103" s="327"/>
      <c r="AN103" s="310"/>
      <c r="AO103" s="310"/>
      <c r="AP103" s="310"/>
      <c r="AQ103" s="310"/>
      <c r="AR103" s="312"/>
      <c r="AS103" s="339"/>
      <c r="AT103" s="342"/>
    </row>
    <row r="104" spans="1:47" s="7" customFormat="1" ht="51" hidden="1" x14ac:dyDescent="0.45">
      <c r="A104" s="182"/>
      <c r="B104" s="181">
        <v>2</v>
      </c>
      <c r="C104" s="175" t="s">
        <v>135</v>
      </c>
      <c r="D104" s="175" t="s">
        <v>136</v>
      </c>
      <c r="E104" s="175"/>
      <c r="F104" s="175"/>
      <c r="G104" s="175"/>
      <c r="H104" s="174" t="s">
        <v>202</v>
      </c>
      <c r="I104" s="174" t="s">
        <v>203</v>
      </c>
      <c r="J104" s="10"/>
      <c r="K104" s="10"/>
      <c r="L104" s="175"/>
      <c r="M104" s="175" t="s">
        <v>140</v>
      </c>
      <c r="N104" s="175" t="s">
        <v>850</v>
      </c>
      <c r="O104" s="175" t="s">
        <v>851</v>
      </c>
      <c r="P104" s="175" t="s">
        <v>852</v>
      </c>
      <c r="Q104" s="175"/>
      <c r="R104" s="47" t="s">
        <v>853</v>
      </c>
      <c r="S104" s="175" t="s">
        <v>340</v>
      </c>
      <c r="T104" s="175" t="s">
        <v>169</v>
      </c>
      <c r="U104" s="175" t="s">
        <v>170</v>
      </c>
      <c r="V104" s="187" t="s">
        <v>171</v>
      </c>
      <c r="W104" s="175">
        <v>1989</v>
      </c>
      <c r="X104" s="258">
        <v>18</v>
      </c>
      <c r="Y104" s="175"/>
      <c r="Z104" s="175"/>
      <c r="AA104" s="175"/>
      <c r="AB104" s="175"/>
      <c r="AC104" s="175"/>
      <c r="AD104" s="175"/>
      <c r="AE104" s="175"/>
      <c r="AF104" s="175"/>
      <c r="AG104" s="175"/>
      <c r="AH104" s="175"/>
      <c r="AI104" s="188"/>
      <c r="AJ104" s="188"/>
      <c r="AK104" s="177">
        <v>2</v>
      </c>
      <c r="AL104" s="272"/>
      <c r="AM104" s="327"/>
      <c r="AN104" s="310"/>
      <c r="AO104" s="310"/>
      <c r="AP104" s="310"/>
      <c r="AQ104" s="310"/>
      <c r="AR104" s="312"/>
      <c r="AS104" s="339"/>
      <c r="AT104" s="342"/>
    </row>
    <row r="105" spans="1:47" s="7" customFormat="1" ht="51" hidden="1" x14ac:dyDescent="0.45">
      <c r="A105" s="174"/>
      <c r="B105" s="181">
        <v>2</v>
      </c>
      <c r="C105" s="175" t="s">
        <v>135</v>
      </c>
      <c r="D105" s="175" t="s">
        <v>136</v>
      </c>
      <c r="E105" s="175"/>
      <c r="F105" s="175"/>
      <c r="G105" s="175"/>
      <c r="H105" s="174" t="s">
        <v>202</v>
      </c>
      <c r="I105" s="174" t="s">
        <v>203</v>
      </c>
      <c r="J105" s="10"/>
      <c r="K105" s="10"/>
      <c r="L105" s="175"/>
      <c r="M105" s="175" t="s">
        <v>140</v>
      </c>
      <c r="N105" s="175" t="s">
        <v>854</v>
      </c>
      <c r="O105" s="175" t="s">
        <v>855</v>
      </c>
      <c r="P105" s="175" t="s">
        <v>856</v>
      </c>
      <c r="Q105" s="175"/>
      <c r="R105" s="47" t="s">
        <v>857</v>
      </c>
      <c r="S105" s="175" t="s">
        <v>340</v>
      </c>
      <c r="T105" s="175" t="s">
        <v>169</v>
      </c>
      <c r="U105" s="175" t="s">
        <v>170</v>
      </c>
      <c r="V105" s="187" t="s">
        <v>171</v>
      </c>
      <c r="W105" s="175">
        <v>1998</v>
      </c>
      <c r="X105" s="258">
        <v>18</v>
      </c>
      <c r="Y105" s="175"/>
      <c r="Z105" s="175"/>
      <c r="AA105" s="175"/>
      <c r="AB105" s="175"/>
      <c r="AC105" s="188"/>
      <c r="AD105" s="188"/>
      <c r="AE105" s="188"/>
      <c r="AF105" s="188"/>
      <c r="AG105" s="188"/>
      <c r="AH105" s="188"/>
      <c r="AI105" s="188"/>
      <c r="AJ105" s="188"/>
      <c r="AK105" s="177">
        <v>2</v>
      </c>
      <c r="AL105" s="272"/>
      <c r="AM105" s="327"/>
      <c r="AN105" s="310"/>
      <c r="AO105" s="310"/>
      <c r="AP105" s="310"/>
      <c r="AQ105" s="310"/>
      <c r="AR105" s="312"/>
      <c r="AS105" s="339"/>
      <c r="AT105" s="342"/>
    </row>
    <row r="106" spans="1:47" s="7" customFormat="1" ht="51" hidden="1" x14ac:dyDescent="0.45">
      <c r="A106" s="174"/>
      <c r="B106" s="181">
        <v>2</v>
      </c>
      <c r="C106" s="175" t="s">
        <v>135</v>
      </c>
      <c r="D106" s="175" t="s">
        <v>136</v>
      </c>
      <c r="E106" s="175"/>
      <c r="F106" s="175"/>
      <c r="G106" s="175"/>
      <c r="H106" s="174" t="s">
        <v>202</v>
      </c>
      <c r="I106" s="174" t="s">
        <v>203</v>
      </c>
      <c r="J106" s="10"/>
      <c r="K106" s="10"/>
      <c r="L106" s="175"/>
      <c r="M106" s="175" t="s">
        <v>140</v>
      </c>
      <c r="N106" s="175" t="s">
        <v>858</v>
      </c>
      <c r="O106" s="175" t="s">
        <v>859</v>
      </c>
      <c r="P106" s="175" t="s">
        <v>860</v>
      </c>
      <c r="Q106" s="175"/>
      <c r="R106" s="47" t="s">
        <v>857</v>
      </c>
      <c r="S106" s="175" t="s">
        <v>340</v>
      </c>
      <c r="T106" s="175" t="s">
        <v>169</v>
      </c>
      <c r="U106" s="175" t="s">
        <v>170</v>
      </c>
      <c r="V106" s="187" t="s">
        <v>171</v>
      </c>
      <c r="W106" s="175">
        <v>1985</v>
      </c>
      <c r="X106" s="258">
        <v>18</v>
      </c>
      <c r="Y106" s="175"/>
      <c r="Z106" s="175"/>
      <c r="AA106" s="175"/>
      <c r="AB106" s="175"/>
      <c r="AC106" s="188"/>
      <c r="AD106" s="188"/>
      <c r="AE106" s="188"/>
      <c r="AF106" s="188"/>
      <c r="AG106" s="188"/>
      <c r="AH106" s="188"/>
      <c r="AI106" s="188"/>
      <c r="AJ106" s="188"/>
      <c r="AK106" s="177">
        <v>2</v>
      </c>
      <c r="AL106" s="272"/>
      <c r="AM106" s="327"/>
      <c r="AN106" s="310"/>
      <c r="AO106" s="310"/>
      <c r="AP106" s="310"/>
      <c r="AQ106" s="310"/>
      <c r="AR106" s="312"/>
      <c r="AS106" s="339"/>
      <c r="AT106" s="342"/>
    </row>
    <row r="107" spans="1:47" s="7" customFormat="1" ht="25.5" hidden="1" x14ac:dyDescent="0.45">
      <c r="A107" s="155"/>
      <c r="B107" s="165">
        <v>2</v>
      </c>
      <c r="C107" s="156" t="s">
        <v>135</v>
      </c>
      <c r="D107" s="156" t="s">
        <v>861</v>
      </c>
      <c r="E107" s="156"/>
      <c r="F107" s="156"/>
      <c r="G107" s="156"/>
      <c r="H107" s="151" t="s">
        <v>862</v>
      </c>
      <c r="I107" s="151" t="s">
        <v>863</v>
      </c>
      <c r="J107" s="157"/>
      <c r="K107" s="163"/>
      <c r="L107" s="151" t="s">
        <v>280</v>
      </c>
      <c r="M107" s="159" t="s">
        <v>669</v>
      </c>
      <c r="N107" s="160" t="s">
        <v>864</v>
      </c>
      <c r="O107" s="159" t="s">
        <v>865</v>
      </c>
      <c r="P107" s="159" t="s">
        <v>866</v>
      </c>
      <c r="Q107" s="160" t="s">
        <v>867</v>
      </c>
      <c r="R107" s="53" t="s">
        <v>868</v>
      </c>
      <c r="S107" s="160" t="s">
        <v>869</v>
      </c>
      <c r="T107" s="159" t="s">
        <v>870</v>
      </c>
      <c r="U107" s="159" t="s">
        <v>871</v>
      </c>
      <c r="V107" s="176" t="s">
        <v>872</v>
      </c>
      <c r="W107" s="152">
        <v>2001</v>
      </c>
      <c r="X107" s="152">
        <v>1102</v>
      </c>
      <c r="Y107" s="152"/>
      <c r="Z107" s="177" t="s">
        <v>311</v>
      </c>
      <c r="AA107" s="177"/>
      <c r="AB107" s="177"/>
      <c r="AC107" s="177"/>
      <c r="AD107" s="177"/>
      <c r="AE107" s="177"/>
      <c r="AF107" s="177"/>
      <c r="AG107" s="177"/>
      <c r="AH107" s="177"/>
      <c r="AI107" s="177"/>
      <c r="AJ107" s="177"/>
      <c r="AK107" s="257">
        <v>1</v>
      </c>
      <c r="AL107" s="271"/>
      <c r="AM107" s="277">
        <f t="shared" ref="AM107:AM117" si="20">X107*P2_Reinigen_daken_incl._extra_maatregelen_veilig_werken_volgens_VCA__eventuele_vergunningen_leges___voorrijkosten__adminstratieve_kosten__fotorapportage_en_kleine_reparaties</f>
        <v>0</v>
      </c>
      <c r="AN107" s="279">
        <f t="shared" ref="AN107:AN115" si="21">Y107*P2_Reinigen_goten_incl._extra_maatregelen_veilig_werken_volgens_VCA__eventuele_vergunningen_leges___voorrijkosten__adminstratieve_kosten__fotorapportage_en_kleine_reparaties</f>
        <v>0</v>
      </c>
      <c r="AO107" s="279">
        <f>(AE107*P2_Reinigen_Lichtkoepel_50X50)+('Perceel 1'!AF107*P2_Reinigen_Lichtkoepel_60x200)+('Perceel 1'!AG107*P2_Reinigen_Lichtkoepel_180x180)+('Perceel 1'!AH107*P2_Reinigen_Lichtstraten_groter_dan_180x180)</f>
        <v>0</v>
      </c>
      <c r="AP107" s="279"/>
      <c r="AQ107" s="279">
        <f>('Perceel 1'!X107+'Perceel 1'!Y107)*P2_Inspecteren_daken_en_goten_1x_per_jaar_gelijktijdig_met_reiniging_inclusief_inspectierapport_en_een_managementrapport</f>
        <v>0</v>
      </c>
      <c r="AR107" s="312"/>
      <c r="AS107" s="332">
        <f t="shared" ref="AS107:AS135" si="22">AR107*P2_keuren_dakveiligheid_per_man_uur</f>
        <v>0</v>
      </c>
      <c r="AT107" s="336">
        <f t="shared" ref="AT107:AT135" si="23">(AM107*AK107)+(Y107*AK107)+AO107+AQ107+AS107</f>
        <v>0</v>
      </c>
    </row>
    <row r="108" spans="1:47" s="7" customFormat="1" ht="63.75" hidden="1" x14ac:dyDescent="0.45">
      <c r="A108" s="155"/>
      <c r="B108" s="165">
        <v>2</v>
      </c>
      <c r="C108" s="156" t="s">
        <v>135</v>
      </c>
      <c r="D108" s="156" t="s">
        <v>861</v>
      </c>
      <c r="E108" s="156"/>
      <c r="F108" s="156"/>
      <c r="G108" s="156"/>
      <c r="H108" s="151" t="s">
        <v>873</v>
      </c>
      <c r="I108" s="151" t="s">
        <v>874</v>
      </c>
      <c r="J108" s="157"/>
      <c r="K108" s="163"/>
      <c r="L108" s="151" t="s">
        <v>280</v>
      </c>
      <c r="M108" s="159" t="s">
        <v>669</v>
      </c>
      <c r="N108" s="160" t="s">
        <v>875</v>
      </c>
      <c r="O108" s="159" t="s">
        <v>876</v>
      </c>
      <c r="P108" s="160" t="s">
        <v>877</v>
      </c>
      <c r="Q108" s="160" t="s">
        <v>878</v>
      </c>
      <c r="R108" s="53" t="s">
        <v>868</v>
      </c>
      <c r="S108" s="160" t="s">
        <v>869</v>
      </c>
      <c r="T108" s="159" t="s">
        <v>879</v>
      </c>
      <c r="U108" s="159" t="s">
        <v>880</v>
      </c>
      <c r="V108" s="176" t="s">
        <v>881</v>
      </c>
      <c r="W108" s="152">
        <v>2002</v>
      </c>
      <c r="X108" s="152">
        <v>465</v>
      </c>
      <c r="Y108" s="152"/>
      <c r="Z108" s="177"/>
      <c r="AA108" s="177"/>
      <c r="AB108" s="177"/>
      <c r="AC108" s="177"/>
      <c r="AD108" s="177"/>
      <c r="AE108" s="177"/>
      <c r="AF108" s="177"/>
      <c r="AG108" s="177"/>
      <c r="AH108" s="177"/>
      <c r="AI108" s="177"/>
      <c r="AJ108" s="177"/>
      <c r="AK108" s="257">
        <v>1</v>
      </c>
      <c r="AL108" s="271"/>
      <c r="AM108" s="277">
        <f t="shared" si="20"/>
        <v>0</v>
      </c>
      <c r="AN108" s="279">
        <f t="shared" si="21"/>
        <v>0</v>
      </c>
      <c r="AO108" s="279">
        <f>(AE108*P2_Reinigen_Lichtkoepel_50X50)+('Perceel 1'!AF108*P2_Reinigen_Lichtkoepel_60x200)+('Perceel 1'!AG108*P2_Reinigen_Lichtkoepel_180x180)+('Perceel 1'!AH108*P2_Reinigen_Lichtstraten_groter_dan_180x180)</f>
        <v>0</v>
      </c>
      <c r="AP108" s="279"/>
      <c r="AQ108" s="279">
        <f>('Perceel 1'!X108+'Perceel 1'!Y108)*P2_Inspecteren_daken_en_goten_1x_per_jaar_gelijktijdig_met_reiniging_inclusief_inspectierapport_en_een_managementrapport</f>
        <v>0</v>
      </c>
      <c r="AR108" s="312"/>
      <c r="AS108" s="332">
        <f t="shared" si="22"/>
        <v>0</v>
      </c>
      <c r="AT108" s="336">
        <f t="shared" si="23"/>
        <v>0</v>
      </c>
    </row>
    <row r="109" spans="1:47" s="7" customFormat="1" ht="25.5" hidden="1" x14ac:dyDescent="0.45">
      <c r="A109" s="155"/>
      <c r="B109" s="152">
        <v>2</v>
      </c>
      <c r="C109" s="156" t="s">
        <v>135</v>
      </c>
      <c r="D109" s="156" t="s">
        <v>136</v>
      </c>
      <c r="E109" s="156"/>
      <c r="F109" s="156"/>
      <c r="G109" s="156"/>
      <c r="H109" s="167" t="s">
        <v>882</v>
      </c>
      <c r="I109" s="151"/>
      <c r="J109" s="157"/>
      <c r="K109" s="163"/>
      <c r="L109" s="151"/>
      <c r="M109" s="151" t="s">
        <v>176</v>
      </c>
      <c r="N109" s="164">
        <v>1011</v>
      </c>
      <c r="O109" s="159" t="s">
        <v>883</v>
      </c>
      <c r="P109" s="159" t="s">
        <v>884</v>
      </c>
      <c r="Q109" s="159" t="s">
        <v>885</v>
      </c>
      <c r="R109" s="42" t="s">
        <v>849</v>
      </c>
      <c r="S109" s="159" t="s">
        <v>340</v>
      </c>
      <c r="T109" s="159" t="s">
        <v>886</v>
      </c>
      <c r="U109" s="159">
        <v>627961026</v>
      </c>
      <c r="V109" s="179" t="s">
        <v>887</v>
      </c>
      <c r="W109" s="152">
        <v>2000</v>
      </c>
      <c r="X109" s="152">
        <f>560+113</f>
        <v>673</v>
      </c>
      <c r="Y109" s="152">
        <v>130</v>
      </c>
      <c r="Z109" s="177"/>
      <c r="AA109" s="177"/>
      <c r="AB109" s="177"/>
      <c r="AC109" s="177"/>
      <c r="AD109" s="177"/>
      <c r="AE109" s="177"/>
      <c r="AF109" s="177"/>
      <c r="AG109" s="177"/>
      <c r="AH109" s="177"/>
      <c r="AI109" s="177"/>
      <c r="AJ109" s="177"/>
      <c r="AK109" s="177">
        <v>2</v>
      </c>
      <c r="AL109" s="273"/>
      <c r="AM109" s="277">
        <f t="shared" si="20"/>
        <v>0</v>
      </c>
      <c r="AN109" s="279">
        <f t="shared" si="21"/>
        <v>0</v>
      </c>
      <c r="AO109" s="279">
        <f>(AE109*P2_Reinigen_Lichtkoepel_50X50)+('Perceel 1'!AF109*P2_Reinigen_Lichtkoepel_60x200)+('Perceel 1'!AG109*P2_Reinigen_Lichtkoepel_180x180)+('Perceel 1'!AH109*P2_Reinigen_Lichtstraten_groter_dan_180x180)</f>
        <v>0</v>
      </c>
      <c r="AP109" s="279"/>
      <c r="AQ109" s="279">
        <f>('Perceel 1'!X109+'Perceel 1'!Y109)*P2_Inspecteren_daken_en_goten_1x_per_jaar_gelijktijdig_met_reiniging_inclusief_inspectierapport_en_een_managementrapport</f>
        <v>0</v>
      </c>
      <c r="AR109" s="312"/>
      <c r="AS109" s="332">
        <f t="shared" si="22"/>
        <v>0</v>
      </c>
      <c r="AT109" s="336">
        <f t="shared" si="23"/>
        <v>260</v>
      </c>
    </row>
    <row r="110" spans="1:47" s="7" customFormat="1" ht="38.25" hidden="1" x14ac:dyDescent="0.45">
      <c r="A110" s="155"/>
      <c r="B110" s="152">
        <v>2</v>
      </c>
      <c r="C110" s="156" t="s">
        <v>135</v>
      </c>
      <c r="D110" s="156" t="s">
        <v>136</v>
      </c>
      <c r="E110" s="156"/>
      <c r="F110" s="156"/>
      <c r="G110" s="156"/>
      <c r="H110" s="162" t="s">
        <v>888</v>
      </c>
      <c r="I110" s="162" t="s">
        <v>889</v>
      </c>
      <c r="J110" s="157"/>
      <c r="K110" s="163"/>
      <c r="L110" s="163" t="s">
        <v>191</v>
      </c>
      <c r="M110" s="166" t="s">
        <v>890</v>
      </c>
      <c r="N110" s="223" t="s">
        <v>891</v>
      </c>
      <c r="O110" s="159" t="s">
        <v>892</v>
      </c>
      <c r="P110" s="159" t="s">
        <v>893</v>
      </c>
      <c r="Q110" s="159" t="s">
        <v>894</v>
      </c>
      <c r="R110" s="42" t="s">
        <v>895</v>
      </c>
      <c r="S110" s="159" t="s">
        <v>340</v>
      </c>
      <c r="T110" s="159" t="s">
        <v>198</v>
      </c>
      <c r="U110" s="159" t="s">
        <v>896</v>
      </c>
      <c r="V110" s="209" t="s">
        <v>200</v>
      </c>
      <c r="W110" s="152">
        <v>1986</v>
      </c>
      <c r="X110" s="152">
        <f>40+13+343</f>
        <v>396</v>
      </c>
      <c r="Y110" s="152"/>
      <c r="Z110" s="177"/>
      <c r="AA110" s="177"/>
      <c r="AB110" s="177"/>
      <c r="AC110" s="177"/>
      <c r="AD110" s="177"/>
      <c r="AE110" s="177"/>
      <c r="AF110" s="177"/>
      <c r="AG110" s="177"/>
      <c r="AH110" s="177"/>
      <c r="AI110" s="177"/>
      <c r="AJ110" s="177"/>
      <c r="AK110" s="177">
        <v>1</v>
      </c>
      <c r="AL110" s="272" t="s">
        <v>201</v>
      </c>
      <c r="AM110" s="277">
        <f t="shared" si="20"/>
        <v>0</v>
      </c>
      <c r="AN110" s="279">
        <f t="shared" si="21"/>
        <v>0</v>
      </c>
      <c r="AO110" s="279">
        <f>(AE110*P2_Reinigen_Lichtkoepel_50X50)+('Perceel 1'!AF110*P2_Reinigen_Lichtkoepel_60x200)+('Perceel 1'!AG110*P2_Reinigen_Lichtkoepel_180x180)+('Perceel 1'!AH110*P2_Reinigen_Lichtstraten_groter_dan_180x180)</f>
        <v>0</v>
      </c>
      <c r="AP110" s="279"/>
      <c r="AQ110" s="279">
        <f>('Perceel 1'!X110+'Perceel 1'!Y110)*P2_Inspecteren_daken_en_goten_1x_per_jaar_gelijktijdig_met_reiniging_inclusief_inspectierapport_en_een_managementrapport</f>
        <v>0</v>
      </c>
      <c r="AR110" s="312"/>
      <c r="AS110" s="332">
        <f t="shared" si="22"/>
        <v>0</v>
      </c>
      <c r="AT110" s="336">
        <f t="shared" si="23"/>
        <v>0</v>
      </c>
    </row>
    <row r="111" spans="1:47" s="7" customFormat="1" ht="38.25" hidden="1" x14ac:dyDescent="0.45">
      <c r="A111" s="155"/>
      <c r="B111" s="152">
        <v>2</v>
      </c>
      <c r="C111" s="156" t="s">
        <v>135</v>
      </c>
      <c r="D111" s="156" t="s">
        <v>136</v>
      </c>
      <c r="E111" s="156"/>
      <c r="F111" s="156"/>
      <c r="G111" s="156"/>
      <c r="H111" s="162" t="s">
        <v>897</v>
      </c>
      <c r="I111" s="162" t="s">
        <v>898</v>
      </c>
      <c r="J111" s="157"/>
      <c r="K111" s="163"/>
      <c r="L111" s="163" t="s">
        <v>191</v>
      </c>
      <c r="M111" s="166" t="s">
        <v>890</v>
      </c>
      <c r="N111" s="223" t="s">
        <v>899</v>
      </c>
      <c r="O111" s="159" t="s">
        <v>900</v>
      </c>
      <c r="P111" s="159" t="s">
        <v>901</v>
      </c>
      <c r="Q111" s="159" t="s">
        <v>902</v>
      </c>
      <c r="R111" s="42" t="s">
        <v>895</v>
      </c>
      <c r="S111" s="159" t="s">
        <v>340</v>
      </c>
      <c r="T111" s="159" t="s">
        <v>198</v>
      </c>
      <c r="U111" s="159" t="s">
        <v>896</v>
      </c>
      <c r="V111" s="209" t="s">
        <v>200</v>
      </c>
      <c r="W111" s="152">
        <v>1988</v>
      </c>
      <c r="X111" s="152">
        <f>11+145+50+55+79</f>
        <v>340</v>
      </c>
      <c r="Y111" s="152">
        <f>11+17.5+5.5+80</f>
        <v>114</v>
      </c>
      <c r="Z111" s="177" t="s">
        <v>311</v>
      </c>
      <c r="AA111" s="177"/>
      <c r="AB111" s="177"/>
      <c r="AC111" s="177"/>
      <c r="AD111" s="177"/>
      <c r="AE111" s="177"/>
      <c r="AF111" s="177"/>
      <c r="AG111" s="177"/>
      <c r="AH111" s="177"/>
      <c r="AI111" s="177"/>
      <c r="AJ111" s="177"/>
      <c r="AK111" s="177">
        <v>1</v>
      </c>
      <c r="AL111" s="272" t="s">
        <v>201</v>
      </c>
      <c r="AM111" s="277">
        <f t="shared" si="20"/>
        <v>0</v>
      </c>
      <c r="AN111" s="279">
        <f t="shared" si="21"/>
        <v>0</v>
      </c>
      <c r="AO111" s="279">
        <f>(AE111*P2_Reinigen_Lichtkoepel_50X50)+('Perceel 1'!AF111*P2_Reinigen_Lichtkoepel_60x200)+('Perceel 1'!AG111*P2_Reinigen_Lichtkoepel_180x180)+('Perceel 1'!AH111*P2_Reinigen_Lichtstraten_groter_dan_180x180)</f>
        <v>0</v>
      </c>
      <c r="AP111" s="279"/>
      <c r="AQ111" s="279">
        <f>('Perceel 1'!X111+'Perceel 1'!Y111)*P2_Inspecteren_daken_en_goten_1x_per_jaar_gelijktijdig_met_reiniging_inclusief_inspectierapport_en_een_managementrapport</f>
        <v>0</v>
      </c>
      <c r="AR111" s="312"/>
      <c r="AS111" s="332">
        <f t="shared" si="22"/>
        <v>0</v>
      </c>
      <c r="AT111" s="336">
        <f t="shared" si="23"/>
        <v>114</v>
      </c>
    </row>
    <row r="112" spans="1:47" s="7" customFormat="1" ht="38.25" hidden="1" x14ac:dyDescent="0.45">
      <c r="A112" s="155"/>
      <c r="B112" s="152">
        <v>2</v>
      </c>
      <c r="C112" s="156" t="s">
        <v>135</v>
      </c>
      <c r="D112" s="156" t="s">
        <v>136</v>
      </c>
      <c r="E112" s="156"/>
      <c r="F112" s="156"/>
      <c r="G112" s="156"/>
      <c r="H112" s="162" t="s">
        <v>903</v>
      </c>
      <c r="I112" s="162" t="s">
        <v>904</v>
      </c>
      <c r="J112" s="157"/>
      <c r="K112" s="163"/>
      <c r="L112" s="163" t="s">
        <v>191</v>
      </c>
      <c r="M112" s="166" t="s">
        <v>890</v>
      </c>
      <c r="N112" s="223" t="s">
        <v>905</v>
      </c>
      <c r="O112" s="159" t="s">
        <v>906</v>
      </c>
      <c r="P112" s="159" t="s">
        <v>907</v>
      </c>
      <c r="Q112" s="159" t="s">
        <v>902</v>
      </c>
      <c r="R112" s="42" t="s">
        <v>895</v>
      </c>
      <c r="S112" s="159" t="s">
        <v>340</v>
      </c>
      <c r="T112" s="159" t="s">
        <v>198</v>
      </c>
      <c r="U112" s="159" t="s">
        <v>896</v>
      </c>
      <c r="V112" s="209" t="s">
        <v>200</v>
      </c>
      <c r="W112" s="152">
        <v>1993</v>
      </c>
      <c r="X112" s="152">
        <f>10+25+19.5+27.5</f>
        <v>82</v>
      </c>
      <c r="Y112" s="152">
        <v>1</v>
      </c>
      <c r="Z112" s="177" t="s">
        <v>311</v>
      </c>
      <c r="AA112" s="177"/>
      <c r="AB112" s="177"/>
      <c r="AC112" s="177"/>
      <c r="AD112" s="177"/>
      <c r="AE112" s="177"/>
      <c r="AF112" s="177"/>
      <c r="AG112" s="177"/>
      <c r="AH112" s="177"/>
      <c r="AI112" s="177"/>
      <c r="AJ112" s="177"/>
      <c r="AK112" s="177">
        <v>1</v>
      </c>
      <c r="AL112" s="272" t="s">
        <v>201</v>
      </c>
      <c r="AM112" s="277">
        <f t="shared" si="20"/>
        <v>0</v>
      </c>
      <c r="AN112" s="279">
        <f t="shared" si="21"/>
        <v>0</v>
      </c>
      <c r="AO112" s="279">
        <f>(AE112*P2_Reinigen_Lichtkoepel_50X50)+('Perceel 1'!AF112*P2_Reinigen_Lichtkoepel_60x200)+('Perceel 1'!AG112*P2_Reinigen_Lichtkoepel_180x180)+('Perceel 1'!AH112*P2_Reinigen_Lichtstraten_groter_dan_180x180)</f>
        <v>0</v>
      </c>
      <c r="AP112" s="279"/>
      <c r="AQ112" s="279">
        <f>('Perceel 1'!X112+'Perceel 1'!Y112)*P2_Inspecteren_daken_en_goten_1x_per_jaar_gelijktijdig_met_reiniging_inclusief_inspectierapport_en_een_managementrapport</f>
        <v>0</v>
      </c>
      <c r="AR112" s="312"/>
      <c r="AS112" s="332">
        <f t="shared" si="22"/>
        <v>0</v>
      </c>
      <c r="AT112" s="336">
        <f t="shared" si="23"/>
        <v>1</v>
      </c>
    </row>
    <row r="113" spans="1:46" s="7" customFormat="1" ht="38.25" hidden="1" x14ac:dyDescent="0.45">
      <c r="A113" s="155"/>
      <c r="B113" s="152">
        <v>2</v>
      </c>
      <c r="C113" s="156" t="s">
        <v>135</v>
      </c>
      <c r="D113" s="156" t="s">
        <v>136</v>
      </c>
      <c r="E113" s="156"/>
      <c r="F113" s="156"/>
      <c r="G113" s="156"/>
      <c r="H113" s="162" t="s">
        <v>908</v>
      </c>
      <c r="I113" s="162" t="s">
        <v>909</v>
      </c>
      <c r="J113" s="157"/>
      <c r="K113" s="163"/>
      <c r="L113" s="163" t="s">
        <v>191</v>
      </c>
      <c r="M113" s="166" t="s">
        <v>890</v>
      </c>
      <c r="N113" s="223" t="s">
        <v>910</v>
      </c>
      <c r="O113" s="159" t="s">
        <v>911</v>
      </c>
      <c r="P113" s="159" t="s">
        <v>912</v>
      </c>
      <c r="Q113" s="159" t="s">
        <v>913</v>
      </c>
      <c r="R113" s="42" t="s">
        <v>895</v>
      </c>
      <c r="S113" s="159" t="s">
        <v>340</v>
      </c>
      <c r="T113" s="159" t="s">
        <v>198</v>
      </c>
      <c r="U113" s="159" t="s">
        <v>896</v>
      </c>
      <c r="V113" s="209" t="s">
        <v>200</v>
      </c>
      <c r="W113" s="152">
        <v>1992</v>
      </c>
      <c r="X113" s="152">
        <f>11+184</f>
        <v>195</v>
      </c>
      <c r="Y113" s="152">
        <v>42</v>
      </c>
      <c r="Z113" s="177"/>
      <c r="AA113" s="177"/>
      <c r="AB113" s="177"/>
      <c r="AC113" s="177"/>
      <c r="AD113" s="177"/>
      <c r="AE113" s="177"/>
      <c r="AF113" s="177"/>
      <c r="AG113" s="177"/>
      <c r="AH113" s="177"/>
      <c r="AI113" s="177"/>
      <c r="AJ113" s="177"/>
      <c r="AK113" s="177">
        <v>1</v>
      </c>
      <c r="AL113" s="272" t="s">
        <v>201</v>
      </c>
      <c r="AM113" s="277">
        <f t="shared" si="20"/>
        <v>0</v>
      </c>
      <c r="AN113" s="279">
        <f t="shared" si="21"/>
        <v>0</v>
      </c>
      <c r="AO113" s="279">
        <f>(AE113*P2_Reinigen_Lichtkoepel_50X50)+('Perceel 1'!AF113*P2_Reinigen_Lichtkoepel_60x200)+('Perceel 1'!AG113*P2_Reinigen_Lichtkoepel_180x180)+('Perceel 1'!AH113*P2_Reinigen_Lichtstraten_groter_dan_180x180)</f>
        <v>0</v>
      </c>
      <c r="AP113" s="279"/>
      <c r="AQ113" s="279">
        <f>('Perceel 1'!X113+'Perceel 1'!Y113)*P2_Inspecteren_daken_en_goten_1x_per_jaar_gelijktijdig_met_reiniging_inclusief_inspectierapport_en_een_managementrapport</f>
        <v>0</v>
      </c>
      <c r="AR113" s="312"/>
      <c r="AS113" s="332">
        <f t="shared" si="22"/>
        <v>0</v>
      </c>
      <c r="AT113" s="336">
        <f t="shared" si="23"/>
        <v>42</v>
      </c>
    </row>
    <row r="114" spans="1:46" s="7" customFormat="1" ht="126" hidden="1" customHeight="1" x14ac:dyDescent="0.45">
      <c r="A114" s="155"/>
      <c r="B114" s="152">
        <v>2</v>
      </c>
      <c r="C114" s="156" t="s">
        <v>135</v>
      </c>
      <c r="D114" s="156" t="s">
        <v>136</v>
      </c>
      <c r="E114" s="156"/>
      <c r="F114" s="156"/>
      <c r="G114" s="156"/>
      <c r="H114" s="203" t="s">
        <v>914</v>
      </c>
      <c r="I114" s="151" t="s">
        <v>915</v>
      </c>
      <c r="J114" s="157"/>
      <c r="K114" s="163"/>
      <c r="L114" s="163" t="s">
        <v>191</v>
      </c>
      <c r="M114" s="166" t="s">
        <v>890</v>
      </c>
      <c r="N114" s="192" t="s">
        <v>916</v>
      </c>
      <c r="O114" s="159" t="s">
        <v>917</v>
      </c>
      <c r="P114" s="159" t="s">
        <v>918</v>
      </c>
      <c r="Q114" s="159" t="s">
        <v>919</v>
      </c>
      <c r="R114" s="42" t="s">
        <v>895</v>
      </c>
      <c r="S114" s="159" t="s">
        <v>340</v>
      </c>
      <c r="T114" s="159" t="s">
        <v>198</v>
      </c>
      <c r="U114" s="159" t="s">
        <v>896</v>
      </c>
      <c r="V114" s="209" t="s">
        <v>200</v>
      </c>
      <c r="W114" s="152">
        <v>1980</v>
      </c>
      <c r="X114" s="152">
        <f>19+52+7+52+19</f>
        <v>149</v>
      </c>
      <c r="Y114" s="152"/>
      <c r="Z114" s="177"/>
      <c r="AA114" s="177"/>
      <c r="AB114" s="177"/>
      <c r="AC114" s="177"/>
      <c r="AD114" s="177"/>
      <c r="AE114" s="177"/>
      <c r="AF114" s="177"/>
      <c r="AG114" s="177"/>
      <c r="AH114" s="177"/>
      <c r="AI114" s="177"/>
      <c r="AJ114" s="177"/>
      <c r="AK114" s="177">
        <v>1</v>
      </c>
      <c r="AL114" s="272" t="s">
        <v>920</v>
      </c>
      <c r="AM114" s="277">
        <f t="shared" si="20"/>
        <v>0</v>
      </c>
      <c r="AN114" s="279">
        <f t="shared" si="21"/>
        <v>0</v>
      </c>
      <c r="AO114" s="279">
        <f>(AE114*P2_Reinigen_Lichtkoepel_50X50)+('Perceel 1'!AF114*P2_Reinigen_Lichtkoepel_60x200)+('Perceel 1'!AG114*P2_Reinigen_Lichtkoepel_180x180)+('Perceel 1'!AH114*P2_Reinigen_Lichtstraten_groter_dan_180x180)</f>
        <v>0</v>
      </c>
      <c r="AP114" s="279"/>
      <c r="AQ114" s="279">
        <f>('Perceel 1'!X114+'Perceel 1'!Y114)*P2_Inspecteren_daken_en_goten_1x_per_jaar_gelijktijdig_met_reiniging_inclusief_inspectierapport_en_een_managementrapport</f>
        <v>0</v>
      </c>
      <c r="AR114" s="312"/>
      <c r="AS114" s="332">
        <f t="shared" si="22"/>
        <v>0</v>
      </c>
      <c r="AT114" s="336">
        <f t="shared" si="23"/>
        <v>0</v>
      </c>
    </row>
    <row r="115" spans="1:46" s="7" customFormat="1" hidden="1" x14ac:dyDescent="0.45">
      <c r="A115" s="155"/>
      <c r="B115" s="152">
        <v>2</v>
      </c>
      <c r="C115" s="156" t="s">
        <v>135</v>
      </c>
      <c r="D115" s="156" t="s">
        <v>136</v>
      </c>
      <c r="E115" s="156"/>
      <c r="F115" s="156"/>
      <c r="G115" s="156"/>
      <c r="H115" s="203" t="s">
        <v>921</v>
      </c>
      <c r="I115" s="203" t="s">
        <v>922</v>
      </c>
      <c r="J115" s="157"/>
      <c r="K115" s="163"/>
      <c r="L115" s="163" t="s">
        <v>191</v>
      </c>
      <c r="M115" s="166" t="s">
        <v>890</v>
      </c>
      <c r="N115" s="224" t="s">
        <v>923</v>
      </c>
      <c r="O115" s="159" t="s">
        <v>924</v>
      </c>
      <c r="P115" s="159" t="s">
        <v>925</v>
      </c>
      <c r="Q115" s="159" t="s">
        <v>926</v>
      </c>
      <c r="R115" s="42" t="s">
        <v>895</v>
      </c>
      <c r="S115" s="159" t="s">
        <v>340</v>
      </c>
      <c r="T115" s="159" t="s">
        <v>198</v>
      </c>
      <c r="U115" s="159" t="s">
        <v>896</v>
      </c>
      <c r="V115" s="209" t="s">
        <v>200</v>
      </c>
      <c r="W115" s="152">
        <v>2004</v>
      </c>
      <c r="X115" s="152">
        <v>74</v>
      </c>
      <c r="Y115" s="152">
        <f>22+22+22+22+22+20</f>
        <v>130</v>
      </c>
      <c r="Z115" s="177"/>
      <c r="AA115" s="177"/>
      <c r="AB115" s="177"/>
      <c r="AC115" s="177"/>
      <c r="AD115" s="177"/>
      <c r="AE115" s="177"/>
      <c r="AF115" s="177"/>
      <c r="AG115" s="177"/>
      <c r="AH115" s="177"/>
      <c r="AI115" s="177"/>
      <c r="AJ115" s="177"/>
      <c r="AK115" s="177">
        <v>1</v>
      </c>
      <c r="AL115" s="272"/>
      <c r="AM115" s="277">
        <f t="shared" si="20"/>
        <v>0</v>
      </c>
      <c r="AN115" s="279">
        <f t="shared" si="21"/>
        <v>0</v>
      </c>
      <c r="AO115" s="279">
        <f>(AE115*P2_Reinigen_Lichtkoepel_50X50)+('Perceel 1'!AF115*P2_Reinigen_Lichtkoepel_60x200)+('Perceel 1'!AG115*P2_Reinigen_Lichtkoepel_180x180)+('Perceel 1'!AH115*P2_Reinigen_Lichtstraten_groter_dan_180x180)</f>
        <v>0</v>
      </c>
      <c r="AP115" s="279"/>
      <c r="AQ115" s="279">
        <f>('Perceel 1'!X115+'Perceel 1'!Y115)*P2_Inspecteren_daken_en_goten_1x_per_jaar_gelijktijdig_met_reiniging_inclusief_inspectierapport_en_een_managementrapport</f>
        <v>0</v>
      </c>
      <c r="AR115" s="312"/>
      <c r="AS115" s="332">
        <f t="shared" si="22"/>
        <v>0</v>
      </c>
      <c r="AT115" s="336">
        <f t="shared" si="23"/>
        <v>130</v>
      </c>
    </row>
    <row r="116" spans="1:46" s="7" customFormat="1" ht="67.5" hidden="1" customHeight="1" x14ac:dyDescent="0.45">
      <c r="A116" s="155"/>
      <c r="B116" s="152">
        <v>2</v>
      </c>
      <c r="C116" s="156" t="s">
        <v>135</v>
      </c>
      <c r="D116" s="156" t="s">
        <v>136</v>
      </c>
      <c r="E116" s="156"/>
      <c r="F116" s="156"/>
      <c r="G116" s="156"/>
      <c r="H116" s="151" t="s">
        <v>927</v>
      </c>
      <c r="I116" s="151" t="s">
        <v>928</v>
      </c>
      <c r="J116" s="157"/>
      <c r="K116" s="163"/>
      <c r="L116" s="151" t="s">
        <v>191</v>
      </c>
      <c r="M116" s="159" t="s">
        <v>890</v>
      </c>
      <c r="N116" s="159" t="s">
        <v>929</v>
      </c>
      <c r="O116" s="159" t="s">
        <v>930</v>
      </c>
      <c r="P116" s="160" t="s">
        <v>931</v>
      </c>
      <c r="Q116" s="160" t="s">
        <v>932</v>
      </c>
      <c r="R116" s="53" t="s">
        <v>895</v>
      </c>
      <c r="S116" s="160" t="s">
        <v>340</v>
      </c>
      <c r="T116" s="159" t="s">
        <v>933</v>
      </c>
      <c r="U116" s="159" t="s">
        <v>934</v>
      </c>
      <c r="V116" s="176" t="s">
        <v>935</v>
      </c>
      <c r="W116" s="152">
        <v>2006</v>
      </c>
      <c r="X116" s="152">
        <v>9436</v>
      </c>
      <c r="Y116" s="152"/>
      <c r="Z116" s="177" t="s">
        <v>311</v>
      </c>
      <c r="AA116" s="177"/>
      <c r="AB116" s="177">
        <f>29+43</f>
        <v>72</v>
      </c>
      <c r="AC116" s="177">
        <f>150+12+48+68+77+80+52+43</f>
        <v>530</v>
      </c>
      <c r="AD116" s="177"/>
      <c r="AE116" s="177"/>
      <c r="AF116" s="177"/>
      <c r="AG116" s="177"/>
      <c r="AH116" s="177"/>
      <c r="AI116" s="177"/>
      <c r="AJ116" s="177"/>
      <c r="AK116" s="257">
        <v>1</v>
      </c>
      <c r="AL116" s="271"/>
      <c r="AM116" s="277">
        <f>X116*P2_reinigen_daken_met_vaste_dakveiligheid</f>
        <v>0</v>
      </c>
      <c r="AN116" s="279">
        <f>Y116*P2_reinigen_goten_met_vaste_dakveiligheid</f>
        <v>0</v>
      </c>
      <c r="AO116" s="279">
        <f>(AE116*P2_Reinigen_Lichtkoepel_50X50)+('Perceel 1'!AF116*P2_Reinigen_Lichtkoepel_60x200)+('Perceel 1'!AG116*P2_Reinigen_Lichtkoepel_180x180)+('Perceel 1'!AH116*P2_Reinigen_Lichtstraten_groter_dan_180x180)</f>
        <v>0</v>
      </c>
      <c r="AP116" s="279"/>
      <c r="AQ116" s="279">
        <f>('Perceel 1'!X116+'Perceel 1'!Y116)*P2_Inspecteren_daken_en_goten_1x_per_jaar_gelijktijdig_met_reiniging_inclusief_inspectierapport_en_een_managementrapport</f>
        <v>0</v>
      </c>
      <c r="AR116" s="305"/>
      <c r="AS116" s="332">
        <f t="shared" si="22"/>
        <v>0</v>
      </c>
      <c r="AT116" s="336">
        <f t="shared" si="23"/>
        <v>0</v>
      </c>
    </row>
    <row r="117" spans="1:46" s="7" customFormat="1" ht="25.5" hidden="1" x14ac:dyDescent="0.45">
      <c r="A117" s="155"/>
      <c r="B117" s="152">
        <v>2</v>
      </c>
      <c r="C117" s="156" t="s">
        <v>135</v>
      </c>
      <c r="D117" s="156" t="s">
        <v>136</v>
      </c>
      <c r="E117" s="156"/>
      <c r="F117" s="156"/>
      <c r="G117" s="156"/>
      <c r="H117" s="151" t="s">
        <v>936</v>
      </c>
      <c r="I117" s="151" t="s">
        <v>937</v>
      </c>
      <c r="J117" s="157"/>
      <c r="K117" s="163"/>
      <c r="L117" s="163" t="s">
        <v>154</v>
      </c>
      <c r="M117" s="166" t="s">
        <v>544</v>
      </c>
      <c r="N117" s="159" t="s">
        <v>938</v>
      </c>
      <c r="O117" s="159" t="s">
        <v>939</v>
      </c>
      <c r="P117" s="159" t="s">
        <v>940</v>
      </c>
      <c r="Q117" s="160" t="s">
        <v>941</v>
      </c>
      <c r="R117" s="53" t="s">
        <v>942</v>
      </c>
      <c r="S117" s="160" t="s">
        <v>340</v>
      </c>
      <c r="T117" s="159" t="s">
        <v>943</v>
      </c>
      <c r="U117" s="159" t="s">
        <v>944</v>
      </c>
      <c r="V117" s="176" t="s">
        <v>945</v>
      </c>
      <c r="W117" s="152">
        <v>1989</v>
      </c>
      <c r="X117" s="152">
        <v>412</v>
      </c>
      <c r="Y117" s="152"/>
      <c r="Z117" s="177"/>
      <c r="AA117" s="177"/>
      <c r="AB117" s="177"/>
      <c r="AC117" s="177"/>
      <c r="AD117" s="177"/>
      <c r="AE117" s="177"/>
      <c r="AF117" s="177"/>
      <c r="AG117" s="177"/>
      <c r="AH117" s="177"/>
      <c r="AI117" s="177"/>
      <c r="AJ117" s="177"/>
      <c r="AK117" s="257">
        <v>1</v>
      </c>
      <c r="AL117" s="271"/>
      <c r="AM117" s="277">
        <f t="shared" si="20"/>
        <v>0</v>
      </c>
      <c r="AN117" s="279">
        <f>Y117*P2_Reinigen_goten_incl._extra_maatregelen_veilig_werken_volgens_VCA__eventuele_vergunningen_leges___voorrijkosten__adminstratieve_kosten__fotorapportage_en_kleine_reparaties</f>
        <v>0</v>
      </c>
      <c r="AO117" s="279">
        <f>(AE117*P2_Reinigen_Lichtkoepel_50X50)+('Perceel 1'!AF117*P2_Reinigen_Lichtkoepel_60x200)+('Perceel 1'!AG117*P2_Reinigen_Lichtkoepel_180x180)+('Perceel 1'!AH117*P2_Reinigen_Lichtstraten_groter_dan_180x180)</f>
        <v>0</v>
      </c>
      <c r="AP117" s="279"/>
      <c r="AQ117" s="279">
        <f>('Perceel 1'!X117+'Perceel 1'!Y117)*P2_Inspecteren_daken_en_goten_1x_per_jaar_gelijktijdig_met_reiniging_inclusief_inspectierapport_en_een_managementrapport</f>
        <v>0</v>
      </c>
      <c r="AR117" s="312"/>
      <c r="AS117" s="332">
        <f>AR117*P2_keuren_dakveiligheid_per_man_uur</f>
        <v>0</v>
      </c>
      <c r="AT117" s="336">
        <f t="shared" si="23"/>
        <v>0</v>
      </c>
    </row>
    <row r="118" spans="1:46" s="7" customFormat="1" ht="25.5" hidden="1" customHeight="1" x14ac:dyDescent="0.45">
      <c r="A118" s="211"/>
      <c r="B118" s="212">
        <v>2</v>
      </c>
      <c r="C118" s="171" t="s">
        <v>135</v>
      </c>
      <c r="D118" s="171" t="s">
        <v>174</v>
      </c>
      <c r="E118" s="171"/>
      <c r="F118" s="171"/>
      <c r="G118" s="171"/>
      <c r="H118" s="15"/>
      <c r="I118" s="196"/>
      <c r="J118" s="15"/>
      <c r="K118" s="15"/>
      <c r="L118" s="196"/>
      <c r="M118" s="196"/>
      <c r="N118" s="211" t="s">
        <v>946</v>
      </c>
      <c r="O118" s="171" t="s">
        <v>947</v>
      </c>
      <c r="P118" s="211" t="s">
        <v>948</v>
      </c>
      <c r="Q118" s="211" t="s">
        <v>949</v>
      </c>
      <c r="R118" s="58" t="s">
        <v>853</v>
      </c>
      <c r="S118" s="211" t="s">
        <v>340</v>
      </c>
      <c r="T118" s="171"/>
      <c r="U118" s="171"/>
      <c r="V118" s="171"/>
      <c r="W118" s="211">
        <v>1992</v>
      </c>
      <c r="X118" s="261">
        <v>1530</v>
      </c>
      <c r="Y118" s="211"/>
      <c r="Z118" s="171"/>
      <c r="AA118" s="171" t="s">
        <v>150</v>
      </c>
      <c r="AB118" s="171">
        <v>39</v>
      </c>
      <c r="AC118" s="171">
        <v>121</v>
      </c>
      <c r="AD118" s="171"/>
      <c r="AE118" s="171"/>
      <c r="AF118" s="171"/>
      <c r="AG118" s="171"/>
      <c r="AH118" s="171"/>
      <c r="AI118" s="171"/>
      <c r="AJ118" s="171"/>
      <c r="AK118" s="282">
        <v>1</v>
      </c>
      <c r="AL118" s="271"/>
      <c r="AM118" s="328"/>
      <c r="AN118" s="311"/>
      <c r="AO118" s="311"/>
      <c r="AP118" s="311"/>
      <c r="AQ118" s="311"/>
      <c r="AR118" s="305"/>
      <c r="AS118" s="340"/>
      <c r="AT118" s="343"/>
    </row>
    <row r="119" spans="1:46" s="7" customFormat="1" ht="25.5" hidden="1" customHeight="1" x14ac:dyDescent="0.45">
      <c r="A119" s="182"/>
      <c r="B119" s="181">
        <v>2</v>
      </c>
      <c r="C119" s="175" t="s">
        <v>135</v>
      </c>
      <c r="D119" s="175" t="s">
        <v>174</v>
      </c>
      <c r="E119" s="175"/>
      <c r="F119" s="175"/>
      <c r="G119" s="175"/>
      <c r="H119" s="174" t="s">
        <v>950</v>
      </c>
      <c r="I119" s="174" t="s">
        <v>951</v>
      </c>
      <c r="J119" s="197"/>
      <c r="K119" s="197"/>
      <c r="L119" s="174"/>
      <c r="M119" s="175" t="s">
        <v>349</v>
      </c>
      <c r="N119" s="182" t="s">
        <v>952</v>
      </c>
      <c r="O119" s="175" t="s">
        <v>953</v>
      </c>
      <c r="P119" s="182" t="s">
        <v>954</v>
      </c>
      <c r="Q119" s="182" t="s">
        <v>949</v>
      </c>
      <c r="R119" s="50" t="s">
        <v>853</v>
      </c>
      <c r="S119" s="182" t="s">
        <v>340</v>
      </c>
      <c r="T119" s="175" t="s">
        <v>955</v>
      </c>
      <c r="U119" s="175" t="s">
        <v>956</v>
      </c>
      <c r="V119" s="175" t="s">
        <v>957</v>
      </c>
      <c r="W119" s="182">
        <v>1992</v>
      </c>
      <c r="X119" s="306">
        <f>X118*21%</f>
        <v>321.3</v>
      </c>
      <c r="Y119" s="182"/>
      <c r="Z119" s="175"/>
      <c r="AA119" s="175" t="s">
        <v>150</v>
      </c>
      <c r="AB119" s="306"/>
      <c r="AC119" s="306"/>
      <c r="AD119" s="175"/>
      <c r="AE119" s="175"/>
      <c r="AF119" s="175"/>
      <c r="AG119" s="175"/>
      <c r="AH119" s="175"/>
      <c r="AI119" s="175"/>
      <c r="AJ119" s="175"/>
      <c r="AK119" s="255">
        <v>1</v>
      </c>
      <c r="AL119" s="271"/>
      <c r="AM119" s="277">
        <f>X119*P2_reinigen_daken_met_vaste_dakveiligheid</f>
        <v>0</v>
      </c>
      <c r="AN119" s="279">
        <f>Y119*P2_reinigen_goten_met_vaste_dakveiligheid</f>
        <v>0</v>
      </c>
      <c r="AO119" s="279">
        <f>(AE119*P2_Reinigen_Lichtkoepel_50X50)+('Perceel 1'!AF119*P2_Reinigen_Lichtkoepel_60x200)+('Perceel 1'!AG119*P2_Reinigen_Lichtkoepel_180x180)+('Perceel 1'!AH119*P2_Reinigen_Lichtstraten_groter_dan_180x180)</f>
        <v>0</v>
      </c>
      <c r="AP119" s="279"/>
      <c r="AQ119" s="279">
        <f>('Perceel 1'!X119+'Perceel 1'!Y119)*P2_Inspecteren_daken_en_goten_1x_per_jaar_gelijktijdig_met_reiniging_inclusief_inspectierapport_en_een_managementrapport</f>
        <v>0</v>
      </c>
      <c r="AR119" s="307">
        <f>AR118*21%</f>
        <v>0</v>
      </c>
      <c r="AS119" s="332">
        <f t="shared" si="22"/>
        <v>0</v>
      </c>
      <c r="AT119" s="336">
        <f t="shared" si="23"/>
        <v>0</v>
      </c>
    </row>
    <row r="120" spans="1:46" s="7" customFormat="1" ht="25.5" hidden="1" x14ac:dyDescent="0.45">
      <c r="A120" s="182"/>
      <c r="B120" s="181">
        <v>2</v>
      </c>
      <c r="C120" s="175" t="s">
        <v>135</v>
      </c>
      <c r="D120" s="175" t="s">
        <v>174</v>
      </c>
      <c r="E120" s="175"/>
      <c r="F120" s="175"/>
      <c r="G120" s="175"/>
      <c r="H120" s="174" t="s">
        <v>958</v>
      </c>
      <c r="I120" s="174" t="s">
        <v>959</v>
      </c>
      <c r="J120" s="197"/>
      <c r="K120" s="197"/>
      <c r="L120" s="174"/>
      <c r="M120" s="175" t="s">
        <v>349</v>
      </c>
      <c r="N120" s="182" t="s">
        <v>960</v>
      </c>
      <c r="O120" s="175" t="s">
        <v>961</v>
      </c>
      <c r="P120" s="182" t="s">
        <v>962</v>
      </c>
      <c r="Q120" s="182" t="s">
        <v>949</v>
      </c>
      <c r="R120" s="50" t="s">
        <v>853</v>
      </c>
      <c r="S120" s="182" t="s">
        <v>340</v>
      </c>
      <c r="T120" s="175" t="s">
        <v>955</v>
      </c>
      <c r="U120" s="175" t="s">
        <v>956</v>
      </c>
      <c r="V120" s="175" t="s">
        <v>957</v>
      </c>
      <c r="W120" s="182">
        <v>1992</v>
      </c>
      <c r="X120" s="306">
        <f>X118*79%</f>
        <v>1208.7</v>
      </c>
      <c r="Y120" s="182"/>
      <c r="Z120" s="175"/>
      <c r="AA120" s="175" t="s">
        <v>150</v>
      </c>
      <c r="AB120" s="306"/>
      <c r="AC120" s="306"/>
      <c r="AD120" s="175"/>
      <c r="AE120" s="175"/>
      <c r="AF120" s="175"/>
      <c r="AG120" s="175"/>
      <c r="AH120" s="175"/>
      <c r="AI120" s="175"/>
      <c r="AJ120" s="175"/>
      <c r="AK120" s="255">
        <v>1</v>
      </c>
      <c r="AL120" s="271"/>
      <c r="AM120" s="277">
        <f>X120*P2_reinigen_daken_met_vaste_dakveiligheid</f>
        <v>0</v>
      </c>
      <c r="AN120" s="279">
        <f>Y120*P2_reinigen_goten_met_vaste_dakveiligheid</f>
        <v>0</v>
      </c>
      <c r="AO120" s="279">
        <f>(AE120*P2_Reinigen_Lichtkoepel_50X50)+('Perceel 1'!AF120*P2_Reinigen_Lichtkoepel_60x200)+('Perceel 1'!AG120*P2_Reinigen_Lichtkoepel_180x180)+('Perceel 1'!AH120*P2_Reinigen_Lichtstraten_groter_dan_180x180)</f>
        <v>0</v>
      </c>
      <c r="AP120" s="279"/>
      <c r="AQ120" s="279">
        <f>('Perceel 1'!X120+'Perceel 1'!Y120)*P2_Inspecteren_daken_en_goten_1x_per_jaar_gelijktijdig_met_reiniging_inclusief_inspectierapport_en_een_managementrapport</f>
        <v>0</v>
      </c>
      <c r="AR120" s="307">
        <f>AR118*79%</f>
        <v>0</v>
      </c>
      <c r="AS120" s="332">
        <f t="shared" si="22"/>
        <v>0</v>
      </c>
      <c r="AT120" s="336">
        <f t="shared" si="23"/>
        <v>0</v>
      </c>
    </row>
    <row r="121" spans="1:46" s="7" customFormat="1" ht="63.75" hidden="1" x14ac:dyDescent="0.45">
      <c r="A121" s="155"/>
      <c r="B121" s="152">
        <v>2</v>
      </c>
      <c r="C121" s="156" t="s">
        <v>135</v>
      </c>
      <c r="D121" s="156" t="s">
        <v>136</v>
      </c>
      <c r="E121" s="156"/>
      <c r="F121" s="156"/>
      <c r="G121" s="156"/>
      <c r="H121" s="151" t="s">
        <v>963</v>
      </c>
      <c r="I121" s="151" t="s">
        <v>964</v>
      </c>
      <c r="J121" s="157"/>
      <c r="K121" s="163"/>
      <c r="L121" s="163" t="s">
        <v>139</v>
      </c>
      <c r="M121" s="166" t="s">
        <v>140</v>
      </c>
      <c r="N121" s="160" t="s">
        <v>965</v>
      </c>
      <c r="O121" s="159" t="s">
        <v>966</v>
      </c>
      <c r="P121" s="160" t="s">
        <v>967</v>
      </c>
      <c r="Q121" s="160" t="s">
        <v>949</v>
      </c>
      <c r="R121" s="53" t="s">
        <v>853</v>
      </c>
      <c r="S121" s="160" t="s">
        <v>340</v>
      </c>
      <c r="T121" s="159" t="s">
        <v>968</v>
      </c>
      <c r="U121" s="159" t="s">
        <v>969</v>
      </c>
      <c r="V121" s="159" t="s">
        <v>970</v>
      </c>
      <c r="W121" s="152">
        <v>1995</v>
      </c>
      <c r="X121" s="152">
        <v>621</v>
      </c>
      <c r="Y121" s="152"/>
      <c r="Z121" s="177"/>
      <c r="AA121" s="177" t="s">
        <v>150</v>
      </c>
      <c r="AB121" s="177">
        <v>10</v>
      </c>
      <c r="AC121" s="177"/>
      <c r="AD121" s="177"/>
      <c r="AE121" s="177"/>
      <c r="AF121" s="177"/>
      <c r="AG121" s="177"/>
      <c r="AH121" s="177"/>
      <c r="AI121" s="177"/>
      <c r="AJ121" s="177"/>
      <c r="AK121" s="257">
        <v>1</v>
      </c>
      <c r="AL121" s="271"/>
      <c r="AM121" s="277">
        <f>X121*P2_reinigen_daken_met_vaste_dakveiligheid</f>
        <v>0</v>
      </c>
      <c r="AN121" s="279">
        <f>Y121*P2_reinigen_goten_met_vaste_dakveiligheid</f>
        <v>0</v>
      </c>
      <c r="AO121" s="279">
        <f>(AE121*P2_Reinigen_Lichtkoepel_50X50)+('Perceel 1'!AF121*P2_Reinigen_Lichtkoepel_60x200)+('Perceel 1'!AG121*P2_Reinigen_Lichtkoepel_180x180)+('Perceel 1'!AH121*P2_Reinigen_Lichtstraten_groter_dan_180x180)</f>
        <v>0</v>
      </c>
      <c r="AP121" s="279"/>
      <c r="AQ121" s="279">
        <f>('Perceel 1'!X121+'Perceel 1'!Y121)*P2_Inspecteren_daken_en_goten_1x_per_jaar_gelijktijdig_met_reiniging_inclusief_inspectierapport_en_een_managementrapport</f>
        <v>0</v>
      </c>
      <c r="AR121" s="305"/>
      <c r="AS121" s="332">
        <f t="shared" si="22"/>
        <v>0</v>
      </c>
      <c r="AT121" s="336">
        <f t="shared" si="23"/>
        <v>0</v>
      </c>
    </row>
    <row r="122" spans="1:46" s="7" customFormat="1" ht="54" hidden="1" customHeight="1" x14ac:dyDescent="0.45">
      <c r="A122" s="155"/>
      <c r="B122" s="152">
        <v>2</v>
      </c>
      <c r="C122" s="156" t="s">
        <v>135</v>
      </c>
      <c r="D122" s="156" t="s">
        <v>136</v>
      </c>
      <c r="E122" s="156"/>
      <c r="F122" s="156"/>
      <c r="G122" s="156"/>
      <c r="H122" s="151" t="s">
        <v>971</v>
      </c>
      <c r="I122" s="151" t="s">
        <v>972</v>
      </c>
      <c r="J122" s="157"/>
      <c r="K122" s="163"/>
      <c r="L122" s="151" t="s">
        <v>348</v>
      </c>
      <c r="M122" s="159" t="s">
        <v>349</v>
      </c>
      <c r="N122" s="160" t="s">
        <v>973</v>
      </c>
      <c r="O122" s="159" t="s">
        <v>974</v>
      </c>
      <c r="P122" s="160" t="s">
        <v>975</v>
      </c>
      <c r="Q122" s="160" t="s">
        <v>976</v>
      </c>
      <c r="R122" s="53" t="s">
        <v>942</v>
      </c>
      <c r="S122" s="160" t="s">
        <v>340</v>
      </c>
      <c r="T122" s="159" t="s">
        <v>977</v>
      </c>
      <c r="U122" s="159" t="s">
        <v>978</v>
      </c>
      <c r="V122" s="176" t="s">
        <v>979</v>
      </c>
      <c r="W122" s="152">
        <v>2000</v>
      </c>
      <c r="X122" s="152">
        <v>1350</v>
      </c>
      <c r="Y122" s="152"/>
      <c r="Z122" s="177"/>
      <c r="AA122" s="177"/>
      <c r="AB122" s="177"/>
      <c r="AC122" s="177"/>
      <c r="AD122" s="177"/>
      <c r="AE122" s="177"/>
      <c r="AF122" s="177"/>
      <c r="AG122" s="177"/>
      <c r="AH122" s="177"/>
      <c r="AI122" s="177"/>
      <c r="AJ122" s="177"/>
      <c r="AK122" s="257">
        <v>1</v>
      </c>
      <c r="AL122" s="271"/>
      <c r="AM122" s="277">
        <f>X122*P2_Reinigen_daken_incl._extra_maatregelen_veilig_werken_volgens_VCA__eventuele_vergunningen_leges___voorrijkosten__adminstratieve_kosten__fotorapportage_en_kleine_reparaties</f>
        <v>0</v>
      </c>
      <c r="AN122" s="279">
        <f>Y122*P2_Reinigen_goten_incl._extra_maatregelen_veilig_werken_volgens_VCA__eventuele_vergunningen_leges___voorrijkosten__adminstratieve_kosten__fotorapportage_en_kleine_reparaties</f>
        <v>0</v>
      </c>
      <c r="AO122" s="279">
        <f>(AE122*P2_Reinigen_Lichtkoepel_50X50)+('Perceel 1'!AF122*P2_Reinigen_Lichtkoepel_60x200)+('Perceel 1'!AG122*P2_Reinigen_Lichtkoepel_180x180)+('Perceel 1'!AH122*P2_Reinigen_Lichtstraten_groter_dan_180x180)</f>
        <v>0</v>
      </c>
      <c r="AP122" s="279"/>
      <c r="AQ122" s="279">
        <f>('Perceel 1'!X122+'Perceel 1'!Y122)*P2_Inspecteren_daken_en_goten_1x_per_jaar_gelijktijdig_met_reiniging_inclusief_inspectierapport_en_een_managementrapport</f>
        <v>0</v>
      </c>
      <c r="AR122" s="312"/>
      <c r="AS122" s="332">
        <f>AR122*P2_keuren_dakveiligheid_per_man_uur</f>
        <v>0</v>
      </c>
      <c r="AT122" s="336">
        <f t="shared" si="23"/>
        <v>0</v>
      </c>
    </row>
    <row r="123" spans="1:46" s="7" customFormat="1" ht="38.25" hidden="1" x14ac:dyDescent="0.45">
      <c r="A123" s="155"/>
      <c r="B123" s="152">
        <v>2</v>
      </c>
      <c r="C123" s="156" t="s">
        <v>135</v>
      </c>
      <c r="D123" s="156" t="s">
        <v>136</v>
      </c>
      <c r="E123" s="156"/>
      <c r="F123" s="156"/>
      <c r="G123" s="156"/>
      <c r="H123" s="151" t="s">
        <v>980</v>
      </c>
      <c r="I123" s="151" t="s">
        <v>981</v>
      </c>
      <c r="J123" s="157"/>
      <c r="K123" s="163"/>
      <c r="L123" s="163" t="s">
        <v>154</v>
      </c>
      <c r="M123" s="166" t="s">
        <v>544</v>
      </c>
      <c r="N123" s="160" t="s">
        <v>982</v>
      </c>
      <c r="O123" s="159" t="s">
        <v>983</v>
      </c>
      <c r="P123" s="160" t="s">
        <v>984</v>
      </c>
      <c r="Q123" s="160" t="s">
        <v>985</v>
      </c>
      <c r="R123" s="53" t="s">
        <v>942</v>
      </c>
      <c r="S123" s="160" t="s">
        <v>340</v>
      </c>
      <c r="T123" s="159" t="s">
        <v>722</v>
      </c>
      <c r="U123" s="168" t="s">
        <v>723</v>
      </c>
      <c r="V123" s="209" t="s">
        <v>724</v>
      </c>
      <c r="W123" s="152">
        <v>2000</v>
      </c>
      <c r="X123" s="152">
        <v>1791</v>
      </c>
      <c r="Y123" s="152"/>
      <c r="Z123" s="177"/>
      <c r="AA123" s="177" t="s">
        <v>150</v>
      </c>
      <c r="AB123" s="177">
        <v>26</v>
      </c>
      <c r="AC123" s="177">
        <v>218</v>
      </c>
      <c r="AD123" s="177" t="s">
        <v>986</v>
      </c>
      <c r="AE123" s="177"/>
      <c r="AF123" s="177"/>
      <c r="AG123" s="177"/>
      <c r="AH123" s="177"/>
      <c r="AI123" s="177"/>
      <c r="AJ123" s="177"/>
      <c r="AK123" s="257">
        <v>1</v>
      </c>
      <c r="AL123" s="271"/>
      <c r="AM123" s="277">
        <f>X123*P2_reinigen_daken_met_vaste_dakveiligheid</f>
        <v>0</v>
      </c>
      <c r="AN123" s="279">
        <f>Y123*P2_reinigen_goten_met_vaste_dakveiligheid</f>
        <v>0</v>
      </c>
      <c r="AO123" s="279">
        <f>(AE123*P2_Reinigen_Lichtkoepel_50X50)+('Perceel 1'!AF123*P2_Reinigen_Lichtkoepel_60x200)+('Perceel 1'!AG123*P2_Reinigen_Lichtkoepel_180x180)+('Perceel 1'!AH123*P2_Reinigen_Lichtstraten_groter_dan_180x180)</f>
        <v>0</v>
      </c>
      <c r="AP123" s="279"/>
      <c r="AQ123" s="279">
        <f>('Perceel 1'!X123+'Perceel 1'!Y123)*P2_Inspecteren_daken_en_goten_1x_per_jaar_gelijktijdig_met_reiniging_inclusief_inspectierapport_en_een_managementrapport</f>
        <v>0</v>
      </c>
      <c r="AR123" s="305"/>
      <c r="AS123" s="332">
        <f t="shared" si="22"/>
        <v>0</v>
      </c>
      <c r="AT123" s="336">
        <f t="shared" si="23"/>
        <v>0</v>
      </c>
    </row>
    <row r="124" spans="1:46" s="7" customFormat="1" ht="43.35" hidden="1" customHeight="1" x14ac:dyDescent="0.45">
      <c r="A124" s="155"/>
      <c r="B124" s="152">
        <v>2</v>
      </c>
      <c r="C124" s="156" t="s">
        <v>135</v>
      </c>
      <c r="D124" s="156" t="s">
        <v>136</v>
      </c>
      <c r="E124" s="156"/>
      <c r="F124" s="156"/>
      <c r="G124" s="156"/>
      <c r="H124" s="151" t="s">
        <v>987</v>
      </c>
      <c r="I124" s="151" t="s">
        <v>988</v>
      </c>
      <c r="J124" s="157"/>
      <c r="K124" s="163"/>
      <c r="L124" s="151" t="s">
        <v>348</v>
      </c>
      <c r="M124" s="151" t="s">
        <v>349</v>
      </c>
      <c r="N124" s="164">
        <v>2483</v>
      </c>
      <c r="O124" s="159" t="s">
        <v>989</v>
      </c>
      <c r="P124" s="159" t="s">
        <v>990</v>
      </c>
      <c r="Q124" s="159" t="s">
        <v>976</v>
      </c>
      <c r="R124" s="42" t="s">
        <v>942</v>
      </c>
      <c r="S124" s="159" t="s">
        <v>340</v>
      </c>
      <c r="T124" s="159" t="s">
        <v>991</v>
      </c>
      <c r="U124" s="159" t="s">
        <v>992</v>
      </c>
      <c r="V124" s="176" t="s">
        <v>993</v>
      </c>
      <c r="W124" s="152">
        <v>2014</v>
      </c>
      <c r="X124" s="152">
        <v>291</v>
      </c>
      <c r="Y124" s="152"/>
      <c r="Z124" s="189"/>
      <c r="AA124" s="177" t="s">
        <v>150</v>
      </c>
      <c r="AB124" s="177">
        <v>10</v>
      </c>
      <c r="AC124" s="177">
        <v>54</v>
      </c>
      <c r="AD124" s="177" t="s">
        <v>423</v>
      </c>
      <c r="AE124" s="177"/>
      <c r="AF124" s="177"/>
      <c r="AG124" s="177"/>
      <c r="AH124" s="177"/>
      <c r="AI124" s="177"/>
      <c r="AJ124" s="177"/>
      <c r="AK124" s="257">
        <v>1</v>
      </c>
      <c r="AL124" s="271"/>
      <c r="AM124" s="277">
        <f>X124*P2_reinigen_daken_met_vaste_dakveiligheid</f>
        <v>0</v>
      </c>
      <c r="AN124" s="279">
        <f>Y124*P2_reinigen_goten_met_vaste_dakveiligheid</f>
        <v>0</v>
      </c>
      <c r="AO124" s="279">
        <f>(AE124*P2_Reinigen_Lichtkoepel_50X50)+('Perceel 1'!AF124*P2_Reinigen_Lichtkoepel_60x200)+('Perceel 1'!AG124*P2_Reinigen_Lichtkoepel_180x180)+('Perceel 1'!AH124*P2_Reinigen_Lichtstraten_groter_dan_180x180)</f>
        <v>0</v>
      </c>
      <c r="AP124" s="279"/>
      <c r="AQ124" s="279">
        <f>('Perceel 1'!X124+'Perceel 1'!Y124)*P2_Inspecteren_daken_en_goten_1x_per_jaar_gelijktijdig_met_reiniging_inclusief_inspectierapport_en_een_managementrapport</f>
        <v>0</v>
      </c>
      <c r="AR124" s="305"/>
      <c r="AS124" s="332">
        <f t="shared" si="22"/>
        <v>0</v>
      </c>
      <c r="AT124" s="336">
        <f t="shared" si="23"/>
        <v>0</v>
      </c>
    </row>
    <row r="125" spans="1:46" s="7" customFormat="1" ht="71.25" hidden="1" customHeight="1" x14ac:dyDescent="0.45">
      <c r="A125" s="155"/>
      <c r="B125" s="152">
        <v>2</v>
      </c>
      <c r="C125" s="156" t="s">
        <v>135</v>
      </c>
      <c r="D125" s="156" t="s">
        <v>136</v>
      </c>
      <c r="E125" s="156"/>
      <c r="F125" s="156"/>
      <c r="G125" s="156" t="s">
        <v>833</v>
      </c>
      <c r="H125" s="151" t="s">
        <v>994</v>
      </c>
      <c r="I125" s="151" t="s">
        <v>995</v>
      </c>
      <c r="J125" s="157"/>
      <c r="K125" s="163"/>
      <c r="L125" s="151" t="s">
        <v>139</v>
      </c>
      <c r="M125" s="159" t="s">
        <v>140</v>
      </c>
      <c r="N125" s="160" t="s">
        <v>996</v>
      </c>
      <c r="O125" s="159" t="s">
        <v>997</v>
      </c>
      <c r="P125" s="159" t="s">
        <v>998</v>
      </c>
      <c r="Q125" s="159" t="s">
        <v>999</v>
      </c>
      <c r="R125" s="42" t="s">
        <v>895</v>
      </c>
      <c r="S125" s="159" t="s">
        <v>340</v>
      </c>
      <c r="T125" s="159" t="s">
        <v>756</v>
      </c>
      <c r="U125" s="159" t="s">
        <v>1000</v>
      </c>
      <c r="V125" s="176" t="s">
        <v>1001</v>
      </c>
      <c r="W125" s="152">
        <v>1993</v>
      </c>
      <c r="X125" s="152">
        <v>769</v>
      </c>
      <c r="Y125" s="152"/>
      <c r="Z125" s="177"/>
      <c r="AA125" s="177" t="s">
        <v>311</v>
      </c>
      <c r="AB125" s="177">
        <v>12</v>
      </c>
      <c r="AC125" s="177">
        <v>32</v>
      </c>
      <c r="AD125" s="177" t="s">
        <v>1002</v>
      </c>
      <c r="AE125" s="177"/>
      <c r="AF125" s="177"/>
      <c r="AG125" s="177"/>
      <c r="AH125" s="177"/>
      <c r="AI125" s="177"/>
      <c r="AJ125" s="177"/>
      <c r="AK125" s="189">
        <v>1</v>
      </c>
      <c r="AL125" s="273"/>
      <c r="AM125" s="277">
        <f>X125*P2_reinigen_daken_met_vaste_dakveiligheid</f>
        <v>0</v>
      </c>
      <c r="AN125" s="279">
        <f>Y125*P2_reinigen_goten_met_vaste_dakveiligheid</f>
        <v>0</v>
      </c>
      <c r="AO125" s="279">
        <f>(AE125*P2_Reinigen_Lichtkoepel_50X50)+('Perceel 1'!AF125*P2_Reinigen_Lichtkoepel_60x200)+('Perceel 1'!AG125*P2_Reinigen_Lichtkoepel_180x180)+('Perceel 1'!AH125*P2_Reinigen_Lichtstraten_groter_dan_180x180)</f>
        <v>0</v>
      </c>
      <c r="AP125" s="279"/>
      <c r="AQ125" s="279">
        <f>('Perceel 1'!X125+'Perceel 1'!Y125)*P2_Inspecteren_daken_en_goten_1x_per_jaar_gelijktijdig_met_reiniging_inclusief_inspectierapport_en_een_managementrapport</f>
        <v>0</v>
      </c>
      <c r="AR125" s="305"/>
      <c r="AS125" s="332">
        <f t="shared" si="22"/>
        <v>0</v>
      </c>
      <c r="AT125" s="336">
        <f t="shared" si="23"/>
        <v>0</v>
      </c>
    </row>
    <row r="126" spans="1:46" s="7" customFormat="1" ht="38.450000000000003" hidden="1" customHeight="1" x14ac:dyDescent="0.45">
      <c r="A126" s="155"/>
      <c r="B126" s="152">
        <v>2</v>
      </c>
      <c r="C126" s="156" t="s">
        <v>135</v>
      </c>
      <c r="D126" s="156" t="s">
        <v>136</v>
      </c>
      <c r="E126" s="156"/>
      <c r="F126" s="156"/>
      <c r="G126" s="156"/>
      <c r="H126" s="151" t="s">
        <v>1003</v>
      </c>
      <c r="I126" s="151" t="s">
        <v>1004</v>
      </c>
      <c r="J126" s="157"/>
      <c r="K126" s="163"/>
      <c r="L126" s="151" t="s">
        <v>139</v>
      </c>
      <c r="M126" s="159" t="s">
        <v>140</v>
      </c>
      <c r="N126" s="160" t="s">
        <v>1005</v>
      </c>
      <c r="O126" s="159" t="s">
        <v>1006</v>
      </c>
      <c r="P126" s="160" t="s">
        <v>1007</v>
      </c>
      <c r="Q126" s="160" t="s">
        <v>1008</v>
      </c>
      <c r="R126" s="53" t="s">
        <v>895</v>
      </c>
      <c r="S126" s="160" t="s">
        <v>340</v>
      </c>
      <c r="T126" s="159" t="s">
        <v>1009</v>
      </c>
      <c r="U126" s="159" t="s">
        <v>1010</v>
      </c>
      <c r="V126" s="176" t="s">
        <v>1011</v>
      </c>
      <c r="W126" s="152">
        <v>1991</v>
      </c>
      <c r="X126" s="152">
        <v>207</v>
      </c>
      <c r="Y126" s="152"/>
      <c r="Z126" s="177"/>
      <c r="AA126" s="177"/>
      <c r="AB126" s="177"/>
      <c r="AC126" s="177"/>
      <c r="AD126" s="177"/>
      <c r="AE126" s="177"/>
      <c r="AF126" s="177"/>
      <c r="AG126" s="177"/>
      <c r="AH126" s="177"/>
      <c r="AI126" s="177"/>
      <c r="AJ126" s="177"/>
      <c r="AK126" s="257">
        <v>1</v>
      </c>
      <c r="AL126" s="271"/>
      <c r="AM126" s="277">
        <f>X126*P2_Reinigen_daken_incl._extra_maatregelen_veilig_werken_volgens_VCA__eventuele_vergunningen_leges___voorrijkosten__adminstratieve_kosten__fotorapportage_en_kleine_reparaties</f>
        <v>0</v>
      </c>
      <c r="AN126" s="279">
        <f>Y126*P2_Reinigen_goten_incl._extra_maatregelen_veilig_werken_volgens_VCA__eventuele_vergunningen_leges___voorrijkosten__adminstratieve_kosten__fotorapportage_en_kleine_reparaties</f>
        <v>0</v>
      </c>
      <c r="AO126" s="279">
        <f>(AE126*P2_Reinigen_Lichtkoepel_50X50)+('Perceel 1'!AF126*P2_Reinigen_Lichtkoepel_60x200)+('Perceel 1'!AG126*P2_Reinigen_Lichtkoepel_180x180)+('Perceel 1'!AH126*P2_Reinigen_Lichtstraten_groter_dan_180x180)</f>
        <v>0</v>
      </c>
      <c r="AP126" s="279"/>
      <c r="AQ126" s="279">
        <f>('Perceel 1'!X126+'Perceel 1'!Y126)*P2_Inspecteren_daken_en_goten_1x_per_jaar_gelijktijdig_met_reiniging_inclusief_inspectierapport_en_een_managementrapport</f>
        <v>0</v>
      </c>
      <c r="AR126" s="312"/>
      <c r="AS126" s="332">
        <f>AR126*P2_keuren_dakveiligheid_per_man_uur</f>
        <v>0</v>
      </c>
      <c r="AT126" s="336">
        <f t="shared" si="23"/>
        <v>0</v>
      </c>
    </row>
    <row r="127" spans="1:46" s="7" customFormat="1" ht="38.450000000000003" hidden="1" customHeight="1" x14ac:dyDescent="0.45">
      <c r="A127" s="211"/>
      <c r="B127" s="225">
        <v>2</v>
      </c>
      <c r="C127" s="171" t="s">
        <v>135</v>
      </c>
      <c r="D127" s="171" t="s">
        <v>174</v>
      </c>
      <c r="E127" s="171"/>
      <c r="F127" s="171"/>
      <c r="G127" s="171"/>
      <c r="H127" s="15"/>
      <c r="I127" s="196"/>
      <c r="J127" s="15"/>
      <c r="K127" s="15"/>
      <c r="L127" s="196"/>
      <c r="M127" s="171"/>
      <c r="N127" s="211" t="s">
        <v>1012</v>
      </c>
      <c r="O127" s="171" t="s">
        <v>1013</v>
      </c>
      <c r="P127" s="211" t="s">
        <v>1014</v>
      </c>
      <c r="Q127" s="211" t="s">
        <v>1015</v>
      </c>
      <c r="R127" s="58" t="s">
        <v>853</v>
      </c>
      <c r="S127" s="211" t="s">
        <v>340</v>
      </c>
      <c r="T127" s="171"/>
      <c r="U127" s="171"/>
      <c r="V127" s="171"/>
      <c r="W127" s="211">
        <v>1995</v>
      </c>
      <c r="X127" s="261">
        <v>1236</v>
      </c>
      <c r="Y127" s="211"/>
      <c r="Z127" s="171"/>
      <c r="AA127" s="171" t="s">
        <v>150</v>
      </c>
      <c r="AB127" s="171">
        <v>20</v>
      </c>
      <c r="AC127" s="171"/>
      <c r="AD127" s="171" t="s">
        <v>1016</v>
      </c>
      <c r="AE127" s="171"/>
      <c r="AF127" s="171"/>
      <c r="AG127" s="171"/>
      <c r="AH127" s="171"/>
      <c r="AI127" s="171" t="s">
        <v>1017</v>
      </c>
      <c r="AJ127" s="171" t="s">
        <v>1018</v>
      </c>
      <c r="AK127" s="261">
        <v>1</v>
      </c>
      <c r="AL127" s="271"/>
      <c r="AM127" s="327"/>
      <c r="AN127" s="310"/>
      <c r="AO127" s="310"/>
      <c r="AP127" s="310"/>
      <c r="AQ127" s="310"/>
      <c r="AR127" s="305"/>
      <c r="AS127" s="339"/>
      <c r="AT127" s="342"/>
    </row>
    <row r="128" spans="1:46" s="7" customFormat="1" ht="55.5" hidden="1" customHeight="1" x14ac:dyDescent="0.45">
      <c r="A128" s="182"/>
      <c r="B128" s="181">
        <v>2</v>
      </c>
      <c r="C128" s="175" t="s">
        <v>135</v>
      </c>
      <c r="D128" s="175" t="s">
        <v>174</v>
      </c>
      <c r="E128" s="175"/>
      <c r="F128" s="175"/>
      <c r="G128" s="175"/>
      <c r="H128" s="174" t="s">
        <v>1019</v>
      </c>
      <c r="I128" s="174" t="s">
        <v>1020</v>
      </c>
      <c r="J128" s="197"/>
      <c r="K128" s="197"/>
      <c r="L128" s="174"/>
      <c r="M128" s="175" t="s">
        <v>349</v>
      </c>
      <c r="N128" s="182" t="s">
        <v>1021</v>
      </c>
      <c r="O128" s="175" t="s">
        <v>1022</v>
      </c>
      <c r="P128" s="182" t="s">
        <v>1014</v>
      </c>
      <c r="Q128" s="182" t="s">
        <v>1015</v>
      </c>
      <c r="R128" s="50" t="s">
        <v>853</v>
      </c>
      <c r="S128" s="182" t="s">
        <v>340</v>
      </c>
      <c r="T128" s="175" t="s">
        <v>169</v>
      </c>
      <c r="U128" s="175" t="s">
        <v>170</v>
      </c>
      <c r="V128" s="175" t="s">
        <v>171</v>
      </c>
      <c r="W128" s="182">
        <v>1995</v>
      </c>
      <c r="X128" s="306">
        <f>X127*4.25%</f>
        <v>52.53</v>
      </c>
      <c r="Y128" s="182"/>
      <c r="Z128" s="175"/>
      <c r="AA128" s="175" t="s">
        <v>150</v>
      </c>
      <c r="AB128" s="175"/>
      <c r="AC128" s="175"/>
      <c r="AD128" s="175"/>
      <c r="AE128" s="175"/>
      <c r="AF128" s="175"/>
      <c r="AG128" s="175"/>
      <c r="AH128" s="175"/>
      <c r="AI128" s="175" t="s">
        <v>345</v>
      </c>
      <c r="AJ128" s="175" t="s">
        <v>1018</v>
      </c>
      <c r="AK128" s="255">
        <v>1</v>
      </c>
      <c r="AL128" s="271"/>
      <c r="AM128" s="277">
        <f>X128*P2_reinigen_daken_met_vaste_dakveiligheid</f>
        <v>0</v>
      </c>
      <c r="AN128" s="279">
        <f>Y128*P2_reinigen_goten_met_vaste_dakveiligheid</f>
        <v>0</v>
      </c>
      <c r="AO128" s="279">
        <f>(AE128*P2_Reinigen_Lichtkoepel_50X50)+('Perceel 1'!AF128*P2_Reinigen_Lichtkoepel_60x200)+('Perceel 1'!AG128*P2_Reinigen_Lichtkoepel_180x180)+('Perceel 1'!AH128*P2_Reinigen_Lichtstraten_groter_dan_180x180)</f>
        <v>0</v>
      </c>
      <c r="AP128" s="279"/>
      <c r="AQ128" s="279">
        <f>('Perceel 1'!X128+'Perceel 1'!Y128)*P2_Inspecteren_daken_en_goten_1x_per_jaar_gelijktijdig_met_reiniging_inclusief_inspectierapport_en_een_managementrapport</f>
        <v>0</v>
      </c>
      <c r="AR128" s="307">
        <f>AR127*4.25%</f>
        <v>0</v>
      </c>
      <c r="AS128" s="332">
        <f t="shared" si="22"/>
        <v>0</v>
      </c>
      <c r="AT128" s="336">
        <f t="shared" si="23"/>
        <v>0</v>
      </c>
    </row>
    <row r="129" spans="1:46" s="7" customFormat="1" ht="54" hidden="1" customHeight="1" x14ac:dyDescent="0.45">
      <c r="A129" s="182"/>
      <c r="B129" s="181">
        <v>2</v>
      </c>
      <c r="C129" s="175" t="s">
        <v>135</v>
      </c>
      <c r="D129" s="175" t="s">
        <v>174</v>
      </c>
      <c r="E129" s="175"/>
      <c r="F129" s="175"/>
      <c r="G129" s="175"/>
      <c r="H129" s="174" t="s">
        <v>1023</v>
      </c>
      <c r="I129" s="174" t="s">
        <v>1024</v>
      </c>
      <c r="J129" s="197"/>
      <c r="K129" s="197"/>
      <c r="L129" s="174"/>
      <c r="M129" s="175" t="s">
        <v>349</v>
      </c>
      <c r="N129" s="182" t="s">
        <v>1025</v>
      </c>
      <c r="O129" s="175" t="s">
        <v>1026</v>
      </c>
      <c r="P129" s="182" t="s">
        <v>1014</v>
      </c>
      <c r="Q129" s="182" t="s">
        <v>1015</v>
      </c>
      <c r="R129" s="50" t="s">
        <v>853</v>
      </c>
      <c r="S129" s="182" t="s">
        <v>340</v>
      </c>
      <c r="T129" s="175" t="s">
        <v>1027</v>
      </c>
      <c r="U129" s="175" t="s">
        <v>1028</v>
      </c>
      <c r="V129" s="175" t="s">
        <v>1029</v>
      </c>
      <c r="W129" s="182">
        <v>1995</v>
      </c>
      <c r="X129" s="306">
        <f>X127*95.75%</f>
        <v>1183.47</v>
      </c>
      <c r="Y129" s="182"/>
      <c r="Z129" s="175"/>
      <c r="AA129" s="175" t="s">
        <v>150</v>
      </c>
      <c r="AB129" s="175"/>
      <c r="AC129" s="175"/>
      <c r="AD129" s="175"/>
      <c r="AE129" s="175"/>
      <c r="AF129" s="175"/>
      <c r="AG129" s="175"/>
      <c r="AH129" s="175"/>
      <c r="AI129" s="175" t="s">
        <v>1017</v>
      </c>
      <c r="AJ129" s="175" t="s">
        <v>1018</v>
      </c>
      <c r="AK129" s="255">
        <v>1</v>
      </c>
      <c r="AL129" s="271"/>
      <c r="AM129" s="277">
        <f>X129*P2_reinigen_daken_met_vaste_dakveiligheid</f>
        <v>0</v>
      </c>
      <c r="AN129" s="279">
        <f>Y129*P2_reinigen_goten_met_vaste_dakveiligheid</f>
        <v>0</v>
      </c>
      <c r="AO129" s="279">
        <f>(AE129*P2_Reinigen_Lichtkoepel_50X50)+('Perceel 1'!AF129*P2_Reinigen_Lichtkoepel_60x200)+('Perceel 1'!AG129*P2_Reinigen_Lichtkoepel_180x180)+('Perceel 1'!AH129*P2_Reinigen_Lichtstraten_groter_dan_180x180)</f>
        <v>0</v>
      </c>
      <c r="AP129" s="279"/>
      <c r="AQ129" s="279">
        <f>('Perceel 1'!X129+'Perceel 1'!Y129)*P2_Inspecteren_daken_en_goten_1x_per_jaar_gelijktijdig_met_reiniging_inclusief_inspectierapport_en_een_managementrapport</f>
        <v>0</v>
      </c>
      <c r="AR129" s="307">
        <f>AR127*95.75%</f>
        <v>0</v>
      </c>
      <c r="AS129" s="332">
        <f t="shared" si="22"/>
        <v>0</v>
      </c>
      <c r="AT129" s="336">
        <f t="shared" si="23"/>
        <v>0</v>
      </c>
    </row>
    <row r="130" spans="1:46" s="7" customFormat="1" ht="51" hidden="1" x14ac:dyDescent="0.45">
      <c r="A130" s="155"/>
      <c r="B130" s="152">
        <v>2</v>
      </c>
      <c r="C130" s="156" t="s">
        <v>135</v>
      </c>
      <c r="D130" s="156" t="s">
        <v>136</v>
      </c>
      <c r="E130" s="156"/>
      <c r="F130" s="156"/>
      <c r="G130" s="156"/>
      <c r="H130" s="151" t="s">
        <v>1030</v>
      </c>
      <c r="I130" s="151" t="s">
        <v>1031</v>
      </c>
      <c r="J130" s="157"/>
      <c r="K130" s="163"/>
      <c r="L130" s="151" t="s">
        <v>139</v>
      </c>
      <c r="M130" s="159" t="s">
        <v>140</v>
      </c>
      <c r="N130" s="159" t="s">
        <v>1032</v>
      </c>
      <c r="O130" s="159" t="s">
        <v>1033</v>
      </c>
      <c r="P130" s="160" t="s">
        <v>1034</v>
      </c>
      <c r="Q130" s="160" t="s">
        <v>1035</v>
      </c>
      <c r="R130" s="53" t="s">
        <v>895</v>
      </c>
      <c r="S130" s="160" t="s">
        <v>340</v>
      </c>
      <c r="T130" s="159" t="s">
        <v>1036</v>
      </c>
      <c r="U130" s="159" t="s">
        <v>1037</v>
      </c>
      <c r="V130" s="176" t="s">
        <v>1038</v>
      </c>
      <c r="W130" s="152">
        <v>1986</v>
      </c>
      <c r="X130" s="152">
        <v>14321</v>
      </c>
      <c r="Y130" s="152"/>
      <c r="Z130" s="177" t="s">
        <v>311</v>
      </c>
      <c r="AA130" s="177" t="s">
        <v>150</v>
      </c>
      <c r="AB130" s="177">
        <f>130+14+31</f>
        <v>175</v>
      </c>
      <c r="AC130" s="177">
        <v>500</v>
      </c>
      <c r="AD130" s="177" t="s">
        <v>1039</v>
      </c>
      <c r="AE130" s="177"/>
      <c r="AF130" s="177"/>
      <c r="AG130" s="177"/>
      <c r="AH130" s="177"/>
      <c r="AI130" s="189" t="s">
        <v>1040</v>
      </c>
      <c r="AJ130" s="189" t="s">
        <v>1041</v>
      </c>
      <c r="AK130" s="257">
        <v>1</v>
      </c>
      <c r="AL130" s="294"/>
      <c r="AM130" s="277">
        <f>X130*P2_reinigen_daken_met_vaste_dakveiligheid</f>
        <v>0</v>
      </c>
      <c r="AN130" s="279">
        <f>Y130*P2_reinigen_goten_met_vaste_dakveiligheid</f>
        <v>0</v>
      </c>
      <c r="AO130" s="279">
        <f>(AE130*P2_Reinigen_Lichtkoepel_50X50)+('Perceel 1'!AF130*P2_Reinigen_Lichtkoepel_60x200)+('Perceel 1'!AG130*P2_Reinigen_Lichtkoepel_180x180)+('Perceel 1'!AH130*P2_Reinigen_Lichtstraten_groter_dan_180x180)</f>
        <v>0</v>
      </c>
      <c r="AP130" s="279"/>
      <c r="AQ130" s="279">
        <f>('Perceel 1'!X130+'Perceel 1'!Y130)*P2_Inspecteren_daken_en_goten_1x_per_jaar_gelijktijdig_met_reiniging_inclusief_inspectierapport_en_een_managementrapport</f>
        <v>0</v>
      </c>
      <c r="AR130" s="305"/>
      <c r="AS130" s="332">
        <f t="shared" si="22"/>
        <v>0</v>
      </c>
      <c r="AT130" s="336">
        <f t="shared" si="23"/>
        <v>0</v>
      </c>
    </row>
    <row r="131" spans="1:46" s="7" customFormat="1" ht="39.200000000000003" hidden="1" customHeight="1" x14ac:dyDescent="0.45">
      <c r="A131" s="155"/>
      <c r="B131" s="152">
        <v>2</v>
      </c>
      <c r="C131" s="156" t="s">
        <v>135</v>
      </c>
      <c r="D131" s="156" t="s">
        <v>136</v>
      </c>
      <c r="E131" s="156"/>
      <c r="F131" s="156"/>
      <c r="G131" s="156"/>
      <c r="H131" s="151" t="s">
        <v>1042</v>
      </c>
      <c r="I131" s="151" t="s">
        <v>1043</v>
      </c>
      <c r="J131" s="157"/>
      <c r="K131" s="163"/>
      <c r="L131" s="151" t="s">
        <v>191</v>
      </c>
      <c r="M131" s="151" t="s">
        <v>890</v>
      </c>
      <c r="N131" s="159" t="s">
        <v>1044</v>
      </c>
      <c r="O131" s="159" t="s">
        <v>1045</v>
      </c>
      <c r="P131" s="160" t="s">
        <v>1046</v>
      </c>
      <c r="Q131" s="160" t="s">
        <v>1047</v>
      </c>
      <c r="R131" s="53" t="s">
        <v>895</v>
      </c>
      <c r="S131" s="160" t="s">
        <v>340</v>
      </c>
      <c r="T131" s="159" t="s">
        <v>1048</v>
      </c>
      <c r="U131" s="159" t="s">
        <v>1049</v>
      </c>
      <c r="V131" s="176" t="s">
        <v>1050</v>
      </c>
      <c r="W131" s="152">
        <v>2009</v>
      </c>
      <c r="X131" s="152">
        <v>4226</v>
      </c>
      <c r="Y131" s="152"/>
      <c r="Z131" s="177"/>
      <c r="AA131" s="177" t="s">
        <v>311</v>
      </c>
      <c r="AB131" s="177">
        <v>15</v>
      </c>
      <c r="AC131" s="177">
        <v>30</v>
      </c>
      <c r="AD131" s="177"/>
      <c r="AE131" s="177"/>
      <c r="AF131" s="177"/>
      <c r="AG131" s="177"/>
      <c r="AH131" s="177"/>
      <c r="AI131" s="177"/>
      <c r="AJ131" s="177"/>
      <c r="AK131" s="257">
        <v>1</v>
      </c>
      <c r="AL131" s="271"/>
      <c r="AM131" s="277">
        <f>X131*P2_reinigen_daken_met_vaste_dakveiligheid</f>
        <v>0</v>
      </c>
      <c r="AN131" s="279">
        <f>Y131*P2_reinigen_goten_met_vaste_dakveiligheid</f>
        <v>0</v>
      </c>
      <c r="AO131" s="279">
        <f>(AE131*P2_Reinigen_Lichtkoepel_50X50)+('Perceel 1'!AF131*P2_Reinigen_Lichtkoepel_60x200)+('Perceel 1'!AG131*P2_Reinigen_Lichtkoepel_180x180)+('Perceel 1'!AH131*P2_Reinigen_Lichtstraten_groter_dan_180x180)</f>
        <v>0</v>
      </c>
      <c r="AP131" s="279"/>
      <c r="AQ131" s="279">
        <f>('Perceel 1'!X131+'Perceel 1'!Y131)*P2_Inspecteren_daken_en_goten_1x_per_jaar_gelijktijdig_met_reiniging_inclusief_inspectierapport_en_een_managementrapport</f>
        <v>0</v>
      </c>
      <c r="AR131" s="305"/>
      <c r="AS131" s="332">
        <f t="shared" si="22"/>
        <v>0</v>
      </c>
      <c r="AT131" s="336">
        <f t="shared" si="23"/>
        <v>0</v>
      </c>
    </row>
    <row r="132" spans="1:46" s="7" customFormat="1" ht="89.25" hidden="1" customHeight="1" x14ac:dyDescent="0.45">
      <c r="A132" s="155"/>
      <c r="B132" s="152">
        <v>2</v>
      </c>
      <c r="C132" s="156" t="s">
        <v>135</v>
      </c>
      <c r="D132" s="156" t="s">
        <v>136</v>
      </c>
      <c r="E132" s="156"/>
      <c r="F132" s="156"/>
      <c r="G132" s="156"/>
      <c r="H132" s="151" t="s">
        <v>1051</v>
      </c>
      <c r="I132" s="151" t="s">
        <v>1052</v>
      </c>
      <c r="J132" s="157"/>
      <c r="K132" s="163"/>
      <c r="L132" s="151" t="s">
        <v>191</v>
      </c>
      <c r="M132" s="151" t="s">
        <v>890</v>
      </c>
      <c r="N132" s="159" t="s">
        <v>1053</v>
      </c>
      <c r="O132" s="159" t="s">
        <v>1054</v>
      </c>
      <c r="P132" s="159" t="s">
        <v>1055</v>
      </c>
      <c r="Q132" s="159" t="s">
        <v>1056</v>
      </c>
      <c r="R132" s="42" t="s">
        <v>895</v>
      </c>
      <c r="S132" s="159" t="s">
        <v>340</v>
      </c>
      <c r="T132" s="159" t="s">
        <v>1057</v>
      </c>
      <c r="U132" s="159" t="s">
        <v>1058</v>
      </c>
      <c r="V132" s="176" t="s">
        <v>1059</v>
      </c>
      <c r="W132" s="152">
        <v>1987</v>
      </c>
      <c r="X132" s="152">
        <v>2275</v>
      </c>
      <c r="Y132" s="152"/>
      <c r="Z132" s="177" t="s">
        <v>311</v>
      </c>
      <c r="AA132" s="177" t="s">
        <v>150</v>
      </c>
      <c r="AB132" s="177">
        <v>73</v>
      </c>
      <c r="AC132" s="177">
        <v>174</v>
      </c>
      <c r="AD132" s="177"/>
      <c r="AE132" s="177"/>
      <c r="AF132" s="177"/>
      <c r="AG132" s="177"/>
      <c r="AH132" s="177"/>
      <c r="AI132" s="177" t="s">
        <v>345</v>
      </c>
      <c r="AJ132" s="177" t="s">
        <v>1018</v>
      </c>
      <c r="AK132" s="257">
        <v>1</v>
      </c>
      <c r="AL132" s="271"/>
      <c r="AM132" s="277">
        <f>X132*P2_reinigen_daken_met_vaste_dakveiligheid</f>
        <v>0</v>
      </c>
      <c r="AN132" s="279">
        <f>Y132*P2_reinigen_goten_met_vaste_dakveiligheid</f>
        <v>0</v>
      </c>
      <c r="AO132" s="279">
        <f>(AE132*P2_Reinigen_Lichtkoepel_50X50)+('Perceel 1'!AF132*P2_Reinigen_Lichtkoepel_60x200)+('Perceel 1'!AG132*P2_Reinigen_Lichtkoepel_180x180)+('Perceel 1'!AH132*P2_Reinigen_Lichtstraten_groter_dan_180x180)</f>
        <v>0</v>
      </c>
      <c r="AP132" s="279"/>
      <c r="AQ132" s="279">
        <f>('Perceel 1'!X132+'Perceel 1'!Y132)*P2_Inspecteren_daken_en_goten_1x_per_jaar_gelijktijdig_met_reiniging_inclusief_inspectierapport_en_een_managementrapport</f>
        <v>0</v>
      </c>
      <c r="AR132" s="305"/>
      <c r="AS132" s="332">
        <f t="shared" si="22"/>
        <v>0</v>
      </c>
      <c r="AT132" s="336">
        <f t="shared" si="23"/>
        <v>0</v>
      </c>
    </row>
    <row r="133" spans="1:46" s="7" customFormat="1" ht="96.75" hidden="1" customHeight="1" x14ac:dyDescent="0.45">
      <c r="A133" s="161"/>
      <c r="B133" s="152">
        <v>2</v>
      </c>
      <c r="C133" s="156" t="s">
        <v>135</v>
      </c>
      <c r="D133" s="156" t="s">
        <v>136</v>
      </c>
      <c r="E133" s="156"/>
      <c r="F133" s="156"/>
      <c r="G133" s="156"/>
      <c r="H133" s="203" t="s">
        <v>1060</v>
      </c>
      <c r="I133" s="203" t="s">
        <v>1061</v>
      </c>
      <c r="J133" s="157"/>
      <c r="K133" s="163"/>
      <c r="L133" s="151" t="s">
        <v>139</v>
      </c>
      <c r="M133" s="159" t="s">
        <v>140</v>
      </c>
      <c r="N133" s="192" t="s">
        <v>1062</v>
      </c>
      <c r="O133" s="159" t="s">
        <v>1063</v>
      </c>
      <c r="P133" s="159" t="s">
        <v>1063</v>
      </c>
      <c r="Q133" s="159" t="s">
        <v>1064</v>
      </c>
      <c r="R133" s="42" t="s">
        <v>895</v>
      </c>
      <c r="S133" s="159" t="s">
        <v>340</v>
      </c>
      <c r="T133" s="159" t="s">
        <v>169</v>
      </c>
      <c r="U133" s="159" t="s">
        <v>170</v>
      </c>
      <c r="V133" s="176" t="s">
        <v>171</v>
      </c>
      <c r="W133" s="152">
        <v>2017</v>
      </c>
      <c r="X133" s="152">
        <f>75+28+30</f>
        <v>133</v>
      </c>
      <c r="Y133" s="152">
        <v>13</v>
      </c>
      <c r="Z133" s="177"/>
      <c r="AA133" s="177"/>
      <c r="AB133" s="177"/>
      <c r="AC133" s="177"/>
      <c r="AD133" s="177"/>
      <c r="AE133" s="177"/>
      <c r="AF133" s="177"/>
      <c r="AG133" s="177"/>
      <c r="AH133" s="177"/>
      <c r="AI133" s="177" t="s">
        <v>1065</v>
      </c>
      <c r="AJ133" s="177"/>
      <c r="AK133" s="177">
        <v>1</v>
      </c>
      <c r="AL133" s="272"/>
      <c r="AM133" s="277">
        <f>X133*P2_Reinigen_daken_incl._extra_maatregelen_veilig_werken_volgens_VCA__eventuele_vergunningen_leges___voorrijkosten__adminstratieve_kosten__fotorapportage_en_kleine_reparaties</f>
        <v>0</v>
      </c>
      <c r="AN133" s="279">
        <f>Y133*P2_Reinigen_goten_incl._extra_maatregelen_veilig_werken_volgens_VCA__eventuele_vergunningen_leges___voorrijkosten__adminstratieve_kosten__fotorapportage_en_kleine_reparaties</f>
        <v>0</v>
      </c>
      <c r="AO133" s="279">
        <f>(AE133*P2_Reinigen_Lichtkoepel_50X50)+('Perceel 1'!AF133*P2_Reinigen_Lichtkoepel_60x200)+('Perceel 1'!AG133*P2_Reinigen_Lichtkoepel_180x180)+('Perceel 1'!AH133*P2_Reinigen_Lichtstraten_groter_dan_180x180)</f>
        <v>0</v>
      </c>
      <c r="AP133" s="279"/>
      <c r="AQ133" s="279">
        <f>('Perceel 1'!X133+'Perceel 1'!Y133)*P2_Inspecteren_daken_en_goten_1x_per_jaar_gelijktijdig_met_reiniging_inclusief_inspectierapport_en_een_managementrapport</f>
        <v>0</v>
      </c>
      <c r="AR133" s="312"/>
      <c r="AS133" s="332">
        <f>AR133*P2_keuren_dakveiligheid_per_man_uur</f>
        <v>0</v>
      </c>
      <c r="AT133" s="336">
        <f t="shared" si="23"/>
        <v>13</v>
      </c>
    </row>
    <row r="134" spans="1:46" s="7" customFormat="1" ht="25.5" hidden="1" customHeight="1" x14ac:dyDescent="0.45">
      <c r="A134" s="155"/>
      <c r="B134" s="152">
        <v>2</v>
      </c>
      <c r="C134" s="156" t="s">
        <v>135</v>
      </c>
      <c r="D134" s="156" t="s">
        <v>136</v>
      </c>
      <c r="E134" s="156"/>
      <c r="F134" s="156"/>
      <c r="G134" s="156"/>
      <c r="H134" s="151" t="s">
        <v>1066</v>
      </c>
      <c r="I134" s="151" t="s">
        <v>1067</v>
      </c>
      <c r="J134" s="157"/>
      <c r="K134" s="163"/>
      <c r="L134" s="163" t="s">
        <v>154</v>
      </c>
      <c r="M134" s="166" t="s">
        <v>544</v>
      </c>
      <c r="N134" s="164">
        <v>4115</v>
      </c>
      <c r="O134" s="159" t="s">
        <v>1068</v>
      </c>
      <c r="P134" s="159" t="s">
        <v>1069</v>
      </c>
      <c r="Q134" s="159" t="s">
        <v>1070</v>
      </c>
      <c r="R134" s="42" t="s">
        <v>1071</v>
      </c>
      <c r="S134" s="159" t="s">
        <v>340</v>
      </c>
      <c r="T134" s="166" t="s">
        <v>160</v>
      </c>
      <c r="U134" s="166" t="s">
        <v>161</v>
      </c>
      <c r="V134" s="178" t="s">
        <v>162</v>
      </c>
      <c r="W134" s="152">
        <v>2014</v>
      </c>
      <c r="X134" s="152">
        <v>912</v>
      </c>
      <c r="Y134" s="152"/>
      <c r="Z134" s="177" t="s">
        <v>311</v>
      </c>
      <c r="AA134" s="177" t="s">
        <v>150</v>
      </c>
      <c r="AB134" s="177">
        <v>13</v>
      </c>
      <c r="AC134" s="177">
        <v>69</v>
      </c>
      <c r="AD134" s="177" t="s">
        <v>423</v>
      </c>
      <c r="AE134" s="177"/>
      <c r="AF134" s="177"/>
      <c r="AG134" s="177"/>
      <c r="AH134" s="177"/>
      <c r="AI134" s="177"/>
      <c r="AJ134" s="177"/>
      <c r="AK134" s="257">
        <v>1</v>
      </c>
      <c r="AL134" s="271"/>
      <c r="AM134" s="277">
        <f>X134*P2_reinigen_daken_met_vaste_dakveiligheid</f>
        <v>0</v>
      </c>
      <c r="AN134" s="279">
        <f>Y134*P2_reinigen_goten_met_vaste_dakveiligheid</f>
        <v>0</v>
      </c>
      <c r="AO134" s="279">
        <f>(AE134*P2_Reinigen_Lichtkoepel_50X50)+('Perceel 1'!AF134*P2_Reinigen_Lichtkoepel_60x200)+('Perceel 1'!AG134*P2_Reinigen_Lichtkoepel_180x180)+('Perceel 1'!AH134*P2_Reinigen_Lichtstraten_groter_dan_180x180)</f>
        <v>0</v>
      </c>
      <c r="AP134" s="279"/>
      <c r="AQ134" s="279">
        <f>('Perceel 1'!X134+'Perceel 1'!Y134)*P2_Inspecteren_daken_en_goten_1x_per_jaar_gelijktijdig_met_reiniging_inclusief_inspectierapport_en_een_managementrapport</f>
        <v>0</v>
      </c>
      <c r="AR134" s="305"/>
      <c r="AS134" s="332">
        <f t="shared" si="22"/>
        <v>0</v>
      </c>
      <c r="AT134" s="336">
        <f t="shared" si="23"/>
        <v>0</v>
      </c>
    </row>
    <row r="135" spans="1:46" s="7" customFormat="1" ht="76.5" hidden="1" customHeight="1" x14ac:dyDescent="0.45">
      <c r="A135" s="155"/>
      <c r="B135" s="152">
        <v>2</v>
      </c>
      <c r="C135" s="156" t="s">
        <v>135</v>
      </c>
      <c r="D135" s="156" t="s">
        <v>136</v>
      </c>
      <c r="E135" s="156"/>
      <c r="F135" s="156"/>
      <c r="G135" s="156"/>
      <c r="H135" s="151" t="s">
        <v>1072</v>
      </c>
      <c r="I135" s="151" t="s">
        <v>1073</v>
      </c>
      <c r="J135" s="157"/>
      <c r="K135" s="163"/>
      <c r="L135" s="151" t="s">
        <v>139</v>
      </c>
      <c r="M135" s="159" t="s">
        <v>140</v>
      </c>
      <c r="N135" s="159" t="s">
        <v>1074</v>
      </c>
      <c r="O135" s="159" t="s">
        <v>1075</v>
      </c>
      <c r="P135" s="160" t="s">
        <v>1076</v>
      </c>
      <c r="Q135" s="160" t="s">
        <v>1077</v>
      </c>
      <c r="R135" s="53" t="s">
        <v>895</v>
      </c>
      <c r="S135" s="160" t="s">
        <v>340</v>
      </c>
      <c r="T135" s="159" t="s">
        <v>1078</v>
      </c>
      <c r="U135" s="159" t="s">
        <v>1079</v>
      </c>
      <c r="V135" s="176" t="s">
        <v>1080</v>
      </c>
      <c r="W135" s="152">
        <v>1980</v>
      </c>
      <c r="X135" s="152">
        <v>312</v>
      </c>
      <c r="Y135" s="152"/>
      <c r="Z135" s="177"/>
      <c r="AA135" s="177" t="s">
        <v>150</v>
      </c>
      <c r="AB135" s="177">
        <v>7</v>
      </c>
      <c r="AC135" s="177"/>
      <c r="AD135" s="177"/>
      <c r="AE135" s="177"/>
      <c r="AF135" s="177"/>
      <c r="AG135" s="177"/>
      <c r="AH135" s="177"/>
      <c r="AI135" s="177" t="s">
        <v>345</v>
      </c>
      <c r="AJ135" s="177" t="s">
        <v>1081</v>
      </c>
      <c r="AK135" s="257">
        <v>1</v>
      </c>
      <c r="AL135" s="271"/>
      <c r="AM135" s="277">
        <f>X135*P2_reinigen_daken_met_vaste_dakveiligheid</f>
        <v>0</v>
      </c>
      <c r="AN135" s="279">
        <f>Y135*P2_reinigen_goten_met_vaste_dakveiligheid</f>
        <v>0</v>
      </c>
      <c r="AO135" s="279">
        <f>(AE135*P2_Reinigen_Lichtkoepel_50X50)+('Perceel 1'!AF135*P2_Reinigen_Lichtkoepel_60x200)+('Perceel 1'!AG135*P2_Reinigen_Lichtkoepel_180x180)+('Perceel 1'!AH135*P2_Reinigen_Lichtstraten_groter_dan_180x180)</f>
        <v>0</v>
      </c>
      <c r="AP135" s="279"/>
      <c r="AQ135" s="279">
        <f>('Perceel 1'!X135+'Perceel 1'!Y135)*P2_Inspecteren_daken_en_goten_1x_per_jaar_gelijktijdig_met_reiniging_inclusief_inspectierapport_en_een_managementrapport</f>
        <v>0</v>
      </c>
      <c r="AR135" s="305"/>
      <c r="AS135" s="332">
        <f t="shared" si="22"/>
        <v>0</v>
      </c>
      <c r="AT135" s="336">
        <f t="shared" si="23"/>
        <v>0</v>
      </c>
    </row>
    <row r="136" spans="1:46" s="7" customFormat="1" ht="25.5" hidden="1" customHeight="1" x14ac:dyDescent="0.45">
      <c r="A136" s="211"/>
      <c r="B136" s="212">
        <v>2</v>
      </c>
      <c r="C136" s="171" t="s">
        <v>135</v>
      </c>
      <c r="D136" s="171" t="s">
        <v>136</v>
      </c>
      <c r="E136" s="171" t="s">
        <v>174</v>
      </c>
      <c r="F136" s="171"/>
      <c r="G136" s="171"/>
      <c r="H136" s="15"/>
      <c r="I136" s="196"/>
      <c r="J136" s="15"/>
      <c r="K136" s="15"/>
      <c r="L136" s="196"/>
      <c r="M136" s="171"/>
      <c r="N136" s="211" t="s">
        <v>1082</v>
      </c>
      <c r="O136" s="171" t="s">
        <v>1083</v>
      </c>
      <c r="P136" s="211" t="s">
        <v>1084</v>
      </c>
      <c r="Q136" s="211" t="s">
        <v>1085</v>
      </c>
      <c r="R136" s="58" t="s">
        <v>853</v>
      </c>
      <c r="S136" s="211" t="s">
        <v>340</v>
      </c>
      <c r="T136" s="171"/>
      <c r="U136" s="171"/>
      <c r="V136" s="171"/>
      <c r="W136" s="211">
        <v>1997</v>
      </c>
      <c r="X136" s="261">
        <v>1028</v>
      </c>
      <c r="Y136" s="211"/>
      <c r="Z136" s="171"/>
      <c r="AA136" s="171"/>
      <c r="AB136" s="171"/>
      <c r="AC136" s="171"/>
      <c r="AD136" s="171"/>
      <c r="AE136" s="171"/>
      <c r="AF136" s="171"/>
      <c r="AG136" s="171"/>
      <c r="AH136" s="171"/>
      <c r="AI136" s="171"/>
      <c r="AJ136" s="171"/>
      <c r="AK136" s="261">
        <v>1</v>
      </c>
      <c r="AL136" s="276"/>
      <c r="AM136" s="327"/>
      <c r="AN136" s="310"/>
      <c r="AO136" s="310"/>
      <c r="AP136" s="310"/>
      <c r="AQ136" s="310"/>
      <c r="AR136" s="312"/>
      <c r="AS136" s="339"/>
      <c r="AT136" s="342"/>
    </row>
    <row r="137" spans="1:46" s="7" customFormat="1" ht="25.5" hidden="1" customHeight="1" x14ac:dyDescent="0.45">
      <c r="A137" s="182"/>
      <c r="B137" s="181">
        <v>2</v>
      </c>
      <c r="C137" s="175" t="s">
        <v>135</v>
      </c>
      <c r="D137" s="175" t="s">
        <v>174</v>
      </c>
      <c r="E137" s="175"/>
      <c r="F137" s="175"/>
      <c r="G137" s="175"/>
      <c r="H137" s="174" t="s">
        <v>1086</v>
      </c>
      <c r="I137" s="174" t="s">
        <v>1087</v>
      </c>
      <c r="J137" s="197"/>
      <c r="K137" s="197"/>
      <c r="L137" s="174"/>
      <c r="M137" s="175" t="s">
        <v>349</v>
      </c>
      <c r="N137" s="182" t="s">
        <v>1088</v>
      </c>
      <c r="O137" s="175" t="s">
        <v>1089</v>
      </c>
      <c r="P137" s="182" t="s">
        <v>1090</v>
      </c>
      <c r="Q137" s="182" t="s">
        <v>1085</v>
      </c>
      <c r="R137" s="50" t="s">
        <v>853</v>
      </c>
      <c r="S137" s="182" t="s">
        <v>340</v>
      </c>
      <c r="T137" s="175" t="s">
        <v>1091</v>
      </c>
      <c r="U137" s="175" t="s">
        <v>1092</v>
      </c>
      <c r="V137" s="187" t="s">
        <v>1093</v>
      </c>
      <c r="W137" s="182">
        <v>1997</v>
      </c>
      <c r="X137" s="255">
        <f>X136*84%</f>
        <v>863.52</v>
      </c>
      <c r="Y137" s="182"/>
      <c r="Z137" s="175"/>
      <c r="AA137" s="175"/>
      <c r="AB137" s="175"/>
      <c r="AC137" s="175"/>
      <c r="AD137" s="175"/>
      <c r="AE137" s="175"/>
      <c r="AF137" s="175"/>
      <c r="AG137" s="175"/>
      <c r="AH137" s="175"/>
      <c r="AI137" s="175"/>
      <c r="AJ137" s="175"/>
      <c r="AK137" s="255">
        <v>1</v>
      </c>
      <c r="AL137" s="271"/>
      <c r="AM137" s="277">
        <f t="shared" ref="AM137:AM146" si="24">X137*P2_Reinigen_daken_incl._extra_maatregelen_veilig_werken_volgens_VCA__eventuele_vergunningen_leges___voorrijkosten__adminstratieve_kosten__fotorapportage_en_kleine_reparaties</f>
        <v>0</v>
      </c>
      <c r="AN137" s="279">
        <f t="shared" ref="AN137:AN146" si="25">Y137*P2_Reinigen_goten_incl._extra_maatregelen_veilig_werken_volgens_VCA__eventuele_vergunningen_leges___voorrijkosten__adminstratieve_kosten__fotorapportage_en_kleine_reparaties</f>
        <v>0</v>
      </c>
      <c r="AO137" s="279">
        <f>(AE137*P2_Reinigen_Lichtkoepel_50X50)+('Perceel 1'!AF137*P2_Reinigen_Lichtkoepel_60x200)+('Perceel 1'!AG137*P2_Reinigen_Lichtkoepel_180x180)+('Perceel 1'!AH137*P2_Reinigen_Lichtstraten_groter_dan_180x180)</f>
        <v>0</v>
      </c>
      <c r="AP137" s="279"/>
      <c r="AQ137" s="279">
        <f>('Perceel 1'!X137+'Perceel 1'!Y137)*P2_Inspecteren_daken_en_goten_1x_per_jaar_gelijktijdig_met_reiniging_inclusief_inspectierapport_en_een_managementrapport</f>
        <v>0</v>
      </c>
      <c r="AR137" s="312"/>
      <c r="AS137" s="332">
        <f t="shared" ref="AS137:AS175" si="26">AR137*P2_keuren_dakveiligheid_per_man_uur</f>
        <v>0</v>
      </c>
      <c r="AT137" s="336">
        <f t="shared" ref="AT137:AT192" si="27">(AM137*AK137)+(Y137*AK137)+AO137+AQ137+AS137</f>
        <v>0</v>
      </c>
    </row>
    <row r="138" spans="1:46" s="7" customFormat="1" ht="51" hidden="1" x14ac:dyDescent="0.45">
      <c r="A138" s="182"/>
      <c r="B138" s="181">
        <v>2</v>
      </c>
      <c r="C138" s="175" t="s">
        <v>135</v>
      </c>
      <c r="D138" s="175" t="s">
        <v>136</v>
      </c>
      <c r="E138" s="175"/>
      <c r="F138" s="175"/>
      <c r="G138" s="175"/>
      <c r="H138" s="174" t="s">
        <v>1094</v>
      </c>
      <c r="I138" s="174" t="s">
        <v>1095</v>
      </c>
      <c r="J138" s="197"/>
      <c r="K138" s="197"/>
      <c r="L138" s="174"/>
      <c r="M138" s="191" t="s">
        <v>544</v>
      </c>
      <c r="N138" s="182" t="s">
        <v>1096</v>
      </c>
      <c r="O138" s="175" t="s">
        <v>1097</v>
      </c>
      <c r="P138" s="182" t="s">
        <v>1098</v>
      </c>
      <c r="Q138" s="182" t="s">
        <v>1085</v>
      </c>
      <c r="R138" s="50" t="s">
        <v>853</v>
      </c>
      <c r="S138" s="182" t="s">
        <v>340</v>
      </c>
      <c r="T138" s="175" t="s">
        <v>169</v>
      </c>
      <c r="U138" s="175" t="s">
        <v>170</v>
      </c>
      <c r="V138" s="175" t="s">
        <v>171</v>
      </c>
      <c r="W138" s="182">
        <v>1997</v>
      </c>
      <c r="X138" s="255">
        <f>X136*16%</f>
        <v>164.48</v>
      </c>
      <c r="Y138" s="182"/>
      <c r="Z138" s="175"/>
      <c r="AA138" s="175"/>
      <c r="AB138" s="175"/>
      <c r="AC138" s="175"/>
      <c r="AD138" s="175"/>
      <c r="AE138" s="175"/>
      <c r="AF138" s="175"/>
      <c r="AG138" s="175"/>
      <c r="AH138" s="175"/>
      <c r="AI138" s="175"/>
      <c r="AJ138" s="175"/>
      <c r="AK138" s="255">
        <v>1</v>
      </c>
      <c r="AL138" s="271"/>
      <c r="AM138" s="277">
        <f t="shared" si="24"/>
        <v>0</v>
      </c>
      <c r="AN138" s="279">
        <f t="shared" si="25"/>
        <v>0</v>
      </c>
      <c r="AO138" s="279">
        <f>(AE138*P2_Reinigen_Lichtkoepel_50X50)+('Perceel 1'!AF138*P2_Reinigen_Lichtkoepel_60x200)+('Perceel 1'!AG138*P2_Reinigen_Lichtkoepel_180x180)+('Perceel 1'!AH138*P2_Reinigen_Lichtstraten_groter_dan_180x180)</f>
        <v>0</v>
      </c>
      <c r="AP138" s="279"/>
      <c r="AQ138" s="279">
        <f>('Perceel 1'!X138+'Perceel 1'!Y138)*P2_Inspecteren_daken_en_goten_1x_per_jaar_gelijktijdig_met_reiniging_inclusief_inspectierapport_en_een_managementrapport</f>
        <v>0</v>
      </c>
      <c r="AR138" s="312"/>
      <c r="AS138" s="332">
        <f t="shared" si="26"/>
        <v>0</v>
      </c>
      <c r="AT138" s="336">
        <f t="shared" si="27"/>
        <v>0</v>
      </c>
    </row>
    <row r="139" spans="1:46" s="7" customFormat="1" ht="25.5" hidden="1" customHeight="1" x14ac:dyDescent="0.45">
      <c r="A139" s="155"/>
      <c r="B139" s="152">
        <v>2</v>
      </c>
      <c r="C139" s="156" t="s">
        <v>135</v>
      </c>
      <c r="D139" s="156" t="s">
        <v>136</v>
      </c>
      <c r="E139" s="156"/>
      <c r="F139" s="156"/>
      <c r="G139" s="156"/>
      <c r="H139" s="151" t="s">
        <v>1099</v>
      </c>
      <c r="I139" s="151" t="s">
        <v>1100</v>
      </c>
      <c r="J139" s="157"/>
      <c r="K139" s="163"/>
      <c r="L139" s="151" t="s">
        <v>139</v>
      </c>
      <c r="M139" s="159" t="s">
        <v>140</v>
      </c>
      <c r="N139" s="160" t="s">
        <v>1101</v>
      </c>
      <c r="O139" s="159" t="s">
        <v>1102</v>
      </c>
      <c r="P139" s="160" t="s">
        <v>1103</v>
      </c>
      <c r="Q139" s="160" t="s">
        <v>1085</v>
      </c>
      <c r="R139" s="53" t="s">
        <v>853</v>
      </c>
      <c r="S139" s="160" t="s">
        <v>340</v>
      </c>
      <c r="T139" s="159" t="s">
        <v>1104</v>
      </c>
      <c r="U139" s="159" t="s">
        <v>1105</v>
      </c>
      <c r="V139" s="176" t="s">
        <v>400</v>
      </c>
      <c r="W139" s="152">
        <v>1999</v>
      </c>
      <c r="X139" s="152">
        <v>735</v>
      </c>
      <c r="Y139" s="152"/>
      <c r="Z139" s="177"/>
      <c r="AA139" s="177"/>
      <c r="AB139" s="177"/>
      <c r="AC139" s="177"/>
      <c r="AD139" s="177"/>
      <c r="AE139" s="177"/>
      <c r="AF139" s="177"/>
      <c r="AG139" s="177"/>
      <c r="AH139" s="177"/>
      <c r="AI139" s="177"/>
      <c r="AJ139" s="177"/>
      <c r="AK139" s="257">
        <v>1</v>
      </c>
      <c r="AL139" s="271"/>
      <c r="AM139" s="277">
        <f t="shared" si="24"/>
        <v>0</v>
      </c>
      <c r="AN139" s="279">
        <f t="shared" si="25"/>
        <v>0</v>
      </c>
      <c r="AO139" s="279">
        <f>(AE139*P2_Reinigen_Lichtkoepel_50X50)+('Perceel 1'!AF139*P2_Reinigen_Lichtkoepel_60x200)+('Perceel 1'!AG139*P2_Reinigen_Lichtkoepel_180x180)+('Perceel 1'!AH139*P2_Reinigen_Lichtstraten_groter_dan_180x180)</f>
        <v>0</v>
      </c>
      <c r="AP139" s="279"/>
      <c r="AQ139" s="279">
        <f>('Perceel 1'!X139+'Perceel 1'!Y139)*P2_Inspecteren_daken_en_goten_1x_per_jaar_gelijktijdig_met_reiniging_inclusief_inspectierapport_en_een_managementrapport</f>
        <v>0</v>
      </c>
      <c r="AR139" s="312"/>
      <c r="AS139" s="332">
        <f t="shared" si="26"/>
        <v>0</v>
      </c>
      <c r="AT139" s="336">
        <f t="shared" si="27"/>
        <v>0</v>
      </c>
    </row>
    <row r="140" spans="1:46" s="7" customFormat="1" ht="25.5" hidden="1" x14ac:dyDescent="0.45">
      <c r="A140" s="155"/>
      <c r="B140" s="152">
        <v>2</v>
      </c>
      <c r="C140" s="156" t="s">
        <v>135</v>
      </c>
      <c r="D140" s="156" t="s">
        <v>136</v>
      </c>
      <c r="E140" s="156"/>
      <c r="F140" s="156"/>
      <c r="G140" s="156"/>
      <c r="H140" s="151" t="s">
        <v>1106</v>
      </c>
      <c r="I140" s="151" t="s">
        <v>1107</v>
      </c>
      <c r="J140" s="157"/>
      <c r="K140" s="163"/>
      <c r="L140" s="151" t="s">
        <v>348</v>
      </c>
      <c r="M140" s="159" t="s">
        <v>349</v>
      </c>
      <c r="N140" s="160" t="s">
        <v>1108</v>
      </c>
      <c r="O140" s="159" t="s">
        <v>1109</v>
      </c>
      <c r="P140" s="160" t="s">
        <v>1110</v>
      </c>
      <c r="Q140" s="160" t="s">
        <v>1085</v>
      </c>
      <c r="R140" s="53" t="s">
        <v>853</v>
      </c>
      <c r="S140" s="160" t="s">
        <v>340</v>
      </c>
      <c r="T140" s="159" t="s">
        <v>1111</v>
      </c>
      <c r="U140" s="226" t="s">
        <v>1112</v>
      </c>
      <c r="V140" s="176" t="s">
        <v>1113</v>
      </c>
      <c r="W140" s="152">
        <v>1997</v>
      </c>
      <c r="X140" s="152">
        <v>721</v>
      </c>
      <c r="Y140" s="152"/>
      <c r="Z140" s="177"/>
      <c r="AA140" s="177"/>
      <c r="AB140" s="177"/>
      <c r="AC140" s="177"/>
      <c r="AD140" s="177"/>
      <c r="AE140" s="177"/>
      <c r="AF140" s="177"/>
      <c r="AG140" s="177"/>
      <c r="AH140" s="177"/>
      <c r="AI140" s="177"/>
      <c r="AJ140" s="177"/>
      <c r="AK140" s="257">
        <v>1</v>
      </c>
      <c r="AL140" s="271"/>
      <c r="AM140" s="277">
        <f t="shared" si="24"/>
        <v>0</v>
      </c>
      <c r="AN140" s="279">
        <f t="shared" si="25"/>
        <v>0</v>
      </c>
      <c r="AO140" s="279">
        <f>(AE140*P2_Reinigen_Lichtkoepel_50X50)+('Perceel 1'!AF140*P2_Reinigen_Lichtkoepel_60x200)+('Perceel 1'!AG140*P2_Reinigen_Lichtkoepel_180x180)+('Perceel 1'!AH140*P2_Reinigen_Lichtstraten_groter_dan_180x180)</f>
        <v>0</v>
      </c>
      <c r="AP140" s="279"/>
      <c r="AQ140" s="279">
        <f>('Perceel 1'!X140+'Perceel 1'!Y140)*P2_Inspecteren_daken_en_goten_1x_per_jaar_gelijktijdig_met_reiniging_inclusief_inspectierapport_en_een_managementrapport</f>
        <v>0</v>
      </c>
      <c r="AR140" s="312"/>
      <c r="AS140" s="332">
        <f t="shared" si="26"/>
        <v>0</v>
      </c>
      <c r="AT140" s="336">
        <f t="shared" si="27"/>
        <v>0</v>
      </c>
    </row>
    <row r="141" spans="1:46" s="7" customFormat="1" hidden="1" x14ac:dyDescent="0.45">
      <c r="A141" s="155"/>
      <c r="B141" s="152">
        <v>2</v>
      </c>
      <c r="C141" s="156" t="s">
        <v>135</v>
      </c>
      <c r="D141" s="156" t="s">
        <v>136</v>
      </c>
      <c r="E141" s="156"/>
      <c r="F141" s="156"/>
      <c r="G141" s="156"/>
      <c r="H141" s="151" t="s">
        <v>1114</v>
      </c>
      <c r="I141" s="151" t="s">
        <v>1115</v>
      </c>
      <c r="J141" s="157"/>
      <c r="K141" s="163"/>
      <c r="L141" s="151" t="s">
        <v>139</v>
      </c>
      <c r="M141" s="159" t="s">
        <v>140</v>
      </c>
      <c r="N141" s="160" t="s">
        <v>1116</v>
      </c>
      <c r="O141" s="159" t="s">
        <v>1117</v>
      </c>
      <c r="P141" s="160" t="s">
        <v>1118</v>
      </c>
      <c r="Q141" s="160" t="s">
        <v>1119</v>
      </c>
      <c r="R141" s="53" t="s">
        <v>1120</v>
      </c>
      <c r="S141" s="160" t="s">
        <v>340</v>
      </c>
      <c r="T141" s="227" t="s">
        <v>561</v>
      </c>
      <c r="U141" s="227" t="s">
        <v>1121</v>
      </c>
      <c r="V141" s="228" t="s">
        <v>400</v>
      </c>
      <c r="W141" s="152">
        <v>1999</v>
      </c>
      <c r="X141" s="152">
        <v>243</v>
      </c>
      <c r="Y141" s="152"/>
      <c r="Z141" s="177"/>
      <c r="AA141" s="177"/>
      <c r="AB141" s="177"/>
      <c r="AC141" s="177"/>
      <c r="AD141" s="177"/>
      <c r="AE141" s="177"/>
      <c r="AF141" s="177"/>
      <c r="AG141" s="177"/>
      <c r="AH141" s="177"/>
      <c r="AI141" s="177"/>
      <c r="AJ141" s="177"/>
      <c r="AK141" s="257">
        <v>1</v>
      </c>
      <c r="AL141" s="271"/>
      <c r="AM141" s="277">
        <f t="shared" si="24"/>
        <v>0</v>
      </c>
      <c r="AN141" s="279">
        <f t="shared" si="25"/>
        <v>0</v>
      </c>
      <c r="AO141" s="279">
        <f>(AE141*P2_Reinigen_Lichtkoepel_50X50)+('Perceel 1'!AF141*P2_Reinigen_Lichtkoepel_60x200)+('Perceel 1'!AG141*P2_Reinigen_Lichtkoepel_180x180)+('Perceel 1'!AH141*P2_Reinigen_Lichtstraten_groter_dan_180x180)</f>
        <v>0</v>
      </c>
      <c r="AP141" s="279"/>
      <c r="AQ141" s="279">
        <f>('Perceel 1'!X141+'Perceel 1'!Y141)*P2_Inspecteren_daken_en_goten_1x_per_jaar_gelijktijdig_met_reiniging_inclusief_inspectierapport_en_een_managementrapport</f>
        <v>0</v>
      </c>
      <c r="AR141" s="312"/>
      <c r="AS141" s="332">
        <f t="shared" si="26"/>
        <v>0</v>
      </c>
      <c r="AT141" s="336">
        <f t="shared" si="27"/>
        <v>0</v>
      </c>
    </row>
    <row r="142" spans="1:46" s="7" customFormat="1" ht="12.75" hidden="1" customHeight="1" x14ac:dyDescent="0.45">
      <c r="A142" s="211"/>
      <c r="B142" s="212">
        <v>2</v>
      </c>
      <c r="C142" s="171" t="s">
        <v>135</v>
      </c>
      <c r="D142" s="171" t="s">
        <v>136</v>
      </c>
      <c r="E142" s="171" t="s">
        <v>174</v>
      </c>
      <c r="F142" s="171"/>
      <c r="G142" s="171"/>
      <c r="H142" s="196"/>
      <c r="I142" s="196"/>
      <c r="J142" s="15"/>
      <c r="K142" s="16"/>
      <c r="L142" s="196"/>
      <c r="M142" s="171"/>
      <c r="N142" s="211" t="s">
        <v>1122</v>
      </c>
      <c r="O142" s="171" t="s">
        <v>1123</v>
      </c>
      <c r="P142" s="211" t="s">
        <v>1124</v>
      </c>
      <c r="Q142" s="211" t="s">
        <v>1125</v>
      </c>
      <c r="R142" s="61" t="s">
        <v>1126</v>
      </c>
      <c r="S142" s="211" t="s">
        <v>340</v>
      </c>
      <c r="T142" s="171"/>
      <c r="U142" s="171"/>
      <c r="V142" s="171"/>
      <c r="W142" s="211">
        <v>1981</v>
      </c>
      <c r="X142" s="261">
        <v>1981</v>
      </c>
      <c r="Y142" s="211"/>
      <c r="Z142" s="171"/>
      <c r="AA142" s="171"/>
      <c r="AB142" s="171"/>
      <c r="AC142" s="171"/>
      <c r="AD142" s="171"/>
      <c r="AE142" s="171"/>
      <c r="AF142" s="171"/>
      <c r="AG142" s="171"/>
      <c r="AH142" s="171"/>
      <c r="AI142" s="171"/>
      <c r="AJ142" s="171"/>
      <c r="AK142" s="261">
        <v>1</v>
      </c>
      <c r="AL142" s="271"/>
      <c r="AM142" s="327"/>
      <c r="AN142" s="310"/>
      <c r="AO142" s="310"/>
      <c r="AP142" s="310"/>
      <c r="AQ142" s="310"/>
      <c r="AR142" s="312"/>
      <c r="AS142" s="339"/>
      <c r="AT142" s="342"/>
    </row>
    <row r="143" spans="1:46" s="7" customFormat="1" ht="51" hidden="1" x14ac:dyDescent="0.45">
      <c r="A143" s="182"/>
      <c r="B143" s="185">
        <v>2</v>
      </c>
      <c r="C143" s="175" t="s">
        <v>135</v>
      </c>
      <c r="D143" s="175" t="s">
        <v>136</v>
      </c>
      <c r="E143" s="175"/>
      <c r="F143" s="175"/>
      <c r="G143" s="175"/>
      <c r="H143" s="174" t="s">
        <v>1127</v>
      </c>
      <c r="I143" s="174" t="s">
        <v>1128</v>
      </c>
      <c r="J143" s="197"/>
      <c r="K143" s="197"/>
      <c r="L143" s="174"/>
      <c r="M143" s="191" t="s">
        <v>544</v>
      </c>
      <c r="N143" s="182" t="s">
        <v>1129</v>
      </c>
      <c r="O143" s="175" t="s">
        <v>1130</v>
      </c>
      <c r="P143" s="175" t="s">
        <v>1124</v>
      </c>
      <c r="Q143" s="182" t="s">
        <v>1125</v>
      </c>
      <c r="R143" s="50" t="s">
        <v>1126</v>
      </c>
      <c r="S143" s="182" t="s">
        <v>340</v>
      </c>
      <c r="T143" s="175" t="s">
        <v>169</v>
      </c>
      <c r="U143" s="175" t="s">
        <v>170</v>
      </c>
      <c r="V143" s="175" t="s">
        <v>171</v>
      </c>
      <c r="W143" s="182">
        <v>1980</v>
      </c>
      <c r="X143" s="255">
        <f>X142*35%</f>
        <v>693.34999999999991</v>
      </c>
      <c r="Y143" s="182"/>
      <c r="Z143" s="175"/>
      <c r="AA143" s="175"/>
      <c r="AB143" s="175"/>
      <c r="AC143" s="175"/>
      <c r="AD143" s="175"/>
      <c r="AE143" s="175"/>
      <c r="AF143" s="175"/>
      <c r="AG143" s="175"/>
      <c r="AH143" s="175"/>
      <c r="AI143" s="175"/>
      <c r="AJ143" s="175"/>
      <c r="AK143" s="255">
        <v>1</v>
      </c>
      <c r="AL143" s="271"/>
      <c r="AM143" s="277">
        <f t="shared" si="24"/>
        <v>0</v>
      </c>
      <c r="AN143" s="279">
        <f t="shared" si="25"/>
        <v>0</v>
      </c>
      <c r="AO143" s="279">
        <f>(AE143*P2_Reinigen_Lichtkoepel_50X50)+('Perceel 1'!AF143*P2_Reinigen_Lichtkoepel_60x200)+('Perceel 1'!AG143*P2_Reinigen_Lichtkoepel_180x180)+('Perceel 1'!AH143*P2_Reinigen_Lichtstraten_groter_dan_180x180)</f>
        <v>0</v>
      </c>
      <c r="AP143" s="279"/>
      <c r="AQ143" s="279">
        <f>('Perceel 1'!X143+'Perceel 1'!Y143)*P2_Inspecteren_daken_en_goten_1x_per_jaar_gelijktijdig_met_reiniging_inclusief_inspectierapport_en_een_managementrapport</f>
        <v>0</v>
      </c>
      <c r="AR143" s="312"/>
      <c r="AS143" s="332">
        <f t="shared" si="26"/>
        <v>0</v>
      </c>
      <c r="AT143" s="336">
        <f t="shared" si="27"/>
        <v>0</v>
      </c>
    </row>
    <row r="144" spans="1:46" s="7" customFormat="1" ht="25.5" hidden="1" customHeight="1" x14ac:dyDescent="0.45">
      <c r="A144" s="182"/>
      <c r="B144" s="185">
        <v>2</v>
      </c>
      <c r="C144" s="175" t="s">
        <v>135</v>
      </c>
      <c r="D144" s="175" t="s">
        <v>174</v>
      </c>
      <c r="E144" s="175"/>
      <c r="F144" s="175"/>
      <c r="G144" s="175"/>
      <c r="H144" s="174" t="s">
        <v>1131</v>
      </c>
      <c r="I144" s="174" t="s">
        <v>1132</v>
      </c>
      <c r="J144" s="197"/>
      <c r="K144" s="197"/>
      <c r="L144" s="174"/>
      <c r="M144" s="175" t="s">
        <v>349</v>
      </c>
      <c r="N144" s="182" t="s">
        <v>1133</v>
      </c>
      <c r="O144" s="175" t="s">
        <v>1134</v>
      </c>
      <c r="P144" s="182" t="s">
        <v>1124</v>
      </c>
      <c r="Q144" s="182" t="s">
        <v>1125</v>
      </c>
      <c r="R144" s="50" t="s">
        <v>1126</v>
      </c>
      <c r="S144" s="182" t="s">
        <v>340</v>
      </c>
      <c r="T144" s="175" t="s">
        <v>1135</v>
      </c>
      <c r="U144" s="175" t="s">
        <v>1136</v>
      </c>
      <c r="V144" s="187" t="s">
        <v>1137</v>
      </c>
      <c r="W144" s="182">
        <v>1981</v>
      </c>
      <c r="X144" s="255">
        <f>X142*65%</f>
        <v>1287.6500000000001</v>
      </c>
      <c r="Y144" s="182"/>
      <c r="Z144" s="175"/>
      <c r="AA144" s="175"/>
      <c r="AB144" s="175"/>
      <c r="AC144" s="175"/>
      <c r="AD144" s="175"/>
      <c r="AE144" s="175"/>
      <c r="AF144" s="175"/>
      <c r="AG144" s="175"/>
      <c r="AH144" s="175"/>
      <c r="AI144" s="175"/>
      <c r="AJ144" s="175"/>
      <c r="AK144" s="255">
        <v>1</v>
      </c>
      <c r="AL144" s="271"/>
      <c r="AM144" s="277">
        <f t="shared" si="24"/>
        <v>0</v>
      </c>
      <c r="AN144" s="279">
        <f t="shared" si="25"/>
        <v>0</v>
      </c>
      <c r="AO144" s="279">
        <f>(AE144*P2_Reinigen_Lichtkoepel_50X50)+('Perceel 1'!AF144*P2_Reinigen_Lichtkoepel_60x200)+('Perceel 1'!AG144*P2_Reinigen_Lichtkoepel_180x180)+('Perceel 1'!AH144*P2_Reinigen_Lichtstraten_groter_dan_180x180)</f>
        <v>0</v>
      </c>
      <c r="AP144" s="279"/>
      <c r="AQ144" s="279">
        <f>('Perceel 1'!X144+'Perceel 1'!Y144)*P2_Inspecteren_daken_en_goten_1x_per_jaar_gelijktijdig_met_reiniging_inclusief_inspectierapport_en_een_managementrapport</f>
        <v>0</v>
      </c>
      <c r="AR144" s="312"/>
      <c r="AS144" s="332">
        <f t="shared" si="26"/>
        <v>0</v>
      </c>
      <c r="AT144" s="336">
        <f t="shared" si="27"/>
        <v>0</v>
      </c>
    </row>
    <row r="145" spans="1:46" s="7" customFormat="1" ht="51" hidden="1" x14ac:dyDescent="0.45">
      <c r="A145" s="155"/>
      <c r="B145" s="165">
        <v>2</v>
      </c>
      <c r="C145" s="156" t="s">
        <v>135</v>
      </c>
      <c r="D145" s="156" t="s">
        <v>136</v>
      </c>
      <c r="E145" s="156"/>
      <c r="F145" s="156"/>
      <c r="G145" s="156"/>
      <c r="H145" s="151" t="s">
        <v>1138</v>
      </c>
      <c r="I145" s="151" t="s">
        <v>1139</v>
      </c>
      <c r="J145" s="157"/>
      <c r="K145" s="163"/>
      <c r="L145" s="163" t="s">
        <v>154</v>
      </c>
      <c r="M145" s="166" t="s">
        <v>544</v>
      </c>
      <c r="N145" s="160" t="s">
        <v>1140</v>
      </c>
      <c r="O145" s="159" t="s">
        <v>1141</v>
      </c>
      <c r="P145" s="160" t="s">
        <v>1142</v>
      </c>
      <c r="Q145" s="160" t="s">
        <v>1143</v>
      </c>
      <c r="R145" s="53" t="s">
        <v>1144</v>
      </c>
      <c r="S145" s="160" t="s">
        <v>340</v>
      </c>
      <c r="T145" s="159" t="s">
        <v>169</v>
      </c>
      <c r="U145" s="159" t="s">
        <v>170</v>
      </c>
      <c r="V145" s="176" t="s">
        <v>171</v>
      </c>
      <c r="W145" s="152">
        <v>1986</v>
      </c>
      <c r="X145" s="152">
        <v>952</v>
      </c>
      <c r="Y145" s="152"/>
      <c r="Z145" s="177" t="s">
        <v>311</v>
      </c>
      <c r="AA145" s="177"/>
      <c r="AB145" s="177"/>
      <c r="AC145" s="177"/>
      <c r="AD145" s="177"/>
      <c r="AE145" s="177"/>
      <c r="AF145" s="177"/>
      <c r="AG145" s="177"/>
      <c r="AH145" s="177"/>
      <c r="AI145" s="177"/>
      <c r="AJ145" s="177"/>
      <c r="AK145" s="257">
        <v>1</v>
      </c>
      <c r="AL145" s="271"/>
      <c r="AM145" s="277">
        <f t="shared" si="24"/>
        <v>0</v>
      </c>
      <c r="AN145" s="279">
        <f t="shared" si="25"/>
        <v>0</v>
      </c>
      <c r="AO145" s="279">
        <f>(AE145*P2_Reinigen_Lichtkoepel_50X50)+('Perceel 1'!AF145*P2_Reinigen_Lichtkoepel_60x200)+('Perceel 1'!AG145*P2_Reinigen_Lichtkoepel_180x180)+('Perceel 1'!AH145*P2_Reinigen_Lichtstraten_groter_dan_180x180)</f>
        <v>0</v>
      </c>
      <c r="AP145" s="279"/>
      <c r="AQ145" s="279">
        <f>('Perceel 1'!X145+'Perceel 1'!Y145)*P2_Inspecteren_daken_en_goten_1x_per_jaar_gelijktijdig_met_reiniging_inclusief_inspectierapport_en_een_managementrapport</f>
        <v>0</v>
      </c>
      <c r="AR145" s="312"/>
      <c r="AS145" s="332">
        <f t="shared" si="26"/>
        <v>0</v>
      </c>
      <c r="AT145" s="336">
        <f t="shared" si="27"/>
        <v>0</v>
      </c>
    </row>
    <row r="146" spans="1:46" s="7" customFormat="1" ht="25.5" hidden="1" customHeight="1" x14ac:dyDescent="0.45">
      <c r="A146" s="155"/>
      <c r="B146" s="152">
        <v>2</v>
      </c>
      <c r="C146" s="156" t="s">
        <v>135</v>
      </c>
      <c r="D146" s="156" t="s">
        <v>174</v>
      </c>
      <c r="E146" s="156"/>
      <c r="F146" s="156"/>
      <c r="G146" s="156"/>
      <c r="H146" s="151" t="s">
        <v>1145</v>
      </c>
      <c r="I146" s="151" t="s">
        <v>1146</v>
      </c>
      <c r="J146" s="157"/>
      <c r="K146" s="163"/>
      <c r="L146" s="151" t="s">
        <v>348</v>
      </c>
      <c r="M146" s="159" t="s">
        <v>349</v>
      </c>
      <c r="N146" s="160" t="s">
        <v>1147</v>
      </c>
      <c r="O146" s="159" t="s">
        <v>1148</v>
      </c>
      <c r="P146" s="160" t="s">
        <v>1149</v>
      </c>
      <c r="Q146" s="160" t="s">
        <v>1150</v>
      </c>
      <c r="R146" s="53" t="s">
        <v>1144</v>
      </c>
      <c r="S146" s="160" t="s">
        <v>340</v>
      </c>
      <c r="T146" s="159" t="s">
        <v>1151</v>
      </c>
      <c r="U146" s="159" t="s">
        <v>1152</v>
      </c>
      <c r="V146" s="176" t="s">
        <v>1153</v>
      </c>
      <c r="W146" s="152">
        <v>1986</v>
      </c>
      <c r="X146" s="152">
        <v>1177</v>
      </c>
      <c r="Y146" s="152"/>
      <c r="Z146" s="177"/>
      <c r="AA146" s="177"/>
      <c r="AB146" s="177"/>
      <c r="AC146" s="177"/>
      <c r="AD146" s="177"/>
      <c r="AE146" s="177"/>
      <c r="AF146" s="177"/>
      <c r="AG146" s="177"/>
      <c r="AH146" s="177"/>
      <c r="AI146" s="177"/>
      <c r="AJ146" s="177"/>
      <c r="AK146" s="257">
        <v>1</v>
      </c>
      <c r="AL146" s="271"/>
      <c r="AM146" s="277">
        <f t="shared" si="24"/>
        <v>0</v>
      </c>
      <c r="AN146" s="279">
        <f t="shared" si="25"/>
        <v>0</v>
      </c>
      <c r="AO146" s="279">
        <f>(AE146*P2_Reinigen_Lichtkoepel_50X50)+('Perceel 1'!AF146*P2_Reinigen_Lichtkoepel_60x200)+('Perceel 1'!AG146*P2_Reinigen_Lichtkoepel_180x180)+('Perceel 1'!AH146*P2_Reinigen_Lichtstraten_groter_dan_180x180)</f>
        <v>0</v>
      </c>
      <c r="AP146" s="279"/>
      <c r="AQ146" s="279">
        <f>('Perceel 1'!X146+'Perceel 1'!Y146)*P2_Inspecteren_daken_en_goten_1x_per_jaar_gelijktijdig_met_reiniging_inclusief_inspectierapport_en_een_managementrapport</f>
        <v>0</v>
      </c>
      <c r="AR146" s="312"/>
      <c r="AS146" s="332">
        <f t="shared" si="26"/>
        <v>0</v>
      </c>
      <c r="AT146" s="336">
        <f t="shared" si="27"/>
        <v>0</v>
      </c>
    </row>
    <row r="147" spans="1:46" s="7" customFormat="1" ht="63.75" hidden="1" customHeight="1" x14ac:dyDescent="0.45">
      <c r="A147" s="211"/>
      <c r="B147" s="212">
        <v>2</v>
      </c>
      <c r="C147" s="171" t="s">
        <v>135</v>
      </c>
      <c r="D147" s="171" t="s">
        <v>174</v>
      </c>
      <c r="E147" s="171"/>
      <c r="F147" s="171"/>
      <c r="G147" s="171"/>
      <c r="H147" s="196"/>
      <c r="I147" s="196"/>
      <c r="J147" s="15"/>
      <c r="K147" s="16"/>
      <c r="L147" s="196" t="s">
        <v>348</v>
      </c>
      <c r="M147" s="171" t="s">
        <v>349</v>
      </c>
      <c r="N147" s="171" t="s">
        <v>1154</v>
      </c>
      <c r="O147" s="171" t="s">
        <v>1155</v>
      </c>
      <c r="P147" s="211" t="s">
        <v>1156</v>
      </c>
      <c r="Q147" s="211" t="s">
        <v>1157</v>
      </c>
      <c r="R147" s="58" t="s">
        <v>1158</v>
      </c>
      <c r="S147" s="211" t="s">
        <v>340</v>
      </c>
      <c r="T147" s="171"/>
      <c r="U147" s="171"/>
      <c r="V147" s="171"/>
      <c r="W147" s="211">
        <v>1985</v>
      </c>
      <c r="X147" s="261">
        <v>4390</v>
      </c>
      <c r="Y147" s="211"/>
      <c r="Z147" s="171"/>
      <c r="AA147" s="171" t="s">
        <v>150</v>
      </c>
      <c r="AB147" s="171">
        <v>16</v>
      </c>
      <c r="AC147" s="171">
        <v>76</v>
      </c>
      <c r="AD147" s="171"/>
      <c r="AE147" s="171"/>
      <c r="AF147" s="171"/>
      <c r="AG147" s="171"/>
      <c r="AH147" s="171"/>
      <c r="AI147" s="171"/>
      <c r="AJ147" s="171"/>
      <c r="AK147" s="261">
        <v>1</v>
      </c>
      <c r="AL147" s="271"/>
      <c r="AM147" s="327"/>
      <c r="AN147" s="310"/>
      <c r="AO147" s="310"/>
      <c r="AP147" s="310"/>
      <c r="AQ147" s="310"/>
      <c r="AR147" s="305"/>
      <c r="AS147" s="339"/>
      <c r="AT147" s="342"/>
    </row>
    <row r="148" spans="1:46" s="7" customFormat="1" ht="76.5" hidden="1" customHeight="1" x14ac:dyDescent="0.45">
      <c r="A148" s="182"/>
      <c r="B148" s="185">
        <v>2</v>
      </c>
      <c r="C148" s="175" t="s">
        <v>135</v>
      </c>
      <c r="D148" s="175" t="s">
        <v>174</v>
      </c>
      <c r="E148" s="175"/>
      <c r="F148" s="175"/>
      <c r="G148" s="175"/>
      <c r="H148" s="174" t="s">
        <v>1159</v>
      </c>
      <c r="I148" s="174" t="s">
        <v>1160</v>
      </c>
      <c r="J148" s="197"/>
      <c r="K148" s="197"/>
      <c r="L148" s="174"/>
      <c r="M148" s="175" t="s">
        <v>349</v>
      </c>
      <c r="N148" s="182" t="s">
        <v>1161</v>
      </c>
      <c r="O148" s="175" t="s">
        <v>1162</v>
      </c>
      <c r="P148" s="182" t="s">
        <v>1163</v>
      </c>
      <c r="Q148" s="182" t="s">
        <v>1157</v>
      </c>
      <c r="R148" s="50" t="s">
        <v>1158</v>
      </c>
      <c r="S148" s="182" t="s">
        <v>340</v>
      </c>
      <c r="T148" s="175" t="s">
        <v>1164</v>
      </c>
      <c r="U148" s="175" t="s">
        <v>1165</v>
      </c>
      <c r="V148" s="187" t="s">
        <v>1166</v>
      </c>
      <c r="W148" s="182">
        <v>1985</v>
      </c>
      <c r="X148" s="255">
        <f>X147*8.1%</f>
        <v>355.59000000000003</v>
      </c>
      <c r="Y148" s="182"/>
      <c r="Z148" s="175"/>
      <c r="AA148" s="175" t="s">
        <v>150</v>
      </c>
      <c r="AB148" s="175"/>
      <c r="AC148" s="175"/>
      <c r="AD148" s="175"/>
      <c r="AE148" s="175"/>
      <c r="AF148" s="175"/>
      <c r="AG148" s="175"/>
      <c r="AH148" s="175"/>
      <c r="AI148" s="191" t="s">
        <v>1167</v>
      </c>
      <c r="AJ148" s="191" t="s">
        <v>1168</v>
      </c>
      <c r="AK148" s="255">
        <v>1</v>
      </c>
      <c r="AL148" s="271"/>
      <c r="AM148" s="277">
        <f>X148*P2_reinigen_daken_met_vaste_dakveiligheid</f>
        <v>0</v>
      </c>
      <c r="AN148" s="279">
        <f>Y148*P2_reinigen_goten_met_vaste_dakveiligheid</f>
        <v>0</v>
      </c>
      <c r="AO148" s="279">
        <f>(AE148*P2_Reinigen_Lichtkoepel_50X50)+('Perceel 1'!AF148*P2_Reinigen_Lichtkoepel_60x200)+('Perceel 1'!AG148*P2_Reinigen_Lichtkoepel_180x180)+('Perceel 1'!AH148*P2_Reinigen_Lichtstraten_groter_dan_180x180)</f>
        <v>0</v>
      </c>
      <c r="AP148" s="279"/>
      <c r="AQ148" s="279">
        <f>('Perceel 1'!X148+'Perceel 1'!Y148)*P2_Inspecteren_daken_en_goten_1x_per_jaar_gelijktijdig_met_reiniging_inclusief_inspectierapport_en_een_managementrapport</f>
        <v>0</v>
      </c>
      <c r="AR148" s="305">
        <f>AR147*8.1%</f>
        <v>0</v>
      </c>
      <c r="AS148" s="332">
        <f t="shared" si="26"/>
        <v>0</v>
      </c>
      <c r="AT148" s="336">
        <f t="shared" si="27"/>
        <v>0</v>
      </c>
    </row>
    <row r="149" spans="1:46" s="7" customFormat="1" ht="25.5" hidden="1" customHeight="1" x14ac:dyDescent="0.45">
      <c r="A149" s="182"/>
      <c r="B149" s="185">
        <v>2</v>
      </c>
      <c r="C149" s="175" t="s">
        <v>135</v>
      </c>
      <c r="D149" s="175" t="s">
        <v>174</v>
      </c>
      <c r="E149" s="175"/>
      <c r="F149" s="175"/>
      <c r="G149" s="175"/>
      <c r="H149" s="174" t="s">
        <v>1169</v>
      </c>
      <c r="I149" s="174" t="s">
        <v>1170</v>
      </c>
      <c r="J149" s="197"/>
      <c r="K149" s="197"/>
      <c r="L149" s="174"/>
      <c r="M149" s="175" t="s">
        <v>349</v>
      </c>
      <c r="N149" s="182" t="s">
        <v>1171</v>
      </c>
      <c r="O149" s="175" t="s">
        <v>1172</v>
      </c>
      <c r="P149" s="182" t="s">
        <v>1156</v>
      </c>
      <c r="Q149" s="182" t="s">
        <v>1157</v>
      </c>
      <c r="R149" s="50" t="s">
        <v>1158</v>
      </c>
      <c r="S149" s="182" t="s">
        <v>340</v>
      </c>
      <c r="T149" s="175" t="s">
        <v>1164</v>
      </c>
      <c r="U149" s="175" t="s">
        <v>1165</v>
      </c>
      <c r="V149" s="187" t="s">
        <v>1166</v>
      </c>
      <c r="W149" s="182">
        <v>1985</v>
      </c>
      <c r="X149" s="255">
        <f>X147*83.8%</f>
        <v>3678.8199999999997</v>
      </c>
      <c r="Y149" s="182"/>
      <c r="Z149" s="175"/>
      <c r="AA149" s="175" t="s">
        <v>150</v>
      </c>
      <c r="AB149" s="175"/>
      <c r="AC149" s="175"/>
      <c r="AD149" s="175"/>
      <c r="AE149" s="175"/>
      <c r="AF149" s="175"/>
      <c r="AG149" s="175"/>
      <c r="AH149" s="175"/>
      <c r="AI149" s="175"/>
      <c r="AJ149" s="175"/>
      <c r="AK149" s="255">
        <v>1</v>
      </c>
      <c r="AL149" s="294"/>
      <c r="AM149" s="277">
        <f>X149*P2_reinigen_daken_met_vaste_dakveiligheid</f>
        <v>0</v>
      </c>
      <c r="AN149" s="279">
        <f>Y149*P2_reinigen_goten_met_vaste_dakveiligheid</f>
        <v>0</v>
      </c>
      <c r="AO149" s="279">
        <f>(AE149*P2_Reinigen_Lichtkoepel_50X50)+('Perceel 1'!AF149*P2_Reinigen_Lichtkoepel_60x200)+('Perceel 1'!AG149*P2_Reinigen_Lichtkoepel_180x180)+('Perceel 1'!AH149*P2_Reinigen_Lichtstraten_groter_dan_180x180)</f>
        <v>0</v>
      </c>
      <c r="AP149" s="279"/>
      <c r="AQ149" s="279">
        <f>('Perceel 1'!X149+'Perceel 1'!Y149)*P2_Inspecteren_daken_en_goten_1x_per_jaar_gelijktijdig_met_reiniging_inclusief_inspectierapport_en_een_managementrapport</f>
        <v>0</v>
      </c>
      <c r="AR149" s="305">
        <f>AR147*83.8%</f>
        <v>0</v>
      </c>
      <c r="AS149" s="332">
        <f t="shared" si="26"/>
        <v>0</v>
      </c>
      <c r="AT149" s="336">
        <f t="shared" si="27"/>
        <v>0</v>
      </c>
    </row>
    <row r="150" spans="1:46" s="7" customFormat="1" ht="76.5" hidden="1" customHeight="1" x14ac:dyDescent="0.45">
      <c r="A150" s="182"/>
      <c r="B150" s="181">
        <v>2</v>
      </c>
      <c r="C150" s="175" t="s">
        <v>135</v>
      </c>
      <c r="D150" s="175" t="s">
        <v>174</v>
      </c>
      <c r="E150" s="175"/>
      <c r="F150" s="175"/>
      <c r="G150" s="175"/>
      <c r="H150" s="175" t="s">
        <v>1159</v>
      </c>
      <c r="I150" s="197" t="s">
        <v>1160</v>
      </c>
      <c r="J150" s="197"/>
      <c r="K150" s="197"/>
      <c r="L150" s="197"/>
      <c r="M150" s="174" t="s">
        <v>349</v>
      </c>
      <c r="N150" s="175" t="s">
        <v>1161</v>
      </c>
      <c r="O150" s="175" t="s">
        <v>1173</v>
      </c>
      <c r="P150" s="175" t="s">
        <v>1174</v>
      </c>
      <c r="Q150" s="175" t="s">
        <v>1157</v>
      </c>
      <c r="R150" s="47" t="s">
        <v>1158</v>
      </c>
      <c r="S150" s="175" t="s">
        <v>340</v>
      </c>
      <c r="T150" s="175" t="s">
        <v>1164</v>
      </c>
      <c r="U150" s="175" t="s">
        <v>1165</v>
      </c>
      <c r="V150" s="187" t="s">
        <v>1166</v>
      </c>
      <c r="W150" s="182">
        <v>1985</v>
      </c>
      <c r="X150" s="255">
        <f>X147*8.1%</f>
        <v>355.59000000000003</v>
      </c>
      <c r="Y150" s="182"/>
      <c r="Z150" s="175"/>
      <c r="AA150" s="175" t="s">
        <v>150</v>
      </c>
      <c r="AB150" s="175"/>
      <c r="AC150" s="175"/>
      <c r="AD150" s="175"/>
      <c r="AE150" s="175"/>
      <c r="AF150" s="175"/>
      <c r="AG150" s="175"/>
      <c r="AH150" s="175"/>
      <c r="AI150" s="191" t="s">
        <v>1167</v>
      </c>
      <c r="AJ150" s="191" t="s">
        <v>1168</v>
      </c>
      <c r="AK150" s="255">
        <v>1</v>
      </c>
      <c r="AL150" s="271"/>
      <c r="AM150" s="277">
        <f>X150*P2_reinigen_daken_met_vaste_dakveiligheid</f>
        <v>0</v>
      </c>
      <c r="AN150" s="279">
        <f>Y150*P2_reinigen_goten_met_vaste_dakveiligheid</f>
        <v>0</v>
      </c>
      <c r="AO150" s="279">
        <f>(AE150*P2_Reinigen_Lichtkoepel_50X50)+('Perceel 1'!AF150*P2_Reinigen_Lichtkoepel_60x200)+('Perceel 1'!AG150*P2_Reinigen_Lichtkoepel_180x180)+('Perceel 1'!AH150*P2_Reinigen_Lichtstraten_groter_dan_180x180)</f>
        <v>0</v>
      </c>
      <c r="AP150" s="279"/>
      <c r="AQ150" s="279">
        <f>('Perceel 1'!X150+'Perceel 1'!Y150)*P2_Inspecteren_daken_en_goten_1x_per_jaar_gelijktijdig_met_reiniging_inclusief_inspectierapport_en_een_managementrapport</f>
        <v>0</v>
      </c>
      <c r="AR150" s="305">
        <f>AR147*8.1%</f>
        <v>0</v>
      </c>
      <c r="AS150" s="332">
        <f t="shared" si="26"/>
        <v>0</v>
      </c>
      <c r="AT150" s="336">
        <f t="shared" si="27"/>
        <v>0</v>
      </c>
    </row>
    <row r="151" spans="1:46" s="7" customFormat="1" ht="25.5" hidden="1" customHeight="1" x14ac:dyDescent="0.45">
      <c r="A151" s="161"/>
      <c r="B151" s="152">
        <v>2</v>
      </c>
      <c r="C151" s="156" t="s">
        <v>135</v>
      </c>
      <c r="D151" s="156" t="s">
        <v>174</v>
      </c>
      <c r="E151" s="156"/>
      <c r="F151" s="156"/>
      <c r="G151" s="156"/>
      <c r="H151" s="159" t="s">
        <v>1175</v>
      </c>
      <c r="I151" s="159" t="s">
        <v>1176</v>
      </c>
      <c r="J151" s="229"/>
      <c r="K151" s="166"/>
      <c r="L151" s="151" t="s">
        <v>348</v>
      </c>
      <c r="M151" s="159" t="s">
        <v>349</v>
      </c>
      <c r="N151" s="159" t="s">
        <v>1177</v>
      </c>
      <c r="O151" s="159" t="s">
        <v>1178</v>
      </c>
      <c r="P151" s="159" t="s">
        <v>1179</v>
      </c>
      <c r="Q151" s="159" t="s">
        <v>1180</v>
      </c>
      <c r="R151" s="42" t="s">
        <v>1126</v>
      </c>
      <c r="S151" s="159" t="s">
        <v>340</v>
      </c>
      <c r="T151" s="159" t="s">
        <v>1181</v>
      </c>
      <c r="U151" s="159" t="s">
        <v>1182</v>
      </c>
      <c r="V151" s="176" t="s">
        <v>1183</v>
      </c>
      <c r="W151" s="177">
        <v>1982</v>
      </c>
      <c r="X151" s="177">
        <v>1107</v>
      </c>
      <c r="Y151" s="177"/>
      <c r="Z151" s="177"/>
      <c r="AA151" s="177"/>
      <c r="AB151" s="177"/>
      <c r="AC151" s="177"/>
      <c r="AD151" s="177"/>
      <c r="AE151" s="177"/>
      <c r="AF151" s="177"/>
      <c r="AG151" s="177"/>
      <c r="AH151" s="177"/>
      <c r="AI151" s="177"/>
      <c r="AJ151" s="177"/>
      <c r="AK151" s="177">
        <v>1</v>
      </c>
      <c r="AL151" s="276"/>
      <c r="AM151" s="277">
        <f t="shared" ref="AM151:AM157" si="28">X151*P2_Reinigen_daken_incl._extra_maatregelen_veilig_werken_volgens_VCA__eventuele_vergunningen_leges___voorrijkosten__adminstratieve_kosten__fotorapportage_en_kleine_reparaties</f>
        <v>0</v>
      </c>
      <c r="AN151" s="279">
        <f t="shared" ref="AN151:AN157" si="29">Y151*P2_Reinigen_goten_incl._extra_maatregelen_veilig_werken_volgens_VCA__eventuele_vergunningen_leges___voorrijkosten__adminstratieve_kosten__fotorapportage_en_kleine_reparaties</f>
        <v>0</v>
      </c>
      <c r="AO151" s="279">
        <f>(AE151*P2_Reinigen_Lichtkoepel_50X50)+('Perceel 1'!AF151*P2_Reinigen_Lichtkoepel_60x200)+('Perceel 1'!AG151*P2_Reinigen_Lichtkoepel_180x180)+('Perceel 1'!AH151*P2_Reinigen_Lichtstraten_groter_dan_180x180)</f>
        <v>0</v>
      </c>
      <c r="AP151" s="279"/>
      <c r="AQ151" s="279">
        <f>('Perceel 1'!X151+'Perceel 1'!Y151)*P2_Inspecteren_daken_en_goten_1x_per_jaar_gelijktijdig_met_reiniging_inclusief_inspectierapport_en_een_managementrapport</f>
        <v>0</v>
      </c>
      <c r="AR151" s="312"/>
      <c r="AS151" s="332">
        <f t="shared" si="26"/>
        <v>0</v>
      </c>
      <c r="AT151" s="336">
        <f t="shared" si="27"/>
        <v>0</v>
      </c>
    </row>
    <row r="152" spans="1:46" s="7" customFormat="1" ht="51" hidden="1" x14ac:dyDescent="0.45">
      <c r="A152" s="155"/>
      <c r="B152" s="165">
        <v>2</v>
      </c>
      <c r="C152" s="156" t="s">
        <v>135</v>
      </c>
      <c r="D152" s="156" t="s">
        <v>136</v>
      </c>
      <c r="E152" s="156"/>
      <c r="F152" s="156"/>
      <c r="G152" s="156"/>
      <c r="H152" s="151" t="s">
        <v>1184</v>
      </c>
      <c r="I152" s="151" t="s">
        <v>1185</v>
      </c>
      <c r="J152" s="157"/>
      <c r="K152" s="163"/>
      <c r="L152" s="163" t="s">
        <v>154</v>
      </c>
      <c r="M152" s="166" t="s">
        <v>544</v>
      </c>
      <c r="N152" s="160" t="s">
        <v>1186</v>
      </c>
      <c r="O152" s="159" t="s">
        <v>1187</v>
      </c>
      <c r="P152" s="160" t="s">
        <v>1188</v>
      </c>
      <c r="Q152" s="160" t="s">
        <v>1189</v>
      </c>
      <c r="R152" s="53" t="s">
        <v>1126</v>
      </c>
      <c r="S152" s="160" t="s">
        <v>340</v>
      </c>
      <c r="T152" s="159" t="s">
        <v>169</v>
      </c>
      <c r="U152" s="159" t="s">
        <v>170</v>
      </c>
      <c r="V152" s="176" t="s">
        <v>171</v>
      </c>
      <c r="W152" s="152">
        <v>1980</v>
      </c>
      <c r="X152" s="152">
        <v>494</v>
      </c>
      <c r="Y152" s="152"/>
      <c r="Z152" s="177" t="s">
        <v>311</v>
      </c>
      <c r="AA152" s="177"/>
      <c r="AB152" s="177"/>
      <c r="AC152" s="177"/>
      <c r="AD152" s="177"/>
      <c r="AE152" s="177"/>
      <c r="AF152" s="177"/>
      <c r="AG152" s="177"/>
      <c r="AH152" s="177"/>
      <c r="AI152" s="177"/>
      <c r="AJ152" s="177"/>
      <c r="AK152" s="257">
        <v>1</v>
      </c>
      <c r="AL152" s="271"/>
      <c r="AM152" s="277">
        <f t="shared" si="28"/>
        <v>0</v>
      </c>
      <c r="AN152" s="279">
        <f t="shared" si="29"/>
        <v>0</v>
      </c>
      <c r="AO152" s="279">
        <f>(AE152*P2_Reinigen_Lichtkoepel_50X50)+('Perceel 1'!AF152*P2_Reinigen_Lichtkoepel_60x200)+('Perceel 1'!AG152*P2_Reinigen_Lichtkoepel_180x180)+('Perceel 1'!AH152*P2_Reinigen_Lichtstraten_groter_dan_180x180)</f>
        <v>0</v>
      </c>
      <c r="AP152" s="279"/>
      <c r="AQ152" s="279">
        <f>('Perceel 1'!X152+'Perceel 1'!Y152)*P2_Inspecteren_daken_en_goten_1x_per_jaar_gelijktijdig_met_reiniging_inclusief_inspectierapport_en_een_managementrapport</f>
        <v>0</v>
      </c>
      <c r="AR152" s="312"/>
      <c r="AS152" s="332">
        <f t="shared" si="26"/>
        <v>0</v>
      </c>
      <c r="AT152" s="336">
        <f t="shared" si="27"/>
        <v>0</v>
      </c>
    </row>
    <row r="153" spans="1:46" s="7" customFormat="1" ht="51" hidden="1" customHeight="1" x14ac:dyDescent="0.45">
      <c r="A153" s="155"/>
      <c r="B153" s="165">
        <v>2</v>
      </c>
      <c r="C153" s="156" t="s">
        <v>135</v>
      </c>
      <c r="D153" s="156" t="s">
        <v>861</v>
      </c>
      <c r="E153" s="156"/>
      <c r="F153" s="156"/>
      <c r="G153" s="156"/>
      <c r="H153" s="151" t="s">
        <v>1190</v>
      </c>
      <c r="I153" s="151" t="s">
        <v>1191</v>
      </c>
      <c r="J153" s="157"/>
      <c r="K153" s="163"/>
      <c r="L153" s="151" t="s">
        <v>280</v>
      </c>
      <c r="M153" s="159" t="s">
        <v>669</v>
      </c>
      <c r="N153" s="159" t="s">
        <v>1192</v>
      </c>
      <c r="O153" s="159" t="s">
        <v>1193</v>
      </c>
      <c r="P153" s="160" t="s">
        <v>1194</v>
      </c>
      <c r="Q153" s="160" t="s">
        <v>1195</v>
      </c>
      <c r="R153" s="53" t="s">
        <v>1126</v>
      </c>
      <c r="S153" s="160" t="s">
        <v>340</v>
      </c>
      <c r="T153" s="159" t="s">
        <v>1196</v>
      </c>
      <c r="U153" s="159" t="s">
        <v>1197</v>
      </c>
      <c r="V153" s="176" t="s">
        <v>1198</v>
      </c>
      <c r="W153" s="152">
        <v>2008</v>
      </c>
      <c r="X153" s="152">
        <v>85</v>
      </c>
      <c r="Y153" s="152"/>
      <c r="Z153" s="177" t="s">
        <v>311</v>
      </c>
      <c r="AA153" s="177"/>
      <c r="AB153" s="177"/>
      <c r="AC153" s="177"/>
      <c r="AD153" s="177"/>
      <c r="AE153" s="177"/>
      <c r="AF153" s="177"/>
      <c r="AG153" s="177"/>
      <c r="AH153" s="177"/>
      <c r="AI153" s="177"/>
      <c r="AJ153" s="177"/>
      <c r="AK153" s="257">
        <v>1</v>
      </c>
      <c r="AL153" s="271"/>
      <c r="AM153" s="277">
        <f t="shared" si="28"/>
        <v>0</v>
      </c>
      <c r="AN153" s="279">
        <f t="shared" si="29"/>
        <v>0</v>
      </c>
      <c r="AO153" s="279">
        <f>(AE153*P2_Reinigen_Lichtkoepel_50X50)+('Perceel 1'!AF153*P2_Reinigen_Lichtkoepel_60x200)+('Perceel 1'!AG153*P2_Reinigen_Lichtkoepel_180x180)+('Perceel 1'!AH153*P2_Reinigen_Lichtstraten_groter_dan_180x180)</f>
        <v>0</v>
      </c>
      <c r="AP153" s="279"/>
      <c r="AQ153" s="279">
        <f>('Perceel 1'!X153+'Perceel 1'!Y153)*P2_Inspecteren_daken_en_goten_1x_per_jaar_gelijktijdig_met_reiniging_inclusief_inspectierapport_en_een_managementrapport</f>
        <v>0</v>
      </c>
      <c r="AR153" s="312"/>
      <c r="AS153" s="332">
        <f t="shared" si="26"/>
        <v>0</v>
      </c>
      <c r="AT153" s="336">
        <f t="shared" si="27"/>
        <v>0</v>
      </c>
    </row>
    <row r="154" spans="1:46" s="7" customFormat="1" ht="76.5" hidden="1" customHeight="1" x14ac:dyDescent="0.45">
      <c r="A154" s="161"/>
      <c r="B154" s="152">
        <v>2</v>
      </c>
      <c r="C154" s="156" t="s">
        <v>135</v>
      </c>
      <c r="D154" s="156" t="s">
        <v>136</v>
      </c>
      <c r="E154" s="156"/>
      <c r="F154" s="156"/>
      <c r="G154" s="156"/>
      <c r="H154" s="192" t="s">
        <v>1199</v>
      </c>
      <c r="I154" s="192" t="s">
        <v>1200</v>
      </c>
      <c r="J154" s="157"/>
      <c r="K154" s="163"/>
      <c r="L154" s="151" t="s">
        <v>348</v>
      </c>
      <c r="M154" s="159" t="s">
        <v>349</v>
      </c>
      <c r="N154" s="159" t="s">
        <v>1201</v>
      </c>
      <c r="O154" s="159" t="s">
        <v>1202</v>
      </c>
      <c r="P154" s="159" t="s">
        <v>1203</v>
      </c>
      <c r="Q154" s="159" t="s">
        <v>1204</v>
      </c>
      <c r="R154" s="42" t="s">
        <v>1126</v>
      </c>
      <c r="S154" s="159" t="s">
        <v>340</v>
      </c>
      <c r="T154" s="159" t="s">
        <v>1205</v>
      </c>
      <c r="U154" s="159" t="s">
        <v>1206</v>
      </c>
      <c r="V154" s="176" t="s">
        <v>1207</v>
      </c>
      <c r="W154" s="177">
        <v>1980</v>
      </c>
      <c r="X154" s="177">
        <f>1100+16</f>
        <v>1116</v>
      </c>
      <c r="Y154" s="177"/>
      <c r="Z154" s="177"/>
      <c r="AA154" s="177"/>
      <c r="AB154" s="177"/>
      <c r="AC154" s="177"/>
      <c r="AD154" s="177"/>
      <c r="AE154" s="177"/>
      <c r="AF154" s="177"/>
      <c r="AG154" s="177"/>
      <c r="AH154" s="177"/>
      <c r="AI154" s="177"/>
      <c r="AJ154" s="177"/>
      <c r="AK154" s="177">
        <v>1</v>
      </c>
      <c r="AL154" s="272"/>
      <c r="AM154" s="277">
        <f t="shared" si="28"/>
        <v>0</v>
      </c>
      <c r="AN154" s="279">
        <f t="shared" si="29"/>
        <v>0</v>
      </c>
      <c r="AO154" s="279">
        <f>(AE154*P2_Reinigen_Lichtkoepel_50X50)+('Perceel 1'!AF154*P2_Reinigen_Lichtkoepel_60x200)+('Perceel 1'!AG154*P2_Reinigen_Lichtkoepel_180x180)+('Perceel 1'!AH154*P2_Reinigen_Lichtstraten_groter_dan_180x180)</f>
        <v>0</v>
      </c>
      <c r="AP154" s="279"/>
      <c r="AQ154" s="279">
        <f>('Perceel 1'!X154+'Perceel 1'!Y154)*P2_Inspecteren_daken_en_goten_1x_per_jaar_gelijktijdig_met_reiniging_inclusief_inspectierapport_en_een_managementrapport</f>
        <v>0</v>
      </c>
      <c r="AR154" s="312"/>
      <c r="AS154" s="332">
        <f t="shared" si="26"/>
        <v>0</v>
      </c>
      <c r="AT154" s="336">
        <f t="shared" si="27"/>
        <v>0</v>
      </c>
    </row>
    <row r="155" spans="1:46" s="7" customFormat="1" ht="36.6" hidden="1" customHeight="1" x14ac:dyDescent="0.45">
      <c r="A155" s="155"/>
      <c r="B155" s="165">
        <v>2</v>
      </c>
      <c r="C155" s="156" t="s">
        <v>135</v>
      </c>
      <c r="D155" s="156" t="s">
        <v>136</v>
      </c>
      <c r="E155" s="156"/>
      <c r="F155" s="156"/>
      <c r="G155" s="156"/>
      <c r="H155" s="151" t="s">
        <v>1208</v>
      </c>
      <c r="I155" s="151" t="s">
        <v>1209</v>
      </c>
      <c r="J155" s="157"/>
      <c r="K155" s="163"/>
      <c r="L155" s="163" t="s">
        <v>154</v>
      </c>
      <c r="M155" s="166" t="s">
        <v>544</v>
      </c>
      <c r="N155" s="160" t="s">
        <v>1210</v>
      </c>
      <c r="O155" s="159" t="s">
        <v>1211</v>
      </c>
      <c r="P155" s="160" t="s">
        <v>1212</v>
      </c>
      <c r="Q155" s="160" t="s">
        <v>1213</v>
      </c>
      <c r="R155" s="53" t="s">
        <v>1214</v>
      </c>
      <c r="S155" s="160" t="s">
        <v>340</v>
      </c>
      <c r="T155" s="159" t="s">
        <v>722</v>
      </c>
      <c r="U155" s="168" t="s">
        <v>723</v>
      </c>
      <c r="V155" s="209" t="s">
        <v>724</v>
      </c>
      <c r="W155" s="152">
        <v>1984</v>
      </c>
      <c r="X155" s="152">
        <v>1725</v>
      </c>
      <c r="Y155" s="152">
        <v>192</v>
      </c>
      <c r="Z155" s="177" t="s">
        <v>311</v>
      </c>
      <c r="AA155" s="177"/>
      <c r="AB155" s="177"/>
      <c r="AC155" s="177"/>
      <c r="AD155" s="177"/>
      <c r="AE155" s="177"/>
      <c r="AF155" s="177"/>
      <c r="AG155" s="177"/>
      <c r="AH155" s="177"/>
      <c r="AI155" s="177"/>
      <c r="AJ155" s="177"/>
      <c r="AK155" s="257">
        <v>1</v>
      </c>
      <c r="AL155" s="271"/>
      <c r="AM155" s="277">
        <f t="shared" si="28"/>
        <v>0</v>
      </c>
      <c r="AN155" s="279">
        <f t="shared" si="29"/>
        <v>0</v>
      </c>
      <c r="AO155" s="279">
        <f>(AE155*P2_Reinigen_Lichtkoepel_50X50)+('Perceel 1'!AF155*P2_Reinigen_Lichtkoepel_60x200)+('Perceel 1'!AG155*P2_Reinigen_Lichtkoepel_180x180)+('Perceel 1'!AH155*P2_Reinigen_Lichtstraten_groter_dan_180x180)</f>
        <v>0</v>
      </c>
      <c r="AP155" s="279"/>
      <c r="AQ155" s="279">
        <f>('Perceel 1'!X155+'Perceel 1'!Y155)*P2_Inspecteren_daken_en_goten_1x_per_jaar_gelijktijdig_met_reiniging_inclusief_inspectierapport_en_een_managementrapport</f>
        <v>0</v>
      </c>
      <c r="AR155" s="312"/>
      <c r="AS155" s="332">
        <f t="shared" si="26"/>
        <v>0</v>
      </c>
      <c r="AT155" s="336">
        <f t="shared" si="27"/>
        <v>192</v>
      </c>
    </row>
    <row r="156" spans="1:46" s="7" customFormat="1" ht="25.5" hidden="1" customHeight="1" x14ac:dyDescent="0.45">
      <c r="A156" s="155"/>
      <c r="B156" s="165">
        <v>2</v>
      </c>
      <c r="C156" s="156" t="s">
        <v>135</v>
      </c>
      <c r="D156" s="156" t="s">
        <v>136</v>
      </c>
      <c r="E156" s="156"/>
      <c r="F156" s="156"/>
      <c r="G156" s="156"/>
      <c r="H156" s="151" t="s">
        <v>1215</v>
      </c>
      <c r="I156" s="151" t="s">
        <v>1216</v>
      </c>
      <c r="J156" s="157"/>
      <c r="K156" s="163"/>
      <c r="L156" s="151" t="s">
        <v>139</v>
      </c>
      <c r="M156" s="159" t="s">
        <v>140</v>
      </c>
      <c r="N156" s="160" t="s">
        <v>1217</v>
      </c>
      <c r="O156" s="159" t="s">
        <v>1218</v>
      </c>
      <c r="P156" s="160" t="s">
        <v>1219</v>
      </c>
      <c r="Q156" s="160" t="s">
        <v>1220</v>
      </c>
      <c r="R156" s="53" t="s">
        <v>1158</v>
      </c>
      <c r="S156" s="160" t="s">
        <v>340</v>
      </c>
      <c r="T156" s="159" t="s">
        <v>756</v>
      </c>
      <c r="U156" s="159" t="s">
        <v>1221</v>
      </c>
      <c r="V156" s="176" t="s">
        <v>1222</v>
      </c>
      <c r="W156" s="152">
        <v>1988</v>
      </c>
      <c r="X156" s="152">
        <v>541</v>
      </c>
      <c r="Y156" s="152"/>
      <c r="Z156" s="177" t="s">
        <v>311</v>
      </c>
      <c r="AA156" s="177"/>
      <c r="AB156" s="177"/>
      <c r="AC156" s="177"/>
      <c r="AD156" s="177"/>
      <c r="AE156" s="177"/>
      <c r="AF156" s="177"/>
      <c r="AG156" s="177"/>
      <c r="AH156" s="177"/>
      <c r="AI156" s="177"/>
      <c r="AJ156" s="177"/>
      <c r="AK156" s="257">
        <v>1</v>
      </c>
      <c r="AL156" s="271"/>
      <c r="AM156" s="277">
        <f t="shared" si="28"/>
        <v>0</v>
      </c>
      <c r="AN156" s="279">
        <f t="shared" si="29"/>
        <v>0</v>
      </c>
      <c r="AO156" s="279">
        <f>(AE156*P2_Reinigen_Lichtkoepel_50X50)+('Perceel 1'!AF156*P2_Reinigen_Lichtkoepel_60x200)+('Perceel 1'!AG156*P2_Reinigen_Lichtkoepel_180x180)+('Perceel 1'!AH156*P2_Reinigen_Lichtstraten_groter_dan_180x180)</f>
        <v>0</v>
      </c>
      <c r="AP156" s="279"/>
      <c r="AQ156" s="279">
        <f>('Perceel 1'!X156+'Perceel 1'!Y156)*P2_Inspecteren_daken_en_goten_1x_per_jaar_gelijktijdig_met_reiniging_inclusief_inspectierapport_en_een_managementrapport</f>
        <v>0</v>
      </c>
      <c r="AR156" s="312"/>
      <c r="AS156" s="332">
        <f t="shared" si="26"/>
        <v>0</v>
      </c>
      <c r="AT156" s="336">
        <f t="shared" si="27"/>
        <v>0</v>
      </c>
    </row>
    <row r="157" spans="1:46" s="7" customFormat="1" ht="25.5" hidden="1" customHeight="1" x14ac:dyDescent="0.45">
      <c r="A157" s="155"/>
      <c r="B157" s="165">
        <v>2</v>
      </c>
      <c r="C157" s="156" t="s">
        <v>135</v>
      </c>
      <c r="D157" s="156" t="s">
        <v>136</v>
      </c>
      <c r="E157" s="156"/>
      <c r="F157" s="156"/>
      <c r="G157" s="156"/>
      <c r="H157" s="151" t="s">
        <v>1223</v>
      </c>
      <c r="I157" s="151" t="s">
        <v>1224</v>
      </c>
      <c r="J157" s="157"/>
      <c r="K157" s="163"/>
      <c r="L157" s="151" t="s">
        <v>139</v>
      </c>
      <c r="M157" s="159" t="s">
        <v>140</v>
      </c>
      <c r="N157" s="160" t="s">
        <v>1225</v>
      </c>
      <c r="O157" s="159" t="s">
        <v>1226</v>
      </c>
      <c r="P157" s="160" t="s">
        <v>1227</v>
      </c>
      <c r="Q157" s="160" t="s">
        <v>1228</v>
      </c>
      <c r="R157" s="53" t="s">
        <v>1126</v>
      </c>
      <c r="S157" s="160" t="s">
        <v>340</v>
      </c>
      <c r="T157" s="227" t="s">
        <v>561</v>
      </c>
      <c r="U157" s="227" t="s">
        <v>1121</v>
      </c>
      <c r="V157" s="228" t="s">
        <v>400</v>
      </c>
      <c r="W157" s="152">
        <v>1982</v>
      </c>
      <c r="X157" s="152">
        <v>632</v>
      </c>
      <c r="Y157" s="152"/>
      <c r="Z157" s="177" t="s">
        <v>311</v>
      </c>
      <c r="AA157" s="177"/>
      <c r="AB157" s="177"/>
      <c r="AC157" s="177"/>
      <c r="AD157" s="177"/>
      <c r="AE157" s="177"/>
      <c r="AF157" s="177"/>
      <c r="AG157" s="177"/>
      <c r="AH157" s="177"/>
      <c r="AI157" s="177"/>
      <c r="AJ157" s="177"/>
      <c r="AK157" s="257">
        <v>1</v>
      </c>
      <c r="AL157" s="271"/>
      <c r="AM157" s="277">
        <f t="shared" si="28"/>
        <v>0</v>
      </c>
      <c r="AN157" s="279">
        <f t="shared" si="29"/>
        <v>0</v>
      </c>
      <c r="AO157" s="279">
        <f>(AE157*P2_Reinigen_Lichtkoepel_50X50)+('Perceel 1'!AF157*P2_Reinigen_Lichtkoepel_60x200)+('Perceel 1'!AG157*P2_Reinigen_Lichtkoepel_180x180)+('Perceel 1'!AH157*P2_Reinigen_Lichtstraten_groter_dan_180x180)</f>
        <v>0</v>
      </c>
      <c r="AP157" s="279"/>
      <c r="AQ157" s="279">
        <f>('Perceel 1'!X157+'Perceel 1'!Y157)*P2_Inspecteren_daken_en_goten_1x_per_jaar_gelijktijdig_met_reiniging_inclusief_inspectierapport_en_een_managementrapport</f>
        <v>0</v>
      </c>
      <c r="AR157" s="312"/>
      <c r="AS157" s="332">
        <f t="shared" si="26"/>
        <v>0</v>
      </c>
      <c r="AT157" s="336">
        <f t="shared" si="27"/>
        <v>0</v>
      </c>
    </row>
    <row r="158" spans="1:46" s="7" customFormat="1" ht="38.25" hidden="1" x14ac:dyDescent="0.45">
      <c r="A158" s="155"/>
      <c r="B158" s="165">
        <v>2</v>
      </c>
      <c r="C158" s="156" t="s">
        <v>135</v>
      </c>
      <c r="D158" s="156" t="s">
        <v>136</v>
      </c>
      <c r="E158" s="156"/>
      <c r="F158" s="156"/>
      <c r="G158" s="156"/>
      <c r="H158" s="151" t="s">
        <v>1229</v>
      </c>
      <c r="I158" s="151" t="s">
        <v>1230</v>
      </c>
      <c r="J158" s="157"/>
      <c r="K158" s="163"/>
      <c r="L158" s="163" t="s">
        <v>154</v>
      </c>
      <c r="M158" s="166" t="s">
        <v>544</v>
      </c>
      <c r="N158" s="160" t="s">
        <v>1231</v>
      </c>
      <c r="O158" s="159" t="s">
        <v>1232</v>
      </c>
      <c r="P158" s="160" t="s">
        <v>1233</v>
      </c>
      <c r="Q158" s="160" t="s">
        <v>1228</v>
      </c>
      <c r="R158" s="53" t="s">
        <v>1126</v>
      </c>
      <c r="S158" s="160" t="s">
        <v>340</v>
      </c>
      <c r="T158" s="159" t="s">
        <v>722</v>
      </c>
      <c r="U158" s="168" t="s">
        <v>723</v>
      </c>
      <c r="V158" s="209" t="s">
        <v>724</v>
      </c>
      <c r="W158" s="152">
        <v>1981</v>
      </c>
      <c r="X158" s="152">
        <v>1698</v>
      </c>
      <c r="Y158" s="152"/>
      <c r="Z158" s="177" t="s">
        <v>311</v>
      </c>
      <c r="AA158" s="177" t="s">
        <v>150</v>
      </c>
      <c r="AB158" s="177">
        <v>22</v>
      </c>
      <c r="AC158" s="177"/>
      <c r="AD158" s="177"/>
      <c r="AE158" s="177"/>
      <c r="AF158" s="177"/>
      <c r="AG158" s="177"/>
      <c r="AH158" s="177"/>
      <c r="AI158" s="177"/>
      <c r="AJ158" s="177"/>
      <c r="AK158" s="257">
        <v>1</v>
      </c>
      <c r="AL158" s="271"/>
      <c r="AM158" s="277">
        <f>X158*P2_reinigen_daken_met_vaste_dakveiligheid</f>
        <v>0</v>
      </c>
      <c r="AN158" s="279">
        <f>Y158*P2_reinigen_goten_met_vaste_dakveiligheid</f>
        <v>0</v>
      </c>
      <c r="AO158" s="279">
        <f>(AE158*P2_Reinigen_Lichtkoepel_50X50)+('Perceel 1'!AF158*P2_Reinigen_Lichtkoepel_60x200)+('Perceel 1'!AG158*P2_Reinigen_Lichtkoepel_180x180)+('Perceel 1'!AH158*P2_Reinigen_Lichtstraten_groter_dan_180x180)</f>
        <v>0</v>
      </c>
      <c r="AP158" s="279"/>
      <c r="AQ158" s="279">
        <f>('Perceel 1'!X158+'Perceel 1'!Y158)*P2_Inspecteren_daken_en_goten_1x_per_jaar_gelijktijdig_met_reiniging_inclusief_inspectierapport_en_een_managementrapport</f>
        <v>0</v>
      </c>
      <c r="AR158" s="305"/>
      <c r="AS158" s="332">
        <f t="shared" si="26"/>
        <v>0</v>
      </c>
      <c r="AT158" s="336">
        <f t="shared" si="27"/>
        <v>0</v>
      </c>
    </row>
    <row r="159" spans="1:46" s="7" customFormat="1" ht="51" hidden="1" customHeight="1" x14ac:dyDescent="0.45">
      <c r="A159" s="155"/>
      <c r="B159" s="165">
        <v>2</v>
      </c>
      <c r="C159" s="156" t="s">
        <v>135</v>
      </c>
      <c r="D159" s="156" t="s">
        <v>136</v>
      </c>
      <c r="E159" s="156" t="s">
        <v>174</v>
      </c>
      <c r="F159" s="156" t="s">
        <v>832</v>
      </c>
      <c r="G159" s="156" t="s">
        <v>833</v>
      </c>
      <c r="H159" s="151" t="s">
        <v>1234</v>
      </c>
      <c r="I159" s="151" t="s">
        <v>1235</v>
      </c>
      <c r="J159" s="157"/>
      <c r="K159" s="163"/>
      <c r="L159" s="151" t="s">
        <v>348</v>
      </c>
      <c r="M159" s="159" t="s">
        <v>349</v>
      </c>
      <c r="N159" s="195">
        <v>5002</v>
      </c>
      <c r="O159" s="159" t="s">
        <v>1236</v>
      </c>
      <c r="P159" s="160" t="s">
        <v>1237</v>
      </c>
      <c r="Q159" s="160" t="s">
        <v>1238</v>
      </c>
      <c r="R159" s="53" t="s">
        <v>1239</v>
      </c>
      <c r="S159" s="160" t="s">
        <v>340</v>
      </c>
      <c r="T159" s="159" t="s">
        <v>1240</v>
      </c>
      <c r="U159" s="159" t="s">
        <v>1241</v>
      </c>
      <c r="V159" s="176" t="s">
        <v>1242</v>
      </c>
      <c r="W159" s="152">
        <v>2007</v>
      </c>
      <c r="X159" s="152">
        <v>2850</v>
      </c>
      <c r="Y159" s="152"/>
      <c r="Z159" s="177" t="s">
        <v>311</v>
      </c>
      <c r="AA159" s="177" t="s">
        <v>311</v>
      </c>
      <c r="AB159" s="177">
        <v>10</v>
      </c>
      <c r="AC159" s="177">
        <v>85</v>
      </c>
      <c r="AD159" s="177">
        <v>4</v>
      </c>
      <c r="AE159" s="177"/>
      <c r="AF159" s="177"/>
      <c r="AG159" s="177"/>
      <c r="AH159" s="177"/>
      <c r="AI159" s="177"/>
      <c r="AJ159" s="177"/>
      <c r="AK159" s="257">
        <v>1</v>
      </c>
      <c r="AL159" s="271"/>
      <c r="AM159" s="277">
        <f>X159*P2_reinigen_daken_met_vaste_dakveiligheid</f>
        <v>0</v>
      </c>
      <c r="AN159" s="279">
        <f>Y159*P2_reinigen_goten_met_vaste_dakveiligheid</f>
        <v>0</v>
      </c>
      <c r="AO159" s="279">
        <f>(AE159*P2_Reinigen_Lichtkoepel_50X50)+('Perceel 1'!AF159*P2_Reinigen_Lichtkoepel_60x200)+('Perceel 1'!AG159*P2_Reinigen_Lichtkoepel_180x180)+('Perceel 1'!AH159*P2_Reinigen_Lichtstraten_groter_dan_180x180)</f>
        <v>0</v>
      </c>
      <c r="AP159" s="279"/>
      <c r="AQ159" s="279">
        <f>('Perceel 1'!X159+'Perceel 1'!Y159)*P2_Inspecteren_daken_en_goten_1x_per_jaar_gelijktijdig_met_reiniging_inclusief_inspectierapport_en_een_managementrapport</f>
        <v>0</v>
      </c>
      <c r="AR159" s="305"/>
      <c r="AS159" s="332">
        <f t="shared" si="26"/>
        <v>0</v>
      </c>
      <c r="AT159" s="336">
        <f t="shared" si="27"/>
        <v>0</v>
      </c>
    </row>
    <row r="160" spans="1:46" s="7" customFormat="1" ht="28.5" hidden="1" x14ac:dyDescent="0.45">
      <c r="A160" s="231"/>
      <c r="B160" s="165">
        <v>2</v>
      </c>
      <c r="C160" s="156" t="s">
        <v>135</v>
      </c>
      <c r="D160" s="156" t="s">
        <v>136</v>
      </c>
      <c r="E160" s="156"/>
      <c r="F160" s="156"/>
      <c r="G160" s="156"/>
      <c r="H160" s="151" t="s">
        <v>1243</v>
      </c>
      <c r="I160" s="151" t="s">
        <v>1244</v>
      </c>
      <c r="J160" s="157"/>
      <c r="K160" s="163"/>
      <c r="L160" s="151" t="s">
        <v>348</v>
      </c>
      <c r="M160" s="151" t="s">
        <v>349</v>
      </c>
      <c r="N160" s="232">
        <v>1473</v>
      </c>
      <c r="O160" s="159" t="s">
        <v>1245</v>
      </c>
      <c r="P160" s="151" t="s">
        <v>1246</v>
      </c>
      <c r="Q160" s="151"/>
      <c r="R160" s="54" t="s">
        <v>1239</v>
      </c>
      <c r="S160" s="151" t="s">
        <v>340</v>
      </c>
      <c r="T160" s="159" t="s">
        <v>1247</v>
      </c>
      <c r="U160" s="159" t="s">
        <v>1248</v>
      </c>
      <c r="V160" s="179" t="s">
        <v>1249</v>
      </c>
      <c r="W160" s="152">
        <v>2015</v>
      </c>
      <c r="X160" s="152">
        <v>576</v>
      </c>
      <c r="Y160" s="152"/>
      <c r="Z160" s="152"/>
      <c r="AA160" s="152"/>
      <c r="AB160" s="152"/>
      <c r="AC160" s="152"/>
      <c r="AD160" s="152"/>
      <c r="AE160" s="152"/>
      <c r="AF160" s="152"/>
      <c r="AG160" s="152"/>
      <c r="AH160" s="152"/>
      <c r="AI160" s="152" t="s">
        <v>1017</v>
      </c>
      <c r="AJ160" s="152" t="s">
        <v>1250</v>
      </c>
      <c r="AK160" s="152">
        <v>1</v>
      </c>
      <c r="AL160" s="295"/>
      <c r="AM160" s="277">
        <f t="shared" ref="AM160:AM166" si="30">X160*P2_Reinigen_daken_incl._extra_maatregelen_veilig_werken_volgens_VCA__eventuele_vergunningen_leges___voorrijkosten__adminstratieve_kosten__fotorapportage_en_kleine_reparaties</f>
        <v>0</v>
      </c>
      <c r="AN160" s="279">
        <f t="shared" ref="AN160:AN166" si="31">Y160*P2_Reinigen_goten_incl._extra_maatregelen_veilig_werken_volgens_VCA__eventuele_vergunningen_leges___voorrijkosten__adminstratieve_kosten__fotorapportage_en_kleine_reparaties</f>
        <v>0</v>
      </c>
      <c r="AO160" s="279">
        <f>(AE160*P2_Reinigen_Lichtkoepel_50X50)+('Perceel 1'!AF160*P2_Reinigen_Lichtkoepel_60x200)+('Perceel 1'!AG160*P2_Reinigen_Lichtkoepel_180x180)+('Perceel 1'!AH160*P2_Reinigen_Lichtstraten_groter_dan_180x180)</f>
        <v>0</v>
      </c>
      <c r="AP160" s="279"/>
      <c r="AQ160" s="279">
        <f>('Perceel 1'!X160+'Perceel 1'!Y160)*P2_Inspecteren_daken_en_goten_1x_per_jaar_gelijktijdig_met_reiniging_inclusief_inspectierapport_en_een_managementrapport</f>
        <v>0</v>
      </c>
      <c r="AR160" s="312"/>
      <c r="AS160" s="332">
        <f t="shared" si="26"/>
        <v>0</v>
      </c>
      <c r="AT160" s="336">
        <f t="shared" si="27"/>
        <v>0</v>
      </c>
    </row>
    <row r="161" spans="1:46" s="7" customFormat="1" ht="25.5" hidden="1" customHeight="1" x14ac:dyDescent="0.45">
      <c r="A161" s="155"/>
      <c r="B161" s="165">
        <v>2</v>
      </c>
      <c r="C161" s="156" t="s">
        <v>135</v>
      </c>
      <c r="D161" s="156" t="s">
        <v>136</v>
      </c>
      <c r="E161" s="156"/>
      <c r="F161" s="156"/>
      <c r="G161" s="156"/>
      <c r="H161" s="151" t="s">
        <v>1251</v>
      </c>
      <c r="I161" s="151" t="s">
        <v>1252</v>
      </c>
      <c r="J161" s="157"/>
      <c r="K161" s="163"/>
      <c r="L161" s="151" t="s">
        <v>139</v>
      </c>
      <c r="M161" s="159" t="s">
        <v>140</v>
      </c>
      <c r="N161" s="160" t="s">
        <v>1253</v>
      </c>
      <c r="O161" s="159" t="s">
        <v>1254</v>
      </c>
      <c r="P161" s="160" t="s">
        <v>1255</v>
      </c>
      <c r="Q161" s="160" t="s">
        <v>1256</v>
      </c>
      <c r="R161" s="53" t="s">
        <v>1144</v>
      </c>
      <c r="S161" s="160" t="s">
        <v>340</v>
      </c>
      <c r="T161" s="159" t="s">
        <v>756</v>
      </c>
      <c r="U161" s="159" t="s">
        <v>1257</v>
      </c>
      <c r="V161" s="176" t="s">
        <v>1258</v>
      </c>
      <c r="W161" s="152">
        <v>1998</v>
      </c>
      <c r="X161" s="152">
        <v>358</v>
      </c>
      <c r="Y161" s="152">
        <v>41</v>
      </c>
      <c r="Z161" s="177" t="s">
        <v>311</v>
      </c>
      <c r="AA161" s="177"/>
      <c r="AB161" s="177"/>
      <c r="AC161" s="177"/>
      <c r="AD161" s="177"/>
      <c r="AE161" s="177"/>
      <c r="AF161" s="177"/>
      <c r="AG161" s="177"/>
      <c r="AH161" s="177"/>
      <c r="AI161" s="177"/>
      <c r="AJ161" s="177"/>
      <c r="AK161" s="257">
        <v>1</v>
      </c>
      <c r="AL161" s="271"/>
      <c r="AM161" s="277">
        <f t="shared" si="30"/>
        <v>0</v>
      </c>
      <c r="AN161" s="279">
        <f t="shared" si="31"/>
        <v>0</v>
      </c>
      <c r="AO161" s="279">
        <f>(AE161*P2_Reinigen_Lichtkoepel_50X50)+('Perceel 1'!AF161*P2_Reinigen_Lichtkoepel_60x200)+('Perceel 1'!AG161*P2_Reinigen_Lichtkoepel_180x180)+('Perceel 1'!AH161*P2_Reinigen_Lichtstraten_groter_dan_180x180)</f>
        <v>0</v>
      </c>
      <c r="AP161" s="279"/>
      <c r="AQ161" s="279">
        <f>('Perceel 1'!X161+'Perceel 1'!Y161)*P2_Inspecteren_daken_en_goten_1x_per_jaar_gelijktijdig_met_reiniging_inclusief_inspectierapport_en_een_managementrapport</f>
        <v>0</v>
      </c>
      <c r="AR161" s="312"/>
      <c r="AS161" s="332">
        <f t="shared" si="26"/>
        <v>0</v>
      </c>
      <c r="AT161" s="336">
        <f t="shared" si="27"/>
        <v>41</v>
      </c>
    </row>
    <row r="162" spans="1:46" s="7" customFormat="1" ht="25.5" hidden="1" customHeight="1" x14ac:dyDescent="0.45">
      <c r="A162" s="155"/>
      <c r="B162" s="165">
        <v>2</v>
      </c>
      <c r="C162" s="156" t="s">
        <v>135</v>
      </c>
      <c r="D162" s="156" t="s">
        <v>174</v>
      </c>
      <c r="E162" s="156"/>
      <c r="F162" s="156"/>
      <c r="G162" s="156"/>
      <c r="H162" s="151" t="s">
        <v>1259</v>
      </c>
      <c r="I162" s="151" t="s">
        <v>1260</v>
      </c>
      <c r="J162" s="157"/>
      <c r="K162" s="163"/>
      <c r="L162" s="151" t="s">
        <v>348</v>
      </c>
      <c r="M162" s="159" t="s">
        <v>349</v>
      </c>
      <c r="N162" s="160" t="s">
        <v>1261</v>
      </c>
      <c r="O162" s="159" t="s">
        <v>1262</v>
      </c>
      <c r="P162" s="160" t="s">
        <v>1263</v>
      </c>
      <c r="Q162" s="160" t="s">
        <v>1264</v>
      </c>
      <c r="R162" s="53" t="s">
        <v>1126</v>
      </c>
      <c r="S162" s="160" t="s">
        <v>340</v>
      </c>
      <c r="T162" s="226" t="s">
        <v>1135</v>
      </c>
      <c r="U162" s="226" t="s">
        <v>1136</v>
      </c>
      <c r="V162" s="234" t="s">
        <v>1137</v>
      </c>
      <c r="W162" s="152">
        <v>1980</v>
      </c>
      <c r="X162" s="152">
        <v>957</v>
      </c>
      <c r="Y162" s="152"/>
      <c r="Z162" s="177"/>
      <c r="AA162" s="177"/>
      <c r="AB162" s="177"/>
      <c r="AC162" s="177"/>
      <c r="AD162" s="177"/>
      <c r="AE162" s="177"/>
      <c r="AF162" s="177"/>
      <c r="AG162" s="177"/>
      <c r="AH162" s="177"/>
      <c r="AI162" s="177"/>
      <c r="AJ162" s="177"/>
      <c r="AK162" s="257">
        <v>1</v>
      </c>
      <c r="AL162" s="271"/>
      <c r="AM162" s="277">
        <f t="shared" si="30"/>
        <v>0</v>
      </c>
      <c r="AN162" s="279">
        <f t="shared" si="31"/>
        <v>0</v>
      </c>
      <c r="AO162" s="279">
        <f>(AE162*P2_Reinigen_Lichtkoepel_50X50)+('Perceel 1'!AF162*P2_Reinigen_Lichtkoepel_60x200)+('Perceel 1'!AG162*P2_Reinigen_Lichtkoepel_180x180)+('Perceel 1'!AH162*P2_Reinigen_Lichtstraten_groter_dan_180x180)</f>
        <v>0</v>
      </c>
      <c r="AP162" s="279"/>
      <c r="AQ162" s="279">
        <f>('Perceel 1'!X162+'Perceel 1'!Y162)*P2_Inspecteren_daken_en_goten_1x_per_jaar_gelijktijdig_met_reiniging_inclusief_inspectierapport_en_een_managementrapport</f>
        <v>0</v>
      </c>
      <c r="AR162" s="312"/>
      <c r="AS162" s="332">
        <f t="shared" si="26"/>
        <v>0</v>
      </c>
      <c r="AT162" s="336">
        <f t="shared" si="27"/>
        <v>0</v>
      </c>
    </row>
    <row r="163" spans="1:46" s="7" customFormat="1" ht="51" hidden="1" x14ac:dyDescent="0.45">
      <c r="A163" s="155"/>
      <c r="B163" s="165">
        <v>2</v>
      </c>
      <c r="C163" s="156" t="s">
        <v>135</v>
      </c>
      <c r="D163" s="156" t="s">
        <v>136</v>
      </c>
      <c r="E163" s="156"/>
      <c r="F163" s="156"/>
      <c r="G163" s="156"/>
      <c r="H163" s="151" t="s">
        <v>1265</v>
      </c>
      <c r="I163" s="151" t="s">
        <v>1266</v>
      </c>
      <c r="J163" s="157"/>
      <c r="K163" s="163"/>
      <c r="L163" s="163" t="s">
        <v>154</v>
      </c>
      <c r="M163" s="166" t="s">
        <v>544</v>
      </c>
      <c r="N163" s="160" t="s">
        <v>1267</v>
      </c>
      <c r="O163" s="159" t="s">
        <v>1268</v>
      </c>
      <c r="P163" s="160" t="s">
        <v>1269</v>
      </c>
      <c r="Q163" s="160" t="s">
        <v>1264</v>
      </c>
      <c r="R163" s="53" t="s">
        <v>1126</v>
      </c>
      <c r="S163" s="160" t="s">
        <v>340</v>
      </c>
      <c r="T163" s="159" t="s">
        <v>169</v>
      </c>
      <c r="U163" s="159" t="s">
        <v>170</v>
      </c>
      <c r="V163" s="176" t="s">
        <v>171</v>
      </c>
      <c r="W163" s="152">
        <v>1980</v>
      </c>
      <c r="X163" s="152">
        <v>489</v>
      </c>
      <c r="Y163" s="152"/>
      <c r="Z163" s="177"/>
      <c r="AA163" s="177"/>
      <c r="AB163" s="177"/>
      <c r="AC163" s="177"/>
      <c r="AD163" s="177"/>
      <c r="AE163" s="177"/>
      <c r="AF163" s="177"/>
      <c r="AG163" s="177"/>
      <c r="AH163" s="177"/>
      <c r="AI163" s="177"/>
      <c r="AJ163" s="177"/>
      <c r="AK163" s="257">
        <v>1</v>
      </c>
      <c r="AL163" s="271"/>
      <c r="AM163" s="277">
        <f t="shared" si="30"/>
        <v>0</v>
      </c>
      <c r="AN163" s="279">
        <f t="shared" si="31"/>
        <v>0</v>
      </c>
      <c r="AO163" s="279">
        <f>(AE163*P2_Reinigen_Lichtkoepel_50X50)+('Perceel 1'!AF163*P2_Reinigen_Lichtkoepel_60x200)+('Perceel 1'!AG163*P2_Reinigen_Lichtkoepel_180x180)+('Perceel 1'!AH163*P2_Reinigen_Lichtstraten_groter_dan_180x180)</f>
        <v>0</v>
      </c>
      <c r="AP163" s="279"/>
      <c r="AQ163" s="279">
        <f>('Perceel 1'!X163+'Perceel 1'!Y163)*P2_Inspecteren_daken_en_goten_1x_per_jaar_gelijktijdig_met_reiniging_inclusief_inspectierapport_en_een_managementrapport</f>
        <v>0</v>
      </c>
      <c r="AR163" s="312"/>
      <c r="AS163" s="332">
        <f t="shared" si="26"/>
        <v>0</v>
      </c>
      <c r="AT163" s="336">
        <f t="shared" si="27"/>
        <v>0</v>
      </c>
    </row>
    <row r="164" spans="1:46" s="7" customFormat="1" ht="25.5" hidden="1" customHeight="1" x14ac:dyDescent="0.45">
      <c r="A164" s="155"/>
      <c r="B164" s="165">
        <v>2</v>
      </c>
      <c r="C164" s="156" t="s">
        <v>135</v>
      </c>
      <c r="D164" s="156" t="s">
        <v>136</v>
      </c>
      <c r="E164" s="156"/>
      <c r="F164" s="156"/>
      <c r="G164" s="156"/>
      <c r="H164" s="151" t="s">
        <v>1270</v>
      </c>
      <c r="I164" s="151" t="s">
        <v>1271</v>
      </c>
      <c r="J164" s="157"/>
      <c r="K164" s="163"/>
      <c r="L164" s="151" t="s">
        <v>139</v>
      </c>
      <c r="M164" s="159" t="s">
        <v>140</v>
      </c>
      <c r="N164" s="160" t="s">
        <v>1272</v>
      </c>
      <c r="O164" s="159" t="s">
        <v>1273</v>
      </c>
      <c r="P164" s="160" t="s">
        <v>1274</v>
      </c>
      <c r="Q164" s="160" t="s">
        <v>1275</v>
      </c>
      <c r="R164" s="53" t="s">
        <v>1214</v>
      </c>
      <c r="S164" s="160" t="s">
        <v>340</v>
      </c>
      <c r="T164" s="159" t="s">
        <v>1276</v>
      </c>
      <c r="U164" s="159" t="s">
        <v>1277</v>
      </c>
      <c r="V164" s="176" t="s">
        <v>1278</v>
      </c>
      <c r="W164" s="152">
        <v>1983</v>
      </c>
      <c r="X164" s="152">
        <v>814</v>
      </c>
      <c r="Y164" s="152"/>
      <c r="Z164" s="177"/>
      <c r="AA164" s="177"/>
      <c r="AB164" s="177"/>
      <c r="AC164" s="177"/>
      <c r="AD164" s="177"/>
      <c r="AE164" s="177"/>
      <c r="AF164" s="177"/>
      <c r="AG164" s="177"/>
      <c r="AH164" s="177"/>
      <c r="AI164" s="177"/>
      <c r="AJ164" s="177"/>
      <c r="AK164" s="257">
        <v>2</v>
      </c>
      <c r="AL164" s="271"/>
      <c r="AM164" s="277">
        <f t="shared" si="30"/>
        <v>0</v>
      </c>
      <c r="AN164" s="279">
        <f t="shared" si="31"/>
        <v>0</v>
      </c>
      <c r="AO164" s="279">
        <f>(AE164*P2_Reinigen_Lichtkoepel_50X50)+('Perceel 1'!AF164*P2_Reinigen_Lichtkoepel_60x200)+('Perceel 1'!AG164*P2_Reinigen_Lichtkoepel_180x180)+('Perceel 1'!AH164*P2_Reinigen_Lichtstraten_groter_dan_180x180)</f>
        <v>0</v>
      </c>
      <c r="AP164" s="279"/>
      <c r="AQ164" s="279">
        <f>('Perceel 1'!X164+'Perceel 1'!Y164)*P2_Inspecteren_daken_en_goten_1x_per_jaar_gelijktijdig_met_reiniging_inclusief_inspectierapport_en_een_managementrapport</f>
        <v>0</v>
      </c>
      <c r="AR164" s="312"/>
      <c r="AS164" s="332">
        <f t="shared" si="26"/>
        <v>0</v>
      </c>
      <c r="AT164" s="336">
        <f t="shared" si="27"/>
        <v>0</v>
      </c>
    </row>
    <row r="165" spans="1:46" s="7" customFormat="1" ht="25.5" hidden="1" customHeight="1" x14ac:dyDescent="0.45">
      <c r="A165" s="155"/>
      <c r="B165" s="165">
        <v>2</v>
      </c>
      <c r="C165" s="156" t="s">
        <v>135</v>
      </c>
      <c r="D165" s="156" t="s">
        <v>174</v>
      </c>
      <c r="E165" s="156"/>
      <c r="F165" s="156"/>
      <c r="G165" s="156"/>
      <c r="H165" s="151" t="s">
        <v>1279</v>
      </c>
      <c r="I165" s="151" t="s">
        <v>1280</v>
      </c>
      <c r="J165" s="157"/>
      <c r="K165" s="163"/>
      <c r="L165" s="151" t="s">
        <v>348</v>
      </c>
      <c r="M165" s="159" t="s">
        <v>349</v>
      </c>
      <c r="N165" s="160" t="s">
        <v>1281</v>
      </c>
      <c r="O165" s="159" t="s">
        <v>1282</v>
      </c>
      <c r="P165" s="160" t="s">
        <v>1283</v>
      </c>
      <c r="Q165" s="160" t="s">
        <v>1284</v>
      </c>
      <c r="R165" s="53" t="s">
        <v>1214</v>
      </c>
      <c r="S165" s="160" t="s">
        <v>340</v>
      </c>
      <c r="T165" s="159" t="s">
        <v>1285</v>
      </c>
      <c r="U165" s="159" t="s">
        <v>1286</v>
      </c>
      <c r="V165" s="176" t="s">
        <v>1287</v>
      </c>
      <c r="W165" s="152">
        <v>1982</v>
      </c>
      <c r="X165" s="152">
        <v>1176</v>
      </c>
      <c r="Y165" s="152"/>
      <c r="Z165" s="177"/>
      <c r="AA165" s="177"/>
      <c r="AB165" s="177"/>
      <c r="AC165" s="177"/>
      <c r="AD165" s="177"/>
      <c r="AE165" s="177"/>
      <c r="AF165" s="177"/>
      <c r="AG165" s="177"/>
      <c r="AH165" s="177"/>
      <c r="AI165" s="177"/>
      <c r="AJ165" s="177"/>
      <c r="AK165" s="257">
        <v>1</v>
      </c>
      <c r="AL165" s="271"/>
      <c r="AM165" s="277">
        <f t="shared" si="30"/>
        <v>0</v>
      </c>
      <c r="AN165" s="279">
        <f t="shared" si="31"/>
        <v>0</v>
      </c>
      <c r="AO165" s="279">
        <f>(AE165*P2_Reinigen_Lichtkoepel_50X50)+('Perceel 1'!AF165*P2_Reinigen_Lichtkoepel_60x200)+('Perceel 1'!AG165*P2_Reinigen_Lichtkoepel_180x180)+('Perceel 1'!AH165*P2_Reinigen_Lichtstraten_groter_dan_180x180)</f>
        <v>0</v>
      </c>
      <c r="AP165" s="279"/>
      <c r="AQ165" s="279">
        <f>('Perceel 1'!X165+'Perceel 1'!Y165)*P2_Inspecteren_daken_en_goten_1x_per_jaar_gelijktijdig_met_reiniging_inclusief_inspectierapport_en_een_managementrapport</f>
        <v>0</v>
      </c>
      <c r="AR165" s="312"/>
      <c r="AS165" s="332">
        <f t="shared" si="26"/>
        <v>0</v>
      </c>
      <c r="AT165" s="336">
        <f t="shared" si="27"/>
        <v>0</v>
      </c>
    </row>
    <row r="166" spans="1:46" s="7" customFormat="1" ht="51" hidden="1" x14ac:dyDescent="0.45">
      <c r="A166" s="155"/>
      <c r="B166" s="165">
        <v>2</v>
      </c>
      <c r="C166" s="156" t="s">
        <v>135</v>
      </c>
      <c r="D166" s="156" t="s">
        <v>136</v>
      </c>
      <c r="E166" s="156"/>
      <c r="F166" s="156"/>
      <c r="G166" s="156"/>
      <c r="H166" s="151" t="s">
        <v>1288</v>
      </c>
      <c r="I166" s="151" t="s">
        <v>1289</v>
      </c>
      <c r="J166" s="157"/>
      <c r="K166" s="163"/>
      <c r="L166" s="163" t="s">
        <v>154</v>
      </c>
      <c r="M166" s="166" t="s">
        <v>544</v>
      </c>
      <c r="N166" s="160" t="s">
        <v>1290</v>
      </c>
      <c r="O166" s="159" t="s">
        <v>1291</v>
      </c>
      <c r="P166" s="160" t="s">
        <v>1292</v>
      </c>
      <c r="Q166" s="160" t="s">
        <v>1284</v>
      </c>
      <c r="R166" s="53" t="s">
        <v>1214</v>
      </c>
      <c r="S166" s="160" t="s">
        <v>340</v>
      </c>
      <c r="T166" s="159" t="s">
        <v>169</v>
      </c>
      <c r="U166" s="159" t="s">
        <v>170</v>
      </c>
      <c r="V166" s="176" t="s">
        <v>171</v>
      </c>
      <c r="W166" s="152">
        <v>1982</v>
      </c>
      <c r="X166" s="152">
        <v>463</v>
      </c>
      <c r="Y166" s="152"/>
      <c r="Z166" s="177" t="s">
        <v>311</v>
      </c>
      <c r="AA166" s="177"/>
      <c r="AB166" s="177"/>
      <c r="AC166" s="177"/>
      <c r="AD166" s="177"/>
      <c r="AE166" s="177"/>
      <c r="AF166" s="177"/>
      <c r="AG166" s="177"/>
      <c r="AH166" s="177"/>
      <c r="AI166" s="177"/>
      <c r="AJ166" s="177"/>
      <c r="AK166" s="257">
        <v>2</v>
      </c>
      <c r="AL166" s="271"/>
      <c r="AM166" s="277">
        <f t="shared" si="30"/>
        <v>0</v>
      </c>
      <c r="AN166" s="279">
        <f t="shared" si="31"/>
        <v>0</v>
      </c>
      <c r="AO166" s="279">
        <f>(AE166*P2_Reinigen_Lichtkoepel_50X50)+('Perceel 1'!AF166*P2_Reinigen_Lichtkoepel_60x200)+('Perceel 1'!AG166*P2_Reinigen_Lichtkoepel_180x180)+('Perceel 1'!AH166*P2_Reinigen_Lichtstraten_groter_dan_180x180)</f>
        <v>0</v>
      </c>
      <c r="AP166" s="279"/>
      <c r="AQ166" s="279">
        <f>('Perceel 1'!X166+'Perceel 1'!Y166)*P2_Inspecteren_daken_en_goten_1x_per_jaar_gelijktijdig_met_reiniging_inclusief_inspectierapport_en_een_managementrapport</f>
        <v>0</v>
      </c>
      <c r="AR166" s="312"/>
      <c r="AS166" s="332">
        <f t="shared" si="26"/>
        <v>0</v>
      </c>
      <c r="AT166" s="336">
        <f t="shared" si="27"/>
        <v>0</v>
      </c>
    </row>
    <row r="167" spans="1:46" s="7" customFormat="1" ht="51" hidden="1" customHeight="1" x14ac:dyDescent="0.45">
      <c r="A167" s="155"/>
      <c r="B167" s="165">
        <v>2</v>
      </c>
      <c r="C167" s="156" t="s">
        <v>135</v>
      </c>
      <c r="D167" s="156" t="s">
        <v>136</v>
      </c>
      <c r="E167" s="156"/>
      <c r="F167" s="156"/>
      <c r="G167" s="156"/>
      <c r="H167" s="151" t="s">
        <v>1293</v>
      </c>
      <c r="I167" s="151" t="s">
        <v>1294</v>
      </c>
      <c r="J167" s="157"/>
      <c r="K167" s="163"/>
      <c r="L167" s="151" t="s">
        <v>191</v>
      </c>
      <c r="M167" s="159" t="s">
        <v>890</v>
      </c>
      <c r="N167" s="160" t="s">
        <v>1295</v>
      </c>
      <c r="O167" s="159" t="s">
        <v>1296</v>
      </c>
      <c r="P167" s="160" t="s">
        <v>1297</v>
      </c>
      <c r="Q167" s="160" t="s">
        <v>1298</v>
      </c>
      <c r="R167" s="53" t="s">
        <v>1299</v>
      </c>
      <c r="S167" s="160" t="s">
        <v>340</v>
      </c>
      <c r="T167" s="159" t="s">
        <v>1300</v>
      </c>
      <c r="U167" s="159" t="s">
        <v>1301</v>
      </c>
      <c r="V167" s="235" t="s">
        <v>1302</v>
      </c>
      <c r="W167" s="152">
        <v>1985</v>
      </c>
      <c r="X167" s="152">
        <v>3362</v>
      </c>
      <c r="Y167" s="152"/>
      <c r="Z167" s="177"/>
      <c r="AA167" s="177" t="s">
        <v>150</v>
      </c>
      <c r="AB167" s="177">
        <v>65</v>
      </c>
      <c r="AC167" s="177">
        <v>135</v>
      </c>
      <c r="AD167" s="177" t="s">
        <v>1303</v>
      </c>
      <c r="AE167" s="177"/>
      <c r="AF167" s="177"/>
      <c r="AG167" s="177"/>
      <c r="AH167" s="177"/>
      <c r="AI167" s="177"/>
      <c r="AJ167" s="177"/>
      <c r="AK167" s="257">
        <v>1</v>
      </c>
      <c r="AL167" s="271"/>
      <c r="AM167" s="277">
        <f>X167*P2_reinigen_daken_met_vaste_dakveiligheid</f>
        <v>0</v>
      </c>
      <c r="AN167" s="279">
        <f>Y167*P2_reinigen_goten_met_vaste_dakveiligheid</f>
        <v>0</v>
      </c>
      <c r="AO167" s="279">
        <f>(AE167*P2_Reinigen_Lichtkoepel_50X50)+('Perceel 1'!AF167*P2_Reinigen_Lichtkoepel_60x200)+('Perceel 1'!AG167*P2_Reinigen_Lichtkoepel_180x180)+('Perceel 1'!AH167*P2_Reinigen_Lichtstraten_groter_dan_180x180)</f>
        <v>0</v>
      </c>
      <c r="AP167" s="279"/>
      <c r="AQ167" s="279">
        <f>('Perceel 1'!X167+'Perceel 1'!Y167)*P2_Inspecteren_daken_en_goten_1x_per_jaar_gelijktijdig_met_reiniging_inclusief_inspectierapport_en_een_managementrapport</f>
        <v>0</v>
      </c>
      <c r="AR167" s="305"/>
      <c r="AS167" s="332">
        <f t="shared" si="26"/>
        <v>0</v>
      </c>
      <c r="AT167" s="336">
        <f t="shared" si="27"/>
        <v>0</v>
      </c>
    </row>
    <row r="168" spans="1:46" s="7" customFormat="1" ht="51" hidden="1" x14ac:dyDescent="0.45">
      <c r="A168" s="155"/>
      <c r="B168" s="165">
        <v>2</v>
      </c>
      <c r="C168" s="156" t="s">
        <v>135</v>
      </c>
      <c r="D168" s="156" t="s">
        <v>136</v>
      </c>
      <c r="E168" s="156"/>
      <c r="F168" s="156"/>
      <c r="G168" s="156"/>
      <c r="H168" s="151" t="s">
        <v>1304</v>
      </c>
      <c r="I168" s="151" t="s">
        <v>1305</v>
      </c>
      <c r="J168" s="157"/>
      <c r="K168" s="163"/>
      <c r="L168" s="163" t="s">
        <v>154</v>
      </c>
      <c r="M168" s="166" t="s">
        <v>544</v>
      </c>
      <c r="N168" s="160" t="s">
        <v>1306</v>
      </c>
      <c r="O168" s="159" t="s">
        <v>1307</v>
      </c>
      <c r="P168" s="160" t="s">
        <v>1308</v>
      </c>
      <c r="Q168" s="160" t="s">
        <v>1309</v>
      </c>
      <c r="R168" s="55" t="s">
        <v>1126</v>
      </c>
      <c r="S168" s="160" t="s">
        <v>340</v>
      </c>
      <c r="T168" s="159" t="s">
        <v>169</v>
      </c>
      <c r="U168" s="159" t="s">
        <v>170</v>
      </c>
      <c r="V168" s="176" t="s">
        <v>171</v>
      </c>
      <c r="W168" s="152">
        <v>1983</v>
      </c>
      <c r="X168" s="152">
        <v>399</v>
      </c>
      <c r="Y168" s="152"/>
      <c r="Z168" s="177" t="s">
        <v>311</v>
      </c>
      <c r="AA168" s="177"/>
      <c r="AB168" s="177"/>
      <c r="AC168" s="177"/>
      <c r="AD168" s="177"/>
      <c r="AE168" s="177"/>
      <c r="AF168" s="177"/>
      <c r="AG168" s="177"/>
      <c r="AH168" s="177"/>
      <c r="AI168" s="177"/>
      <c r="AJ168" s="177"/>
      <c r="AK168" s="257">
        <v>1</v>
      </c>
      <c r="AL168" s="271"/>
      <c r="AM168" s="277">
        <f>X168*P2_Reinigen_daken_incl._extra_maatregelen_veilig_werken_volgens_VCA__eventuele_vergunningen_leges___voorrijkosten__adminstratieve_kosten__fotorapportage_en_kleine_reparaties</f>
        <v>0</v>
      </c>
      <c r="AN168" s="279">
        <f>Y168*P2_Reinigen_goten_incl._extra_maatregelen_veilig_werken_volgens_VCA__eventuele_vergunningen_leges___voorrijkosten__adminstratieve_kosten__fotorapportage_en_kleine_reparaties</f>
        <v>0</v>
      </c>
      <c r="AO168" s="279">
        <f>(AE168*P2_Reinigen_Lichtkoepel_50X50)+('Perceel 1'!AF168*P2_Reinigen_Lichtkoepel_60x200)+('Perceel 1'!AG168*P2_Reinigen_Lichtkoepel_180x180)+('Perceel 1'!AH168*P2_Reinigen_Lichtstraten_groter_dan_180x180)</f>
        <v>0</v>
      </c>
      <c r="AP168" s="279"/>
      <c r="AQ168" s="279">
        <f>('Perceel 1'!X168+'Perceel 1'!Y168)*P2_Inspecteren_daken_en_goten_1x_per_jaar_gelijktijdig_met_reiniging_inclusief_inspectierapport_en_een_managementrapport</f>
        <v>0</v>
      </c>
      <c r="AR168" s="312"/>
      <c r="AS168" s="332">
        <f>AR168*P2_keuren_dakveiligheid_per_man_uur</f>
        <v>0</v>
      </c>
      <c r="AT168" s="336">
        <f t="shared" si="27"/>
        <v>0</v>
      </c>
    </row>
    <row r="169" spans="1:46" s="7" customFormat="1" ht="51" hidden="1" x14ac:dyDescent="0.45">
      <c r="A169" s="155"/>
      <c r="B169" s="165">
        <v>2</v>
      </c>
      <c r="C169" s="156" t="s">
        <v>135</v>
      </c>
      <c r="D169" s="156" t="s">
        <v>136</v>
      </c>
      <c r="E169" s="156"/>
      <c r="F169" s="156"/>
      <c r="G169" s="156"/>
      <c r="H169" s="151" t="s">
        <v>1310</v>
      </c>
      <c r="I169" s="151" t="s">
        <v>1311</v>
      </c>
      <c r="J169" s="157"/>
      <c r="K169" s="157"/>
      <c r="L169" s="163" t="s">
        <v>154</v>
      </c>
      <c r="M169" s="166" t="s">
        <v>544</v>
      </c>
      <c r="N169" s="160" t="s">
        <v>1312</v>
      </c>
      <c r="O169" s="159" t="s">
        <v>1313</v>
      </c>
      <c r="P169" s="160" t="s">
        <v>1314</v>
      </c>
      <c r="Q169" s="160" t="s">
        <v>1315</v>
      </c>
      <c r="R169" s="56" t="s">
        <v>1316</v>
      </c>
      <c r="S169" s="160" t="s">
        <v>340</v>
      </c>
      <c r="T169" s="159" t="s">
        <v>169</v>
      </c>
      <c r="U169" s="159" t="s">
        <v>170</v>
      </c>
      <c r="V169" s="176" t="s">
        <v>171</v>
      </c>
      <c r="W169" s="152">
        <v>2007</v>
      </c>
      <c r="X169" s="152">
        <v>455</v>
      </c>
      <c r="Y169" s="152"/>
      <c r="Z169" s="177" t="s">
        <v>311</v>
      </c>
      <c r="AA169" s="177" t="s">
        <v>150</v>
      </c>
      <c r="AB169" s="177">
        <v>16</v>
      </c>
      <c r="AC169" s="177">
        <v>79</v>
      </c>
      <c r="AD169" s="177"/>
      <c r="AE169" s="177"/>
      <c r="AF169" s="177"/>
      <c r="AG169" s="177"/>
      <c r="AH169" s="177"/>
      <c r="AI169" s="177"/>
      <c r="AJ169" s="177"/>
      <c r="AK169" s="257">
        <v>1</v>
      </c>
      <c r="AL169" s="296"/>
      <c r="AM169" s="277">
        <f>X169*P2_reinigen_daken_met_vaste_dakveiligheid</f>
        <v>0</v>
      </c>
      <c r="AN169" s="279">
        <f>Y169*P2_reinigen_goten_met_vaste_dakveiligheid</f>
        <v>0</v>
      </c>
      <c r="AO169" s="279">
        <f>(AE169*P2_Reinigen_Lichtkoepel_50X50)+('Perceel 1'!AF169*P2_Reinigen_Lichtkoepel_60x200)+('Perceel 1'!AG169*P2_Reinigen_Lichtkoepel_180x180)+('Perceel 1'!AH169*P2_Reinigen_Lichtstraten_groter_dan_180x180)</f>
        <v>0</v>
      </c>
      <c r="AP169" s="279"/>
      <c r="AQ169" s="279">
        <f>('Perceel 1'!X169+'Perceel 1'!Y169)*P2_Inspecteren_daken_en_goten_1x_per_jaar_gelijktijdig_met_reiniging_inclusief_inspectierapport_en_een_managementrapport</f>
        <v>0</v>
      </c>
      <c r="AR169" s="305"/>
      <c r="AS169" s="332">
        <f t="shared" si="26"/>
        <v>0</v>
      </c>
      <c r="AT169" s="336">
        <f t="shared" si="27"/>
        <v>0</v>
      </c>
    </row>
    <row r="170" spans="1:46" s="7" customFormat="1" ht="25.5" hidden="1" x14ac:dyDescent="0.45">
      <c r="A170" s="155"/>
      <c r="B170" s="165">
        <v>2</v>
      </c>
      <c r="C170" s="156" t="s">
        <v>135</v>
      </c>
      <c r="D170" s="156" t="s">
        <v>174</v>
      </c>
      <c r="E170" s="156"/>
      <c r="F170" s="156"/>
      <c r="G170" s="156"/>
      <c r="H170" s="151" t="s">
        <v>1317</v>
      </c>
      <c r="I170" s="151" t="s">
        <v>1318</v>
      </c>
      <c r="J170" s="157"/>
      <c r="K170" s="163"/>
      <c r="L170" s="151" t="s">
        <v>348</v>
      </c>
      <c r="M170" s="159" t="s">
        <v>349</v>
      </c>
      <c r="N170" s="160" t="s">
        <v>1319</v>
      </c>
      <c r="O170" s="159" t="s">
        <v>1320</v>
      </c>
      <c r="P170" s="159" t="s">
        <v>1321</v>
      </c>
      <c r="Q170" s="160" t="s">
        <v>1315</v>
      </c>
      <c r="R170" s="53" t="s">
        <v>1316</v>
      </c>
      <c r="S170" s="160" t="s">
        <v>340</v>
      </c>
      <c r="T170" s="159" t="s">
        <v>1322</v>
      </c>
      <c r="U170" s="159" t="s">
        <v>1323</v>
      </c>
      <c r="V170" s="176" t="s">
        <v>750</v>
      </c>
      <c r="W170" s="152">
        <v>2007</v>
      </c>
      <c r="X170" s="152">
        <v>1590</v>
      </c>
      <c r="Y170" s="152"/>
      <c r="Z170" s="177"/>
      <c r="AA170" s="177" t="s">
        <v>150</v>
      </c>
      <c r="AB170" s="177">
        <f>36+2</f>
        <v>38</v>
      </c>
      <c r="AC170" s="177">
        <f>78+10</f>
        <v>88</v>
      </c>
      <c r="AD170" s="177"/>
      <c r="AE170" s="177"/>
      <c r="AF170" s="177"/>
      <c r="AG170" s="177"/>
      <c r="AH170" s="177"/>
      <c r="AI170" s="177"/>
      <c r="AJ170" s="177"/>
      <c r="AK170" s="257">
        <v>1</v>
      </c>
      <c r="AL170" s="297"/>
      <c r="AM170" s="277">
        <f>X170*P2_reinigen_daken_met_vaste_dakveiligheid</f>
        <v>0</v>
      </c>
      <c r="AN170" s="279">
        <f>Y170*P2_reinigen_goten_met_vaste_dakveiligheid</f>
        <v>0</v>
      </c>
      <c r="AO170" s="279">
        <f>(AE170*P2_Reinigen_Lichtkoepel_50X50)+('Perceel 1'!AF170*P2_Reinigen_Lichtkoepel_60x200)+('Perceel 1'!AG170*P2_Reinigen_Lichtkoepel_180x180)+('Perceel 1'!AH170*P2_Reinigen_Lichtstraten_groter_dan_180x180)</f>
        <v>0</v>
      </c>
      <c r="AP170" s="279"/>
      <c r="AQ170" s="279">
        <f>('Perceel 1'!X170+'Perceel 1'!Y170)*P2_Inspecteren_daken_en_goten_1x_per_jaar_gelijktijdig_met_reiniging_inclusief_inspectierapport_en_een_managementrapport</f>
        <v>0</v>
      </c>
      <c r="AR170" s="305"/>
      <c r="AS170" s="332">
        <f t="shared" si="26"/>
        <v>0</v>
      </c>
      <c r="AT170" s="336">
        <f t="shared" si="27"/>
        <v>0</v>
      </c>
    </row>
    <row r="171" spans="1:46" s="7" customFormat="1" ht="63.75" hidden="1" customHeight="1" x14ac:dyDescent="0.45">
      <c r="A171" s="155"/>
      <c r="B171" s="165">
        <v>2</v>
      </c>
      <c r="C171" s="156" t="s">
        <v>135</v>
      </c>
      <c r="D171" s="156" t="s">
        <v>136</v>
      </c>
      <c r="E171" s="156"/>
      <c r="F171" s="156"/>
      <c r="G171" s="156"/>
      <c r="H171" s="151" t="s">
        <v>1324</v>
      </c>
      <c r="I171" s="151" t="s">
        <v>1325</v>
      </c>
      <c r="J171" s="157"/>
      <c r="K171" s="163"/>
      <c r="L171" s="151" t="s">
        <v>348</v>
      </c>
      <c r="M171" s="159" t="s">
        <v>349</v>
      </c>
      <c r="N171" s="160" t="s">
        <v>1326</v>
      </c>
      <c r="O171" s="159" t="s">
        <v>1327</v>
      </c>
      <c r="P171" s="160" t="s">
        <v>1328</v>
      </c>
      <c r="Q171" s="160" t="s">
        <v>1329</v>
      </c>
      <c r="R171" s="53" t="s">
        <v>1239</v>
      </c>
      <c r="S171" s="160" t="s">
        <v>340</v>
      </c>
      <c r="T171" s="159" t="s">
        <v>1330</v>
      </c>
      <c r="U171" s="159" t="s">
        <v>1331</v>
      </c>
      <c r="V171" s="179" t="s">
        <v>1332</v>
      </c>
      <c r="W171" s="152">
        <v>2011</v>
      </c>
      <c r="X171" s="152">
        <v>841</v>
      </c>
      <c r="Y171" s="152"/>
      <c r="Z171" s="177"/>
      <c r="AA171" s="177" t="s">
        <v>150</v>
      </c>
      <c r="AB171" s="177">
        <v>20</v>
      </c>
      <c r="AC171" s="177">
        <v>131</v>
      </c>
      <c r="AD171" s="177" t="s">
        <v>1333</v>
      </c>
      <c r="AE171" s="177"/>
      <c r="AF171" s="177"/>
      <c r="AG171" s="177"/>
      <c r="AH171" s="177"/>
      <c r="AI171" s="177"/>
      <c r="AJ171" s="177"/>
      <c r="AK171" s="257">
        <v>1</v>
      </c>
      <c r="AL171" s="271"/>
      <c r="AM171" s="277">
        <f>X171*P2_reinigen_daken_met_vaste_dakveiligheid</f>
        <v>0</v>
      </c>
      <c r="AN171" s="279">
        <f>Y171*P2_reinigen_goten_met_vaste_dakveiligheid</f>
        <v>0</v>
      </c>
      <c r="AO171" s="279">
        <f>(AE171*P2_Reinigen_Lichtkoepel_50X50)+('Perceel 1'!AF171*P2_Reinigen_Lichtkoepel_60x200)+('Perceel 1'!AG171*P2_Reinigen_Lichtkoepel_180x180)+('Perceel 1'!AH171*P2_Reinigen_Lichtstraten_groter_dan_180x180)</f>
        <v>0</v>
      </c>
      <c r="AP171" s="279"/>
      <c r="AQ171" s="279">
        <f>('Perceel 1'!X171+'Perceel 1'!Y171)*P2_Inspecteren_daken_en_goten_1x_per_jaar_gelijktijdig_met_reiniging_inclusief_inspectierapport_en_een_managementrapport</f>
        <v>0</v>
      </c>
      <c r="AR171" s="305"/>
      <c r="AS171" s="332">
        <f t="shared" si="26"/>
        <v>0</v>
      </c>
      <c r="AT171" s="336">
        <f t="shared" si="27"/>
        <v>0</v>
      </c>
    </row>
    <row r="172" spans="1:46" s="7" customFormat="1" hidden="1" x14ac:dyDescent="0.45">
      <c r="A172" s="193"/>
      <c r="B172" s="152">
        <v>2</v>
      </c>
      <c r="C172" s="156" t="s">
        <v>135</v>
      </c>
      <c r="D172" s="156" t="s">
        <v>136</v>
      </c>
      <c r="E172" s="156"/>
      <c r="F172" s="156"/>
      <c r="G172" s="156"/>
      <c r="H172" s="163" t="s">
        <v>1334</v>
      </c>
      <c r="I172" s="163" t="s">
        <v>1335</v>
      </c>
      <c r="J172" s="163"/>
      <c r="K172" s="163"/>
      <c r="L172" s="151"/>
      <c r="M172" s="159"/>
      <c r="N172" s="233">
        <v>1493</v>
      </c>
      <c r="O172" s="166" t="s">
        <v>1336</v>
      </c>
      <c r="P172" s="166" t="s">
        <v>1337</v>
      </c>
      <c r="Q172" s="166" t="s">
        <v>1329</v>
      </c>
      <c r="R172" s="62" t="s">
        <v>1239</v>
      </c>
      <c r="S172" s="166" t="s">
        <v>340</v>
      </c>
      <c r="T172" s="159"/>
      <c r="U172" s="159"/>
      <c r="V172" s="179"/>
      <c r="W172" s="198">
        <v>2011</v>
      </c>
      <c r="X172" s="198">
        <f>370+380</f>
        <v>750</v>
      </c>
      <c r="Y172" s="198"/>
      <c r="Z172" s="189"/>
      <c r="AA172" s="189" t="s">
        <v>150</v>
      </c>
      <c r="AB172" s="189">
        <f>6+10</f>
        <v>16</v>
      </c>
      <c r="AC172" s="189">
        <f>60+75</f>
        <v>135</v>
      </c>
      <c r="AD172" s="189"/>
      <c r="AE172" s="189"/>
      <c r="AF172" s="189"/>
      <c r="AG172" s="189"/>
      <c r="AH172" s="189"/>
      <c r="AI172" s="189"/>
      <c r="AJ172" s="189"/>
      <c r="AK172" s="189">
        <v>1</v>
      </c>
      <c r="AL172" s="273"/>
      <c r="AM172" s="277">
        <f>X172*P2_reinigen_daken_met_vaste_dakveiligheid</f>
        <v>0</v>
      </c>
      <c r="AN172" s="279">
        <f>Y172*P2_reinigen_goten_met_vaste_dakveiligheid</f>
        <v>0</v>
      </c>
      <c r="AO172" s="279">
        <f>(AE172*P2_Reinigen_Lichtkoepel_50X50)+('Perceel 1'!AF172*P2_Reinigen_Lichtkoepel_60x200)+('Perceel 1'!AG172*P2_Reinigen_Lichtkoepel_180x180)+('Perceel 1'!AH172*P2_Reinigen_Lichtstraten_groter_dan_180x180)</f>
        <v>0</v>
      </c>
      <c r="AP172" s="279"/>
      <c r="AQ172" s="279">
        <f>('Perceel 1'!X172+'Perceel 1'!Y172)*P2_Inspecteren_daken_en_goten_1x_per_jaar_gelijktijdig_met_reiniging_inclusief_inspectierapport_en_een_managementrapport</f>
        <v>0</v>
      </c>
      <c r="AR172" s="305"/>
      <c r="AS172" s="332">
        <f t="shared" si="26"/>
        <v>0</v>
      </c>
      <c r="AT172" s="336">
        <f t="shared" si="27"/>
        <v>0</v>
      </c>
    </row>
    <row r="173" spans="1:46" s="7" customFormat="1" ht="25.5" hidden="1" x14ac:dyDescent="0.45">
      <c r="A173" s="155"/>
      <c r="B173" s="165">
        <v>2</v>
      </c>
      <c r="C173" s="156" t="s">
        <v>135</v>
      </c>
      <c r="D173" s="156" t="s">
        <v>1338</v>
      </c>
      <c r="E173" s="156"/>
      <c r="F173" s="156"/>
      <c r="G173" s="156"/>
      <c r="H173" s="151" t="s">
        <v>1339</v>
      </c>
      <c r="I173" s="151" t="s">
        <v>1340</v>
      </c>
      <c r="J173" s="157"/>
      <c r="K173" s="163"/>
      <c r="L173" s="163" t="s">
        <v>154</v>
      </c>
      <c r="M173" s="166" t="s">
        <v>155</v>
      </c>
      <c r="N173" s="160" t="s">
        <v>1341</v>
      </c>
      <c r="O173" s="159" t="s">
        <v>1342</v>
      </c>
      <c r="P173" s="160" t="s">
        <v>1343</v>
      </c>
      <c r="Q173" s="160" t="s">
        <v>1344</v>
      </c>
      <c r="R173" s="53" t="s">
        <v>1158</v>
      </c>
      <c r="S173" s="160" t="s">
        <v>340</v>
      </c>
      <c r="T173" s="159" t="s">
        <v>1345</v>
      </c>
      <c r="U173" s="159" t="s">
        <v>1346</v>
      </c>
      <c r="V173" s="176" t="s">
        <v>1347</v>
      </c>
      <c r="W173" s="152"/>
      <c r="X173" s="152">
        <v>1232</v>
      </c>
      <c r="Y173" s="152"/>
      <c r="Z173" s="177"/>
      <c r="AA173" s="177"/>
      <c r="AB173" s="177"/>
      <c r="AC173" s="177"/>
      <c r="AD173" s="177"/>
      <c r="AE173" s="177"/>
      <c r="AF173" s="177"/>
      <c r="AG173" s="177"/>
      <c r="AH173" s="177"/>
      <c r="AI173" s="177"/>
      <c r="AJ173" s="177"/>
      <c r="AK173" s="257">
        <v>1</v>
      </c>
      <c r="AL173" s="271"/>
      <c r="AM173" s="277">
        <f>X173*P2_Reinigen_daken_incl._extra_maatregelen_veilig_werken_volgens_VCA__eventuele_vergunningen_leges___voorrijkosten__adminstratieve_kosten__fotorapportage_en_kleine_reparaties</f>
        <v>0</v>
      </c>
      <c r="AN173" s="279">
        <f>Y173*P2_Reinigen_goten_incl._extra_maatregelen_veilig_werken_volgens_VCA__eventuele_vergunningen_leges___voorrijkosten__adminstratieve_kosten__fotorapportage_en_kleine_reparaties</f>
        <v>0</v>
      </c>
      <c r="AO173" s="279">
        <f>(AE173*P2_Reinigen_Lichtkoepel_50X50)+('Perceel 1'!AF173*P2_Reinigen_Lichtkoepel_60x200)+('Perceel 1'!AG173*P2_Reinigen_Lichtkoepel_180x180)+('Perceel 1'!AH173*P2_Reinigen_Lichtstraten_groter_dan_180x180)</f>
        <v>0</v>
      </c>
      <c r="AP173" s="279"/>
      <c r="AQ173" s="279">
        <f>('Perceel 1'!X173+'Perceel 1'!Y173)*P2_Inspecteren_daken_en_goten_1x_per_jaar_gelijktijdig_met_reiniging_inclusief_inspectierapport_en_een_managementrapport</f>
        <v>0</v>
      </c>
      <c r="AR173" s="312"/>
      <c r="AS173" s="332">
        <f>AR173*P2_keuren_dakveiligheid_per_man_uur</f>
        <v>0</v>
      </c>
      <c r="AT173" s="336">
        <f t="shared" si="27"/>
        <v>0</v>
      </c>
    </row>
    <row r="174" spans="1:46" s="7" customFormat="1" ht="127.5" hidden="1" customHeight="1" x14ac:dyDescent="0.45">
      <c r="A174" s="155"/>
      <c r="B174" s="165">
        <v>2</v>
      </c>
      <c r="C174" s="156" t="s">
        <v>135</v>
      </c>
      <c r="D174" s="156" t="s">
        <v>136</v>
      </c>
      <c r="E174" s="156"/>
      <c r="F174" s="156"/>
      <c r="G174" s="156"/>
      <c r="H174" s="151" t="s">
        <v>1348</v>
      </c>
      <c r="I174" s="151" t="s">
        <v>1349</v>
      </c>
      <c r="J174" s="157"/>
      <c r="K174" s="163"/>
      <c r="L174" s="163" t="s">
        <v>154</v>
      </c>
      <c r="M174" s="166" t="s">
        <v>544</v>
      </c>
      <c r="N174" s="159" t="s">
        <v>1350</v>
      </c>
      <c r="O174" s="159" t="s">
        <v>1351</v>
      </c>
      <c r="P174" s="159" t="s">
        <v>1352</v>
      </c>
      <c r="Q174" s="160" t="s">
        <v>1353</v>
      </c>
      <c r="R174" s="53" t="s">
        <v>1144</v>
      </c>
      <c r="S174" s="160" t="s">
        <v>340</v>
      </c>
      <c r="T174" s="159" t="s">
        <v>1354</v>
      </c>
      <c r="U174" s="159" t="s">
        <v>1355</v>
      </c>
      <c r="V174" s="176" t="s">
        <v>1356</v>
      </c>
      <c r="W174" s="152">
        <v>1987</v>
      </c>
      <c r="X174" s="198">
        <f>734+95</f>
        <v>829</v>
      </c>
      <c r="Y174" s="152"/>
      <c r="Z174" s="177"/>
      <c r="AA174" s="189" t="s">
        <v>135</v>
      </c>
      <c r="AB174" s="189">
        <v>12</v>
      </c>
      <c r="AC174" s="189">
        <v>100</v>
      </c>
      <c r="AD174" s="177"/>
      <c r="AE174" s="177"/>
      <c r="AF174" s="177"/>
      <c r="AG174" s="177"/>
      <c r="AH174" s="177"/>
      <c r="AI174" s="177"/>
      <c r="AJ174" s="177"/>
      <c r="AK174" s="257">
        <v>1</v>
      </c>
      <c r="AL174" s="273"/>
      <c r="AM174" s="277">
        <f>X174*P2_reinigen_daken_met_vaste_dakveiligheid</f>
        <v>0</v>
      </c>
      <c r="AN174" s="279">
        <f>Y174*P2_reinigen_goten_met_vaste_dakveiligheid</f>
        <v>0</v>
      </c>
      <c r="AO174" s="279">
        <f>(AE174*P2_Reinigen_Lichtkoepel_50X50)+('Perceel 1'!AF174*P2_Reinigen_Lichtkoepel_60x200)+('Perceel 1'!AG174*P2_Reinigen_Lichtkoepel_180x180)+('Perceel 1'!AH174*P2_Reinigen_Lichtstraten_groter_dan_180x180)</f>
        <v>0</v>
      </c>
      <c r="AP174" s="279"/>
      <c r="AQ174" s="279">
        <f>('Perceel 1'!X174+'Perceel 1'!Y174)*P2_Inspecteren_daken_en_goten_1x_per_jaar_gelijktijdig_met_reiniging_inclusief_inspectierapport_en_een_managementrapport</f>
        <v>0</v>
      </c>
      <c r="AR174" s="305"/>
      <c r="AS174" s="332">
        <f t="shared" si="26"/>
        <v>0</v>
      </c>
      <c r="AT174" s="336">
        <f t="shared" si="27"/>
        <v>0</v>
      </c>
    </row>
    <row r="175" spans="1:46" s="7" customFormat="1" ht="72.75" hidden="1" customHeight="1" x14ac:dyDescent="0.45">
      <c r="A175" s="155"/>
      <c r="B175" s="165">
        <v>2</v>
      </c>
      <c r="C175" s="156" t="s">
        <v>135</v>
      </c>
      <c r="D175" s="156" t="s">
        <v>136</v>
      </c>
      <c r="E175" s="156"/>
      <c r="F175" s="156"/>
      <c r="G175" s="156"/>
      <c r="H175" s="151" t="s">
        <v>1357</v>
      </c>
      <c r="I175" s="151" t="s">
        <v>1358</v>
      </c>
      <c r="J175" s="157"/>
      <c r="K175" s="163"/>
      <c r="L175" s="151" t="s">
        <v>139</v>
      </c>
      <c r="M175" s="159" t="s">
        <v>140</v>
      </c>
      <c r="N175" s="160" t="s">
        <v>1359</v>
      </c>
      <c r="O175" s="159" t="s">
        <v>1360</v>
      </c>
      <c r="P175" s="160" t="s">
        <v>1361</v>
      </c>
      <c r="Q175" s="160" t="s">
        <v>1362</v>
      </c>
      <c r="R175" s="53" t="s">
        <v>1363</v>
      </c>
      <c r="S175" s="160" t="s">
        <v>340</v>
      </c>
      <c r="T175" s="159" t="s">
        <v>1364</v>
      </c>
      <c r="U175" s="159" t="s">
        <v>1365</v>
      </c>
      <c r="V175" s="176" t="s">
        <v>1366</v>
      </c>
      <c r="W175" s="152">
        <v>1999</v>
      </c>
      <c r="X175" s="152">
        <v>435</v>
      </c>
      <c r="Y175" s="152"/>
      <c r="Z175" s="177" t="s">
        <v>311</v>
      </c>
      <c r="AA175" s="177" t="s">
        <v>150</v>
      </c>
      <c r="AB175" s="177">
        <v>9</v>
      </c>
      <c r="AC175" s="177">
        <v>37</v>
      </c>
      <c r="AD175" s="177" t="s">
        <v>1367</v>
      </c>
      <c r="AE175" s="177"/>
      <c r="AF175" s="177"/>
      <c r="AG175" s="177"/>
      <c r="AH175" s="177"/>
      <c r="AI175" s="177" t="s">
        <v>345</v>
      </c>
      <c r="AJ175" s="177" t="s">
        <v>1018</v>
      </c>
      <c r="AK175" s="257">
        <v>1</v>
      </c>
      <c r="AL175" s="271"/>
      <c r="AM175" s="277">
        <f>X175*P2_reinigen_daken_met_vaste_dakveiligheid</f>
        <v>0</v>
      </c>
      <c r="AN175" s="279">
        <f>Y175*P2_reinigen_goten_met_vaste_dakveiligheid</f>
        <v>0</v>
      </c>
      <c r="AO175" s="279">
        <f>(AE175*P2_Reinigen_Lichtkoepel_50X50)+('Perceel 1'!AF175*P2_Reinigen_Lichtkoepel_60x200)+('Perceel 1'!AG175*P2_Reinigen_Lichtkoepel_180x180)+('Perceel 1'!AH175*P2_Reinigen_Lichtstraten_groter_dan_180x180)</f>
        <v>0</v>
      </c>
      <c r="AP175" s="279"/>
      <c r="AQ175" s="279">
        <f>('Perceel 1'!X175+'Perceel 1'!Y175)*P2_Inspecteren_daken_en_goten_1x_per_jaar_gelijktijdig_met_reiniging_inclusief_inspectierapport_en_een_managementrapport</f>
        <v>0</v>
      </c>
      <c r="AR175" s="305"/>
      <c r="AS175" s="332">
        <f t="shared" si="26"/>
        <v>0</v>
      </c>
      <c r="AT175" s="336">
        <f t="shared" si="27"/>
        <v>0</v>
      </c>
    </row>
    <row r="176" spans="1:46" s="7" customFormat="1" ht="38.25" hidden="1" x14ac:dyDescent="0.45">
      <c r="A176" s="155"/>
      <c r="B176" s="152">
        <v>2</v>
      </c>
      <c r="C176" s="156" t="s">
        <v>135</v>
      </c>
      <c r="D176" s="156" t="s">
        <v>174</v>
      </c>
      <c r="E176" s="156"/>
      <c r="F176" s="156"/>
      <c r="G176" s="156"/>
      <c r="H176" s="151" t="s">
        <v>1368</v>
      </c>
      <c r="I176" s="151" t="s">
        <v>1369</v>
      </c>
      <c r="J176" s="157"/>
      <c r="K176" s="163"/>
      <c r="L176" s="151" t="s">
        <v>348</v>
      </c>
      <c r="M176" s="159" t="s">
        <v>349</v>
      </c>
      <c r="N176" s="160" t="s">
        <v>1370</v>
      </c>
      <c r="O176" s="159" t="s">
        <v>1371</v>
      </c>
      <c r="P176" s="159" t="s">
        <v>1372</v>
      </c>
      <c r="Q176" s="160" t="s">
        <v>1373</v>
      </c>
      <c r="R176" s="53" t="s">
        <v>1144</v>
      </c>
      <c r="S176" s="160" t="s">
        <v>340</v>
      </c>
      <c r="T176" s="159" t="s">
        <v>1374</v>
      </c>
      <c r="U176" s="159" t="s">
        <v>1375</v>
      </c>
      <c r="V176" s="176" t="s">
        <v>1376</v>
      </c>
      <c r="W176" s="152">
        <v>1986</v>
      </c>
      <c r="X176" s="152">
        <v>1004</v>
      </c>
      <c r="Y176" s="152"/>
      <c r="Z176" s="177"/>
      <c r="AA176" s="177"/>
      <c r="AB176" s="177"/>
      <c r="AC176" s="177"/>
      <c r="AD176" s="177"/>
      <c r="AE176" s="177"/>
      <c r="AF176" s="177"/>
      <c r="AG176" s="177"/>
      <c r="AH176" s="177"/>
      <c r="AI176" s="177"/>
      <c r="AJ176" s="177" t="s">
        <v>1377</v>
      </c>
      <c r="AK176" s="257">
        <v>2</v>
      </c>
      <c r="AL176" s="271"/>
      <c r="AM176" s="277">
        <f>X176*P2_Reinigen_daken_incl._extra_maatregelen_veilig_werken_volgens_VCA__eventuele_vergunningen_leges___voorrijkosten__adminstratieve_kosten__fotorapportage_en_kleine_reparaties</f>
        <v>0</v>
      </c>
      <c r="AN176" s="279">
        <f>Y176*P2_Reinigen_goten_incl._extra_maatregelen_veilig_werken_volgens_VCA__eventuele_vergunningen_leges___voorrijkosten__adminstratieve_kosten__fotorapportage_en_kleine_reparaties</f>
        <v>0</v>
      </c>
      <c r="AO176" s="279">
        <f>(AE176*P2_Reinigen_Lichtkoepel_50X50)+('Perceel 1'!AF176*P2_Reinigen_Lichtkoepel_60x200)+('Perceel 1'!AG176*P2_Reinigen_Lichtkoepel_180x180)+('Perceel 1'!AH176*P2_Reinigen_Lichtstraten_groter_dan_180x180)</f>
        <v>0</v>
      </c>
      <c r="AP176" s="279"/>
      <c r="AQ176" s="279">
        <f>('Perceel 1'!X176+'Perceel 1'!Y176)*P2_Inspecteren_daken_en_goten_1x_per_jaar_gelijktijdig_met_reiniging_inclusief_inspectierapport_en_een_managementrapport</f>
        <v>0</v>
      </c>
      <c r="AR176" s="312"/>
      <c r="AS176" s="332">
        <f>AR176*P2_keuren_dakveiligheid_per_man_uur</f>
        <v>0</v>
      </c>
      <c r="AT176" s="336">
        <f t="shared" si="27"/>
        <v>0</v>
      </c>
    </row>
    <row r="177" spans="1:46" s="7" customFormat="1" ht="12.75" hidden="1" customHeight="1" x14ac:dyDescent="0.45">
      <c r="A177" s="155"/>
      <c r="B177" s="152">
        <v>2</v>
      </c>
      <c r="C177" s="156" t="s">
        <v>135</v>
      </c>
      <c r="D177" s="156" t="s">
        <v>174</v>
      </c>
      <c r="E177" s="156"/>
      <c r="F177" s="156"/>
      <c r="G177" s="156"/>
      <c r="H177" s="151" t="s">
        <v>1378</v>
      </c>
      <c r="I177" s="151" t="s">
        <v>1379</v>
      </c>
      <c r="J177" s="157"/>
      <c r="K177" s="163"/>
      <c r="L177" s="151" t="s">
        <v>348</v>
      </c>
      <c r="M177" s="159" t="s">
        <v>349</v>
      </c>
      <c r="N177" s="160" t="s">
        <v>1380</v>
      </c>
      <c r="O177" s="159" t="s">
        <v>1381</v>
      </c>
      <c r="P177" s="160" t="s">
        <v>1382</v>
      </c>
      <c r="Q177" s="160" t="s">
        <v>1383</v>
      </c>
      <c r="R177" s="53" t="s">
        <v>1144</v>
      </c>
      <c r="S177" s="160" t="s">
        <v>340</v>
      </c>
      <c r="T177" s="159" t="s">
        <v>1374</v>
      </c>
      <c r="U177" s="159" t="s">
        <v>1384</v>
      </c>
      <c r="V177" s="176" t="s">
        <v>1376</v>
      </c>
      <c r="W177" s="152">
        <v>1986</v>
      </c>
      <c r="X177" s="152">
        <v>1177</v>
      </c>
      <c r="Y177" s="152"/>
      <c r="Z177" s="177"/>
      <c r="AA177" s="177"/>
      <c r="AB177" s="177"/>
      <c r="AC177" s="177"/>
      <c r="AD177" s="177"/>
      <c r="AE177" s="177"/>
      <c r="AF177" s="177"/>
      <c r="AG177" s="177"/>
      <c r="AH177" s="177"/>
      <c r="AI177" s="177"/>
      <c r="AJ177" s="177"/>
      <c r="AK177" s="257">
        <v>2</v>
      </c>
      <c r="AL177" s="271"/>
      <c r="AM177" s="277">
        <f>X177*P2_Reinigen_daken_incl._extra_maatregelen_veilig_werken_volgens_VCA__eventuele_vergunningen_leges___voorrijkosten__adminstratieve_kosten__fotorapportage_en_kleine_reparaties</f>
        <v>0</v>
      </c>
      <c r="AN177" s="279">
        <f>Y177*P2_Reinigen_goten_incl._extra_maatregelen_veilig_werken_volgens_VCA__eventuele_vergunningen_leges___voorrijkosten__adminstratieve_kosten__fotorapportage_en_kleine_reparaties</f>
        <v>0</v>
      </c>
      <c r="AO177" s="279">
        <f>(AE177*P2_Reinigen_Lichtkoepel_50X50)+('Perceel 1'!AF177*P2_Reinigen_Lichtkoepel_60x200)+('Perceel 1'!AG177*P2_Reinigen_Lichtkoepel_180x180)+('Perceel 1'!AH177*P2_Reinigen_Lichtstraten_groter_dan_180x180)</f>
        <v>0</v>
      </c>
      <c r="AP177" s="279"/>
      <c r="AQ177" s="279">
        <f>('Perceel 1'!X177+'Perceel 1'!Y177)*P2_Inspecteren_daken_en_goten_1x_per_jaar_gelijktijdig_met_reiniging_inclusief_inspectierapport_en_een_managementrapport</f>
        <v>0</v>
      </c>
      <c r="AR177" s="312"/>
      <c r="AS177" s="332">
        <f>AR177*P2_keuren_dakveiligheid_per_man_uur</f>
        <v>0</v>
      </c>
      <c r="AT177" s="336">
        <f t="shared" si="27"/>
        <v>0</v>
      </c>
    </row>
    <row r="178" spans="1:46" s="7" customFormat="1" ht="89.25" hidden="1" customHeight="1" x14ac:dyDescent="0.45">
      <c r="A178" s="155"/>
      <c r="B178" s="165">
        <v>2</v>
      </c>
      <c r="C178" s="156" t="s">
        <v>135</v>
      </c>
      <c r="D178" s="156" t="s">
        <v>136</v>
      </c>
      <c r="E178" s="156"/>
      <c r="F178" s="156"/>
      <c r="G178" s="156"/>
      <c r="H178" s="151" t="s">
        <v>1385</v>
      </c>
      <c r="I178" s="151" t="s">
        <v>1386</v>
      </c>
      <c r="J178" s="157"/>
      <c r="K178" s="163"/>
      <c r="L178" s="163" t="s">
        <v>154</v>
      </c>
      <c r="M178" s="166" t="s">
        <v>544</v>
      </c>
      <c r="N178" s="160" t="s">
        <v>1387</v>
      </c>
      <c r="O178" s="159" t="s">
        <v>1388</v>
      </c>
      <c r="P178" s="160" t="s">
        <v>1389</v>
      </c>
      <c r="Q178" s="195" t="s">
        <v>1390</v>
      </c>
      <c r="R178" s="53" t="s">
        <v>1126</v>
      </c>
      <c r="S178" s="160" t="s">
        <v>340</v>
      </c>
      <c r="T178" s="159" t="s">
        <v>722</v>
      </c>
      <c r="U178" s="168" t="s">
        <v>723</v>
      </c>
      <c r="V178" s="209" t="s">
        <v>724</v>
      </c>
      <c r="W178" s="152">
        <v>2006</v>
      </c>
      <c r="X178" s="152">
        <v>3500</v>
      </c>
      <c r="Y178" s="152"/>
      <c r="Z178" s="177" t="s">
        <v>311</v>
      </c>
      <c r="AA178" s="177" t="s">
        <v>150</v>
      </c>
      <c r="AB178" s="177">
        <v>32</v>
      </c>
      <c r="AC178" s="177">
        <v>290</v>
      </c>
      <c r="AD178" s="177"/>
      <c r="AE178" s="177"/>
      <c r="AF178" s="177"/>
      <c r="AG178" s="177"/>
      <c r="AH178" s="177"/>
      <c r="AI178" s="177"/>
      <c r="AJ178" s="177"/>
      <c r="AK178" s="257">
        <v>1</v>
      </c>
      <c r="AL178" s="317"/>
      <c r="AM178" s="277">
        <f>X178*P2_reinigen_daken_met_vaste_dakveiligheid</f>
        <v>0</v>
      </c>
      <c r="AN178" s="279">
        <f>Y178*P2_reinigen_goten_met_vaste_dakveiligheid</f>
        <v>0</v>
      </c>
      <c r="AO178" s="279">
        <f>(AE178*P2_Reinigen_Lichtkoepel_50X50)+('Perceel 1'!AF178*P2_Reinigen_Lichtkoepel_60x200)+('Perceel 1'!AG178*P2_Reinigen_Lichtkoepel_180x180)+('Perceel 1'!AH178*P2_Reinigen_Lichtstraten_groter_dan_180x180)</f>
        <v>0</v>
      </c>
      <c r="AP178" s="279"/>
      <c r="AQ178" s="279">
        <f>('Perceel 1'!X178+'Perceel 1'!Y178)*P2_Inspecteren_daken_en_goten_1x_per_jaar_gelijktijdig_met_reiniging_inclusief_inspectierapport_en_een_managementrapport</f>
        <v>0</v>
      </c>
      <c r="AR178" s="305"/>
      <c r="AS178" s="332">
        <f t="shared" ref="AS178:AS192" si="32">AR178*P2_keuren_dakveiligheid_per_man_uur</f>
        <v>0</v>
      </c>
      <c r="AT178" s="336">
        <f t="shared" si="27"/>
        <v>0</v>
      </c>
    </row>
    <row r="179" spans="1:46" s="7" customFormat="1" ht="12.75" hidden="1" customHeight="1" x14ac:dyDescent="0.45">
      <c r="A179" s="161"/>
      <c r="B179" s="152">
        <v>2</v>
      </c>
      <c r="C179" s="156" t="s">
        <v>135</v>
      </c>
      <c r="D179" s="156" t="s">
        <v>1391</v>
      </c>
      <c r="E179" s="156"/>
      <c r="F179" s="156"/>
      <c r="G179" s="156"/>
      <c r="H179" s="151" t="s">
        <v>1392</v>
      </c>
      <c r="I179" s="163" t="s">
        <v>1393</v>
      </c>
      <c r="J179" s="157"/>
      <c r="K179" s="163"/>
      <c r="L179" s="163" t="s">
        <v>154</v>
      </c>
      <c r="M179" s="166" t="s">
        <v>155</v>
      </c>
      <c r="N179" s="159" t="s">
        <v>1394</v>
      </c>
      <c r="O179" s="159" t="s">
        <v>1395</v>
      </c>
      <c r="P179" s="159" t="s">
        <v>1396</v>
      </c>
      <c r="Q179" s="159" t="s">
        <v>1397</v>
      </c>
      <c r="R179" s="42" t="s">
        <v>1144</v>
      </c>
      <c r="S179" s="159" t="s">
        <v>340</v>
      </c>
      <c r="T179" s="159" t="s">
        <v>1398</v>
      </c>
      <c r="U179" s="159" t="s">
        <v>1399</v>
      </c>
      <c r="V179" s="176" t="s">
        <v>1113</v>
      </c>
      <c r="W179" s="152">
        <v>1989</v>
      </c>
      <c r="X179" s="152">
        <f>5+5+9+9+527+163+348</f>
        <v>1066</v>
      </c>
      <c r="Y179" s="152"/>
      <c r="Z179" s="177"/>
      <c r="AA179" s="177"/>
      <c r="AB179" s="177"/>
      <c r="AC179" s="177"/>
      <c r="AD179" s="177"/>
      <c r="AE179" s="177"/>
      <c r="AF179" s="177"/>
      <c r="AG179" s="177"/>
      <c r="AH179" s="177"/>
      <c r="AI179" s="177"/>
      <c r="AJ179" s="177"/>
      <c r="AK179" s="177">
        <v>2</v>
      </c>
      <c r="AL179" s="276"/>
      <c r="AM179" s="277">
        <f t="shared" ref="AM179:AM192" si="33">X179*P2_Reinigen_daken_incl._extra_maatregelen_veilig_werken_volgens_VCA__eventuele_vergunningen_leges___voorrijkosten__adminstratieve_kosten__fotorapportage_en_kleine_reparaties</f>
        <v>0</v>
      </c>
      <c r="AN179" s="279">
        <f t="shared" ref="AN179:AN192" si="34">Y179*P2_Reinigen_goten_incl._extra_maatregelen_veilig_werken_volgens_VCA__eventuele_vergunningen_leges___voorrijkosten__adminstratieve_kosten__fotorapportage_en_kleine_reparaties</f>
        <v>0</v>
      </c>
      <c r="AO179" s="279">
        <f>(AE179*P2_Reinigen_Lichtkoepel_50X50)+('Perceel 1'!AF179*P2_Reinigen_Lichtkoepel_60x200)+('Perceel 1'!AG179*P2_Reinigen_Lichtkoepel_180x180)+('Perceel 1'!AH179*P2_Reinigen_Lichtstraten_groter_dan_180x180)</f>
        <v>0</v>
      </c>
      <c r="AP179" s="279"/>
      <c r="AQ179" s="279">
        <f>('Perceel 1'!X179+'Perceel 1'!Y179)*P2_Inspecteren_daken_en_goten_1x_per_jaar_gelijktijdig_met_reiniging_inclusief_inspectierapport_en_een_managementrapport</f>
        <v>0</v>
      </c>
      <c r="AR179" s="312"/>
      <c r="AS179" s="332">
        <f t="shared" si="32"/>
        <v>0</v>
      </c>
      <c r="AT179" s="336">
        <f t="shared" si="27"/>
        <v>0</v>
      </c>
    </row>
    <row r="180" spans="1:46" s="7" customFormat="1" ht="25.5" hidden="1" customHeight="1" x14ac:dyDescent="0.45">
      <c r="A180" s="155"/>
      <c r="B180" s="165">
        <v>2</v>
      </c>
      <c r="C180" s="156" t="s">
        <v>135</v>
      </c>
      <c r="D180" s="156" t="s">
        <v>136</v>
      </c>
      <c r="E180" s="156"/>
      <c r="F180" s="156"/>
      <c r="G180" s="156"/>
      <c r="H180" s="151" t="s">
        <v>1400</v>
      </c>
      <c r="I180" s="151" t="s">
        <v>1401</v>
      </c>
      <c r="J180" s="157"/>
      <c r="K180" s="163"/>
      <c r="L180" s="151" t="s">
        <v>139</v>
      </c>
      <c r="M180" s="159" t="s">
        <v>140</v>
      </c>
      <c r="N180" s="160" t="s">
        <v>1402</v>
      </c>
      <c r="O180" s="159" t="s">
        <v>1403</v>
      </c>
      <c r="P180" s="160" t="s">
        <v>1404</v>
      </c>
      <c r="Q180" s="160" t="s">
        <v>1405</v>
      </c>
      <c r="R180" s="53" t="s">
        <v>1126</v>
      </c>
      <c r="S180" s="160" t="s">
        <v>340</v>
      </c>
      <c r="T180" s="159" t="s">
        <v>1406</v>
      </c>
      <c r="U180" s="159" t="s">
        <v>1407</v>
      </c>
      <c r="V180" s="176" t="s">
        <v>1408</v>
      </c>
      <c r="W180" s="152">
        <v>1982</v>
      </c>
      <c r="X180" s="152">
        <v>784</v>
      </c>
      <c r="Y180" s="152"/>
      <c r="Z180" s="177" t="s">
        <v>311</v>
      </c>
      <c r="AA180" s="177"/>
      <c r="AB180" s="177"/>
      <c r="AC180" s="177"/>
      <c r="AD180" s="177"/>
      <c r="AE180" s="177"/>
      <c r="AF180" s="177"/>
      <c r="AG180" s="177"/>
      <c r="AH180" s="177"/>
      <c r="AI180" s="177"/>
      <c r="AJ180" s="177"/>
      <c r="AK180" s="257">
        <v>1</v>
      </c>
      <c r="AL180" s="271"/>
      <c r="AM180" s="277">
        <f t="shared" si="33"/>
        <v>0</v>
      </c>
      <c r="AN180" s="279">
        <f t="shared" si="34"/>
        <v>0</v>
      </c>
      <c r="AO180" s="279">
        <f>(AE180*P2_Reinigen_Lichtkoepel_50X50)+('Perceel 1'!AF180*P2_Reinigen_Lichtkoepel_60x200)+('Perceel 1'!AG180*P2_Reinigen_Lichtkoepel_180x180)+('Perceel 1'!AH180*P2_Reinigen_Lichtstraten_groter_dan_180x180)</f>
        <v>0</v>
      </c>
      <c r="AP180" s="279"/>
      <c r="AQ180" s="279">
        <f>('Perceel 1'!X180+'Perceel 1'!Y180)*P2_Inspecteren_daken_en_goten_1x_per_jaar_gelijktijdig_met_reiniging_inclusief_inspectierapport_en_een_managementrapport</f>
        <v>0</v>
      </c>
      <c r="AR180" s="312"/>
      <c r="AS180" s="332">
        <f t="shared" si="32"/>
        <v>0</v>
      </c>
      <c r="AT180" s="336">
        <f t="shared" si="27"/>
        <v>0</v>
      </c>
    </row>
    <row r="181" spans="1:46" s="7" customFormat="1" ht="51" hidden="1" x14ac:dyDescent="0.45">
      <c r="A181" s="155"/>
      <c r="B181" s="165">
        <v>2</v>
      </c>
      <c r="C181" s="156" t="s">
        <v>135</v>
      </c>
      <c r="D181" s="156" t="s">
        <v>136</v>
      </c>
      <c r="E181" s="156"/>
      <c r="F181" s="156"/>
      <c r="G181" s="156"/>
      <c r="H181" s="151" t="s">
        <v>1409</v>
      </c>
      <c r="I181" s="151" t="s">
        <v>1410</v>
      </c>
      <c r="J181" s="157"/>
      <c r="K181" s="163"/>
      <c r="L181" s="163" t="s">
        <v>154</v>
      </c>
      <c r="M181" s="166" t="s">
        <v>544</v>
      </c>
      <c r="N181" s="159" t="s">
        <v>1411</v>
      </c>
      <c r="O181" s="159" t="s">
        <v>1412</v>
      </c>
      <c r="P181" s="159" t="s">
        <v>1413</v>
      </c>
      <c r="Q181" s="159" t="s">
        <v>1414</v>
      </c>
      <c r="R181" s="42" t="s">
        <v>1214</v>
      </c>
      <c r="S181" s="159" t="s">
        <v>340</v>
      </c>
      <c r="T181" s="159" t="s">
        <v>169</v>
      </c>
      <c r="U181" s="159" t="s">
        <v>1415</v>
      </c>
      <c r="V181" s="176" t="s">
        <v>171</v>
      </c>
      <c r="W181" s="152">
        <v>1984</v>
      </c>
      <c r="X181" s="152">
        <v>936</v>
      </c>
      <c r="Y181" s="152"/>
      <c r="Z181" s="152" t="s">
        <v>311</v>
      </c>
      <c r="AA181" s="152"/>
      <c r="AB181" s="152"/>
      <c r="AC181" s="152"/>
      <c r="AD181" s="152"/>
      <c r="AE181" s="152"/>
      <c r="AF181" s="152"/>
      <c r="AG181" s="152"/>
      <c r="AH181" s="152"/>
      <c r="AI181" s="152"/>
      <c r="AJ181" s="152"/>
      <c r="AK181" s="152">
        <v>1</v>
      </c>
      <c r="AL181" s="295"/>
      <c r="AM181" s="277">
        <f t="shared" si="33"/>
        <v>0</v>
      </c>
      <c r="AN181" s="279">
        <f t="shared" si="34"/>
        <v>0</v>
      </c>
      <c r="AO181" s="279">
        <f>(AE181*P2_Reinigen_Lichtkoepel_50X50)+('Perceel 1'!AF181*P2_Reinigen_Lichtkoepel_60x200)+('Perceel 1'!AG181*P2_Reinigen_Lichtkoepel_180x180)+('Perceel 1'!AH181*P2_Reinigen_Lichtstraten_groter_dan_180x180)</f>
        <v>0</v>
      </c>
      <c r="AP181" s="279"/>
      <c r="AQ181" s="279">
        <f>('Perceel 1'!X181+'Perceel 1'!Y181)*P2_Inspecteren_daken_en_goten_1x_per_jaar_gelijktijdig_met_reiniging_inclusief_inspectierapport_en_een_managementrapport</f>
        <v>0</v>
      </c>
      <c r="AR181" s="312"/>
      <c r="AS181" s="332">
        <f t="shared" si="32"/>
        <v>0</v>
      </c>
      <c r="AT181" s="336">
        <f t="shared" si="27"/>
        <v>0</v>
      </c>
    </row>
    <row r="182" spans="1:46" s="7" customFormat="1" ht="76.5" hidden="1" x14ac:dyDescent="0.45">
      <c r="A182" s="155"/>
      <c r="B182" s="165">
        <v>2</v>
      </c>
      <c r="C182" s="156" t="s">
        <v>135</v>
      </c>
      <c r="D182" s="156" t="s">
        <v>136</v>
      </c>
      <c r="E182" s="156"/>
      <c r="F182" s="156"/>
      <c r="G182" s="156"/>
      <c r="H182" s="151" t="s">
        <v>1416</v>
      </c>
      <c r="I182" s="151" t="s">
        <v>1417</v>
      </c>
      <c r="J182" s="157"/>
      <c r="K182" s="163"/>
      <c r="L182" s="163" t="s">
        <v>139</v>
      </c>
      <c r="M182" s="166" t="s">
        <v>140</v>
      </c>
      <c r="N182" s="160" t="s">
        <v>1418</v>
      </c>
      <c r="O182" s="159" t="s">
        <v>1419</v>
      </c>
      <c r="P182" s="160" t="s">
        <v>1420</v>
      </c>
      <c r="Q182" s="160" t="s">
        <v>1421</v>
      </c>
      <c r="R182" s="53" t="s">
        <v>1214</v>
      </c>
      <c r="S182" s="160" t="s">
        <v>340</v>
      </c>
      <c r="T182" s="159" t="s">
        <v>1422</v>
      </c>
      <c r="U182" s="159" t="s">
        <v>1423</v>
      </c>
      <c r="V182" s="176" t="s">
        <v>1424</v>
      </c>
      <c r="W182" s="152">
        <v>1983</v>
      </c>
      <c r="X182" s="152">
        <v>1168</v>
      </c>
      <c r="Y182" s="152"/>
      <c r="Z182" s="177"/>
      <c r="AA182" s="177"/>
      <c r="AB182" s="177"/>
      <c r="AC182" s="177"/>
      <c r="AD182" s="177"/>
      <c r="AE182" s="177"/>
      <c r="AF182" s="177"/>
      <c r="AG182" s="177"/>
      <c r="AH182" s="177"/>
      <c r="AI182" s="177"/>
      <c r="AJ182" s="177"/>
      <c r="AK182" s="257">
        <v>2</v>
      </c>
      <c r="AL182" s="271"/>
      <c r="AM182" s="277">
        <f t="shared" si="33"/>
        <v>0</v>
      </c>
      <c r="AN182" s="279">
        <f t="shared" si="34"/>
        <v>0</v>
      </c>
      <c r="AO182" s="279">
        <f>(AE182*P2_Reinigen_Lichtkoepel_50X50)+('Perceel 1'!AF182*P2_Reinigen_Lichtkoepel_60x200)+('Perceel 1'!AG182*P2_Reinigen_Lichtkoepel_180x180)+('Perceel 1'!AH182*P2_Reinigen_Lichtstraten_groter_dan_180x180)</f>
        <v>0</v>
      </c>
      <c r="AP182" s="279"/>
      <c r="AQ182" s="279">
        <f>('Perceel 1'!X182+'Perceel 1'!Y182)*P2_Inspecteren_daken_en_goten_1x_per_jaar_gelijktijdig_met_reiniging_inclusief_inspectierapport_en_een_managementrapport</f>
        <v>0</v>
      </c>
      <c r="AR182" s="312"/>
      <c r="AS182" s="332">
        <f t="shared" si="32"/>
        <v>0</v>
      </c>
      <c r="AT182" s="336">
        <f t="shared" si="27"/>
        <v>0</v>
      </c>
    </row>
    <row r="183" spans="1:46" s="7" customFormat="1" ht="25.5" hidden="1" customHeight="1" x14ac:dyDescent="0.45">
      <c r="A183" s="155"/>
      <c r="B183" s="165">
        <v>2</v>
      </c>
      <c r="C183" s="156" t="s">
        <v>135</v>
      </c>
      <c r="D183" s="156" t="s">
        <v>174</v>
      </c>
      <c r="E183" s="156"/>
      <c r="F183" s="156"/>
      <c r="G183" s="156"/>
      <c r="H183" s="151" t="s">
        <v>1425</v>
      </c>
      <c r="I183" s="151" t="s">
        <v>1426</v>
      </c>
      <c r="J183" s="157"/>
      <c r="K183" s="163"/>
      <c r="L183" s="151" t="s">
        <v>348</v>
      </c>
      <c r="M183" s="159" t="s">
        <v>349</v>
      </c>
      <c r="N183" s="160" t="s">
        <v>1427</v>
      </c>
      <c r="O183" s="159" t="s">
        <v>1428</v>
      </c>
      <c r="P183" s="160" t="s">
        <v>1429</v>
      </c>
      <c r="Q183" s="160" t="s">
        <v>1430</v>
      </c>
      <c r="R183" s="55" t="s">
        <v>1214</v>
      </c>
      <c r="S183" s="160" t="s">
        <v>340</v>
      </c>
      <c r="T183" s="159" t="s">
        <v>1431</v>
      </c>
      <c r="U183" s="159" t="s">
        <v>1432</v>
      </c>
      <c r="V183" s="176" t="s">
        <v>1433</v>
      </c>
      <c r="W183" s="152">
        <v>1984</v>
      </c>
      <c r="X183" s="152">
        <v>1401</v>
      </c>
      <c r="Y183" s="152"/>
      <c r="Z183" s="177"/>
      <c r="AA183" s="177"/>
      <c r="AB183" s="177"/>
      <c r="AC183" s="177"/>
      <c r="AD183" s="177"/>
      <c r="AE183" s="177"/>
      <c r="AF183" s="177"/>
      <c r="AG183" s="177"/>
      <c r="AH183" s="177"/>
      <c r="AI183" s="177"/>
      <c r="AJ183" s="177"/>
      <c r="AK183" s="257">
        <v>1</v>
      </c>
      <c r="AL183" s="271"/>
      <c r="AM183" s="277">
        <f t="shared" si="33"/>
        <v>0</v>
      </c>
      <c r="AN183" s="279">
        <f t="shared" si="34"/>
        <v>0</v>
      </c>
      <c r="AO183" s="279">
        <f>(AE183*P2_Reinigen_Lichtkoepel_50X50)+('Perceel 1'!AF183*P2_Reinigen_Lichtkoepel_60x200)+('Perceel 1'!AG183*P2_Reinigen_Lichtkoepel_180x180)+('Perceel 1'!AH183*P2_Reinigen_Lichtstraten_groter_dan_180x180)</f>
        <v>0</v>
      </c>
      <c r="AP183" s="279"/>
      <c r="AQ183" s="279">
        <f>('Perceel 1'!X183+'Perceel 1'!Y183)*P2_Inspecteren_daken_en_goten_1x_per_jaar_gelijktijdig_met_reiniging_inclusief_inspectierapport_en_een_managementrapport</f>
        <v>0</v>
      </c>
      <c r="AR183" s="312"/>
      <c r="AS183" s="332">
        <f t="shared" si="32"/>
        <v>0</v>
      </c>
      <c r="AT183" s="336">
        <f t="shared" si="27"/>
        <v>0</v>
      </c>
    </row>
    <row r="184" spans="1:46" s="7" customFormat="1" ht="76.5" hidden="1" x14ac:dyDescent="0.45">
      <c r="A184" s="155"/>
      <c r="B184" s="165">
        <v>2</v>
      </c>
      <c r="C184" s="156" t="s">
        <v>135</v>
      </c>
      <c r="D184" s="156" t="s">
        <v>136</v>
      </c>
      <c r="E184" s="156"/>
      <c r="F184" s="156"/>
      <c r="G184" s="156"/>
      <c r="H184" s="151" t="s">
        <v>1434</v>
      </c>
      <c r="I184" s="151" t="s">
        <v>1435</v>
      </c>
      <c r="J184" s="157"/>
      <c r="K184" s="163"/>
      <c r="L184" s="151" t="s">
        <v>348</v>
      </c>
      <c r="M184" s="159" t="s">
        <v>349</v>
      </c>
      <c r="N184" s="160" t="s">
        <v>1436</v>
      </c>
      <c r="O184" s="159" t="s">
        <v>1437</v>
      </c>
      <c r="P184" s="160" t="s">
        <v>1438</v>
      </c>
      <c r="Q184" s="160" t="s">
        <v>1439</v>
      </c>
      <c r="R184" s="53" t="s">
        <v>1363</v>
      </c>
      <c r="S184" s="160" t="s">
        <v>340</v>
      </c>
      <c r="T184" s="159" t="s">
        <v>1440</v>
      </c>
      <c r="U184" s="159" t="s">
        <v>1441</v>
      </c>
      <c r="V184" s="209" t="s">
        <v>1442</v>
      </c>
      <c r="W184" s="152">
        <v>1995</v>
      </c>
      <c r="X184" s="152">
        <v>621</v>
      </c>
      <c r="Y184" s="152"/>
      <c r="Z184" s="177"/>
      <c r="AA184" s="177"/>
      <c r="AB184" s="177"/>
      <c r="AC184" s="177"/>
      <c r="AD184" s="177"/>
      <c r="AE184" s="177"/>
      <c r="AF184" s="177"/>
      <c r="AG184" s="177"/>
      <c r="AH184" s="177"/>
      <c r="AI184" s="177"/>
      <c r="AJ184" s="177"/>
      <c r="AK184" s="257">
        <v>1</v>
      </c>
      <c r="AL184" s="274"/>
      <c r="AM184" s="277">
        <f t="shared" si="33"/>
        <v>0</v>
      </c>
      <c r="AN184" s="279">
        <f t="shared" si="34"/>
        <v>0</v>
      </c>
      <c r="AO184" s="279">
        <f>(AE184*P2_Reinigen_Lichtkoepel_50X50)+('Perceel 1'!AF184*P2_Reinigen_Lichtkoepel_60x200)+('Perceel 1'!AG184*P2_Reinigen_Lichtkoepel_180x180)+('Perceel 1'!AH184*P2_Reinigen_Lichtstraten_groter_dan_180x180)</f>
        <v>0</v>
      </c>
      <c r="AP184" s="279"/>
      <c r="AQ184" s="279">
        <f>('Perceel 1'!X184+'Perceel 1'!Y184)*P2_Inspecteren_daken_en_goten_1x_per_jaar_gelijktijdig_met_reiniging_inclusief_inspectierapport_en_een_managementrapport</f>
        <v>0</v>
      </c>
      <c r="AR184" s="312"/>
      <c r="AS184" s="332">
        <f t="shared" si="32"/>
        <v>0</v>
      </c>
      <c r="AT184" s="336">
        <f t="shared" si="27"/>
        <v>0</v>
      </c>
    </row>
    <row r="185" spans="1:46" s="7" customFormat="1" ht="12.75" hidden="1" customHeight="1" x14ac:dyDescent="0.45">
      <c r="A185" s="155"/>
      <c r="B185" s="165">
        <v>2</v>
      </c>
      <c r="C185" s="156" t="s">
        <v>135</v>
      </c>
      <c r="D185" s="156" t="s">
        <v>136</v>
      </c>
      <c r="E185" s="156"/>
      <c r="F185" s="156"/>
      <c r="G185" s="156"/>
      <c r="H185" s="151" t="s">
        <v>1443</v>
      </c>
      <c r="I185" s="151" t="s">
        <v>1444</v>
      </c>
      <c r="J185" s="157"/>
      <c r="K185" s="163"/>
      <c r="L185" s="151" t="s">
        <v>348</v>
      </c>
      <c r="M185" s="159" t="s">
        <v>349</v>
      </c>
      <c r="N185" s="160" t="s">
        <v>1445</v>
      </c>
      <c r="O185" s="159" t="s">
        <v>1446</v>
      </c>
      <c r="P185" s="160" t="s">
        <v>1447</v>
      </c>
      <c r="Q185" s="160" t="s">
        <v>1439</v>
      </c>
      <c r="R185" s="53" t="s">
        <v>1363</v>
      </c>
      <c r="S185" s="160" t="s">
        <v>340</v>
      </c>
      <c r="T185" s="159" t="s">
        <v>1448</v>
      </c>
      <c r="U185" s="159" t="s">
        <v>1449</v>
      </c>
      <c r="V185" s="176" t="s">
        <v>1450</v>
      </c>
      <c r="W185" s="152">
        <v>2002</v>
      </c>
      <c r="X185" s="152">
        <v>1195</v>
      </c>
      <c r="Y185" s="152"/>
      <c r="Z185" s="177"/>
      <c r="AA185" s="177"/>
      <c r="AB185" s="177"/>
      <c r="AC185" s="177"/>
      <c r="AD185" s="177"/>
      <c r="AE185" s="177"/>
      <c r="AF185" s="177"/>
      <c r="AG185" s="177"/>
      <c r="AH185" s="177"/>
      <c r="AI185" s="177"/>
      <c r="AJ185" s="177"/>
      <c r="AK185" s="257">
        <v>1</v>
      </c>
      <c r="AL185" s="271"/>
      <c r="AM185" s="277">
        <f t="shared" si="33"/>
        <v>0</v>
      </c>
      <c r="AN185" s="279">
        <f t="shared" si="34"/>
        <v>0</v>
      </c>
      <c r="AO185" s="279">
        <f>(AE185*P2_Reinigen_Lichtkoepel_50X50)+('Perceel 1'!AF185*P2_Reinigen_Lichtkoepel_60x200)+('Perceel 1'!AG185*P2_Reinigen_Lichtkoepel_180x180)+('Perceel 1'!AH185*P2_Reinigen_Lichtstraten_groter_dan_180x180)</f>
        <v>0</v>
      </c>
      <c r="AP185" s="279"/>
      <c r="AQ185" s="279">
        <f>('Perceel 1'!X185+'Perceel 1'!Y185)*P2_Inspecteren_daken_en_goten_1x_per_jaar_gelijktijdig_met_reiniging_inclusief_inspectierapport_en_een_managementrapport</f>
        <v>0</v>
      </c>
      <c r="AR185" s="312"/>
      <c r="AS185" s="332">
        <f t="shared" si="32"/>
        <v>0</v>
      </c>
      <c r="AT185" s="336">
        <f t="shared" si="27"/>
        <v>0</v>
      </c>
    </row>
    <row r="186" spans="1:46" s="7" customFormat="1" ht="51" hidden="1" x14ac:dyDescent="0.45">
      <c r="A186" s="155"/>
      <c r="B186" s="165">
        <v>2</v>
      </c>
      <c r="C186" s="156" t="s">
        <v>135</v>
      </c>
      <c r="D186" s="156" t="s">
        <v>136</v>
      </c>
      <c r="E186" s="156"/>
      <c r="F186" s="156"/>
      <c r="G186" s="156"/>
      <c r="H186" s="151" t="s">
        <v>1451</v>
      </c>
      <c r="I186" s="151" t="s">
        <v>1452</v>
      </c>
      <c r="J186" s="157"/>
      <c r="K186" s="163"/>
      <c r="L186" s="163" t="s">
        <v>154</v>
      </c>
      <c r="M186" s="166" t="s">
        <v>544</v>
      </c>
      <c r="N186" s="160" t="s">
        <v>1453</v>
      </c>
      <c r="O186" s="159" t="s">
        <v>1454</v>
      </c>
      <c r="P186" s="160" t="s">
        <v>1455</v>
      </c>
      <c r="Q186" s="160" t="s">
        <v>1456</v>
      </c>
      <c r="R186" s="53" t="s">
        <v>1363</v>
      </c>
      <c r="S186" s="160" t="s">
        <v>340</v>
      </c>
      <c r="T186" s="159" t="s">
        <v>169</v>
      </c>
      <c r="U186" s="159" t="s">
        <v>170</v>
      </c>
      <c r="V186" s="176" t="s">
        <v>171</v>
      </c>
      <c r="W186" s="152">
        <v>1999</v>
      </c>
      <c r="X186" s="152">
        <v>440</v>
      </c>
      <c r="Y186" s="152"/>
      <c r="Z186" s="177" t="s">
        <v>311</v>
      </c>
      <c r="AA186" s="177"/>
      <c r="AB186" s="177"/>
      <c r="AC186" s="177"/>
      <c r="AD186" s="177"/>
      <c r="AE186" s="177"/>
      <c r="AF186" s="177"/>
      <c r="AG186" s="177"/>
      <c r="AH186" s="177"/>
      <c r="AI186" s="177"/>
      <c r="AJ186" s="177"/>
      <c r="AK186" s="257">
        <v>2</v>
      </c>
      <c r="AL186" s="271"/>
      <c r="AM186" s="277">
        <f t="shared" si="33"/>
        <v>0</v>
      </c>
      <c r="AN186" s="279">
        <f t="shared" si="34"/>
        <v>0</v>
      </c>
      <c r="AO186" s="279">
        <f>(AE186*P2_Reinigen_Lichtkoepel_50X50)+('Perceel 1'!AF186*P2_Reinigen_Lichtkoepel_60x200)+('Perceel 1'!AG186*P2_Reinigen_Lichtkoepel_180x180)+('Perceel 1'!AH186*P2_Reinigen_Lichtstraten_groter_dan_180x180)</f>
        <v>0</v>
      </c>
      <c r="AP186" s="279"/>
      <c r="AQ186" s="279">
        <f>('Perceel 1'!X186+'Perceel 1'!Y186)*P2_Inspecteren_daken_en_goten_1x_per_jaar_gelijktijdig_met_reiniging_inclusief_inspectierapport_en_een_managementrapport</f>
        <v>0</v>
      </c>
      <c r="AR186" s="312"/>
      <c r="AS186" s="332">
        <f t="shared" si="32"/>
        <v>0</v>
      </c>
      <c r="AT186" s="336">
        <f t="shared" si="27"/>
        <v>0</v>
      </c>
    </row>
    <row r="187" spans="1:46" s="7" customFormat="1" ht="77.25" hidden="1" x14ac:dyDescent="0.45">
      <c r="A187" s="155"/>
      <c r="B187" s="165">
        <v>2</v>
      </c>
      <c r="C187" s="156" t="s">
        <v>135</v>
      </c>
      <c r="D187" s="156" t="s">
        <v>136</v>
      </c>
      <c r="E187" s="156"/>
      <c r="F187" s="156"/>
      <c r="G187" s="156"/>
      <c r="H187" s="151" t="s">
        <v>1457</v>
      </c>
      <c r="I187" s="151" t="s">
        <v>1458</v>
      </c>
      <c r="J187" s="157"/>
      <c r="K187" s="163"/>
      <c r="L187" s="151" t="s">
        <v>348</v>
      </c>
      <c r="M187" s="159" t="s">
        <v>349</v>
      </c>
      <c r="N187" s="160" t="s">
        <v>1459</v>
      </c>
      <c r="O187" s="159" t="s">
        <v>1460</v>
      </c>
      <c r="P187" s="160" t="s">
        <v>1461</v>
      </c>
      <c r="Q187" s="160" t="s">
        <v>1462</v>
      </c>
      <c r="R187" s="53" t="s">
        <v>1463</v>
      </c>
      <c r="S187" s="160" t="s">
        <v>340</v>
      </c>
      <c r="T187" s="159" t="s">
        <v>1464</v>
      </c>
      <c r="U187" s="159" t="s">
        <v>1465</v>
      </c>
      <c r="V187" s="176" t="s">
        <v>1466</v>
      </c>
      <c r="W187" s="152">
        <v>1999</v>
      </c>
      <c r="X187" s="152">
        <f>728+216</f>
        <v>944</v>
      </c>
      <c r="Y187" s="152"/>
      <c r="Z187" s="177" t="s">
        <v>311</v>
      </c>
      <c r="AA187" s="177"/>
      <c r="AB187" s="177"/>
      <c r="AC187" s="177"/>
      <c r="AD187" s="177"/>
      <c r="AE187" s="177"/>
      <c r="AF187" s="177"/>
      <c r="AG187" s="177"/>
      <c r="AH187" s="177"/>
      <c r="AI187" s="177"/>
      <c r="AJ187" s="177"/>
      <c r="AK187" s="257">
        <v>1</v>
      </c>
      <c r="AL187" s="297" t="s">
        <v>1467</v>
      </c>
      <c r="AM187" s="277">
        <f t="shared" si="33"/>
        <v>0</v>
      </c>
      <c r="AN187" s="279">
        <f t="shared" si="34"/>
        <v>0</v>
      </c>
      <c r="AO187" s="279">
        <f>(AE187*P2_Reinigen_Lichtkoepel_50X50)+('Perceel 1'!AF187*P2_Reinigen_Lichtkoepel_60x200)+('Perceel 1'!AG187*P2_Reinigen_Lichtkoepel_180x180)+('Perceel 1'!AH187*P2_Reinigen_Lichtstraten_groter_dan_180x180)</f>
        <v>0</v>
      </c>
      <c r="AP187" s="279"/>
      <c r="AQ187" s="279">
        <f>('Perceel 1'!X187+'Perceel 1'!Y187)*P2_Inspecteren_daken_en_goten_1x_per_jaar_gelijktijdig_met_reiniging_inclusief_inspectierapport_en_een_managementrapport</f>
        <v>0</v>
      </c>
      <c r="AR187" s="312"/>
      <c r="AS187" s="332">
        <f t="shared" si="32"/>
        <v>0</v>
      </c>
      <c r="AT187" s="336">
        <f t="shared" si="27"/>
        <v>0</v>
      </c>
    </row>
    <row r="188" spans="1:46" s="7" customFormat="1" ht="109.35" hidden="1" customHeight="1" x14ac:dyDescent="0.45">
      <c r="A188" s="155"/>
      <c r="B188" s="165">
        <v>2</v>
      </c>
      <c r="C188" s="156" t="s">
        <v>135</v>
      </c>
      <c r="D188" s="156" t="s">
        <v>136</v>
      </c>
      <c r="E188" s="156"/>
      <c r="F188" s="156"/>
      <c r="G188" s="156"/>
      <c r="H188" s="151" t="s">
        <v>1468</v>
      </c>
      <c r="I188" s="151" t="s">
        <v>1469</v>
      </c>
      <c r="J188" s="157"/>
      <c r="K188" s="163"/>
      <c r="L188" s="163" t="s">
        <v>139</v>
      </c>
      <c r="M188" s="166" t="s">
        <v>140</v>
      </c>
      <c r="N188" s="160" t="s">
        <v>1470</v>
      </c>
      <c r="O188" s="159" t="s">
        <v>1471</v>
      </c>
      <c r="P188" s="160" t="s">
        <v>1472</v>
      </c>
      <c r="Q188" s="160" t="s">
        <v>1473</v>
      </c>
      <c r="R188" s="53" t="s">
        <v>1463</v>
      </c>
      <c r="S188" s="160" t="s">
        <v>340</v>
      </c>
      <c r="T188" s="159" t="s">
        <v>1474</v>
      </c>
      <c r="U188" s="159" t="s">
        <v>1475</v>
      </c>
      <c r="V188" s="176" t="s">
        <v>1476</v>
      </c>
      <c r="W188" s="152">
        <v>1997</v>
      </c>
      <c r="X188" s="198">
        <f>725-4</f>
        <v>721</v>
      </c>
      <c r="Y188" s="152"/>
      <c r="Z188" s="177"/>
      <c r="AA188" s="177"/>
      <c r="AB188" s="177"/>
      <c r="AC188" s="177"/>
      <c r="AD188" s="177"/>
      <c r="AE188" s="177"/>
      <c r="AF188" s="177"/>
      <c r="AG188" s="177"/>
      <c r="AH188" s="177"/>
      <c r="AI188" s="177" t="s">
        <v>345</v>
      </c>
      <c r="AJ188" s="177" t="s">
        <v>223</v>
      </c>
      <c r="AK188" s="257">
        <v>1</v>
      </c>
      <c r="AL188" s="273"/>
      <c r="AM188" s="277">
        <f t="shared" si="33"/>
        <v>0</v>
      </c>
      <c r="AN188" s="279">
        <f t="shared" si="34"/>
        <v>0</v>
      </c>
      <c r="AO188" s="279">
        <f>(AE188*P2_Reinigen_Lichtkoepel_50X50)+('Perceel 1'!AF188*P2_Reinigen_Lichtkoepel_60x200)+('Perceel 1'!AG188*P2_Reinigen_Lichtkoepel_180x180)+('Perceel 1'!AH188*P2_Reinigen_Lichtstraten_groter_dan_180x180)</f>
        <v>0</v>
      </c>
      <c r="AP188" s="279"/>
      <c r="AQ188" s="279">
        <f>('Perceel 1'!X188+'Perceel 1'!Y188)*P2_Inspecteren_daken_en_goten_1x_per_jaar_gelijktijdig_met_reiniging_inclusief_inspectierapport_en_een_managementrapport</f>
        <v>0</v>
      </c>
      <c r="AR188" s="312"/>
      <c r="AS188" s="332">
        <f t="shared" si="32"/>
        <v>0</v>
      </c>
      <c r="AT188" s="336">
        <f t="shared" si="27"/>
        <v>0</v>
      </c>
    </row>
    <row r="189" spans="1:46" s="7" customFormat="1" ht="56.45" hidden="1" customHeight="1" x14ac:dyDescent="0.45">
      <c r="A189" s="238"/>
      <c r="B189" s="225">
        <v>2</v>
      </c>
      <c r="C189" s="171" t="s">
        <v>135</v>
      </c>
      <c r="D189" s="171" t="s">
        <v>136</v>
      </c>
      <c r="E189" s="171" t="s">
        <v>174</v>
      </c>
      <c r="F189" s="171"/>
      <c r="G189" s="171"/>
      <c r="H189" s="15"/>
      <c r="I189" s="15"/>
      <c r="J189" s="15"/>
      <c r="K189" s="16"/>
      <c r="L189" s="196" t="s">
        <v>348</v>
      </c>
      <c r="M189" s="196" t="s">
        <v>1477</v>
      </c>
      <c r="N189" s="171" t="s">
        <v>1478</v>
      </c>
      <c r="O189" s="171" t="s">
        <v>1479</v>
      </c>
      <c r="P189" s="171" t="s">
        <v>1480</v>
      </c>
      <c r="Q189" s="211" t="s">
        <v>1473</v>
      </c>
      <c r="R189" s="58" t="s">
        <v>1463</v>
      </c>
      <c r="S189" s="211" t="s">
        <v>340</v>
      </c>
      <c r="T189" s="171"/>
      <c r="U189" s="171"/>
      <c r="V189" s="171"/>
      <c r="W189" s="211">
        <v>1998</v>
      </c>
      <c r="X189" s="261">
        <v>1175</v>
      </c>
      <c r="Y189" s="211"/>
      <c r="Z189" s="171"/>
      <c r="AA189" s="171"/>
      <c r="AB189" s="171"/>
      <c r="AC189" s="171"/>
      <c r="AD189" s="171"/>
      <c r="AE189" s="171"/>
      <c r="AF189" s="171"/>
      <c r="AG189" s="171"/>
      <c r="AH189" s="171"/>
      <c r="AI189" s="171"/>
      <c r="AJ189" s="171"/>
      <c r="AK189" s="261">
        <v>1</v>
      </c>
      <c r="AL189" s="271"/>
      <c r="AM189" s="277">
        <f t="shared" si="33"/>
        <v>0</v>
      </c>
      <c r="AN189" s="279">
        <f t="shared" si="34"/>
        <v>0</v>
      </c>
      <c r="AO189" s="279">
        <f>(AE189*P2_Reinigen_Lichtkoepel_50X50)+('Perceel 1'!AF189*P2_Reinigen_Lichtkoepel_60x200)+('Perceel 1'!AG189*P2_Reinigen_Lichtkoepel_180x180)+('Perceel 1'!AH189*P2_Reinigen_Lichtstraten_groter_dan_180x180)</f>
        <v>0</v>
      </c>
      <c r="AP189" s="279"/>
      <c r="AQ189" s="279">
        <f>('Perceel 1'!X189+'Perceel 1'!Y189)*P2_Inspecteren_daken_en_goten_1x_per_jaar_gelijktijdig_met_reiniging_inclusief_inspectierapport_en_een_managementrapport</f>
        <v>0</v>
      </c>
      <c r="AR189" s="312"/>
      <c r="AS189" s="332">
        <f t="shared" si="32"/>
        <v>0</v>
      </c>
      <c r="AT189" s="336">
        <f t="shared" si="27"/>
        <v>0</v>
      </c>
    </row>
    <row r="190" spans="1:46" s="7" customFormat="1" ht="51" hidden="1" x14ac:dyDescent="0.45">
      <c r="A190" s="182"/>
      <c r="B190" s="185">
        <v>2</v>
      </c>
      <c r="C190" s="175" t="s">
        <v>135</v>
      </c>
      <c r="D190" s="175" t="s">
        <v>136</v>
      </c>
      <c r="E190" s="175"/>
      <c r="F190" s="175"/>
      <c r="G190" s="175"/>
      <c r="H190" s="174" t="s">
        <v>1481</v>
      </c>
      <c r="I190" s="174" t="s">
        <v>1482</v>
      </c>
      <c r="J190" s="197"/>
      <c r="K190" s="197"/>
      <c r="L190" s="174"/>
      <c r="M190" s="191" t="s">
        <v>544</v>
      </c>
      <c r="N190" s="182" t="s">
        <v>1483</v>
      </c>
      <c r="O190" s="175" t="s">
        <v>1484</v>
      </c>
      <c r="P190" s="182" t="s">
        <v>1485</v>
      </c>
      <c r="Q190" s="182" t="s">
        <v>1473</v>
      </c>
      <c r="R190" s="50" t="s">
        <v>1463</v>
      </c>
      <c r="S190" s="182" t="s">
        <v>340</v>
      </c>
      <c r="T190" s="175" t="s">
        <v>169</v>
      </c>
      <c r="U190" s="175" t="s">
        <v>170</v>
      </c>
      <c r="V190" s="175" t="s">
        <v>171</v>
      </c>
      <c r="W190" s="182">
        <v>1998</v>
      </c>
      <c r="X190" s="255">
        <f>X189*14%</f>
        <v>164.50000000000003</v>
      </c>
      <c r="Y190" s="182"/>
      <c r="Z190" s="175"/>
      <c r="AA190" s="175"/>
      <c r="AB190" s="175"/>
      <c r="AC190" s="175"/>
      <c r="AD190" s="175"/>
      <c r="AE190" s="175"/>
      <c r="AF190" s="175"/>
      <c r="AG190" s="175"/>
      <c r="AH190" s="175"/>
      <c r="AI190" s="175"/>
      <c r="AJ190" s="175"/>
      <c r="AK190" s="255">
        <v>1</v>
      </c>
      <c r="AL190" s="271"/>
      <c r="AM190" s="277">
        <f t="shared" si="33"/>
        <v>0</v>
      </c>
      <c r="AN190" s="279">
        <f t="shared" si="34"/>
        <v>0</v>
      </c>
      <c r="AO190" s="279">
        <f>(AE190*P2_Reinigen_Lichtkoepel_50X50)+('Perceel 1'!AF190*P2_Reinigen_Lichtkoepel_60x200)+('Perceel 1'!AG190*P2_Reinigen_Lichtkoepel_180x180)+('Perceel 1'!AH190*P2_Reinigen_Lichtstraten_groter_dan_180x180)</f>
        <v>0</v>
      </c>
      <c r="AP190" s="279"/>
      <c r="AQ190" s="279">
        <f>('Perceel 1'!X190+'Perceel 1'!Y190)*P2_Inspecteren_daken_en_goten_1x_per_jaar_gelijktijdig_met_reiniging_inclusief_inspectierapport_en_een_managementrapport</f>
        <v>0</v>
      </c>
      <c r="AR190" s="312"/>
      <c r="AS190" s="332">
        <f t="shared" si="32"/>
        <v>0</v>
      </c>
      <c r="AT190" s="336">
        <f t="shared" si="27"/>
        <v>0</v>
      </c>
    </row>
    <row r="191" spans="1:46" s="7" customFormat="1" ht="25.5" hidden="1" customHeight="1" x14ac:dyDescent="0.45">
      <c r="A191" s="182"/>
      <c r="B191" s="185">
        <v>2</v>
      </c>
      <c r="C191" s="175" t="s">
        <v>135</v>
      </c>
      <c r="D191" s="175" t="s">
        <v>136</v>
      </c>
      <c r="E191" s="175"/>
      <c r="F191" s="175"/>
      <c r="G191" s="175"/>
      <c r="H191" s="174" t="s">
        <v>1486</v>
      </c>
      <c r="I191" s="174" t="s">
        <v>1487</v>
      </c>
      <c r="J191" s="197"/>
      <c r="K191" s="197"/>
      <c r="L191" s="174"/>
      <c r="M191" s="175" t="s">
        <v>1488</v>
      </c>
      <c r="N191" s="175" t="s">
        <v>1489</v>
      </c>
      <c r="O191" s="175" t="s">
        <v>1490</v>
      </c>
      <c r="P191" s="182" t="s">
        <v>1491</v>
      </c>
      <c r="Q191" s="182" t="s">
        <v>1473</v>
      </c>
      <c r="R191" s="50" t="s">
        <v>1463</v>
      </c>
      <c r="S191" s="182" t="s">
        <v>340</v>
      </c>
      <c r="T191" s="175" t="s">
        <v>1492</v>
      </c>
      <c r="U191" s="175" t="s">
        <v>1493</v>
      </c>
      <c r="V191" s="175" t="s">
        <v>1494</v>
      </c>
      <c r="W191" s="182">
        <v>1998</v>
      </c>
      <c r="X191" s="255">
        <f>X189*10%</f>
        <v>117.5</v>
      </c>
      <c r="Y191" s="182"/>
      <c r="Z191" s="175"/>
      <c r="AA191" s="175"/>
      <c r="AB191" s="175"/>
      <c r="AC191" s="175"/>
      <c r="AD191" s="175"/>
      <c r="AE191" s="175"/>
      <c r="AF191" s="175"/>
      <c r="AG191" s="175"/>
      <c r="AH191" s="175"/>
      <c r="AI191" s="175"/>
      <c r="AJ191" s="175"/>
      <c r="AK191" s="255">
        <v>1</v>
      </c>
      <c r="AL191" s="271"/>
      <c r="AM191" s="277">
        <f t="shared" si="33"/>
        <v>0</v>
      </c>
      <c r="AN191" s="279">
        <f t="shared" si="34"/>
        <v>0</v>
      </c>
      <c r="AO191" s="279">
        <f>(AE191*P2_Reinigen_Lichtkoepel_50X50)+('Perceel 1'!AF191*P2_Reinigen_Lichtkoepel_60x200)+('Perceel 1'!AG191*P2_Reinigen_Lichtkoepel_180x180)+('Perceel 1'!AH191*P2_Reinigen_Lichtstraten_groter_dan_180x180)</f>
        <v>0</v>
      </c>
      <c r="AP191" s="279"/>
      <c r="AQ191" s="279">
        <f>('Perceel 1'!X191+'Perceel 1'!Y191)*P2_Inspecteren_daken_en_goten_1x_per_jaar_gelijktijdig_met_reiniging_inclusief_inspectierapport_en_een_managementrapport</f>
        <v>0</v>
      </c>
      <c r="AR191" s="312"/>
      <c r="AS191" s="332">
        <f t="shared" si="32"/>
        <v>0</v>
      </c>
      <c r="AT191" s="336">
        <f t="shared" si="27"/>
        <v>0</v>
      </c>
    </row>
    <row r="192" spans="1:46" s="7" customFormat="1" ht="25.5" hidden="1" customHeight="1" thickBot="1" x14ac:dyDescent="0.5">
      <c r="A192" s="182"/>
      <c r="B192" s="185">
        <v>2</v>
      </c>
      <c r="C192" s="175" t="s">
        <v>135</v>
      </c>
      <c r="D192" s="175" t="s">
        <v>174</v>
      </c>
      <c r="E192" s="175"/>
      <c r="F192" s="175"/>
      <c r="G192" s="175"/>
      <c r="H192" s="174" t="s">
        <v>1495</v>
      </c>
      <c r="I192" s="174" t="s">
        <v>1496</v>
      </c>
      <c r="J192" s="197"/>
      <c r="K192" s="197"/>
      <c r="L192" s="174"/>
      <c r="M192" s="174" t="s">
        <v>349</v>
      </c>
      <c r="N192" s="182" t="s">
        <v>1497</v>
      </c>
      <c r="O192" s="175" t="s">
        <v>1498</v>
      </c>
      <c r="P192" s="182" t="s">
        <v>1499</v>
      </c>
      <c r="Q192" s="182" t="s">
        <v>1473</v>
      </c>
      <c r="R192" s="50" t="s">
        <v>1463</v>
      </c>
      <c r="S192" s="182" t="s">
        <v>340</v>
      </c>
      <c r="T192" s="175" t="s">
        <v>1500</v>
      </c>
      <c r="U192" s="175" t="s">
        <v>1501</v>
      </c>
      <c r="V192" s="187" t="s">
        <v>1502</v>
      </c>
      <c r="W192" s="182">
        <v>1998</v>
      </c>
      <c r="X192" s="255">
        <f>X189*76%</f>
        <v>893</v>
      </c>
      <c r="Y192" s="182"/>
      <c r="Z192" s="175"/>
      <c r="AA192" s="175"/>
      <c r="AB192" s="175"/>
      <c r="AC192" s="175"/>
      <c r="AD192" s="175"/>
      <c r="AE192" s="175"/>
      <c r="AF192" s="175"/>
      <c r="AG192" s="175"/>
      <c r="AH192" s="175"/>
      <c r="AI192" s="175"/>
      <c r="AJ192" s="175"/>
      <c r="AK192" s="255">
        <v>1</v>
      </c>
      <c r="AL192" s="271"/>
      <c r="AM192" s="300">
        <f t="shared" si="33"/>
        <v>0</v>
      </c>
      <c r="AN192" s="301">
        <f t="shared" si="34"/>
        <v>0</v>
      </c>
      <c r="AO192" s="301">
        <f>(AE192*P2_Reinigen_Lichtkoepel_50X50)+('Perceel 1'!AF192*P2_Reinigen_Lichtkoepel_60x200)+('Perceel 1'!AG192*P2_Reinigen_Lichtkoepel_180x180)+('Perceel 1'!AH192*P2_Reinigen_Lichtstraten_groter_dan_180x180)</f>
        <v>0</v>
      </c>
      <c r="AP192" s="301"/>
      <c r="AQ192" s="301">
        <f>('Perceel 1'!X192+'Perceel 1'!Y192)*P2_Inspecteren_daken_en_goten_1x_per_jaar_gelijktijdig_met_reiniging_inclusief_inspectierapport_en_een_managementrapport</f>
        <v>0</v>
      </c>
      <c r="AR192" s="329"/>
      <c r="AS192" s="334">
        <f t="shared" si="32"/>
        <v>0</v>
      </c>
      <c r="AT192" s="338">
        <f t="shared" si="27"/>
        <v>0</v>
      </c>
    </row>
    <row r="193" spans="1:46" s="7" customFormat="1" ht="14.65" hidden="1" thickTop="1" x14ac:dyDescent="0.45">
      <c r="A193" s="8"/>
      <c r="B193" s="40">
        <v>2</v>
      </c>
      <c r="C193" s="1" t="s">
        <v>135</v>
      </c>
      <c r="D193" s="1"/>
      <c r="E193" s="1"/>
      <c r="F193" s="1"/>
      <c r="G193" s="1"/>
      <c r="H193" s="38"/>
      <c r="I193" s="38"/>
      <c r="J193" s="38"/>
      <c r="K193" s="38"/>
      <c r="L193" s="38"/>
      <c r="M193" s="19"/>
      <c r="N193" s="1" t="s">
        <v>1503</v>
      </c>
      <c r="O193" s="291" t="s">
        <v>1504</v>
      </c>
      <c r="P193" s="1"/>
      <c r="Q193" s="1"/>
      <c r="R193" s="1"/>
      <c r="S193" s="1"/>
      <c r="T193" s="19"/>
      <c r="U193" s="19"/>
      <c r="V193" s="19"/>
      <c r="W193" s="30"/>
      <c r="X193" s="313">
        <f>X102+X107+X108+X109+X110+X111+X112+X113+X114+X115+X116+X117+X119+X120+X121+X122+X123+X124+X125+X126+X128+X129+X130+X131+X132+X133+X134+X135+X137+X138+X139+X140+X141+X143+X144+X145+X146+X148+X149+X150+X151+X152+X153+X154+X155+X156+X157+X158+X159+X160+X161+X162+X163+X164+X165+X166+X167+X168+X169+X170+X171+X172+X173+X174+X175+X176+X177+X178+X179+X180+X181+X182+X183+X184+X185+X186+X187+X188+X190+X191+X192</f>
        <v>95723</v>
      </c>
      <c r="Y193" s="313">
        <f>Y102+Y107+Y108+Y109+Y110+Y111+Y112+Y113+Y114+Y115+Y116+Y117+Y119+Y120+Y121+Y122+Y123+Y124+Y125+Y126+Y128+Y129+Y130+Y131+Y132+Y133+Y134+Y135+Y137+Y138+Y139+Y140+Y141+Y143+Y144+Y145+Y146+Y148+Y149+Y150+Y151+Y152+Y153+Y154+Y155+Y156+Y157+Y158+Y159+Y160+Y161+Y162+Y163+Y164+Y165+Y166+Y167+Y168+Y169+Y170+Y171+Y172+Y173+Y174+Y175+Y176+Y177+Y178+Y179+Y180+Y181+Y182+Y183+Y184+Y185+Y186+Y187+Y188+Y190+Y191+Y192</f>
        <v>663</v>
      </c>
      <c r="Z193" s="39"/>
      <c r="AA193" s="39"/>
      <c r="AB193" s="313">
        <f t="shared" ref="AB193:AC193" si="35">AB102+AB107+AB108+AB109+AB110+AB111+AB112+AB113+AB114+AB115+AB116+AB117+AB119+AB120+AB121+AB122+AB123+AB124+AB125+AB126+AB128+AB129+AB130+AB131+AB132+AB133+AB134+AB135+AB137+AB138+AB139+AB140+AB141+AB143+AB144+AB145+AB146+AB148+AB149+AB150+AB151+AB152+AB153+AB154+AB155+AB156+AB157+AB158+AB159+AB160+AB161+AB162+AB163+AB164+AB165+AB166+AB167+AB168+AB169+AB170+AB171+AB172+AB173+AB174+AB175+AB176+AB177+AB178+AB179+AB180+AB181+AB182+AB183+AB184+AB185+AB186+AB187+AB188+AB190+AB191+AB192</f>
        <v>653</v>
      </c>
      <c r="AC193" s="313">
        <f t="shared" si="35"/>
        <v>2687</v>
      </c>
      <c r="AD193" s="39"/>
      <c r="AE193" s="313">
        <f t="shared" ref="AE193:AH193" si="36">AE102+AE107+AE108+AE109+AE110+AE111+AE112+AE113+AE114+AE115+AE116+AE117+AE119+AE120+AE121+AE122+AE123+AE124+AE125+AE126+AE128+AE129+AE130+AE131+AE132+AE133+AE134+AE135+AE137+AE138+AE139+AE140+AE141+AE143+AE144+AE145+AE146+AE148+AE149+AE150+AE151+AE152+AE153+AE154+AE155+AE156+AE157+AE158+AE159+AE160+AE161+AE162+AE163+AE164+AE165+AE166+AE167+AE168+AE169+AE170+AE171+AE172+AE173+AE174+AE175+AE176+AE177+AE178+AE179+AE180+AE181+AE182+AE183+AE184+AE185+AE186+AE187+AE188+AE190+AE191+AE192</f>
        <v>0</v>
      </c>
      <c r="AF193" s="313">
        <f t="shared" si="36"/>
        <v>0</v>
      </c>
      <c r="AG193" s="313">
        <f t="shared" si="36"/>
        <v>0</v>
      </c>
      <c r="AH193" s="313">
        <f t="shared" si="36"/>
        <v>0</v>
      </c>
      <c r="AI193" s="39"/>
      <c r="AJ193" s="39"/>
      <c r="AK193" s="283"/>
      <c r="AM193" s="314">
        <f t="shared" ref="AM193:AT193" si="37">AM102+AM107+AM108+AM109+AM110+AM111+AM112+AM113+AM114+AM115+AM116+AM117+AM119+AM120+AM121+AM122+AM123+AM124+AM125+AM126+AM128+AM129+AM130+AM131+AM132+AM133+AM134+AM135+AM137+AM138+AM139+AM140+AM141+AM143+AM144+AM145+AM146+AM148+AM149+AM150+AM151+AM152+AM153+AM154+AM155+AM156+AM157+AM158+AM159+AM160+AM161+AM162+AM163+AM164+AM165+AM166+AM167+AM168+AM169+AM170+AM171+AM172+AM173+AM174+AM175+AM176+AM177+AM178+AM179+AM180+AM181+AM182+AM183+AM184+AM185+AM186+AM187+AM188+AM190+AM191+AM192</f>
        <v>0</v>
      </c>
      <c r="AN193" s="314">
        <f t="shared" si="37"/>
        <v>0</v>
      </c>
      <c r="AO193" s="314">
        <f t="shared" si="37"/>
        <v>0</v>
      </c>
      <c r="AP193" s="314"/>
      <c r="AQ193" s="314">
        <f t="shared" si="37"/>
        <v>0</v>
      </c>
      <c r="AR193" s="315">
        <f t="shared" si="37"/>
        <v>0</v>
      </c>
      <c r="AS193" s="314">
        <f t="shared" si="37"/>
        <v>0</v>
      </c>
      <c r="AT193" s="345">
        <f t="shared" si="37"/>
        <v>793</v>
      </c>
    </row>
    <row r="194" spans="1:46" s="7" customFormat="1" hidden="1" x14ac:dyDescent="0.45">
      <c r="A194" s="8"/>
      <c r="B194" s="40"/>
      <c r="C194" s="1"/>
      <c r="D194" s="1"/>
      <c r="E194" s="1"/>
      <c r="F194" s="1"/>
      <c r="G194" s="1"/>
      <c r="H194" s="38"/>
      <c r="I194" s="38"/>
      <c r="J194" s="38"/>
      <c r="K194" s="38"/>
      <c r="L194" s="38"/>
      <c r="M194" s="19"/>
      <c r="N194" s="1"/>
      <c r="O194" s="1"/>
      <c r="P194" s="1"/>
      <c r="Q194" s="1"/>
      <c r="R194" s="1"/>
      <c r="S194" s="1"/>
      <c r="T194" s="19"/>
      <c r="U194" s="19"/>
      <c r="V194" s="19"/>
      <c r="W194" s="30"/>
      <c r="X194" s="30"/>
      <c r="Y194" s="30"/>
      <c r="Z194" s="39"/>
      <c r="AA194" s="39"/>
      <c r="AB194" s="39"/>
      <c r="AC194" s="39"/>
      <c r="AD194" s="39"/>
      <c r="AE194" s="39"/>
      <c r="AF194" s="39"/>
      <c r="AG194" s="39"/>
      <c r="AH194" s="39"/>
      <c r="AI194" s="39"/>
      <c r="AJ194" s="39"/>
      <c r="AK194" s="283"/>
      <c r="AM194" s="278"/>
      <c r="AN194" s="278"/>
      <c r="AO194" s="278"/>
      <c r="AP194" s="278"/>
      <c r="AQ194" s="278"/>
      <c r="AS194" s="278"/>
      <c r="AT194" s="278"/>
    </row>
    <row r="195" spans="1:46" s="7" customFormat="1" hidden="1" x14ac:dyDescent="0.45">
      <c r="A195" s="8"/>
      <c r="B195" s="40"/>
      <c r="C195" s="1"/>
      <c r="D195" s="1"/>
      <c r="E195" s="1"/>
      <c r="F195" s="1"/>
      <c r="G195" s="1"/>
      <c r="H195" s="38"/>
      <c r="I195" s="38"/>
      <c r="J195" s="38"/>
      <c r="K195" s="38"/>
      <c r="L195" s="38"/>
      <c r="M195" s="19"/>
      <c r="N195" s="1"/>
      <c r="O195" s="1"/>
      <c r="P195" s="1"/>
      <c r="Q195" s="1"/>
      <c r="R195" s="1"/>
      <c r="S195" s="1"/>
      <c r="T195" s="19"/>
      <c r="U195" s="19"/>
      <c r="V195" s="19"/>
      <c r="W195" s="30"/>
      <c r="X195" s="30"/>
      <c r="Y195" s="30"/>
      <c r="Z195" s="39"/>
      <c r="AA195" s="39"/>
      <c r="AB195" s="39"/>
      <c r="AC195" s="39"/>
      <c r="AD195" s="39"/>
      <c r="AE195" s="39"/>
      <c r="AF195" s="39"/>
      <c r="AG195" s="39"/>
      <c r="AH195" s="39"/>
      <c r="AI195" s="39"/>
      <c r="AJ195" s="39"/>
      <c r="AK195" s="283"/>
      <c r="AM195" s="278"/>
      <c r="AN195" s="278"/>
      <c r="AO195" s="278"/>
      <c r="AP195" s="278"/>
      <c r="AQ195" s="278"/>
      <c r="AS195" s="278"/>
      <c r="AT195" s="278"/>
    </row>
    <row r="196" spans="1:46" s="7" customFormat="1" hidden="1" x14ac:dyDescent="0.45">
      <c r="A196" s="8"/>
      <c r="B196" s="40"/>
      <c r="C196" s="1"/>
      <c r="D196" s="1"/>
      <c r="E196" s="1"/>
      <c r="F196" s="1"/>
      <c r="G196" s="1"/>
      <c r="H196" s="38"/>
      <c r="I196" s="38"/>
      <c r="J196" s="38"/>
      <c r="K196" s="38"/>
      <c r="L196" s="38"/>
      <c r="M196" s="19"/>
      <c r="N196" s="1"/>
      <c r="O196" s="1"/>
      <c r="P196" s="1"/>
      <c r="Q196" s="1"/>
      <c r="R196" s="1"/>
      <c r="S196" s="1"/>
      <c r="T196" s="19"/>
      <c r="U196" s="19"/>
      <c r="V196" s="19"/>
      <c r="W196" s="30"/>
      <c r="X196" s="30"/>
      <c r="Y196" s="30"/>
      <c r="Z196" s="39"/>
      <c r="AA196" s="39"/>
      <c r="AB196" s="39"/>
      <c r="AC196" s="39"/>
      <c r="AD196" s="39"/>
      <c r="AE196" s="39"/>
      <c r="AF196" s="39"/>
      <c r="AG196" s="39"/>
      <c r="AH196" s="39"/>
      <c r="AI196" s="39"/>
      <c r="AJ196" s="39"/>
      <c r="AK196" s="283"/>
      <c r="AM196" s="278"/>
      <c r="AN196" s="278"/>
      <c r="AO196" s="278"/>
      <c r="AP196" s="278"/>
      <c r="AQ196" s="278"/>
      <c r="AS196" s="278"/>
      <c r="AT196" s="278"/>
    </row>
    <row r="197" spans="1:46" s="7" customFormat="1" hidden="1" x14ac:dyDescent="0.45">
      <c r="A197" s="8"/>
      <c r="B197" s="40"/>
      <c r="C197" s="1"/>
      <c r="D197" s="1"/>
      <c r="E197" s="1"/>
      <c r="F197" s="1"/>
      <c r="G197" s="1"/>
      <c r="H197" s="38"/>
      <c r="I197" s="38"/>
      <c r="J197" s="38"/>
      <c r="K197" s="38"/>
      <c r="L197" s="38"/>
      <c r="M197" s="19"/>
      <c r="N197" s="1"/>
      <c r="O197" s="1"/>
      <c r="P197" s="1"/>
      <c r="Q197" s="1"/>
      <c r="R197" s="1"/>
      <c r="S197" s="1"/>
      <c r="T197" s="19"/>
      <c r="U197" s="19"/>
      <c r="V197" s="19"/>
      <c r="W197" s="30"/>
      <c r="X197" s="30"/>
      <c r="Y197" s="30"/>
      <c r="Z197" s="39"/>
      <c r="AA197" s="39"/>
      <c r="AB197" s="39"/>
      <c r="AC197" s="39"/>
      <c r="AD197" s="39"/>
      <c r="AE197" s="39"/>
      <c r="AF197" s="39"/>
      <c r="AG197" s="39"/>
      <c r="AH197" s="39"/>
      <c r="AI197" s="39"/>
      <c r="AJ197" s="39"/>
      <c r="AK197" s="283"/>
      <c r="AM197" s="278"/>
      <c r="AN197" s="278"/>
      <c r="AO197" s="278"/>
      <c r="AP197" s="278"/>
      <c r="AQ197" s="278"/>
      <c r="AS197" s="278"/>
      <c r="AT197" s="278"/>
    </row>
    <row r="198" spans="1:46" s="7" customFormat="1" hidden="1" x14ac:dyDescent="0.45">
      <c r="A198" s="8"/>
      <c r="B198" s="40"/>
      <c r="C198" s="1"/>
      <c r="D198" s="1"/>
      <c r="E198" s="1"/>
      <c r="F198" s="1"/>
      <c r="G198" s="1"/>
      <c r="H198" s="38"/>
      <c r="I198" s="38"/>
      <c r="J198" s="38"/>
      <c r="K198" s="38"/>
      <c r="L198" s="38"/>
      <c r="M198" s="19"/>
      <c r="N198" s="1"/>
      <c r="O198" s="1"/>
      <c r="P198" s="1"/>
      <c r="Q198" s="1"/>
      <c r="R198" s="1"/>
      <c r="S198" s="1"/>
      <c r="T198" s="19"/>
      <c r="U198" s="19"/>
      <c r="V198" s="19"/>
      <c r="W198" s="30"/>
      <c r="X198" s="30"/>
      <c r="Y198" s="30"/>
      <c r="Z198" s="39"/>
      <c r="AA198" s="39"/>
      <c r="AB198" s="39"/>
      <c r="AC198" s="39"/>
      <c r="AD198" s="39"/>
      <c r="AE198" s="39"/>
      <c r="AF198" s="39"/>
      <c r="AG198" s="39"/>
      <c r="AH198" s="39"/>
      <c r="AI198" s="39"/>
      <c r="AJ198" s="39"/>
      <c r="AK198" s="283"/>
      <c r="AM198" s="278"/>
      <c r="AN198" s="278"/>
      <c r="AO198" s="278"/>
      <c r="AP198" s="278"/>
      <c r="AQ198" s="278"/>
      <c r="AS198" s="278"/>
      <c r="AT198" s="278"/>
    </row>
    <row r="199" spans="1:46" s="7" customFormat="1" hidden="1" x14ac:dyDescent="0.45">
      <c r="A199" s="8"/>
      <c r="B199" s="40"/>
      <c r="C199" s="1"/>
      <c r="D199" s="1"/>
      <c r="E199" s="1"/>
      <c r="F199" s="1"/>
      <c r="G199" s="1"/>
      <c r="H199" s="38"/>
      <c r="I199" s="38"/>
      <c r="J199" s="38"/>
      <c r="K199" s="38"/>
      <c r="L199" s="38"/>
      <c r="M199" s="19"/>
      <c r="N199" s="1"/>
      <c r="O199" s="1"/>
      <c r="P199" s="1"/>
      <c r="Q199" s="1"/>
      <c r="R199" s="1"/>
      <c r="S199" s="1"/>
      <c r="T199" s="19"/>
      <c r="U199" s="19"/>
      <c r="V199" s="19"/>
      <c r="W199" s="30"/>
      <c r="X199" s="30"/>
      <c r="Y199" s="30"/>
      <c r="Z199" s="39"/>
      <c r="AA199" s="39"/>
      <c r="AB199" s="39"/>
      <c r="AC199" s="39"/>
      <c r="AD199" s="39"/>
      <c r="AE199" s="39"/>
      <c r="AF199" s="39"/>
      <c r="AG199" s="39"/>
      <c r="AH199" s="39"/>
      <c r="AI199" s="39"/>
      <c r="AJ199" s="39"/>
      <c r="AK199" s="283"/>
      <c r="AM199" s="278"/>
      <c r="AN199" s="278"/>
      <c r="AO199" s="278"/>
      <c r="AP199" s="278"/>
      <c r="AQ199" s="278"/>
      <c r="AS199" s="278"/>
      <c r="AT199" s="278"/>
    </row>
    <row r="200" spans="1:46" s="7" customFormat="1" hidden="1" x14ac:dyDescent="0.45">
      <c r="A200" s="8"/>
      <c r="B200" s="40"/>
      <c r="C200" s="1"/>
      <c r="D200" s="1"/>
      <c r="E200" s="1"/>
      <c r="F200" s="1"/>
      <c r="G200" s="1"/>
      <c r="H200" s="38"/>
      <c r="I200" s="38"/>
      <c r="J200" s="38"/>
      <c r="K200" s="38"/>
      <c r="L200" s="38"/>
      <c r="M200" s="19"/>
      <c r="N200" s="1"/>
      <c r="O200" s="1"/>
      <c r="P200" s="1"/>
      <c r="Q200" s="1"/>
      <c r="R200" s="1"/>
      <c r="S200" s="1"/>
      <c r="T200" s="19"/>
      <c r="U200" s="19"/>
      <c r="V200" s="19"/>
      <c r="W200" s="30"/>
      <c r="X200" s="30"/>
      <c r="Y200" s="30"/>
      <c r="Z200" s="39"/>
      <c r="AA200" s="39"/>
      <c r="AB200" s="39"/>
      <c r="AC200" s="39"/>
      <c r="AD200" s="39"/>
      <c r="AE200" s="39"/>
      <c r="AF200" s="39"/>
      <c r="AG200" s="39"/>
      <c r="AH200" s="39"/>
      <c r="AI200" s="39"/>
      <c r="AJ200" s="39"/>
      <c r="AK200" s="283"/>
      <c r="AM200" s="278"/>
      <c r="AN200" s="278"/>
      <c r="AO200" s="278"/>
      <c r="AP200" s="278"/>
      <c r="AQ200" s="278"/>
      <c r="AS200" s="278"/>
      <c r="AT200" s="278"/>
    </row>
    <row r="201" spans="1:46" s="7" customFormat="1" hidden="1" x14ac:dyDescent="0.45">
      <c r="A201" s="8"/>
      <c r="B201" s="40"/>
      <c r="C201" s="1"/>
      <c r="D201" s="1"/>
      <c r="E201" s="1"/>
      <c r="F201" s="1"/>
      <c r="G201" s="1"/>
      <c r="H201" s="38"/>
      <c r="I201" s="38"/>
      <c r="J201" s="38"/>
      <c r="K201" s="38"/>
      <c r="L201" s="38"/>
      <c r="M201" s="19"/>
      <c r="N201" s="1"/>
      <c r="O201" s="1"/>
      <c r="P201" s="1"/>
      <c r="Q201" s="1"/>
      <c r="R201" s="1"/>
      <c r="S201" s="1"/>
      <c r="T201" s="19"/>
      <c r="U201" s="19"/>
      <c r="V201" s="19"/>
      <c r="W201" s="30"/>
      <c r="X201" s="30"/>
      <c r="Y201" s="30"/>
      <c r="Z201" s="39"/>
      <c r="AA201" s="39"/>
      <c r="AB201" s="39"/>
      <c r="AC201" s="39"/>
      <c r="AD201" s="39"/>
      <c r="AE201" s="39"/>
      <c r="AF201" s="39"/>
      <c r="AG201" s="39"/>
      <c r="AH201" s="39"/>
      <c r="AI201" s="39"/>
      <c r="AJ201" s="39"/>
      <c r="AK201" s="283"/>
      <c r="AM201" s="278"/>
      <c r="AN201" s="278"/>
      <c r="AO201" s="278"/>
      <c r="AP201" s="278"/>
      <c r="AQ201" s="278"/>
      <c r="AS201" s="278"/>
      <c r="AT201" s="278"/>
    </row>
    <row r="202" spans="1:46" s="7" customFormat="1" hidden="1" x14ac:dyDescent="0.45">
      <c r="A202" s="8"/>
      <c r="B202" s="40"/>
      <c r="C202" s="1"/>
      <c r="D202" s="1"/>
      <c r="E202" s="1"/>
      <c r="F202" s="1"/>
      <c r="G202" s="1"/>
      <c r="H202" s="38"/>
      <c r="I202" s="38"/>
      <c r="J202" s="38"/>
      <c r="K202" s="38"/>
      <c r="L202" s="38"/>
      <c r="M202" s="19"/>
      <c r="N202" s="1"/>
      <c r="O202" s="1"/>
      <c r="P202" s="1"/>
      <c r="Q202" s="1"/>
      <c r="R202" s="1"/>
      <c r="S202" s="1"/>
      <c r="T202" s="19"/>
      <c r="U202" s="19"/>
      <c r="V202" s="19"/>
      <c r="W202" s="30"/>
      <c r="X202" s="30"/>
      <c r="Y202" s="30"/>
      <c r="Z202" s="39"/>
      <c r="AA202" s="39"/>
      <c r="AB202" s="39"/>
      <c r="AC202" s="39"/>
      <c r="AD202" s="39"/>
      <c r="AE202" s="39"/>
      <c r="AF202" s="39"/>
      <c r="AG202" s="39"/>
      <c r="AH202" s="39"/>
      <c r="AI202" s="39"/>
      <c r="AJ202" s="39"/>
      <c r="AK202" s="283"/>
      <c r="AM202" s="278"/>
      <c r="AN202" s="278"/>
      <c r="AO202" s="278"/>
      <c r="AP202" s="278"/>
      <c r="AQ202" s="278"/>
      <c r="AS202" s="278"/>
      <c r="AT202" s="278"/>
    </row>
    <row r="203" spans="1:46" s="7" customFormat="1" ht="14.65" hidden="1" thickBot="1" x14ac:dyDescent="0.5">
      <c r="A203" s="8"/>
      <c r="B203" s="40"/>
      <c r="C203" s="1"/>
      <c r="D203" s="1"/>
      <c r="E203" s="1"/>
      <c r="F203" s="1"/>
      <c r="G203" s="1"/>
      <c r="H203" s="38"/>
      <c r="I203" s="38"/>
      <c r="J203" s="38"/>
      <c r="K203" s="38"/>
      <c r="L203" s="38"/>
      <c r="M203" s="19"/>
      <c r="N203" s="1"/>
      <c r="O203" s="1"/>
      <c r="P203" s="1"/>
      <c r="Q203" s="1"/>
      <c r="R203" s="1"/>
      <c r="S203" s="1"/>
      <c r="T203" s="19"/>
      <c r="U203" s="19"/>
      <c r="V203" s="19"/>
      <c r="W203" s="30"/>
      <c r="X203" s="30"/>
      <c r="Y203" s="30"/>
      <c r="Z203" s="39"/>
      <c r="AA203" s="39"/>
      <c r="AB203" s="39"/>
      <c r="AC203" s="39"/>
      <c r="AD203" s="39"/>
      <c r="AE203" s="39"/>
      <c r="AF203" s="39"/>
      <c r="AG203" s="39"/>
      <c r="AH203" s="39"/>
      <c r="AI203" s="39"/>
      <c r="AJ203" s="39"/>
      <c r="AK203" s="283"/>
      <c r="AM203" s="278"/>
      <c r="AN203" s="278"/>
      <c r="AO203" s="278"/>
      <c r="AP203" s="278"/>
      <c r="AQ203" s="278"/>
      <c r="AS203" s="278"/>
      <c r="AT203" s="346"/>
    </row>
    <row r="204" spans="1:46" s="7" customFormat="1" ht="51.4" hidden="1" thickTop="1" x14ac:dyDescent="0.45">
      <c r="A204" s="155"/>
      <c r="B204" s="152">
        <v>3</v>
      </c>
      <c r="C204" s="156" t="s">
        <v>135</v>
      </c>
      <c r="D204" s="156" t="s">
        <v>136</v>
      </c>
      <c r="E204" s="156"/>
      <c r="F204" s="156"/>
      <c r="G204" s="156"/>
      <c r="H204" s="151" t="s">
        <v>1505</v>
      </c>
      <c r="I204" s="151" t="s">
        <v>1506</v>
      </c>
      <c r="J204" s="157"/>
      <c r="K204" s="163"/>
      <c r="L204" s="163" t="s">
        <v>139</v>
      </c>
      <c r="M204" s="166" t="s">
        <v>140</v>
      </c>
      <c r="N204" s="195">
        <v>1485</v>
      </c>
      <c r="O204" s="159" t="s">
        <v>1507</v>
      </c>
      <c r="P204" s="160" t="s">
        <v>1508</v>
      </c>
      <c r="Q204" s="160"/>
      <c r="R204" s="53" t="s">
        <v>1510</v>
      </c>
      <c r="S204" s="159" t="s">
        <v>1511</v>
      </c>
      <c r="T204" s="159" t="s">
        <v>1512</v>
      </c>
      <c r="U204" s="159" t="s">
        <v>170</v>
      </c>
      <c r="V204" s="176" t="s">
        <v>171</v>
      </c>
      <c r="W204" s="152">
        <v>2000</v>
      </c>
      <c r="X204" s="152">
        <v>1350</v>
      </c>
      <c r="Y204" s="152"/>
      <c r="Z204" s="177"/>
      <c r="AA204" s="177"/>
      <c r="AB204" s="177"/>
      <c r="AC204" s="177"/>
      <c r="AD204" s="177"/>
      <c r="AE204" s="177"/>
      <c r="AF204" s="177"/>
      <c r="AG204" s="177"/>
      <c r="AH204" s="177"/>
      <c r="AI204" s="177" t="s">
        <v>638</v>
      </c>
      <c r="AJ204" s="177" t="s">
        <v>1513</v>
      </c>
      <c r="AK204" s="257">
        <v>2</v>
      </c>
      <c r="AL204" s="271"/>
      <c r="AM204" s="308">
        <f>X204*P3_Reinigen_daken_incl._extra_maatregelen_veilig_werken_volgens_VCA_eventuele_vergunningen_leges_voorrijkosten_adminstratieve_kosten_fotorapportage_en_kleine_reparaties</f>
        <v>0</v>
      </c>
      <c r="AN204" s="309">
        <f>Y204*P3_Reinigen_goten_incl._extra_maatregelen_veilig_werken_volgens_VCA__eventuele_vergunningen_leges___voorrijkosten__adminstratieve_kosten__fotorapportage_en_kleine_reparaties</f>
        <v>0</v>
      </c>
      <c r="AO204" s="309">
        <f>(AE204*P3_Reinigen_Lichtkoepel_50X50)+('Perceel 1'!AF204*P3_Reinigen_Lichtkoepel_60x200)+('Perceel 1'!AG204*P3_Reinigen_Lichtkoepel_180x180)+('Perceel 1'!AH204*P3_Reinigen_Lichtstraten_groter_dan_180x180)</f>
        <v>0</v>
      </c>
      <c r="AP204" s="309"/>
      <c r="AQ204" s="309">
        <f>(X204+Y204)*P3_Inspecteren_daken_en_goten_1x_per_jaar_gelijktijdig_met_reiniging_inclusief_inspectierapport_en_een_managementrapport</f>
        <v>0</v>
      </c>
      <c r="AR204" s="324"/>
      <c r="AS204" s="331">
        <f>AR204*P3_keuren_dakveiligheid_per_man_uur</f>
        <v>0</v>
      </c>
      <c r="AT204" s="335">
        <f t="shared" ref="AT204:AT252" si="38">(AM204*AK204)+(Y204*AK204)+AO204+AQ204+AS204</f>
        <v>0</v>
      </c>
    </row>
    <row r="205" spans="1:46" s="7" customFormat="1" ht="26.25" hidden="1" customHeight="1" x14ac:dyDescent="0.45">
      <c r="A205" s="155"/>
      <c r="B205" s="152">
        <v>3</v>
      </c>
      <c r="C205" s="156" t="s">
        <v>135</v>
      </c>
      <c r="D205" s="156" t="s">
        <v>136</v>
      </c>
      <c r="E205" s="156"/>
      <c r="F205" s="156"/>
      <c r="G205" s="156"/>
      <c r="H205" s="151" t="s">
        <v>1514</v>
      </c>
      <c r="I205" s="151" t="s">
        <v>1515</v>
      </c>
      <c r="J205" s="157"/>
      <c r="K205" s="163"/>
      <c r="L205" s="163" t="s">
        <v>154</v>
      </c>
      <c r="M205" s="163" t="s">
        <v>155</v>
      </c>
      <c r="N205" s="164">
        <v>1275</v>
      </c>
      <c r="O205" s="159" t="s">
        <v>1516</v>
      </c>
      <c r="P205" s="159" t="s">
        <v>1517</v>
      </c>
      <c r="Q205" s="159" t="s">
        <v>1518</v>
      </c>
      <c r="R205" s="42" t="s">
        <v>1510</v>
      </c>
      <c r="S205" s="159" t="s">
        <v>1511</v>
      </c>
      <c r="T205" s="192" t="s">
        <v>1519</v>
      </c>
      <c r="U205" s="159" t="s">
        <v>1520</v>
      </c>
      <c r="V205" s="176" t="s">
        <v>1521</v>
      </c>
      <c r="W205" s="152">
        <v>1986</v>
      </c>
      <c r="X205" s="152">
        <v>1177</v>
      </c>
      <c r="Y205" s="152"/>
      <c r="Z205" s="177"/>
      <c r="AA205" s="177"/>
      <c r="AB205" s="177"/>
      <c r="AC205" s="177"/>
      <c r="AD205" s="177"/>
      <c r="AE205" s="177"/>
      <c r="AF205" s="177"/>
      <c r="AG205" s="177"/>
      <c r="AH205" s="177"/>
      <c r="AI205" s="177"/>
      <c r="AJ205" s="177"/>
      <c r="AK205" s="177">
        <v>1</v>
      </c>
      <c r="AL205" s="272"/>
      <c r="AM205" s="277">
        <f>X205*P3_Reinigen_daken_incl._extra_maatregelen_veilig_werken_volgens_VCA_eventuele_vergunningen_leges_voorrijkosten_adminstratieve_kosten_fotorapportage_en_kleine_reparaties</f>
        <v>0</v>
      </c>
      <c r="AN205" s="279">
        <f>Y205*P3_Reinigen_goten_incl._extra_maatregelen_veilig_werken_volgens_VCA__eventuele_vergunningen_leges___voorrijkosten__adminstratieve_kosten__fotorapportage_en_kleine_reparaties</f>
        <v>0</v>
      </c>
      <c r="AO205" s="279">
        <f>(AE205*P3_Reinigen_Lichtkoepel_50X50)+('Perceel 1'!AF205*P3_Reinigen_Lichtkoepel_60x200)+('Perceel 1'!AG205*P3_Reinigen_Lichtkoepel_180x180)+('Perceel 1'!AH205*P3_Reinigen_Lichtstraten_groter_dan_180x180)</f>
        <v>0</v>
      </c>
      <c r="AP205" s="279"/>
      <c r="AQ205" s="279">
        <f>(X205+Y205)*P3_Inspecteren_daken_en_goten_1x_per_jaar_gelijktijdig_met_reiniging_inclusief_inspectierapport_en_een_managementrapport</f>
        <v>0</v>
      </c>
      <c r="AR205" s="312"/>
      <c r="AS205" s="332">
        <f>AR205*P3_keuren_dakveiligheid_per_man_uur</f>
        <v>0</v>
      </c>
      <c r="AT205" s="336">
        <f t="shared" si="38"/>
        <v>0</v>
      </c>
    </row>
    <row r="206" spans="1:46" s="7" customFormat="1" ht="26.85" hidden="1" customHeight="1" x14ac:dyDescent="0.45">
      <c r="A206" s="238"/>
      <c r="B206" s="225">
        <v>3</v>
      </c>
      <c r="C206" s="171" t="s">
        <v>135</v>
      </c>
      <c r="D206" s="171" t="s">
        <v>174</v>
      </c>
      <c r="E206" s="171"/>
      <c r="F206" s="171"/>
      <c r="G206" s="171"/>
      <c r="H206" s="15"/>
      <c r="I206" s="15"/>
      <c r="J206" s="16"/>
      <c r="K206" s="16"/>
      <c r="L206" s="196" t="s">
        <v>348</v>
      </c>
      <c r="M206" s="240" t="s">
        <v>349</v>
      </c>
      <c r="N206" s="241" t="s">
        <v>1522</v>
      </c>
      <c r="O206" s="171" t="s">
        <v>1523</v>
      </c>
      <c r="P206" s="211" t="s">
        <v>1524</v>
      </c>
      <c r="Q206" s="211" t="s">
        <v>1525</v>
      </c>
      <c r="R206" s="58" t="s">
        <v>1526</v>
      </c>
      <c r="S206" s="211" t="s">
        <v>1511</v>
      </c>
      <c r="T206" s="171"/>
      <c r="U206" s="171"/>
      <c r="V206" s="171"/>
      <c r="W206" s="211"/>
      <c r="X206" s="261">
        <v>2174</v>
      </c>
      <c r="Y206" s="211"/>
      <c r="Z206" s="171"/>
      <c r="AA206" s="171" t="s">
        <v>150</v>
      </c>
      <c r="AB206" s="171">
        <v>32</v>
      </c>
      <c r="AC206" s="171">
        <v>156</v>
      </c>
      <c r="AD206" s="171"/>
      <c r="AE206" s="171"/>
      <c r="AF206" s="171"/>
      <c r="AG206" s="171"/>
      <c r="AH206" s="171"/>
      <c r="AI206" s="171"/>
      <c r="AJ206" s="171"/>
      <c r="AK206" s="261">
        <v>1</v>
      </c>
      <c r="AL206" s="271"/>
      <c r="AM206" s="325"/>
      <c r="AN206" s="312"/>
      <c r="AO206" s="312"/>
      <c r="AP206" s="312"/>
      <c r="AQ206" s="312"/>
      <c r="AR206" s="305"/>
      <c r="AS206" s="341"/>
      <c r="AT206" s="344"/>
    </row>
    <row r="207" spans="1:46" s="7" customFormat="1" ht="25.35" hidden="1" customHeight="1" x14ac:dyDescent="0.45">
      <c r="A207" s="182"/>
      <c r="B207" s="181">
        <v>3</v>
      </c>
      <c r="C207" s="175" t="s">
        <v>135</v>
      </c>
      <c r="D207" s="175" t="s">
        <v>174</v>
      </c>
      <c r="E207" s="175"/>
      <c r="F207" s="175"/>
      <c r="G207" s="175"/>
      <c r="H207" s="174" t="s">
        <v>1527</v>
      </c>
      <c r="I207" s="174" t="s">
        <v>1528</v>
      </c>
      <c r="J207" s="197"/>
      <c r="K207" s="197"/>
      <c r="L207" s="174"/>
      <c r="M207" s="175" t="s">
        <v>349</v>
      </c>
      <c r="N207" s="182" t="s">
        <v>1529</v>
      </c>
      <c r="O207" s="175" t="s">
        <v>1530</v>
      </c>
      <c r="P207" s="182" t="s">
        <v>1524</v>
      </c>
      <c r="Q207" s="182" t="s">
        <v>1525</v>
      </c>
      <c r="R207" s="50" t="s">
        <v>1526</v>
      </c>
      <c r="S207" s="182" t="s">
        <v>1511</v>
      </c>
      <c r="T207" s="175" t="s">
        <v>1531</v>
      </c>
      <c r="U207" s="175" t="s">
        <v>1532</v>
      </c>
      <c r="V207" s="175" t="s">
        <v>1533</v>
      </c>
      <c r="W207" s="182">
        <v>1992</v>
      </c>
      <c r="X207" s="255">
        <f>X206*16%</f>
        <v>347.84000000000003</v>
      </c>
      <c r="Y207" s="182"/>
      <c r="Z207" s="175"/>
      <c r="AA207" s="175" t="s">
        <v>150</v>
      </c>
      <c r="AB207" s="175"/>
      <c r="AC207" s="175"/>
      <c r="AD207" s="175"/>
      <c r="AE207" s="175"/>
      <c r="AF207" s="175"/>
      <c r="AG207" s="175"/>
      <c r="AH207" s="175"/>
      <c r="AI207" s="175"/>
      <c r="AJ207" s="175"/>
      <c r="AK207" s="255">
        <v>1</v>
      </c>
      <c r="AL207" s="271"/>
      <c r="AM207" s="277">
        <f>X207*P3_reinigen_daken_met_vaste_dakveiligheid</f>
        <v>0</v>
      </c>
      <c r="AN207" s="279">
        <f>Y207*P3_reinigen_goten_met_vaste_dakveiligheid</f>
        <v>0</v>
      </c>
      <c r="AO207" s="279">
        <f>(AE207*P3_Reinigen_Lichtkoepel_50X50)+('Perceel 1'!AF207*P3_Reinigen_Lichtkoepel_60x200)+('Perceel 1'!AG207*P3_Reinigen_Lichtkoepel_180x180)+('Perceel 1'!AH207*P3_Reinigen_Lichtstraten_groter_dan_180x180)</f>
        <v>0</v>
      </c>
      <c r="AP207" s="279"/>
      <c r="AQ207" s="279">
        <f t="shared" ref="AQ207:AQ217" si="39">(X207+Y207)*P3_Inspecteren_daken_en_goten_1x_per_jaar_gelijktijdig_met_reiniging_inclusief_inspectierapport_en_een_managementrapport</f>
        <v>0</v>
      </c>
      <c r="AR207" s="307">
        <f>AR206*16%</f>
        <v>0</v>
      </c>
      <c r="AS207" s="332">
        <f t="shared" ref="AS207:AS217" si="40">AR207*P3_keuren_dakveiligheid_per_man_uur</f>
        <v>0</v>
      </c>
      <c r="AT207" s="336">
        <f t="shared" si="38"/>
        <v>0</v>
      </c>
    </row>
    <row r="208" spans="1:46" s="7" customFormat="1" ht="24.95" hidden="1" customHeight="1" x14ac:dyDescent="0.45">
      <c r="A208" s="182"/>
      <c r="B208" s="181">
        <v>3</v>
      </c>
      <c r="C208" s="175" t="s">
        <v>135</v>
      </c>
      <c r="D208" s="175" t="s">
        <v>174</v>
      </c>
      <c r="E208" s="175"/>
      <c r="F208" s="175"/>
      <c r="G208" s="175"/>
      <c r="H208" s="174" t="s">
        <v>1534</v>
      </c>
      <c r="I208" s="174" t="s">
        <v>1535</v>
      </c>
      <c r="J208" s="197"/>
      <c r="K208" s="197"/>
      <c r="L208" s="174"/>
      <c r="M208" s="175" t="s">
        <v>349</v>
      </c>
      <c r="N208" s="182" t="s">
        <v>1536</v>
      </c>
      <c r="O208" s="175" t="s">
        <v>1537</v>
      </c>
      <c r="P208" s="182" t="s">
        <v>1524</v>
      </c>
      <c r="Q208" s="182" t="s">
        <v>1525</v>
      </c>
      <c r="R208" s="50" t="s">
        <v>1526</v>
      </c>
      <c r="S208" s="182" t="s">
        <v>1511</v>
      </c>
      <c r="T208" s="175" t="s">
        <v>1531</v>
      </c>
      <c r="U208" s="175" t="s">
        <v>1532</v>
      </c>
      <c r="V208" s="175" t="s">
        <v>1533</v>
      </c>
      <c r="W208" s="182">
        <v>1992</v>
      </c>
      <c r="X208" s="255">
        <f>X206*84%</f>
        <v>1826.1599999999999</v>
      </c>
      <c r="Y208" s="182"/>
      <c r="Z208" s="175"/>
      <c r="AA208" s="175" t="s">
        <v>150</v>
      </c>
      <c r="AB208" s="175"/>
      <c r="AC208" s="175"/>
      <c r="AD208" s="175"/>
      <c r="AE208" s="175"/>
      <c r="AF208" s="175"/>
      <c r="AG208" s="175"/>
      <c r="AH208" s="175"/>
      <c r="AI208" s="175"/>
      <c r="AJ208" s="175"/>
      <c r="AK208" s="255">
        <v>1</v>
      </c>
      <c r="AL208" s="271"/>
      <c r="AM208" s="277">
        <f>X208*P3_reinigen_daken_met_vaste_dakveiligheid</f>
        <v>0</v>
      </c>
      <c r="AN208" s="279">
        <f>Y208*P3_reinigen_goten_met_vaste_dakveiligheid</f>
        <v>0</v>
      </c>
      <c r="AO208" s="279">
        <f>(AE208*P3_Reinigen_Lichtkoepel_50X50)+('Perceel 1'!AF208*P3_Reinigen_Lichtkoepel_60x200)+('Perceel 1'!AG208*P3_Reinigen_Lichtkoepel_180x180)+('Perceel 1'!AH208*P3_Reinigen_Lichtstraten_groter_dan_180x180)</f>
        <v>0</v>
      </c>
      <c r="AP208" s="279"/>
      <c r="AQ208" s="279">
        <f t="shared" si="39"/>
        <v>0</v>
      </c>
      <c r="AR208" s="307">
        <f>AR206*84%</f>
        <v>0</v>
      </c>
      <c r="AS208" s="332">
        <f t="shared" si="40"/>
        <v>0</v>
      </c>
      <c r="AT208" s="336">
        <f t="shared" si="38"/>
        <v>0</v>
      </c>
    </row>
    <row r="209" spans="1:46" s="7" customFormat="1" ht="25.5" hidden="1" customHeight="1" x14ac:dyDescent="0.45">
      <c r="A209" s="155"/>
      <c r="B209" s="152">
        <v>3</v>
      </c>
      <c r="C209" s="156" t="s">
        <v>135</v>
      </c>
      <c r="D209" s="156" t="s">
        <v>136</v>
      </c>
      <c r="E209" s="156"/>
      <c r="F209" s="156"/>
      <c r="G209" s="156"/>
      <c r="H209" s="151" t="s">
        <v>1538</v>
      </c>
      <c r="I209" s="151" t="s">
        <v>1539</v>
      </c>
      <c r="J209" s="157"/>
      <c r="K209" s="163"/>
      <c r="L209" s="163" t="s">
        <v>154</v>
      </c>
      <c r="M209" s="166" t="s">
        <v>544</v>
      </c>
      <c r="N209" s="160" t="s">
        <v>1540</v>
      </c>
      <c r="O209" s="159" t="s">
        <v>1541</v>
      </c>
      <c r="P209" s="160" t="s">
        <v>1542</v>
      </c>
      <c r="Q209" s="160" t="s">
        <v>1543</v>
      </c>
      <c r="R209" s="53" t="s">
        <v>1544</v>
      </c>
      <c r="S209" s="160" t="s">
        <v>1511</v>
      </c>
      <c r="T209" s="159" t="s">
        <v>341</v>
      </c>
      <c r="U209" s="159" t="s">
        <v>342</v>
      </c>
      <c r="V209" s="176" t="s">
        <v>1545</v>
      </c>
      <c r="W209" s="152">
        <v>1995</v>
      </c>
      <c r="X209" s="152">
        <v>3585</v>
      </c>
      <c r="Y209" s="152"/>
      <c r="Z209" s="177" t="s">
        <v>311</v>
      </c>
      <c r="AA209" s="177" t="s">
        <v>311</v>
      </c>
      <c r="AB209" s="177"/>
      <c r="AC209" s="177"/>
      <c r="AD209" s="177" t="s">
        <v>1546</v>
      </c>
      <c r="AE209" s="177"/>
      <c r="AF209" s="177"/>
      <c r="AG209" s="177"/>
      <c r="AH209" s="177"/>
      <c r="AI209" s="177"/>
      <c r="AJ209" s="177"/>
      <c r="AK209" s="257">
        <v>1</v>
      </c>
      <c r="AL209" s="271"/>
      <c r="AM209" s="277">
        <f>X209*P3_reinigen_daken_met_vaste_dakveiligheid</f>
        <v>0</v>
      </c>
      <c r="AN209" s="279">
        <f>Y209*P3_reinigen_goten_met_vaste_dakveiligheid</f>
        <v>0</v>
      </c>
      <c r="AO209" s="279">
        <f>(AE209*P3_Reinigen_Lichtkoepel_50X50)+('Perceel 1'!AF209*P3_Reinigen_Lichtkoepel_60x200)+('Perceel 1'!AG209*P3_Reinigen_Lichtkoepel_180x180)+('Perceel 1'!AH209*P3_Reinigen_Lichtstraten_groter_dan_180x180)</f>
        <v>0</v>
      </c>
      <c r="AP209" s="279"/>
      <c r="AQ209" s="279">
        <f t="shared" si="39"/>
        <v>0</v>
      </c>
      <c r="AR209" s="305"/>
      <c r="AS209" s="332">
        <f t="shared" si="40"/>
        <v>0</v>
      </c>
      <c r="AT209" s="336">
        <f t="shared" si="38"/>
        <v>0</v>
      </c>
    </row>
    <row r="210" spans="1:46" s="7" customFormat="1" ht="51" hidden="1" x14ac:dyDescent="0.45">
      <c r="A210" s="155"/>
      <c r="B210" s="152">
        <v>3</v>
      </c>
      <c r="C210" s="156" t="s">
        <v>135</v>
      </c>
      <c r="D210" s="156" t="s">
        <v>136</v>
      </c>
      <c r="E210" s="156"/>
      <c r="F210" s="156"/>
      <c r="G210" s="156"/>
      <c r="H210" s="151" t="s">
        <v>1547</v>
      </c>
      <c r="I210" s="151" t="s">
        <v>1548</v>
      </c>
      <c r="J210" s="157"/>
      <c r="K210" s="163"/>
      <c r="L210" s="151" t="s">
        <v>139</v>
      </c>
      <c r="M210" s="159" t="s">
        <v>140</v>
      </c>
      <c r="N210" s="160">
        <v>2430</v>
      </c>
      <c r="O210" s="159" t="s">
        <v>1549</v>
      </c>
      <c r="P210" s="160" t="s">
        <v>1550</v>
      </c>
      <c r="Q210" s="160" t="s">
        <v>1551</v>
      </c>
      <c r="R210" s="53" t="s">
        <v>1526</v>
      </c>
      <c r="S210" s="160" t="s">
        <v>1511</v>
      </c>
      <c r="T210" s="159" t="s">
        <v>1552</v>
      </c>
      <c r="U210" s="159" t="s">
        <v>1553</v>
      </c>
      <c r="V210" s="176" t="s">
        <v>1554</v>
      </c>
      <c r="W210" s="152">
        <v>1993</v>
      </c>
      <c r="X210" s="152">
        <v>741</v>
      </c>
      <c r="Y210" s="152"/>
      <c r="Z210" s="177" t="s">
        <v>311</v>
      </c>
      <c r="AA210" s="189">
        <f>2+9+3</f>
        <v>14</v>
      </c>
      <c r="AB210" s="189">
        <v>58</v>
      </c>
      <c r="AC210" s="177"/>
      <c r="AD210" s="177"/>
      <c r="AE210" s="177"/>
      <c r="AF210" s="177"/>
      <c r="AG210" s="177"/>
      <c r="AH210" s="177"/>
      <c r="AI210" s="177"/>
      <c r="AJ210" s="177"/>
      <c r="AK210" s="257">
        <v>1</v>
      </c>
      <c r="AL210" s="316"/>
      <c r="AM210" s="277">
        <f>X210*P3_reinigen_daken_met_vaste_dakveiligheid</f>
        <v>0</v>
      </c>
      <c r="AN210" s="279">
        <f>Y210*P3_reinigen_goten_met_vaste_dakveiligheid</f>
        <v>0</v>
      </c>
      <c r="AO210" s="279">
        <f>(AE210*P3_Reinigen_Lichtkoepel_50X50)+('Perceel 1'!AF210*P3_Reinigen_Lichtkoepel_60x200)+('Perceel 1'!AG210*P3_Reinigen_Lichtkoepel_180x180)+('Perceel 1'!AH210*P3_Reinigen_Lichtstraten_groter_dan_180x180)</f>
        <v>0</v>
      </c>
      <c r="AP210" s="279"/>
      <c r="AQ210" s="279">
        <f t="shared" si="39"/>
        <v>0</v>
      </c>
      <c r="AR210" s="305"/>
      <c r="AS210" s="332">
        <f t="shared" si="40"/>
        <v>0</v>
      </c>
      <c r="AT210" s="336">
        <f t="shared" si="38"/>
        <v>0</v>
      </c>
    </row>
    <row r="211" spans="1:46" s="7" customFormat="1" ht="12.75" hidden="1" customHeight="1" x14ac:dyDescent="0.45">
      <c r="A211" s="193"/>
      <c r="B211" s="152">
        <v>3</v>
      </c>
      <c r="C211" s="156" t="s">
        <v>135</v>
      </c>
      <c r="D211" s="156" t="s">
        <v>1391</v>
      </c>
      <c r="E211" s="156"/>
      <c r="F211" s="156"/>
      <c r="G211" s="156"/>
      <c r="H211" s="166" t="s">
        <v>1555</v>
      </c>
      <c r="I211" s="166" t="s">
        <v>1556</v>
      </c>
      <c r="J211" s="229"/>
      <c r="K211" s="163"/>
      <c r="L211" s="163" t="s">
        <v>154</v>
      </c>
      <c r="M211" s="163" t="s">
        <v>155</v>
      </c>
      <c r="N211" s="159" t="s">
        <v>1557</v>
      </c>
      <c r="O211" s="159" t="s">
        <v>1558</v>
      </c>
      <c r="P211" s="159" t="s">
        <v>1559</v>
      </c>
      <c r="Q211" s="159" t="s">
        <v>1560</v>
      </c>
      <c r="R211" s="42" t="s">
        <v>1510</v>
      </c>
      <c r="S211" s="159" t="s">
        <v>1511</v>
      </c>
      <c r="T211" s="159" t="s">
        <v>1561</v>
      </c>
      <c r="U211" s="159" t="s">
        <v>1562</v>
      </c>
      <c r="V211" s="222" t="s">
        <v>1563</v>
      </c>
      <c r="W211" s="152">
        <v>1986</v>
      </c>
      <c r="X211" s="152">
        <f>114+25+38+38+54+8+885+28</f>
        <v>1190</v>
      </c>
      <c r="Y211" s="152"/>
      <c r="Z211" s="152"/>
      <c r="AA211" s="152"/>
      <c r="AB211" s="152"/>
      <c r="AC211" s="152"/>
      <c r="AD211" s="152"/>
      <c r="AE211" s="152"/>
      <c r="AF211" s="152"/>
      <c r="AG211" s="152"/>
      <c r="AH211" s="152"/>
      <c r="AI211" s="152"/>
      <c r="AJ211" s="152"/>
      <c r="AK211" s="177">
        <v>1</v>
      </c>
      <c r="AL211" s="317"/>
      <c r="AM211" s="277">
        <f>X211*P3_Reinigen_daken_incl._extra_maatregelen_veilig_werken_volgens_VCA_eventuele_vergunningen_leges_voorrijkosten_adminstratieve_kosten_fotorapportage_en_kleine_reparaties</f>
        <v>0</v>
      </c>
      <c r="AN211" s="279">
        <f>Y211*P3_Reinigen_goten_incl._extra_maatregelen_veilig_werken_volgens_VCA__eventuele_vergunningen_leges___voorrijkosten__adminstratieve_kosten__fotorapportage_en_kleine_reparaties</f>
        <v>0</v>
      </c>
      <c r="AO211" s="279">
        <f>(AE211*P3_Reinigen_Lichtkoepel_50X50)+('Perceel 1'!AF211*P3_Reinigen_Lichtkoepel_60x200)+('Perceel 1'!AG211*P3_Reinigen_Lichtkoepel_180x180)+('Perceel 1'!AH211*P3_Reinigen_Lichtstraten_groter_dan_180x180)</f>
        <v>0</v>
      </c>
      <c r="AP211" s="279"/>
      <c r="AQ211" s="279">
        <f t="shared" si="39"/>
        <v>0</v>
      </c>
      <c r="AR211" s="312"/>
      <c r="AS211" s="332">
        <f t="shared" si="40"/>
        <v>0</v>
      </c>
      <c r="AT211" s="336">
        <f t="shared" si="38"/>
        <v>0</v>
      </c>
    </row>
    <row r="212" spans="1:46" s="7" customFormat="1" ht="25.5" hidden="1" x14ac:dyDescent="0.45">
      <c r="A212" s="155"/>
      <c r="B212" s="152">
        <v>3</v>
      </c>
      <c r="C212" s="156" t="s">
        <v>135</v>
      </c>
      <c r="D212" s="156" t="s">
        <v>136</v>
      </c>
      <c r="E212" s="156"/>
      <c r="F212" s="156"/>
      <c r="G212" s="156"/>
      <c r="H212" s="151" t="s">
        <v>1564</v>
      </c>
      <c r="I212" s="151" t="s">
        <v>1565</v>
      </c>
      <c r="J212" s="157"/>
      <c r="K212" s="163"/>
      <c r="L212" s="163" t="s">
        <v>154</v>
      </c>
      <c r="M212" s="166" t="s">
        <v>544</v>
      </c>
      <c r="N212" s="160" t="s">
        <v>1566</v>
      </c>
      <c r="O212" s="159" t="s">
        <v>1567</v>
      </c>
      <c r="P212" s="160" t="s">
        <v>1568</v>
      </c>
      <c r="Q212" s="160" t="s">
        <v>1569</v>
      </c>
      <c r="R212" s="53" t="s">
        <v>1570</v>
      </c>
      <c r="S212" s="160" t="s">
        <v>1511</v>
      </c>
      <c r="T212" s="166" t="s">
        <v>160</v>
      </c>
      <c r="U212" s="166" t="s">
        <v>161</v>
      </c>
      <c r="V212" s="178" t="s">
        <v>162</v>
      </c>
      <c r="W212" s="152">
        <v>2003</v>
      </c>
      <c r="X212" s="152">
        <v>670</v>
      </c>
      <c r="Y212" s="152"/>
      <c r="Z212" s="177" t="s">
        <v>311</v>
      </c>
      <c r="AA212" s="177"/>
      <c r="AB212" s="177"/>
      <c r="AC212" s="177"/>
      <c r="AD212" s="177"/>
      <c r="AE212" s="177"/>
      <c r="AF212" s="177"/>
      <c r="AG212" s="177"/>
      <c r="AH212" s="177"/>
      <c r="AI212" s="177"/>
      <c r="AJ212" s="177"/>
      <c r="AK212" s="257">
        <v>1</v>
      </c>
      <c r="AL212" s="271"/>
      <c r="AM212" s="277">
        <f>X212*P3_Reinigen_daken_incl._extra_maatregelen_veilig_werken_volgens_VCA_eventuele_vergunningen_leges_voorrijkosten_adminstratieve_kosten_fotorapportage_en_kleine_reparaties</f>
        <v>0</v>
      </c>
      <c r="AN212" s="279">
        <f>Y212*P3_Reinigen_goten_incl._extra_maatregelen_veilig_werken_volgens_VCA__eventuele_vergunningen_leges___voorrijkosten__adminstratieve_kosten__fotorapportage_en_kleine_reparaties</f>
        <v>0</v>
      </c>
      <c r="AO212" s="279">
        <f>(AE212*P3_Reinigen_Lichtkoepel_50X50)+('Perceel 1'!AF212*P3_Reinigen_Lichtkoepel_60x200)+('Perceel 1'!AG212*P3_Reinigen_Lichtkoepel_180x180)+('Perceel 1'!AH212*P3_Reinigen_Lichtstraten_groter_dan_180x180)</f>
        <v>0</v>
      </c>
      <c r="AP212" s="279"/>
      <c r="AQ212" s="279">
        <f t="shared" si="39"/>
        <v>0</v>
      </c>
      <c r="AR212" s="312"/>
      <c r="AS212" s="332">
        <f t="shared" si="40"/>
        <v>0</v>
      </c>
      <c r="AT212" s="336">
        <f t="shared" si="38"/>
        <v>0</v>
      </c>
    </row>
    <row r="213" spans="1:46" s="7" customFormat="1" ht="25.5" hidden="1" customHeight="1" x14ac:dyDescent="0.45">
      <c r="A213" s="155"/>
      <c r="B213" s="152">
        <v>3</v>
      </c>
      <c r="C213" s="156" t="s">
        <v>135</v>
      </c>
      <c r="D213" s="156" t="s">
        <v>136</v>
      </c>
      <c r="E213" s="156" t="s">
        <v>174</v>
      </c>
      <c r="F213" s="156" t="s">
        <v>1571</v>
      </c>
      <c r="G213" s="156" t="s">
        <v>833</v>
      </c>
      <c r="H213" s="151" t="s">
        <v>1572</v>
      </c>
      <c r="I213" s="151" t="s">
        <v>1573</v>
      </c>
      <c r="J213" s="157"/>
      <c r="K213" s="163"/>
      <c r="L213" s="151" t="s">
        <v>348</v>
      </c>
      <c r="M213" s="151" t="s">
        <v>349</v>
      </c>
      <c r="N213" s="160" t="s">
        <v>1574</v>
      </c>
      <c r="O213" s="159" t="s">
        <v>1575</v>
      </c>
      <c r="P213" s="160" t="s">
        <v>1576</v>
      </c>
      <c r="Q213" s="160" t="s">
        <v>1577</v>
      </c>
      <c r="R213" s="53" t="s">
        <v>1578</v>
      </c>
      <c r="S213" s="160" t="s">
        <v>1511</v>
      </c>
      <c r="T213" s="159" t="s">
        <v>1579</v>
      </c>
      <c r="U213" s="159" t="s">
        <v>1580</v>
      </c>
      <c r="V213" s="176" t="s">
        <v>1581</v>
      </c>
      <c r="W213" s="152">
        <v>2004</v>
      </c>
      <c r="X213" s="152">
        <v>2247</v>
      </c>
      <c r="Y213" s="152"/>
      <c r="Z213" s="177"/>
      <c r="AA213" s="177" t="s">
        <v>150</v>
      </c>
      <c r="AB213" s="177">
        <v>31</v>
      </c>
      <c r="AC213" s="177">
        <v>598</v>
      </c>
      <c r="AD213" s="177"/>
      <c r="AE213" s="177"/>
      <c r="AF213" s="177"/>
      <c r="AG213" s="177"/>
      <c r="AH213" s="177"/>
      <c r="AI213" s="177"/>
      <c r="AJ213" s="177"/>
      <c r="AK213" s="257">
        <v>1</v>
      </c>
      <c r="AL213" s="271"/>
      <c r="AM213" s="277">
        <f>X213*P3_reinigen_daken_met_vaste_dakveiligheid</f>
        <v>0</v>
      </c>
      <c r="AN213" s="279">
        <f>Y213*P3_reinigen_goten_met_vaste_dakveiligheid</f>
        <v>0</v>
      </c>
      <c r="AO213" s="279">
        <f>(AE213*P3_Reinigen_Lichtkoepel_50X50)+('Perceel 1'!AF213*P3_Reinigen_Lichtkoepel_60x200)+('Perceel 1'!AG213*P3_Reinigen_Lichtkoepel_180x180)+('Perceel 1'!AH213*P3_Reinigen_Lichtstraten_groter_dan_180x180)</f>
        <v>0</v>
      </c>
      <c r="AP213" s="279"/>
      <c r="AQ213" s="279">
        <f t="shared" si="39"/>
        <v>0</v>
      </c>
      <c r="AR213" s="305"/>
      <c r="AS213" s="332">
        <f t="shared" si="40"/>
        <v>0</v>
      </c>
      <c r="AT213" s="336">
        <f t="shared" si="38"/>
        <v>0</v>
      </c>
    </row>
    <row r="214" spans="1:46" s="7" customFormat="1" ht="129" hidden="1" customHeight="1" x14ac:dyDescent="0.45">
      <c r="A214" s="155"/>
      <c r="B214" s="152">
        <v>3</v>
      </c>
      <c r="C214" s="156" t="s">
        <v>135</v>
      </c>
      <c r="D214" s="156" t="s">
        <v>174</v>
      </c>
      <c r="E214" s="156"/>
      <c r="F214" s="156"/>
      <c r="G214" s="156"/>
      <c r="H214" s="151" t="s">
        <v>1582</v>
      </c>
      <c r="I214" s="151" t="s">
        <v>1583</v>
      </c>
      <c r="J214" s="157"/>
      <c r="K214" s="163"/>
      <c r="L214" s="151" t="s">
        <v>348</v>
      </c>
      <c r="M214" s="159" t="s">
        <v>349</v>
      </c>
      <c r="N214" s="160" t="s">
        <v>1584</v>
      </c>
      <c r="O214" s="159" t="s">
        <v>1585</v>
      </c>
      <c r="P214" s="160" t="s">
        <v>1586</v>
      </c>
      <c r="Q214" s="160" t="s">
        <v>1587</v>
      </c>
      <c r="R214" s="53" t="s">
        <v>1588</v>
      </c>
      <c r="S214" s="160" t="s">
        <v>1511</v>
      </c>
      <c r="T214" s="159" t="s">
        <v>1589</v>
      </c>
      <c r="U214" s="159" t="s">
        <v>1590</v>
      </c>
      <c r="V214" s="176" t="s">
        <v>1591</v>
      </c>
      <c r="W214" s="152">
        <v>1990</v>
      </c>
      <c r="X214" s="152">
        <v>1047</v>
      </c>
      <c r="Y214" s="152"/>
      <c r="Z214" s="177"/>
      <c r="AA214" s="177"/>
      <c r="AB214" s="177"/>
      <c r="AC214" s="177"/>
      <c r="AD214" s="177"/>
      <c r="AE214" s="177"/>
      <c r="AF214" s="177"/>
      <c r="AG214" s="177"/>
      <c r="AH214" s="177"/>
      <c r="AI214" s="177"/>
      <c r="AJ214" s="177"/>
      <c r="AK214" s="257">
        <v>1</v>
      </c>
      <c r="AL214" s="271"/>
      <c r="AM214" s="277">
        <f>X214*P3_Reinigen_daken_incl._extra_maatregelen_veilig_werken_volgens_VCA_eventuele_vergunningen_leges_voorrijkosten_adminstratieve_kosten_fotorapportage_en_kleine_reparaties</f>
        <v>0</v>
      </c>
      <c r="AN214" s="279">
        <f>Y214*P3_Reinigen_goten_incl._extra_maatregelen_veilig_werken_volgens_VCA__eventuele_vergunningen_leges___voorrijkosten__adminstratieve_kosten__fotorapportage_en_kleine_reparaties</f>
        <v>0</v>
      </c>
      <c r="AO214" s="279">
        <f>(AE214*P3_Reinigen_Lichtkoepel_50X50)+('Perceel 1'!AF214*P3_Reinigen_Lichtkoepel_60x200)+('Perceel 1'!AG214*P3_Reinigen_Lichtkoepel_180x180)+('Perceel 1'!AH214*P3_Reinigen_Lichtstraten_groter_dan_180x180)</f>
        <v>0</v>
      </c>
      <c r="AP214" s="279"/>
      <c r="AQ214" s="279">
        <f t="shared" si="39"/>
        <v>0</v>
      </c>
      <c r="AR214" s="312"/>
      <c r="AS214" s="332">
        <f t="shared" si="40"/>
        <v>0</v>
      </c>
      <c r="AT214" s="336">
        <f t="shared" si="38"/>
        <v>0</v>
      </c>
    </row>
    <row r="215" spans="1:46" s="7" customFormat="1" ht="23.1" hidden="1" customHeight="1" x14ac:dyDescent="0.45">
      <c r="A215" s="155"/>
      <c r="B215" s="165">
        <v>3</v>
      </c>
      <c r="C215" s="156" t="s">
        <v>135</v>
      </c>
      <c r="D215" s="156" t="s">
        <v>136</v>
      </c>
      <c r="E215" s="156"/>
      <c r="F215" s="156"/>
      <c r="G215" s="156"/>
      <c r="H215" s="151" t="s">
        <v>1592</v>
      </c>
      <c r="I215" s="151" t="s">
        <v>1593</v>
      </c>
      <c r="J215" s="157"/>
      <c r="K215" s="163"/>
      <c r="L215" s="151" t="s">
        <v>139</v>
      </c>
      <c r="M215" s="159" t="s">
        <v>140</v>
      </c>
      <c r="N215" s="160" t="s">
        <v>1594</v>
      </c>
      <c r="O215" s="159" t="s">
        <v>1595</v>
      </c>
      <c r="P215" s="160" t="s">
        <v>1596</v>
      </c>
      <c r="Q215" s="160" t="s">
        <v>1597</v>
      </c>
      <c r="R215" s="53" t="s">
        <v>1544</v>
      </c>
      <c r="S215" s="160" t="s">
        <v>1511</v>
      </c>
      <c r="T215" s="159" t="s">
        <v>1598</v>
      </c>
      <c r="U215" s="192" t="s">
        <v>1599</v>
      </c>
      <c r="V215" s="176" t="s">
        <v>1600</v>
      </c>
      <c r="W215" s="152">
        <v>1990</v>
      </c>
      <c r="X215" s="152">
        <v>522</v>
      </c>
      <c r="Y215" s="152"/>
      <c r="Z215" s="177"/>
      <c r="AA215" s="177" t="s">
        <v>150</v>
      </c>
      <c r="AB215" s="177">
        <v>14</v>
      </c>
      <c r="AC215" s="177">
        <v>95</v>
      </c>
      <c r="AD215" s="177"/>
      <c r="AE215" s="177"/>
      <c r="AF215" s="177"/>
      <c r="AG215" s="177"/>
      <c r="AH215" s="177"/>
      <c r="AI215" s="177"/>
      <c r="AJ215" s="177"/>
      <c r="AK215" s="257">
        <v>1</v>
      </c>
      <c r="AL215" s="271"/>
      <c r="AM215" s="277">
        <f>X215*P3_reinigen_daken_met_vaste_dakveiligheid</f>
        <v>0</v>
      </c>
      <c r="AN215" s="279">
        <f>Y215*P3_reinigen_goten_met_vaste_dakveiligheid</f>
        <v>0</v>
      </c>
      <c r="AO215" s="279">
        <f>(AE215*P3_Reinigen_Lichtkoepel_50X50)+('Perceel 1'!AF215*P3_Reinigen_Lichtkoepel_60x200)+('Perceel 1'!AG215*P3_Reinigen_Lichtkoepel_180x180)+('Perceel 1'!AH215*P3_Reinigen_Lichtstraten_groter_dan_180x180)</f>
        <v>0</v>
      </c>
      <c r="AP215" s="279"/>
      <c r="AQ215" s="279">
        <f t="shared" si="39"/>
        <v>0</v>
      </c>
      <c r="AR215" s="305"/>
      <c r="AS215" s="332">
        <f t="shared" si="40"/>
        <v>0</v>
      </c>
      <c r="AT215" s="336">
        <f t="shared" si="38"/>
        <v>0</v>
      </c>
    </row>
    <row r="216" spans="1:46" s="7" customFormat="1" ht="25.5" hidden="1" x14ac:dyDescent="0.45">
      <c r="A216" s="155"/>
      <c r="B216" s="152">
        <v>3</v>
      </c>
      <c r="C216" s="156" t="s">
        <v>135</v>
      </c>
      <c r="D216" s="156" t="s">
        <v>861</v>
      </c>
      <c r="E216" s="156"/>
      <c r="F216" s="156"/>
      <c r="G216" s="156"/>
      <c r="H216" s="151" t="s">
        <v>1601</v>
      </c>
      <c r="I216" s="151" t="s">
        <v>1602</v>
      </c>
      <c r="J216" s="157"/>
      <c r="K216" s="163"/>
      <c r="L216" s="151" t="s">
        <v>280</v>
      </c>
      <c r="M216" s="159" t="s">
        <v>1603</v>
      </c>
      <c r="N216" s="160" t="s">
        <v>1604</v>
      </c>
      <c r="O216" s="159" t="s">
        <v>1605</v>
      </c>
      <c r="P216" s="160" t="s">
        <v>1606</v>
      </c>
      <c r="Q216" s="160" t="s">
        <v>1607</v>
      </c>
      <c r="R216" s="53" t="s">
        <v>1608</v>
      </c>
      <c r="S216" s="160" t="s">
        <v>1511</v>
      </c>
      <c r="T216" s="159" t="s">
        <v>1196</v>
      </c>
      <c r="U216" s="159" t="s">
        <v>1609</v>
      </c>
      <c r="V216" s="176" t="s">
        <v>1610</v>
      </c>
      <c r="W216" s="152">
        <v>2008</v>
      </c>
      <c r="X216" s="152">
        <f>403+599</f>
        <v>1002</v>
      </c>
      <c r="Y216" s="152"/>
      <c r="Z216" s="177" t="s">
        <v>311</v>
      </c>
      <c r="AA216" s="177" t="s">
        <v>150</v>
      </c>
      <c r="AB216" s="177">
        <f>8+12</f>
        <v>20</v>
      </c>
      <c r="AC216" s="177">
        <f>45+63</f>
        <v>108</v>
      </c>
      <c r="AD216" s="177"/>
      <c r="AE216" s="177"/>
      <c r="AF216" s="177"/>
      <c r="AG216" s="177"/>
      <c r="AH216" s="177"/>
      <c r="AI216" s="177"/>
      <c r="AJ216" s="177"/>
      <c r="AK216" s="257">
        <v>1</v>
      </c>
      <c r="AL216" s="271"/>
      <c r="AM216" s="277">
        <f>X216*P3_reinigen_daken_met_vaste_dakveiligheid</f>
        <v>0</v>
      </c>
      <c r="AN216" s="279">
        <f>Y216*P3_reinigen_goten_met_vaste_dakveiligheid</f>
        <v>0</v>
      </c>
      <c r="AO216" s="279">
        <f>(AE216*P3_Reinigen_Lichtkoepel_50X50)+('Perceel 1'!AF216*P3_Reinigen_Lichtkoepel_60x200)+('Perceel 1'!AG216*P3_Reinigen_Lichtkoepel_180x180)+('Perceel 1'!AH216*P3_Reinigen_Lichtstraten_groter_dan_180x180)</f>
        <v>0</v>
      </c>
      <c r="AP216" s="279"/>
      <c r="AQ216" s="279">
        <f t="shared" si="39"/>
        <v>0</v>
      </c>
      <c r="AR216" s="305"/>
      <c r="AS216" s="332">
        <f t="shared" si="40"/>
        <v>0</v>
      </c>
      <c r="AT216" s="336">
        <f t="shared" si="38"/>
        <v>0</v>
      </c>
    </row>
    <row r="217" spans="1:46" s="7" customFormat="1" ht="38.25" hidden="1" x14ac:dyDescent="0.45">
      <c r="A217" s="155"/>
      <c r="B217" s="152">
        <v>3</v>
      </c>
      <c r="C217" s="156" t="s">
        <v>135</v>
      </c>
      <c r="D217" s="156" t="s">
        <v>136</v>
      </c>
      <c r="E217" s="156"/>
      <c r="F217" s="156"/>
      <c r="G217" s="156"/>
      <c r="H217" s="151" t="s">
        <v>1611</v>
      </c>
      <c r="I217" s="151" t="s">
        <v>1612</v>
      </c>
      <c r="J217" s="157"/>
      <c r="K217" s="163"/>
      <c r="L217" s="151" t="s">
        <v>348</v>
      </c>
      <c r="M217" s="159" t="s">
        <v>349</v>
      </c>
      <c r="N217" s="160" t="s">
        <v>1613</v>
      </c>
      <c r="O217" s="159" t="s">
        <v>1614</v>
      </c>
      <c r="P217" s="160" t="s">
        <v>1615</v>
      </c>
      <c r="Q217" s="160" t="s">
        <v>1616</v>
      </c>
      <c r="R217" s="53" t="s">
        <v>1617</v>
      </c>
      <c r="S217" s="160" t="s">
        <v>1511</v>
      </c>
      <c r="T217" s="159" t="s">
        <v>1618</v>
      </c>
      <c r="U217" s="159" t="s">
        <v>1619</v>
      </c>
      <c r="V217" s="209" t="s">
        <v>1620</v>
      </c>
      <c r="W217" s="152">
        <v>2000</v>
      </c>
      <c r="X217" s="152">
        <v>900</v>
      </c>
      <c r="Y217" s="152"/>
      <c r="Z217" s="177"/>
      <c r="AA217" s="189" t="s">
        <v>135</v>
      </c>
      <c r="AB217" s="189">
        <v>16</v>
      </c>
      <c r="AC217" s="189">
        <v>50.6</v>
      </c>
      <c r="AD217" s="177"/>
      <c r="AE217" s="177"/>
      <c r="AF217" s="177"/>
      <c r="AG217" s="177"/>
      <c r="AH217" s="177"/>
      <c r="AI217" s="177"/>
      <c r="AJ217" s="177"/>
      <c r="AK217" s="257">
        <v>1</v>
      </c>
      <c r="AL217" s="273"/>
      <c r="AM217" s="277">
        <f>X217*P3_reinigen_daken_met_vaste_dakveiligheid</f>
        <v>0</v>
      </c>
      <c r="AN217" s="279">
        <f>Y217*P3_reinigen_goten_met_vaste_dakveiligheid</f>
        <v>0</v>
      </c>
      <c r="AO217" s="279">
        <f>(AE217*P3_Reinigen_Lichtkoepel_50X50)+('Perceel 1'!AF217*P3_Reinigen_Lichtkoepel_60x200)+('Perceel 1'!AG217*P3_Reinigen_Lichtkoepel_180x180)+('Perceel 1'!AH217*P3_Reinigen_Lichtstraten_groter_dan_180x180)</f>
        <v>0</v>
      </c>
      <c r="AP217" s="279"/>
      <c r="AQ217" s="279">
        <f t="shared" si="39"/>
        <v>0</v>
      </c>
      <c r="AR217" s="305"/>
      <c r="AS217" s="332">
        <f t="shared" si="40"/>
        <v>0</v>
      </c>
      <c r="AT217" s="336">
        <f t="shared" si="38"/>
        <v>0</v>
      </c>
    </row>
    <row r="218" spans="1:46" s="7" customFormat="1" ht="12.75" hidden="1" customHeight="1" x14ac:dyDescent="0.45">
      <c r="A218" s="238"/>
      <c r="B218" s="225">
        <v>3</v>
      </c>
      <c r="C218" s="171" t="s">
        <v>135</v>
      </c>
      <c r="D218" s="171" t="s">
        <v>136</v>
      </c>
      <c r="E218" s="171" t="s">
        <v>174</v>
      </c>
      <c r="F218" s="171"/>
      <c r="G218" s="171"/>
      <c r="H218" s="15"/>
      <c r="I218" s="15"/>
      <c r="J218" s="16"/>
      <c r="K218" s="16"/>
      <c r="L218" s="196" t="s">
        <v>348</v>
      </c>
      <c r="M218" s="171" t="s">
        <v>1621</v>
      </c>
      <c r="N218" s="171" t="s">
        <v>1622</v>
      </c>
      <c r="O218" s="171" t="s">
        <v>1623</v>
      </c>
      <c r="P218" s="211" t="s">
        <v>1624</v>
      </c>
      <c r="Q218" s="211" t="s">
        <v>1616</v>
      </c>
      <c r="R218" s="58" t="s">
        <v>1617</v>
      </c>
      <c r="S218" s="211" t="s">
        <v>1511</v>
      </c>
      <c r="T218" s="171"/>
      <c r="U218" s="171"/>
      <c r="V218" s="171"/>
      <c r="W218" s="225">
        <v>2000</v>
      </c>
      <c r="X218" s="225">
        <v>1058</v>
      </c>
      <c r="Y218" s="225"/>
      <c r="Z218" s="171"/>
      <c r="AA218" s="171" t="s">
        <v>150</v>
      </c>
      <c r="AB218" s="171">
        <v>19</v>
      </c>
      <c r="AC218" s="171">
        <v>131.5</v>
      </c>
      <c r="AD218" s="171"/>
      <c r="AE218" s="171"/>
      <c r="AF218" s="171"/>
      <c r="AG218" s="171"/>
      <c r="AH218" s="171"/>
      <c r="AI218" s="171"/>
      <c r="AJ218" s="171"/>
      <c r="AK218" s="261">
        <v>1</v>
      </c>
      <c r="AL218" s="271"/>
      <c r="AM218" s="325"/>
      <c r="AN218" s="312"/>
      <c r="AO218" s="312"/>
      <c r="AP218" s="312"/>
      <c r="AQ218" s="312"/>
      <c r="AR218" s="305"/>
      <c r="AS218" s="341"/>
      <c r="AT218" s="344"/>
    </row>
    <row r="219" spans="1:46" s="7" customFormat="1" ht="25.5" hidden="1" customHeight="1" x14ac:dyDescent="0.45">
      <c r="A219" s="182"/>
      <c r="B219" s="181">
        <v>3</v>
      </c>
      <c r="C219" s="175" t="s">
        <v>135</v>
      </c>
      <c r="D219" s="175" t="s">
        <v>174</v>
      </c>
      <c r="E219" s="175"/>
      <c r="F219" s="175"/>
      <c r="G219" s="175"/>
      <c r="H219" s="174" t="s">
        <v>1625</v>
      </c>
      <c r="I219" s="174" t="s">
        <v>1626</v>
      </c>
      <c r="J219" s="197"/>
      <c r="K219" s="197"/>
      <c r="L219" s="174"/>
      <c r="M219" s="175" t="s">
        <v>349</v>
      </c>
      <c r="N219" s="182" t="s">
        <v>1627</v>
      </c>
      <c r="O219" s="175" t="s">
        <v>1628</v>
      </c>
      <c r="P219" s="175" t="s">
        <v>1629</v>
      </c>
      <c r="Q219" s="182" t="s">
        <v>1616</v>
      </c>
      <c r="R219" s="50" t="s">
        <v>1617</v>
      </c>
      <c r="S219" s="182" t="s">
        <v>1511</v>
      </c>
      <c r="T219" s="175" t="s">
        <v>1630</v>
      </c>
      <c r="U219" s="175" t="s">
        <v>1631</v>
      </c>
      <c r="V219" s="175" t="s">
        <v>1632</v>
      </c>
      <c r="W219" s="182">
        <v>2000</v>
      </c>
      <c r="X219" s="255">
        <f>X218*84%</f>
        <v>888.71999999999991</v>
      </c>
      <c r="Y219" s="182"/>
      <c r="Z219" s="175"/>
      <c r="AA219" s="175" t="s">
        <v>150</v>
      </c>
      <c r="AB219" s="175"/>
      <c r="AC219" s="175"/>
      <c r="AD219" s="175"/>
      <c r="AE219" s="175"/>
      <c r="AF219" s="175"/>
      <c r="AG219" s="175"/>
      <c r="AH219" s="175"/>
      <c r="AI219" s="191" t="s">
        <v>1633</v>
      </c>
      <c r="AJ219" s="191" t="s">
        <v>346</v>
      </c>
      <c r="AK219" s="255">
        <v>1</v>
      </c>
      <c r="AL219" s="271"/>
      <c r="AM219" s="277">
        <f>X219*P3_reinigen_daken_met_vaste_dakveiligheid</f>
        <v>0</v>
      </c>
      <c r="AN219" s="279">
        <f>Y219*P3_reinigen_goten_met_vaste_dakveiligheid</f>
        <v>0</v>
      </c>
      <c r="AO219" s="279">
        <f>(AE219*P3_Reinigen_Lichtkoepel_50X50)+('Perceel 1'!AF219*P3_Reinigen_Lichtkoepel_60x200)+('Perceel 1'!AG219*P3_Reinigen_Lichtkoepel_180x180)+('Perceel 1'!AH219*P3_Reinigen_Lichtstraten_groter_dan_180x180)</f>
        <v>0</v>
      </c>
      <c r="AP219" s="279"/>
      <c r="AQ219" s="279">
        <f>(X219+Y219)*P3_Inspecteren_daken_en_goten_1x_per_jaar_gelijktijdig_met_reiniging_inclusief_inspectierapport_en_een_managementrapport</f>
        <v>0</v>
      </c>
      <c r="AR219" s="307">
        <f>AR218*84%</f>
        <v>0</v>
      </c>
      <c r="AS219" s="332">
        <f>AR219*P3_keuren_dakveiligheid_per_man_uur</f>
        <v>0</v>
      </c>
      <c r="AT219" s="336">
        <f t="shared" si="38"/>
        <v>0</v>
      </c>
    </row>
    <row r="220" spans="1:46" s="7" customFormat="1" ht="51" hidden="1" x14ac:dyDescent="0.45">
      <c r="A220" s="182"/>
      <c r="B220" s="181">
        <v>3</v>
      </c>
      <c r="C220" s="175" t="s">
        <v>135</v>
      </c>
      <c r="D220" s="175" t="s">
        <v>136</v>
      </c>
      <c r="E220" s="175"/>
      <c r="F220" s="175"/>
      <c r="G220" s="175"/>
      <c r="H220" s="174" t="s">
        <v>1634</v>
      </c>
      <c r="I220" s="174" t="s">
        <v>1635</v>
      </c>
      <c r="J220" s="197"/>
      <c r="K220" s="197"/>
      <c r="L220" s="174"/>
      <c r="M220" s="191" t="s">
        <v>544</v>
      </c>
      <c r="N220" s="182" t="s">
        <v>1636</v>
      </c>
      <c r="O220" s="175" t="s">
        <v>1637</v>
      </c>
      <c r="P220" s="182" t="s">
        <v>1638</v>
      </c>
      <c r="Q220" s="182" t="s">
        <v>1639</v>
      </c>
      <c r="R220" s="50" t="s">
        <v>1617</v>
      </c>
      <c r="S220" s="182" t="s">
        <v>1511</v>
      </c>
      <c r="T220" s="175" t="s">
        <v>169</v>
      </c>
      <c r="U220" s="175" t="s">
        <v>170</v>
      </c>
      <c r="V220" s="175" t="s">
        <v>171</v>
      </c>
      <c r="W220" s="182">
        <v>2000</v>
      </c>
      <c r="X220" s="255">
        <f>X218*16%</f>
        <v>169.28</v>
      </c>
      <c r="Y220" s="182"/>
      <c r="Z220" s="175"/>
      <c r="AA220" s="175" t="s">
        <v>150</v>
      </c>
      <c r="AB220" s="175"/>
      <c r="AC220" s="175"/>
      <c r="AD220" s="175"/>
      <c r="AE220" s="175"/>
      <c r="AF220" s="175"/>
      <c r="AG220" s="175"/>
      <c r="AH220" s="175"/>
      <c r="AI220" s="175"/>
      <c r="AJ220" s="175"/>
      <c r="AK220" s="255">
        <v>1</v>
      </c>
      <c r="AL220" s="271"/>
      <c r="AM220" s="277">
        <f>X220*P3_reinigen_daken_met_vaste_dakveiligheid</f>
        <v>0</v>
      </c>
      <c r="AN220" s="279">
        <f>Y220*P3_reinigen_goten_met_vaste_dakveiligheid</f>
        <v>0</v>
      </c>
      <c r="AO220" s="279">
        <f>(AE220*P3_Reinigen_Lichtkoepel_50X50)+('Perceel 1'!AF220*P3_Reinigen_Lichtkoepel_60x200)+('Perceel 1'!AG220*P3_Reinigen_Lichtkoepel_180x180)+('Perceel 1'!AH220*P3_Reinigen_Lichtstraten_groter_dan_180x180)</f>
        <v>0</v>
      </c>
      <c r="AP220" s="279"/>
      <c r="AQ220" s="279">
        <f>(X220+Y220)*P3_Inspecteren_daken_en_goten_1x_per_jaar_gelijktijdig_met_reiniging_inclusief_inspectierapport_en_een_managementrapport</f>
        <v>0</v>
      </c>
      <c r="AR220" s="307">
        <f>AR218*16%</f>
        <v>0</v>
      </c>
      <c r="AS220" s="332">
        <f>AR220*P3_keuren_dakveiligheid_per_man_uur</f>
        <v>0</v>
      </c>
      <c r="AT220" s="336">
        <f t="shared" si="38"/>
        <v>0</v>
      </c>
    </row>
    <row r="221" spans="1:46" s="7" customFormat="1" ht="51" hidden="1" x14ac:dyDescent="0.45">
      <c r="A221" s="155"/>
      <c r="B221" s="165">
        <v>3</v>
      </c>
      <c r="C221" s="156" t="s">
        <v>135</v>
      </c>
      <c r="D221" s="156" t="s">
        <v>136</v>
      </c>
      <c r="E221" s="156"/>
      <c r="F221" s="156"/>
      <c r="G221" s="156"/>
      <c r="H221" s="151" t="s">
        <v>1640</v>
      </c>
      <c r="I221" s="151" t="s">
        <v>1641</v>
      </c>
      <c r="J221" s="157"/>
      <c r="K221" s="163"/>
      <c r="L221" s="163" t="s">
        <v>139</v>
      </c>
      <c r="M221" s="166" t="s">
        <v>140</v>
      </c>
      <c r="N221" s="160" t="s">
        <v>1642</v>
      </c>
      <c r="O221" s="159" t="s">
        <v>1643</v>
      </c>
      <c r="P221" s="160" t="s">
        <v>1644</v>
      </c>
      <c r="Q221" s="160" t="s">
        <v>1645</v>
      </c>
      <c r="R221" s="53" t="s">
        <v>1646</v>
      </c>
      <c r="S221" s="160" t="s">
        <v>1511</v>
      </c>
      <c r="T221" s="159" t="s">
        <v>1647</v>
      </c>
      <c r="U221" s="159" t="s">
        <v>1648</v>
      </c>
      <c r="V221" s="209" t="s">
        <v>1649</v>
      </c>
      <c r="W221" s="152">
        <v>1997</v>
      </c>
      <c r="X221" s="152">
        <v>657</v>
      </c>
      <c r="Y221" s="152"/>
      <c r="Z221" s="177"/>
      <c r="AA221" s="177"/>
      <c r="AB221" s="177"/>
      <c r="AC221" s="177"/>
      <c r="AD221" s="177"/>
      <c r="AE221" s="177"/>
      <c r="AF221" s="177"/>
      <c r="AG221" s="177"/>
      <c r="AH221" s="177"/>
      <c r="AI221" s="177"/>
      <c r="AJ221" s="177"/>
      <c r="AK221" s="257">
        <v>1</v>
      </c>
      <c r="AL221" s="271"/>
      <c r="AM221" s="277">
        <f>X221*P3_Reinigen_daken_incl._extra_maatregelen_veilig_werken_volgens_VCA_eventuele_vergunningen_leges_voorrijkosten_adminstratieve_kosten_fotorapportage_en_kleine_reparaties</f>
        <v>0</v>
      </c>
      <c r="AN221" s="279">
        <f>Y221*P3_Reinigen_goten_incl._extra_maatregelen_veilig_werken_volgens_VCA__eventuele_vergunningen_leges___voorrijkosten__adminstratieve_kosten__fotorapportage_en_kleine_reparaties</f>
        <v>0</v>
      </c>
      <c r="AO221" s="279">
        <f>(AE221*P3_Reinigen_Lichtkoepel_50X50)+('Perceel 1'!AF221*P3_Reinigen_Lichtkoepel_60x200)+('Perceel 1'!AG221*P3_Reinigen_Lichtkoepel_180x180)+('Perceel 1'!AH221*P3_Reinigen_Lichtstraten_groter_dan_180x180)</f>
        <v>0</v>
      </c>
      <c r="AP221" s="279"/>
      <c r="AQ221" s="279">
        <f>(X221+Y221)*P3_Inspecteren_daken_en_goten_1x_per_jaar_gelijktijdig_met_reiniging_inclusief_inspectierapport_en_een_managementrapport</f>
        <v>0</v>
      </c>
      <c r="AR221" s="312"/>
      <c r="AS221" s="332">
        <f>AR221*P3_keuren_dakveiligheid_per_man_uur</f>
        <v>0</v>
      </c>
      <c r="AT221" s="336">
        <f t="shared" si="38"/>
        <v>0</v>
      </c>
    </row>
    <row r="222" spans="1:46" s="7" customFormat="1" ht="63.75" hidden="1" customHeight="1" x14ac:dyDescent="0.45">
      <c r="A222" s="211"/>
      <c r="B222" s="212">
        <v>3</v>
      </c>
      <c r="C222" s="171" t="s">
        <v>135</v>
      </c>
      <c r="D222" s="171" t="s">
        <v>136</v>
      </c>
      <c r="E222" s="171" t="s">
        <v>174</v>
      </c>
      <c r="F222" s="171"/>
      <c r="G222" s="171"/>
      <c r="H222" s="15"/>
      <c r="I222" s="15"/>
      <c r="J222" s="16"/>
      <c r="K222" s="16"/>
      <c r="L222" s="196" t="s">
        <v>348</v>
      </c>
      <c r="M222" s="171" t="s">
        <v>1621</v>
      </c>
      <c r="N222" s="171" t="s">
        <v>1650</v>
      </c>
      <c r="O222" s="171" t="s">
        <v>1651</v>
      </c>
      <c r="P222" s="211" t="s">
        <v>1652</v>
      </c>
      <c r="Q222" s="211" t="s">
        <v>1645</v>
      </c>
      <c r="R222" s="58" t="s">
        <v>1646</v>
      </c>
      <c r="S222" s="211" t="s">
        <v>1511</v>
      </c>
      <c r="T222" s="171"/>
      <c r="U222" s="171"/>
      <c r="V222" s="171"/>
      <c r="W222" s="211">
        <v>1996</v>
      </c>
      <c r="X222" s="261">
        <v>1509</v>
      </c>
      <c r="Y222" s="211"/>
      <c r="Z222" s="171"/>
      <c r="AA222" s="171"/>
      <c r="AB222" s="171"/>
      <c r="AC222" s="171"/>
      <c r="AD222" s="171"/>
      <c r="AE222" s="171"/>
      <c r="AF222" s="171"/>
      <c r="AG222" s="171"/>
      <c r="AH222" s="171"/>
      <c r="AI222" s="171"/>
      <c r="AJ222" s="171"/>
      <c r="AK222" s="261">
        <v>1</v>
      </c>
      <c r="AL222" s="271"/>
      <c r="AM222" s="325"/>
      <c r="AN222" s="312"/>
      <c r="AO222" s="312"/>
      <c r="AP222" s="312"/>
      <c r="AQ222" s="312"/>
      <c r="AR222" s="312"/>
      <c r="AS222" s="341"/>
      <c r="AT222" s="344"/>
    </row>
    <row r="223" spans="1:46" s="7" customFormat="1" ht="25.5" hidden="1" customHeight="1" x14ac:dyDescent="0.45">
      <c r="A223" s="182"/>
      <c r="B223" s="185">
        <v>3</v>
      </c>
      <c r="C223" s="175" t="s">
        <v>135</v>
      </c>
      <c r="D223" s="175" t="s">
        <v>174</v>
      </c>
      <c r="E223" s="175"/>
      <c r="F223" s="175"/>
      <c r="G223" s="175"/>
      <c r="H223" s="174" t="s">
        <v>1653</v>
      </c>
      <c r="I223" s="174" t="s">
        <v>1654</v>
      </c>
      <c r="J223" s="197"/>
      <c r="K223" s="197"/>
      <c r="L223" s="174"/>
      <c r="M223" s="175" t="s">
        <v>349</v>
      </c>
      <c r="N223" s="182" t="s">
        <v>1655</v>
      </c>
      <c r="O223" s="175" t="s">
        <v>1656</v>
      </c>
      <c r="P223" s="182" t="s">
        <v>1657</v>
      </c>
      <c r="Q223" s="182" t="s">
        <v>1645</v>
      </c>
      <c r="R223" s="50" t="s">
        <v>1646</v>
      </c>
      <c r="S223" s="182" t="s">
        <v>1511</v>
      </c>
      <c r="T223" s="175" t="s">
        <v>1658</v>
      </c>
      <c r="U223" s="175" t="s">
        <v>1659</v>
      </c>
      <c r="V223" s="175" t="s">
        <v>1660</v>
      </c>
      <c r="W223" s="182">
        <v>1996</v>
      </c>
      <c r="X223" s="255">
        <f>X222*83%</f>
        <v>1252.47</v>
      </c>
      <c r="Y223" s="182"/>
      <c r="Z223" s="175"/>
      <c r="AA223" s="175"/>
      <c r="AB223" s="175"/>
      <c r="AC223" s="175"/>
      <c r="AD223" s="175"/>
      <c r="AE223" s="175"/>
      <c r="AF223" s="175"/>
      <c r="AG223" s="175"/>
      <c r="AH223" s="175"/>
      <c r="AI223" s="175"/>
      <c r="AJ223" s="175"/>
      <c r="AK223" s="255">
        <v>1</v>
      </c>
      <c r="AL223" s="271"/>
      <c r="AM223" s="277">
        <f>X223*P3_Reinigen_daken_incl._extra_maatregelen_veilig_werken_volgens_VCA_eventuele_vergunningen_leges_voorrijkosten_adminstratieve_kosten_fotorapportage_en_kleine_reparaties</f>
        <v>0</v>
      </c>
      <c r="AN223" s="279">
        <f>Y223*P3_Reinigen_goten_incl._extra_maatregelen_veilig_werken_volgens_VCA__eventuele_vergunningen_leges___voorrijkosten__adminstratieve_kosten__fotorapportage_en_kleine_reparaties</f>
        <v>0</v>
      </c>
      <c r="AO223" s="279">
        <f>(AE223*P3_Reinigen_Lichtkoepel_50X50)+('Perceel 1'!AF223*P3_Reinigen_Lichtkoepel_60x200)+('Perceel 1'!AG223*P3_Reinigen_Lichtkoepel_180x180)+('Perceel 1'!AH223*P3_Reinigen_Lichtstraten_groter_dan_180x180)</f>
        <v>0</v>
      </c>
      <c r="AP223" s="279"/>
      <c r="AQ223" s="279">
        <f t="shared" ref="AQ223:AQ252" si="41">(X223+Y223)*P3_Inspecteren_daken_en_goten_1x_per_jaar_gelijktijdig_met_reiniging_inclusief_inspectierapport_en_een_managementrapport</f>
        <v>0</v>
      </c>
      <c r="AR223" s="312"/>
      <c r="AS223" s="332">
        <f t="shared" ref="AS223:AS252" si="42">AR223*P3_keuren_dakveiligheid_per_man_uur</f>
        <v>0</v>
      </c>
      <c r="AT223" s="336">
        <f t="shared" si="38"/>
        <v>0</v>
      </c>
    </row>
    <row r="224" spans="1:46" s="7" customFormat="1" ht="25.5" hidden="1" customHeight="1" x14ac:dyDescent="0.45">
      <c r="A224" s="182"/>
      <c r="B224" s="185">
        <v>3</v>
      </c>
      <c r="C224" s="175" t="s">
        <v>135</v>
      </c>
      <c r="D224" s="175" t="s">
        <v>136</v>
      </c>
      <c r="E224" s="175"/>
      <c r="F224" s="175"/>
      <c r="G224" s="175"/>
      <c r="H224" s="174" t="s">
        <v>1661</v>
      </c>
      <c r="I224" s="174" t="s">
        <v>1662</v>
      </c>
      <c r="J224" s="197"/>
      <c r="K224" s="197"/>
      <c r="L224" s="174"/>
      <c r="M224" s="191" t="s">
        <v>544</v>
      </c>
      <c r="N224" s="182" t="s">
        <v>1663</v>
      </c>
      <c r="O224" s="175" t="s">
        <v>1664</v>
      </c>
      <c r="P224" s="182" t="s">
        <v>1665</v>
      </c>
      <c r="Q224" s="182" t="s">
        <v>1645</v>
      </c>
      <c r="R224" s="50" t="s">
        <v>1646</v>
      </c>
      <c r="S224" s="182" t="s">
        <v>1511</v>
      </c>
      <c r="T224" s="175" t="s">
        <v>1658</v>
      </c>
      <c r="U224" s="175" t="s">
        <v>1659</v>
      </c>
      <c r="V224" s="175" t="s">
        <v>1660</v>
      </c>
      <c r="W224" s="182">
        <v>1996</v>
      </c>
      <c r="X224" s="255">
        <f>X222*17%</f>
        <v>256.53000000000003</v>
      </c>
      <c r="Y224" s="182"/>
      <c r="Z224" s="175"/>
      <c r="AA224" s="175"/>
      <c r="AB224" s="175"/>
      <c r="AC224" s="175"/>
      <c r="AD224" s="175"/>
      <c r="AE224" s="175"/>
      <c r="AF224" s="175"/>
      <c r="AG224" s="175"/>
      <c r="AH224" s="175"/>
      <c r="AI224" s="175"/>
      <c r="AJ224" s="175"/>
      <c r="AK224" s="255">
        <v>1</v>
      </c>
      <c r="AL224" s="271"/>
      <c r="AM224" s="277">
        <f>X224*P3_Reinigen_daken_incl._extra_maatregelen_veilig_werken_volgens_VCA_eventuele_vergunningen_leges_voorrijkosten_adminstratieve_kosten_fotorapportage_en_kleine_reparaties</f>
        <v>0</v>
      </c>
      <c r="AN224" s="279">
        <f>Y224*P3_Reinigen_goten_incl._extra_maatregelen_veilig_werken_volgens_VCA__eventuele_vergunningen_leges___voorrijkosten__adminstratieve_kosten__fotorapportage_en_kleine_reparaties</f>
        <v>0</v>
      </c>
      <c r="AO224" s="279">
        <f>(AE224*P3_Reinigen_Lichtkoepel_50X50)+('Perceel 1'!AF224*P3_Reinigen_Lichtkoepel_60x200)+('Perceel 1'!AG224*P3_Reinigen_Lichtkoepel_180x180)+('Perceel 1'!AH224*P3_Reinigen_Lichtstraten_groter_dan_180x180)</f>
        <v>0</v>
      </c>
      <c r="AP224" s="279"/>
      <c r="AQ224" s="279">
        <f t="shared" si="41"/>
        <v>0</v>
      </c>
      <c r="AR224" s="312"/>
      <c r="AS224" s="332">
        <f t="shared" si="42"/>
        <v>0</v>
      </c>
      <c r="AT224" s="336">
        <f t="shared" si="38"/>
        <v>0</v>
      </c>
    </row>
    <row r="225" spans="1:46" s="7" customFormat="1" ht="25.5" hidden="1" x14ac:dyDescent="0.45">
      <c r="A225" s="155"/>
      <c r="B225" s="152">
        <v>3</v>
      </c>
      <c r="C225" s="156" t="s">
        <v>135</v>
      </c>
      <c r="D225" s="156" t="s">
        <v>136</v>
      </c>
      <c r="E225" s="156"/>
      <c r="F225" s="156"/>
      <c r="G225" s="156"/>
      <c r="H225" s="151" t="s">
        <v>1666</v>
      </c>
      <c r="I225" s="151" t="s">
        <v>1667</v>
      </c>
      <c r="J225" s="157"/>
      <c r="K225" s="163"/>
      <c r="L225" s="151" t="s">
        <v>139</v>
      </c>
      <c r="M225" s="159" t="s">
        <v>140</v>
      </c>
      <c r="N225" s="160" t="s">
        <v>1668</v>
      </c>
      <c r="O225" s="159" t="s">
        <v>1669</v>
      </c>
      <c r="P225" s="160" t="s">
        <v>1670</v>
      </c>
      <c r="Q225" s="160" t="s">
        <v>1671</v>
      </c>
      <c r="R225" s="53" t="s">
        <v>1570</v>
      </c>
      <c r="S225" s="160" t="s">
        <v>1511</v>
      </c>
      <c r="T225" s="159" t="s">
        <v>756</v>
      </c>
      <c r="U225" s="159" t="s">
        <v>1672</v>
      </c>
      <c r="V225" s="176" t="s">
        <v>1222</v>
      </c>
      <c r="W225" s="152">
        <v>2012</v>
      </c>
      <c r="X225" s="152">
        <v>364</v>
      </c>
      <c r="Y225" s="152"/>
      <c r="Z225" s="177"/>
      <c r="AA225" s="177" t="s">
        <v>150</v>
      </c>
      <c r="AB225" s="177">
        <v>12</v>
      </c>
      <c r="AC225" s="177">
        <v>24</v>
      </c>
      <c r="AD225" s="177"/>
      <c r="AE225" s="177"/>
      <c r="AF225" s="177"/>
      <c r="AG225" s="177"/>
      <c r="AH225" s="177"/>
      <c r="AI225" s="177"/>
      <c r="AJ225" s="177"/>
      <c r="AK225" s="257">
        <v>1</v>
      </c>
      <c r="AL225" s="271"/>
      <c r="AM225" s="277">
        <f>X225*P3_reinigen_daken_met_vaste_dakveiligheid</f>
        <v>0</v>
      </c>
      <c r="AN225" s="279">
        <f>Y225*P3_reinigen_goten_met_vaste_dakveiligheid</f>
        <v>0</v>
      </c>
      <c r="AO225" s="279">
        <f>(AE225*P3_Reinigen_Lichtkoepel_50X50)+('Perceel 1'!AF225*P3_Reinigen_Lichtkoepel_60x200)+('Perceel 1'!AG225*P3_Reinigen_Lichtkoepel_180x180)+('Perceel 1'!AH225*P3_Reinigen_Lichtstraten_groter_dan_180x180)</f>
        <v>0</v>
      </c>
      <c r="AP225" s="279"/>
      <c r="AQ225" s="279">
        <f t="shared" si="41"/>
        <v>0</v>
      </c>
      <c r="AR225" s="305"/>
      <c r="AS225" s="332">
        <f t="shared" si="42"/>
        <v>0</v>
      </c>
      <c r="AT225" s="336">
        <f t="shared" si="38"/>
        <v>0</v>
      </c>
    </row>
    <row r="226" spans="1:46" s="7" customFormat="1" ht="174" hidden="1" customHeight="1" x14ac:dyDescent="0.45">
      <c r="A226" s="155"/>
      <c r="B226" s="152">
        <v>3</v>
      </c>
      <c r="C226" s="156" t="s">
        <v>135</v>
      </c>
      <c r="D226" s="156" t="s">
        <v>136</v>
      </c>
      <c r="E226" s="156" t="s">
        <v>832</v>
      </c>
      <c r="F226" s="156" t="s">
        <v>1571</v>
      </c>
      <c r="G226" s="156" t="s">
        <v>833</v>
      </c>
      <c r="H226" s="151" t="s">
        <v>1673</v>
      </c>
      <c r="I226" s="151" t="s">
        <v>1674</v>
      </c>
      <c r="J226" s="157"/>
      <c r="K226" s="163"/>
      <c r="L226" s="151" t="s">
        <v>280</v>
      </c>
      <c r="M226" s="159" t="s">
        <v>669</v>
      </c>
      <c r="N226" s="160" t="s">
        <v>1675</v>
      </c>
      <c r="O226" s="159" t="s">
        <v>1676</v>
      </c>
      <c r="P226" s="160" t="s">
        <v>1677</v>
      </c>
      <c r="Q226" s="160"/>
      <c r="R226" s="53" t="s">
        <v>1679</v>
      </c>
      <c r="S226" s="160" t="s">
        <v>1511</v>
      </c>
      <c r="T226" s="159" t="s">
        <v>1680</v>
      </c>
      <c r="U226" s="159" t="s">
        <v>1681</v>
      </c>
      <c r="V226" s="209" t="s">
        <v>1682</v>
      </c>
      <c r="W226" s="152">
        <v>2006</v>
      </c>
      <c r="X226" s="152">
        <v>4415</v>
      </c>
      <c r="Y226" s="152">
        <f>138+118</f>
        <v>256</v>
      </c>
      <c r="Z226" s="177" t="s">
        <v>311</v>
      </c>
      <c r="AA226" s="177" t="s">
        <v>150</v>
      </c>
      <c r="AB226" s="189">
        <f>30+28+16</f>
        <v>74</v>
      </c>
      <c r="AC226" s="189">
        <f>200+193</f>
        <v>393</v>
      </c>
      <c r="AD226" s="177"/>
      <c r="AE226" s="177"/>
      <c r="AF226" s="177"/>
      <c r="AG226" s="177"/>
      <c r="AH226" s="177"/>
      <c r="AI226" s="177" t="s">
        <v>1683</v>
      </c>
      <c r="AJ226" s="177"/>
      <c r="AK226" s="257">
        <v>1</v>
      </c>
      <c r="AL226" s="273"/>
      <c r="AM226" s="277">
        <f>X226*P3_reinigen_daken_met_vaste_dakveiligheid</f>
        <v>0</v>
      </c>
      <c r="AN226" s="279">
        <f>Y226*P3_reinigen_goten_met_vaste_dakveiligheid</f>
        <v>0</v>
      </c>
      <c r="AO226" s="279">
        <f>(AE226*P3_Reinigen_Lichtkoepel_50X50)+('Perceel 1'!AF226*P3_Reinigen_Lichtkoepel_60x200)+('Perceel 1'!AG226*P3_Reinigen_Lichtkoepel_180x180)+('Perceel 1'!AH226*P3_Reinigen_Lichtstraten_groter_dan_180x180)</f>
        <v>0</v>
      </c>
      <c r="AP226" s="279"/>
      <c r="AQ226" s="279">
        <f t="shared" si="41"/>
        <v>0</v>
      </c>
      <c r="AR226" s="305"/>
      <c r="AS226" s="332">
        <f t="shared" si="42"/>
        <v>0</v>
      </c>
      <c r="AT226" s="336">
        <f t="shared" si="38"/>
        <v>256</v>
      </c>
    </row>
    <row r="227" spans="1:46" s="7" customFormat="1" ht="51" hidden="1" x14ac:dyDescent="0.45">
      <c r="A227" s="155"/>
      <c r="B227" s="152">
        <v>3</v>
      </c>
      <c r="C227" s="156" t="s">
        <v>135</v>
      </c>
      <c r="D227" s="156" t="s">
        <v>347</v>
      </c>
      <c r="E227" s="156"/>
      <c r="F227" s="156"/>
      <c r="G227" s="156"/>
      <c r="H227" s="151" t="s">
        <v>1684</v>
      </c>
      <c r="I227" s="151" t="s">
        <v>1685</v>
      </c>
      <c r="J227" s="157"/>
      <c r="K227" s="163"/>
      <c r="L227" s="151" t="s">
        <v>348</v>
      </c>
      <c r="M227" s="159" t="s">
        <v>349</v>
      </c>
      <c r="N227" s="160" t="s">
        <v>1686</v>
      </c>
      <c r="O227" s="159" t="s">
        <v>1687</v>
      </c>
      <c r="P227" s="159" t="s">
        <v>1688</v>
      </c>
      <c r="Q227" s="160" t="s">
        <v>1689</v>
      </c>
      <c r="R227" s="53" t="s">
        <v>1679</v>
      </c>
      <c r="S227" s="160" t="s">
        <v>1511</v>
      </c>
      <c r="T227" s="159" t="s">
        <v>1690</v>
      </c>
      <c r="U227" s="159" t="s">
        <v>1691</v>
      </c>
      <c r="V227" s="176" t="s">
        <v>1692</v>
      </c>
      <c r="W227" s="152">
        <v>2003</v>
      </c>
      <c r="X227" s="152">
        <v>1372</v>
      </c>
      <c r="Y227" s="152"/>
      <c r="Z227" s="177"/>
      <c r="AA227" s="177" t="s">
        <v>311</v>
      </c>
      <c r="AB227" s="177"/>
      <c r="AC227" s="177"/>
      <c r="AD227" s="177" t="s">
        <v>1303</v>
      </c>
      <c r="AE227" s="177"/>
      <c r="AF227" s="177"/>
      <c r="AG227" s="177"/>
      <c r="AH227" s="177"/>
      <c r="AI227" s="177"/>
      <c r="AJ227" s="177"/>
      <c r="AK227" s="257">
        <v>1</v>
      </c>
      <c r="AL227" s="271"/>
      <c r="AM227" s="277">
        <f>X227*P3_reinigen_daken_met_vaste_dakveiligheid</f>
        <v>0</v>
      </c>
      <c r="AN227" s="279">
        <f>Y227*P3_reinigen_goten_met_vaste_dakveiligheid</f>
        <v>0</v>
      </c>
      <c r="AO227" s="279">
        <f>(AE227*P3_Reinigen_Lichtkoepel_50X50)+('Perceel 1'!AF227*P3_Reinigen_Lichtkoepel_60x200)+('Perceel 1'!AG227*P3_Reinigen_Lichtkoepel_180x180)+('Perceel 1'!AH227*P3_Reinigen_Lichtstraten_groter_dan_180x180)</f>
        <v>0</v>
      </c>
      <c r="AP227" s="279"/>
      <c r="AQ227" s="279">
        <f t="shared" si="41"/>
        <v>0</v>
      </c>
      <c r="AR227" s="305"/>
      <c r="AS227" s="332">
        <f t="shared" si="42"/>
        <v>0</v>
      </c>
      <c r="AT227" s="336">
        <f t="shared" si="38"/>
        <v>0</v>
      </c>
    </row>
    <row r="228" spans="1:46" s="7" customFormat="1" ht="51" hidden="1" x14ac:dyDescent="0.45">
      <c r="A228" s="155"/>
      <c r="B228" s="152">
        <v>3</v>
      </c>
      <c r="C228" s="156" t="s">
        <v>135</v>
      </c>
      <c r="D228" s="156" t="s">
        <v>136</v>
      </c>
      <c r="E228" s="156"/>
      <c r="F228" s="156"/>
      <c r="G228" s="156"/>
      <c r="H228" s="151" t="s">
        <v>1693</v>
      </c>
      <c r="I228" s="151" t="s">
        <v>1694</v>
      </c>
      <c r="J228" s="157"/>
      <c r="K228" s="163"/>
      <c r="L228" s="163" t="s">
        <v>154</v>
      </c>
      <c r="M228" s="166" t="s">
        <v>544</v>
      </c>
      <c r="N228" s="160" t="s">
        <v>1695</v>
      </c>
      <c r="O228" s="159" t="s">
        <v>1696</v>
      </c>
      <c r="P228" s="160" t="s">
        <v>1697</v>
      </c>
      <c r="Q228" s="160" t="s">
        <v>1689</v>
      </c>
      <c r="R228" s="53" t="s">
        <v>1679</v>
      </c>
      <c r="S228" s="160" t="s">
        <v>1511</v>
      </c>
      <c r="T228" s="159" t="s">
        <v>169</v>
      </c>
      <c r="U228" s="159" t="s">
        <v>170</v>
      </c>
      <c r="V228" s="176" t="s">
        <v>171</v>
      </c>
      <c r="W228" s="152">
        <v>2004</v>
      </c>
      <c r="X228" s="152">
        <v>704</v>
      </c>
      <c r="Y228" s="152"/>
      <c r="Z228" s="177"/>
      <c r="AA228" s="177" t="s">
        <v>311</v>
      </c>
      <c r="AB228" s="177"/>
      <c r="AC228" s="177"/>
      <c r="AD228" s="177" t="s">
        <v>1546</v>
      </c>
      <c r="AE228" s="177"/>
      <c r="AF228" s="177"/>
      <c r="AG228" s="177"/>
      <c r="AH228" s="177"/>
      <c r="AI228" s="177"/>
      <c r="AJ228" s="177"/>
      <c r="AK228" s="257">
        <v>1</v>
      </c>
      <c r="AL228" s="271"/>
      <c r="AM228" s="277">
        <f>X228*P3_reinigen_daken_met_vaste_dakveiligheid</f>
        <v>0</v>
      </c>
      <c r="AN228" s="279">
        <f>Y228*P3_reinigen_goten_met_vaste_dakveiligheid</f>
        <v>0</v>
      </c>
      <c r="AO228" s="279">
        <f>(AE228*P3_Reinigen_Lichtkoepel_50X50)+('Perceel 1'!AF228*P3_Reinigen_Lichtkoepel_60x200)+('Perceel 1'!AG228*P3_Reinigen_Lichtkoepel_180x180)+('Perceel 1'!AH228*P3_Reinigen_Lichtstraten_groter_dan_180x180)</f>
        <v>0</v>
      </c>
      <c r="AP228" s="279"/>
      <c r="AQ228" s="279">
        <f t="shared" si="41"/>
        <v>0</v>
      </c>
      <c r="AR228" s="305"/>
      <c r="AS228" s="332">
        <f t="shared" si="42"/>
        <v>0</v>
      </c>
      <c r="AT228" s="336">
        <f t="shared" si="38"/>
        <v>0</v>
      </c>
    </row>
    <row r="229" spans="1:46" s="7" customFormat="1" ht="51" hidden="1" x14ac:dyDescent="0.45">
      <c r="A229" s="155"/>
      <c r="B229" s="165">
        <v>3</v>
      </c>
      <c r="C229" s="156" t="s">
        <v>135</v>
      </c>
      <c r="D229" s="156" t="s">
        <v>136</v>
      </c>
      <c r="E229" s="156"/>
      <c r="F229" s="156"/>
      <c r="G229" s="156"/>
      <c r="H229" s="151" t="s">
        <v>1698</v>
      </c>
      <c r="I229" s="151" t="s">
        <v>1699</v>
      </c>
      <c r="J229" s="157"/>
      <c r="K229" s="157"/>
      <c r="L229" s="163" t="s">
        <v>154</v>
      </c>
      <c r="M229" s="166" t="s">
        <v>544</v>
      </c>
      <c r="N229" s="160" t="s">
        <v>1700</v>
      </c>
      <c r="O229" s="159" t="s">
        <v>1701</v>
      </c>
      <c r="P229" s="160" t="s">
        <v>1702</v>
      </c>
      <c r="Q229" s="160" t="s">
        <v>1703</v>
      </c>
      <c r="R229" s="53" t="s">
        <v>1704</v>
      </c>
      <c r="S229" s="160" t="s">
        <v>1511</v>
      </c>
      <c r="T229" s="159" t="s">
        <v>169</v>
      </c>
      <c r="U229" s="159" t="s">
        <v>170</v>
      </c>
      <c r="V229" s="176" t="s">
        <v>171</v>
      </c>
      <c r="W229" s="152">
        <v>1988</v>
      </c>
      <c r="X229" s="152">
        <v>454</v>
      </c>
      <c r="Y229" s="152"/>
      <c r="Z229" s="177"/>
      <c r="AA229" s="177"/>
      <c r="AB229" s="177"/>
      <c r="AC229" s="177"/>
      <c r="AD229" s="177"/>
      <c r="AE229" s="177"/>
      <c r="AF229" s="177"/>
      <c r="AG229" s="177"/>
      <c r="AH229" s="177"/>
      <c r="AI229" s="177"/>
      <c r="AJ229" s="177"/>
      <c r="AK229" s="257">
        <v>1</v>
      </c>
      <c r="AL229" s="271"/>
      <c r="AM229" s="277">
        <f>X229*P3_Reinigen_daken_incl._extra_maatregelen_veilig_werken_volgens_VCA_eventuele_vergunningen_leges_voorrijkosten_adminstratieve_kosten_fotorapportage_en_kleine_reparaties</f>
        <v>0</v>
      </c>
      <c r="AN229" s="279">
        <f>Y229*P3_Reinigen_goten_incl._extra_maatregelen_veilig_werken_volgens_VCA__eventuele_vergunningen_leges___voorrijkosten__adminstratieve_kosten__fotorapportage_en_kleine_reparaties</f>
        <v>0</v>
      </c>
      <c r="AO229" s="279">
        <f>(AE229*P3_Reinigen_Lichtkoepel_50X50)+('Perceel 1'!AF229*P3_Reinigen_Lichtkoepel_60x200)+('Perceel 1'!AG229*P3_Reinigen_Lichtkoepel_180x180)+('Perceel 1'!AH229*P3_Reinigen_Lichtstraten_groter_dan_180x180)</f>
        <v>0</v>
      </c>
      <c r="AP229" s="279"/>
      <c r="AQ229" s="279">
        <f t="shared" si="41"/>
        <v>0</v>
      </c>
      <c r="AR229" s="312"/>
      <c r="AS229" s="332">
        <f t="shared" si="42"/>
        <v>0</v>
      </c>
      <c r="AT229" s="336">
        <f t="shared" si="38"/>
        <v>0</v>
      </c>
    </row>
    <row r="230" spans="1:46" s="7" customFormat="1" ht="12.75" hidden="1" customHeight="1" x14ac:dyDescent="0.45">
      <c r="A230" s="155"/>
      <c r="B230" s="152">
        <v>3</v>
      </c>
      <c r="C230" s="156" t="s">
        <v>135</v>
      </c>
      <c r="D230" s="156" t="s">
        <v>136</v>
      </c>
      <c r="E230" s="156"/>
      <c r="F230" s="156"/>
      <c r="G230" s="156"/>
      <c r="H230" s="151" t="s">
        <v>1705</v>
      </c>
      <c r="I230" s="151" t="s">
        <v>1706</v>
      </c>
      <c r="J230" s="157"/>
      <c r="K230" s="163"/>
      <c r="L230" s="151" t="s">
        <v>139</v>
      </c>
      <c r="M230" s="159" t="s">
        <v>140</v>
      </c>
      <c r="N230" s="160" t="s">
        <v>1707</v>
      </c>
      <c r="O230" s="159" t="s">
        <v>1708</v>
      </c>
      <c r="P230" s="159" t="s">
        <v>1709</v>
      </c>
      <c r="Q230" s="160" t="s">
        <v>1710</v>
      </c>
      <c r="R230" s="53" t="s">
        <v>1711</v>
      </c>
      <c r="S230" s="160" t="s">
        <v>1511</v>
      </c>
      <c r="T230" s="159" t="s">
        <v>1712</v>
      </c>
      <c r="U230" s="159" t="s">
        <v>1713</v>
      </c>
      <c r="V230" s="176" t="s">
        <v>1714</v>
      </c>
      <c r="W230" s="152">
        <v>2001</v>
      </c>
      <c r="X230" s="152">
        <v>1840</v>
      </c>
      <c r="Y230" s="152"/>
      <c r="Z230" s="177" t="s">
        <v>311</v>
      </c>
      <c r="AA230" s="177"/>
      <c r="AB230" s="177"/>
      <c r="AC230" s="177"/>
      <c r="AD230" s="177"/>
      <c r="AE230" s="177"/>
      <c r="AF230" s="177"/>
      <c r="AG230" s="177"/>
      <c r="AH230" s="177"/>
      <c r="AI230" s="177"/>
      <c r="AJ230" s="177"/>
      <c r="AK230" s="257">
        <v>1</v>
      </c>
      <c r="AL230" s="271"/>
      <c r="AM230" s="277">
        <f>X230*P3_Reinigen_daken_incl._extra_maatregelen_veilig_werken_volgens_VCA_eventuele_vergunningen_leges_voorrijkosten_adminstratieve_kosten_fotorapportage_en_kleine_reparaties</f>
        <v>0</v>
      </c>
      <c r="AN230" s="279">
        <f>Y230*P3_Reinigen_goten_incl._extra_maatregelen_veilig_werken_volgens_VCA__eventuele_vergunningen_leges___voorrijkosten__adminstratieve_kosten__fotorapportage_en_kleine_reparaties</f>
        <v>0</v>
      </c>
      <c r="AO230" s="279">
        <f>(AE230*P3_Reinigen_Lichtkoepel_50X50)+('Perceel 1'!AF230*P3_Reinigen_Lichtkoepel_60x200)+('Perceel 1'!AG230*P3_Reinigen_Lichtkoepel_180x180)+('Perceel 1'!AH230*P3_Reinigen_Lichtstraten_groter_dan_180x180)</f>
        <v>0</v>
      </c>
      <c r="AP230" s="279"/>
      <c r="AQ230" s="279">
        <f t="shared" si="41"/>
        <v>0</v>
      </c>
      <c r="AR230" s="312"/>
      <c r="AS230" s="332">
        <f t="shared" si="42"/>
        <v>0</v>
      </c>
      <c r="AT230" s="336">
        <f t="shared" si="38"/>
        <v>0</v>
      </c>
    </row>
    <row r="231" spans="1:46" s="7" customFormat="1" ht="12.75" hidden="1" customHeight="1" x14ac:dyDescent="0.45">
      <c r="A231" s="155"/>
      <c r="B231" s="152">
        <v>3</v>
      </c>
      <c r="C231" s="156" t="s">
        <v>135</v>
      </c>
      <c r="D231" s="156" t="s">
        <v>174</v>
      </c>
      <c r="E231" s="156"/>
      <c r="F231" s="156"/>
      <c r="G231" s="156"/>
      <c r="H231" s="151" t="s">
        <v>1715</v>
      </c>
      <c r="I231" s="151" t="s">
        <v>1716</v>
      </c>
      <c r="J231" s="157"/>
      <c r="K231" s="163"/>
      <c r="L231" s="151" t="s">
        <v>348</v>
      </c>
      <c r="M231" s="159" t="s">
        <v>349</v>
      </c>
      <c r="N231" s="160" t="s">
        <v>1717</v>
      </c>
      <c r="O231" s="159" t="s">
        <v>1718</v>
      </c>
      <c r="P231" s="159" t="s">
        <v>1719</v>
      </c>
      <c r="Q231" s="160" t="s">
        <v>1720</v>
      </c>
      <c r="R231" s="53" t="s">
        <v>1721</v>
      </c>
      <c r="S231" s="160" t="s">
        <v>1511</v>
      </c>
      <c r="T231" s="159" t="s">
        <v>1722</v>
      </c>
      <c r="U231" s="159" t="s">
        <v>1723</v>
      </c>
      <c r="V231" s="176" t="s">
        <v>1724</v>
      </c>
      <c r="W231" s="152">
        <v>1984</v>
      </c>
      <c r="X231" s="152">
        <v>1401</v>
      </c>
      <c r="Y231" s="152"/>
      <c r="Z231" s="177"/>
      <c r="AA231" s="177"/>
      <c r="AB231" s="177"/>
      <c r="AC231" s="177"/>
      <c r="AD231" s="177"/>
      <c r="AE231" s="177"/>
      <c r="AF231" s="177"/>
      <c r="AG231" s="177"/>
      <c r="AH231" s="177"/>
      <c r="AI231" s="177"/>
      <c r="AJ231" s="177"/>
      <c r="AK231" s="257">
        <v>1</v>
      </c>
      <c r="AL231" s="271"/>
      <c r="AM231" s="277">
        <f>X231*P3_Reinigen_daken_incl._extra_maatregelen_veilig_werken_volgens_VCA_eventuele_vergunningen_leges_voorrijkosten_adminstratieve_kosten_fotorapportage_en_kleine_reparaties</f>
        <v>0</v>
      </c>
      <c r="AN231" s="279">
        <f>Y231*P3_Reinigen_goten_incl._extra_maatregelen_veilig_werken_volgens_VCA__eventuele_vergunningen_leges___voorrijkosten__adminstratieve_kosten__fotorapportage_en_kleine_reparaties</f>
        <v>0</v>
      </c>
      <c r="AO231" s="279">
        <f>(AE231*P3_Reinigen_Lichtkoepel_50X50)+('Perceel 1'!AF231*P3_Reinigen_Lichtkoepel_60x200)+('Perceel 1'!AG231*P3_Reinigen_Lichtkoepel_180x180)+('Perceel 1'!AH231*P3_Reinigen_Lichtstraten_groter_dan_180x180)</f>
        <v>0</v>
      </c>
      <c r="AP231" s="279"/>
      <c r="AQ231" s="279">
        <f t="shared" si="41"/>
        <v>0</v>
      </c>
      <c r="AR231" s="312"/>
      <c r="AS231" s="332">
        <f t="shared" si="42"/>
        <v>0</v>
      </c>
      <c r="AT231" s="336">
        <f t="shared" si="38"/>
        <v>0</v>
      </c>
    </row>
    <row r="232" spans="1:46" s="7" customFormat="1" ht="25.5" hidden="1" x14ac:dyDescent="0.45">
      <c r="A232" s="155"/>
      <c r="B232" s="152">
        <v>3</v>
      </c>
      <c r="C232" s="156" t="s">
        <v>135</v>
      </c>
      <c r="D232" s="156" t="s">
        <v>136</v>
      </c>
      <c r="E232" s="156"/>
      <c r="F232" s="156"/>
      <c r="G232" s="156"/>
      <c r="H232" s="151" t="s">
        <v>1725</v>
      </c>
      <c r="I232" s="151" t="s">
        <v>1726</v>
      </c>
      <c r="J232" s="157"/>
      <c r="K232" s="163"/>
      <c r="L232" s="163" t="s">
        <v>154</v>
      </c>
      <c r="M232" s="166" t="s">
        <v>544</v>
      </c>
      <c r="N232" s="164">
        <v>2365</v>
      </c>
      <c r="O232" s="159" t="s">
        <v>1727</v>
      </c>
      <c r="P232" s="159" t="s">
        <v>1728</v>
      </c>
      <c r="Q232" s="159" t="s">
        <v>1729</v>
      </c>
      <c r="R232" s="42" t="s">
        <v>1608</v>
      </c>
      <c r="S232" s="159" t="s">
        <v>1511</v>
      </c>
      <c r="T232" s="159" t="s">
        <v>1730</v>
      </c>
      <c r="U232" s="242" t="s">
        <v>1731</v>
      </c>
      <c r="V232" s="243" t="s">
        <v>1732</v>
      </c>
      <c r="W232" s="152">
        <v>2017</v>
      </c>
      <c r="X232" s="152">
        <v>894</v>
      </c>
      <c r="Y232" s="152"/>
      <c r="Z232" s="177"/>
      <c r="AA232" s="177" t="s">
        <v>150</v>
      </c>
      <c r="AB232" s="177">
        <v>7</v>
      </c>
      <c r="AC232" s="177">
        <v>55</v>
      </c>
      <c r="AD232" s="177"/>
      <c r="AE232" s="177"/>
      <c r="AF232" s="177"/>
      <c r="AG232" s="177"/>
      <c r="AH232" s="177"/>
      <c r="AI232" s="177" t="s">
        <v>1065</v>
      </c>
      <c r="AJ232" s="177"/>
      <c r="AK232" s="257">
        <v>1</v>
      </c>
      <c r="AL232" s="271"/>
      <c r="AM232" s="277">
        <f>X232*P3_reinigen_daken_met_vaste_dakveiligheid</f>
        <v>0</v>
      </c>
      <c r="AN232" s="279">
        <f>Y232*P3_reinigen_goten_met_vaste_dakveiligheid</f>
        <v>0</v>
      </c>
      <c r="AO232" s="279">
        <f>(AE232*P3_Reinigen_Lichtkoepel_50X50)+('Perceel 1'!AF232*P3_Reinigen_Lichtkoepel_60x200)+('Perceel 1'!AG232*P3_Reinigen_Lichtkoepel_180x180)+('Perceel 1'!AH232*P3_Reinigen_Lichtstraten_groter_dan_180x180)</f>
        <v>0</v>
      </c>
      <c r="AP232" s="279"/>
      <c r="AQ232" s="279">
        <f t="shared" si="41"/>
        <v>0</v>
      </c>
      <c r="AR232" s="305"/>
      <c r="AS232" s="332">
        <f t="shared" si="42"/>
        <v>0</v>
      </c>
      <c r="AT232" s="336">
        <f t="shared" si="38"/>
        <v>0</v>
      </c>
    </row>
    <row r="233" spans="1:46" s="7" customFormat="1" ht="25.5" hidden="1" customHeight="1" x14ac:dyDescent="0.45">
      <c r="A233" s="155"/>
      <c r="B233" s="152">
        <v>3</v>
      </c>
      <c r="C233" s="156" t="s">
        <v>135</v>
      </c>
      <c r="D233" s="156" t="s">
        <v>136</v>
      </c>
      <c r="E233" s="156"/>
      <c r="F233" s="156"/>
      <c r="G233" s="156"/>
      <c r="H233" s="151" t="s">
        <v>1733</v>
      </c>
      <c r="I233" s="151" t="s">
        <v>1734</v>
      </c>
      <c r="J233" s="157"/>
      <c r="K233" s="163"/>
      <c r="L233" s="151" t="s">
        <v>139</v>
      </c>
      <c r="M233" s="159" t="s">
        <v>140</v>
      </c>
      <c r="N233" s="160" t="s">
        <v>1735</v>
      </c>
      <c r="O233" s="159" t="s">
        <v>1736</v>
      </c>
      <c r="P233" s="159" t="s">
        <v>1737</v>
      </c>
      <c r="Q233" s="160" t="s">
        <v>1720</v>
      </c>
      <c r="R233" s="53" t="s">
        <v>1721</v>
      </c>
      <c r="S233" s="160" t="s">
        <v>1511</v>
      </c>
      <c r="T233" s="159" t="s">
        <v>1738</v>
      </c>
      <c r="U233" s="159" t="s">
        <v>1739</v>
      </c>
      <c r="V233" s="176" t="s">
        <v>1740</v>
      </c>
      <c r="W233" s="152" t="s">
        <v>1741</v>
      </c>
      <c r="X233" s="152">
        <v>778</v>
      </c>
      <c r="Y233" s="152"/>
      <c r="Z233" s="177" t="s">
        <v>311</v>
      </c>
      <c r="AA233" s="177"/>
      <c r="AB233" s="177"/>
      <c r="AC233" s="177"/>
      <c r="AD233" s="177"/>
      <c r="AE233" s="177"/>
      <c r="AF233" s="177"/>
      <c r="AG233" s="177"/>
      <c r="AH233" s="177"/>
      <c r="AI233" s="177"/>
      <c r="AJ233" s="177"/>
      <c r="AK233" s="257">
        <v>1</v>
      </c>
      <c r="AL233" s="271"/>
      <c r="AM233" s="277">
        <f>X233*P3_Reinigen_daken_incl._extra_maatregelen_veilig_werken_volgens_VCA_eventuele_vergunningen_leges_voorrijkosten_adminstratieve_kosten_fotorapportage_en_kleine_reparaties</f>
        <v>0</v>
      </c>
      <c r="AN233" s="279">
        <f>Y233*P3_Reinigen_goten_incl._extra_maatregelen_veilig_werken_volgens_VCA__eventuele_vergunningen_leges___voorrijkosten__adminstratieve_kosten__fotorapportage_en_kleine_reparaties</f>
        <v>0</v>
      </c>
      <c r="AO233" s="279">
        <f>(AE233*P3_Reinigen_Lichtkoepel_50X50)+('Perceel 1'!AF233*P3_Reinigen_Lichtkoepel_60x200)+('Perceel 1'!AG233*P3_Reinigen_Lichtkoepel_180x180)+('Perceel 1'!AH233*P3_Reinigen_Lichtstraten_groter_dan_180x180)</f>
        <v>0</v>
      </c>
      <c r="AP233" s="279"/>
      <c r="AQ233" s="279">
        <f t="shared" si="41"/>
        <v>0</v>
      </c>
      <c r="AR233" s="312"/>
      <c r="AS233" s="332">
        <f t="shared" si="42"/>
        <v>0</v>
      </c>
      <c r="AT233" s="336">
        <f t="shared" si="38"/>
        <v>0</v>
      </c>
    </row>
    <row r="234" spans="1:46" s="7" customFormat="1" ht="25.5" hidden="1" customHeight="1" x14ac:dyDescent="0.45">
      <c r="A234" s="161"/>
      <c r="B234" s="152">
        <v>3</v>
      </c>
      <c r="C234" s="156" t="s">
        <v>135</v>
      </c>
      <c r="D234" s="156" t="s">
        <v>1391</v>
      </c>
      <c r="E234" s="156"/>
      <c r="F234" s="156"/>
      <c r="G234" s="156"/>
      <c r="H234" s="151" t="s">
        <v>1742</v>
      </c>
      <c r="I234" s="163" t="s">
        <v>1743</v>
      </c>
      <c r="J234" s="157"/>
      <c r="K234" s="163"/>
      <c r="L234" s="163" t="s">
        <v>154</v>
      </c>
      <c r="M234" s="166" t="s">
        <v>155</v>
      </c>
      <c r="N234" s="164">
        <v>1278</v>
      </c>
      <c r="O234" s="159" t="s">
        <v>1744</v>
      </c>
      <c r="P234" s="159" t="s">
        <v>1745</v>
      </c>
      <c r="Q234" s="159" t="s">
        <v>1746</v>
      </c>
      <c r="R234" s="42" t="s">
        <v>1704</v>
      </c>
      <c r="S234" s="159" t="s">
        <v>1511</v>
      </c>
      <c r="T234" s="159" t="s">
        <v>1561</v>
      </c>
      <c r="U234" s="159" t="s">
        <v>1562</v>
      </c>
      <c r="V234" s="176" t="s">
        <v>1563</v>
      </c>
      <c r="W234" s="152">
        <v>1990</v>
      </c>
      <c r="X234" s="152">
        <f>251+817</f>
        <v>1068</v>
      </c>
      <c r="Y234" s="152"/>
      <c r="Z234" s="177"/>
      <c r="AA234" s="177"/>
      <c r="AB234" s="177"/>
      <c r="AC234" s="177"/>
      <c r="AD234" s="177"/>
      <c r="AE234" s="177"/>
      <c r="AF234" s="177"/>
      <c r="AG234" s="177"/>
      <c r="AH234" s="177"/>
      <c r="AI234" s="177"/>
      <c r="AJ234" s="177"/>
      <c r="AK234" s="177">
        <v>1</v>
      </c>
      <c r="AL234" s="276"/>
      <c r="AM234" s="277">
        <f>X234*P3_Reinigen_daken_incl._extra_maatregelen_veilig_werken_volgens_VCA_eventuele_vergunningen_leges_voorrijkosten_adminstratieve_kosten_fotorapportage_en_kleine_reparaties</f>
        <v>0</v>
      </c>
      <c r="AN234" s="279">
        <f>Y234*P3_Reinigen_goten_incl._extra_maatregelen_veilig_werken_volgens_VCA__eventuele_vergunningen_leges___voorrijkosten__adminstratieve_kosten__fotorapportage_en_kleine_reparaties</f>
        <v>0</v>
      </c>
      <c r="AO234" s="279">
        <f>(AE234*P3_Reinigen_Lichtkoepel_50X50)+('Perceel 1'!AF234*P3_Reinigen_Lichtkoepel_60x200)+('Perceel 1'!AG234*P3_Reinigen_Lichtkoepel_180x180)+('Perceel 1'!AH234*P3_Reinigen_Lichtstraten_groter_dan_180x180)</f>
        <v>0</v>
      </c>
      <c r="AP234" s="279"/>
      <c r="AQ234" s="279">
        <f t="shared" si="41"/>
        <v>0</v>
      </c>
      <c r="AR234" s="312"/>
      <c r="AS234" s="332">
        <f t="shared" si="42"/>
        <v>0</v>
      </c>
      <c r="AT234" s="336">
        <f t="shared" si="38"/>
        <v>0</v>
      </c>
    </row>
    <row r="235" spans="1:46" s="7" customFormat="1" ht="51" hidden="1" x14ac:dyDescent="0.45">
      <c r="A235" s="155"/>
      <c r="B235" s="152">
        <v>3</v>
      </c>
      <c r="C235" s="156" t="s">
        <v>135</v>
      </c>
      <c r="D235" s="156" t="s">
        <v>136</v>
      </c>
      <c r="E235" s="156"/>
      <c r="F235" s="156"/>
      <c r="G235" s="156"/>
      <c r="H235" s="151" t="s">
        <v>1747</v>
      </c>
      <c r="I235" s="151" t="s">
        <v>1748</v>
      </c>
      <c r="J235" s="157"/>
      <c r="K235" s="163"/>
      <c r="L235" s="163" t="s">
        <v>154</v>
      </c>
      <c r="M235" s="166" t="s">
        <v>544</v>
      </c>
      <c r="N235" s="164">
        <v>1175</v>
      </c>
      <c r="O235" s="159" t="s">
        <v>1749</v>
      </c>
      <c r="P235" s="159" t="s">
        <v>1750</v>
      </c>
      <c r="Q235" s="159"/>
      <c r="R235" s="42" t="s">
        <v>1704</v>
      </c>
      <c r="S235" s="159" t="s">
        <v>1511</v>
      </c>
      <c r="T235" s="159" t="s">
        <v>169</v>
      </c>
      <c r="U235" s="159" t="s">
        <v>170</v>
      </c>
      <c r="V235" s="176" t="s">
        <v>171</v>
      </c>
      <c r="W235" s="152">
        <v>1994</v>
      </c>
      <c r="X235" s="152">
        <v>454</v>
      </c>
      <c r="Y235" s="152"/>
      <c r="Z235" s="177"/>
      <c r="AA235" s="177"/>
      <c r="AB235" s="177"/>
      <c r="AC235" s="177"/>
      <c r="AD235" s="177"/>
      <c r="AE235" s="177"/>
      <c r="AF235" s="177"/>
      <c r="AG235" s="177"/>
      <c r="AH235" s="177"/>
      <c r="AI235" s="177"/>
      <c r="AJ235" s="177"/>
      <c r="AK235" s="177">
        <v>1</v>
      </c>
      <c r="AL235" s="276"/>
      <c r="AM235" s="277">
        <f>X235*P3_Reinigen_daken_incl._extra_maatregelen_veilig_werken_volgens_VCA_eventuele_vergunningen_leges_voorrijkosten_adminstratieve_kosten_fotorapportage_en_kleine_reparaties</f>
        <v>0</v>
      </c>
      <c r="AN235" s="279">
        <f>Y235*P3_Reinigen_goten_incl._extra_maatregelen_veilig_werken_volgens_VCA__eventuele_vergunningen_leges___voorrijkosten__adminstratieve_kosten__fotorapportage_en_kleine_reparaties</f>
        <v>0</v>
      </c>
      <c r="AO235" s="279">
        <f>(AE235*P3_Reinigen_Lichtkoepel_50X50)+('Perceel 1'!AF235*P3_Reinigen_Lichtkoepel_60x200)+('Perceel 1'!AG235*P3_Reinigen_Lichtkoepel_180x180)+('Perceel 1'!AH235*P3_Reinigen_Lichtstraten_groter_dan_180x180)</f>
        <v>0</v>
      </c>
      <c r="AP235" s="279"/>
      <c r="AQ235" s="279">
        <f t="shared" si="41"/>
        <v>0</v>
      </c>
      <c r="AR235" s="312"/>
      <c r="AS235" s="332">
        <f t="shared" si="42"/>
        <v>0</v>
      </c>
      <c r="AT235" s="336">
        <f t="shared" si="38"/>
        <v>0</v>
      </c>
    </row>
    <row r="236" spans="1:46" s="7" customFormat="1" ht="37.5" hidden="1" customHeight="1" x14ac:dyDescent="0.45">
      <c r="A236" s="155"/>
      <c r="B236" s="152">
        <v>3</v>
      </c>
      <c r="C236" s="156" t="s">
        <v>135</v>
      </c>
      <c r="D236" s="156" t="s">
        <v>136</v>
      </c>
      <c r="E236" s="156"/>
      <c r="F236" s="156"/>
      <c r="G236" s="156"/>
      <c r="H236" s="151" t="s">
        <v>1751</v>
      </c>
      <c r="I236" s="151" t="s">
        <v>1752</v>
      </c>
      <c r="J236" s="157"/>
      <c r="K236" s="163"/>
      <c r="L236" s="163" t="s">
        <v>154</v>
      </c>
      <c r="M236" s="166" t="s">
        <v>544</v>
      </c>
      <c r="N236" s="159" t="s">
        <v>1753</v>
      </c>
      <c r="O236" s="159" t="s">
        <v>1754</v>
      </c>
      <c r="P236" s="160" t="s">
        <v>1755</v>
      </c>
      <c r="Q236" s="160" t="s">
        <v>1756</v>
      </c>
      <c r="R236" s="53" t="s">
        <v>942</v>
      </c>
      <c r="S236" s="160" t="s">
        <v>340</v>
      </c>
      <c r="T236" s="159" t="s">
        <v>1757</v>
      </c>
      <c r="U236" s="159" t="s">
        <v>1758</v>
      </c>
      <c r="V236" s="176" t="s">
        <v>1759</v>
      </c>
      <c r="W236" s="152">
        <v>2002</v>
      </c>
      <c r="X236" s="152">
        <v>875</v>
      </c>
      <c r="Y236" s="152"/>
      <c r="Z236" s="177" t="s">
        <v>135</v>
      </c>
      <c r="AA236" s="177" t="s">
        <v>150</v>
      </c>
      <c r="AB236" s="177">
        <f>11+7</f>
        <v>18</v>
      </c>
      <c r="AC236" s="177">
        <f>75+51</f>
        <v>126</v>
      </c>
      <c r="AD236" s="177" t="s">
        <v>1760</v>
      </c>
      <c r="AE236" s="177"/>
      <c r="AF236" s="177"/>
      <c r="AG236" s="177"/>
      <c r="AH236" s="177"/>
      <c r="AI236" s="177"/>
      <c r="AJ236" s="177"/>
      <c r="AK236" s="257">
        <v>1</v>
      </c>
      <c r="AL236" s="273"/>
      <c r="AM236" s="277">
        <f>X236*P3_reinigen_daken_met_vaste_dakveiligheid</f>
        <v>0</v>
      </c>
      <c r="AN236" s="279">
        <f>Y236*P3_reinigen_goten_met_vaste_dakveiligheid</f>
        <v>0</v>
      </c>
      <c r="AO236" s="279">
        <f>(AE236*P3_Reinigen_Lichtkoepel_50X50)+('Perceel 1'!AF236*P3_Reinigen_Lichtkoepel_60x200)+('Perceel 1'!AG236*P3_Reinigen_Lichtkoepel_180x180)+('Perceel 1'!AH236*P3_Reinigen_Lichtstraten_groter_dan_180x180)</f>
        <v>0</v>
      </c>
      <c r="AP236" s="279"/>
      <c r="AQ236" s="279">
        <f t="shared" si="41"/>
        <v>0</v>
      </c>
      <c r="AR236" s="305"/>
      <c r="AS236" s="332">
        <f t="shared" si="42"/>
        <v>0</v>
      </c>
      <c r="AT236" s="336">
        <f t="shared" si="38"/>
        <v>0</v>
      </c>
    </row>
    <row r="237" spans="1:46" s="7" customFormat="1" ht="50.1" hidden="1" customHeight="1" x14ac:dyDescent="0.45">
      <c r="A237" s="155"/>
      <c r="B237" s="152">
        <v>3</v>
      </c>
      <c r="C237" s="156" t="s">
        <v>135</v>
      </c>
      <c r="D237" s="156" t="s">
        <v>136</v>
      </c>
      <c r="E237" s="156"/>
      <c r="F237" s="156"/>
      <c r="G237" s="156"/>
      <c r="H237" s="203" t="s">
        <v>1761</v>
      </c>
      <c r="I237" s="151" t="s">
        <v>1762</v>
      </c>
      <c r="J237" s="157"/>
      <c r="K237" s="163"/>
      <c r="L237" s="163" t="s">
        <v>154</v>
      </c>
      <c r="M237" s="166" t="s">
        <v>544</v>
      </c>
      <c r="N237" s="164">
        <v>2364</v>
      </c>
      <c r="O237" s="159" t="s">
        <v>1763</v>
      </c>
      <c r="P237" s="159" t="s">
        <v>1764</v>
      </c>
      <c r="Q237" s="159" t="s">
        <v>1756</v>
      </c>
      <c r="R237" s="42" t="s">
        <v>942</v>
      </c>
      <c r="S237" s="159" t="s">
        <v>340</v>
      </c>
      <c r="T237" s="159" t="s">
        <v>1765</v>
      </c>
      <c r="U237" s="159" t="s">
        <v>1766</v>
      </c>
      <c r="V237" s="176" t="s">
        <v>1767</v>
      </c>
      <c r="W237" s="152">
        <v>2014</v>
      </c>
      <c r="X237" s="152">
        <v>520</v>
      </c>
      <c r="Y237" s="152"/>
      <c r="Z237" s="189"/>
      <c r="AA237" s="177" t="s">
        <v>150</v>
      </c>
      <c r="AB237" s="177">
        <v>18</v>
      </c>
      <c r="AC237" s="177">
        <v>87</v>
      </c>
      <c r="AD237" s="177" t="s">
        <v>1016</v>
      </c>
      <c r="AE237" s="177"/>
      <c r="AF237" s="177"/>
      <c r="AG237" s="177"/>
      <c r="AH237" s="177"/>
      <c r="AI237" s="177"/>
      <c r="AJ237" s="177"/>
      <c r="AK237" s="257">
        <v>1</v>
      </c>
      <c r="AL237" s="271"/>
      <c r="AM237" s="277">
        <f>X237*P3_reinigen_daken_met_vaste_dakveiligheid</f>
        <v>0</v>
      </c>
      <c r="AN237" s="279">
        <f>Y237*P3_reinigen_goten_met_vaste_dakveiligheid</f>
        <v>0</v>
      </c>
      <c r="AO237" s="279">
        <f>(AE237*P3_Reinigen_Lichtkoepel_50X50)+('Perceel 1'!AF237*P3_Reinigen_Lichtkoepel_60x200)+('Perceel 1'!AG237*P3_Reinigen_Lichtkoepel_180x180)+('Perceel 1'!AH237*P3_Reinigen_Lichtstraten_groter_dan_180x180)</f>
        <v>0</v>
      </c>
      <c r="AP237" s="279"/>
      <c r="AQ237" s="279">
        <f t="shared" si="41"/>
        <v>0</v>
      </c>
      <c r="AR237" s="305"/>
      <c r="AS237" s="332">
        <f t="shared" si="42"/>
        <v>0</v>
      </c>
      <c r="AT237" s="336">
        <f t="shared" si="38"/>
        <v>0</v>
      </c>
    </row>
    <row r="238" spans="1:46" s="7" customFormat="1" ht="38.25" hidden="1" x14ac:dyDescent="0.45">
      <c r="A238" s="155"/>
      <c r="B238" s="152">
        <v>3</v>
      </c>
      <c r="C238" s="156" t="s">
        <v>135</v>
      </c>
      <c r="D238" s="156" t="s">
        <v>136</v>
      </c>
      <c r="E238" s="156"/>
      <c r="F238" s="156"/>
      <c r="G238" s="156"/>
      <c r="H238" s="162" t="s">
        <v>1768</v>
      </c>
      <c r="I238" s="162" t="s">
        <v>1769</v>
      </c>
      <c r="J238" s="157"/>
      <c r="K238" s="163"/>
      <c r="L238" s="163" t="s">
        <v>191</v>
      </c>
      <c r="M238" s="166" t="s">
        <v>890</v>
      </c>
      <c r="N238" s="224" t="s">
        <v>1770</v>
      </c>
      <c r="O238" s="159" t="s">
        <v>1771</v>
      </c>
      <c r="P238" s="159" t="s">
        <v>1772</v>
      </c>
      <c r="Q238" s="159" t="s">
        <v>1773</v>
      </c>
      <c r="R238" s="42" t="s">
        <v>1544</v>
      </c>
      <c r="S238" s="159" t="s">
        <v>1511</v>
      </c>
      <c r="T238" s="159" t="s">
        <v>198</v>
      </c>
      <c r="U238" s="159" t="s">
        <v>896</v>
      </c>
      <c r="V238" s="209" t="s">
        <v>200</v>
      </c>
      <c r="W238" s="152">
        <v>2011</v>
      </c>
      <c r="X238" s="152">
        <v>47</v>
      </c>
      <c r="Y238" s="152"/>
      <c r="Z238" s="177"/>
      <c r="AA238" s="177"/>
      <c r="AB238" s="177"/>
      <c r="AC238" s="177"/>
      <c r="AD238" s="177"/>
      <c r="AE238" s="177"/>
      <c r="AF238" s="177"/>
      <c r="AG238" s="177"/>
      <c r="AH238" s="177"/>
      <c r="AI238" s="177"/>
      <c r="AJ238" s="177"/>
      <c r="AK238" s="177">
        <v>1</v>
      </c>
      <c r="AL238" s="272" t="s">
        <v>201</v>
      </c>
      <c r="AM238" s="277">
        <f t="shared" ref="AM238:AM244" si="43">X238*P3_Reinigen_daken_incl._extra_maatregelen_veilig_werken_volgens_VCA_eventuele_vergunningen_leges_voorrijkosten_adminstratieve_kosten_fotorapportage_en_kleine_reparaties</f>
        <v>0</v>
      </c>
      <c r="AN238" s="279">
        <f t="shared" ref="AN238:AN244" si="44">Y238*P3_Reinigen_goten_incl._extra_maatregelen_veilig_werken_volgens_VCA__eventuele_vergunningen_leges___voorrijkosten__adminstratieve_kosten__fotorapportage_en_kleine_reparaties</f>
        <v>0</v>
      </c>
      <c r="AO238" s="279">
        <f>(AE238*P3_Reinigen_Lichtkoepel_50X50)+('Perceel 1'!AF238*P3_Reinigen_Lichtkoepel_60x200)+('Perceel 1'!AG238*P3_Reinigen_Lichtkoepel_180x180)+('Perceel 1'!AH238*P3_Reinigen_Lichtstraten_groter_dan_180x180)</f>
        <v>0</v>
      </c>
      <c r="AP238" s="279"/>
      <c r="AQ238" s="279">
        <f t="shared" si="41"/>
        <v>0</v>
      </c>
      <c r="AR238" s="312"/>
      <c r="AS238" s="332">
        <f t="shared" si="42"/>
        <v>0</v>
      </c>
      <c r="AT238" s="336">
        <f t="shared" si="38"/>
        <v>0</v>
      </c>
    </row>
    <row r="239" spans="1:46" s="7" customFormat="1" ht="38.25" hidden="1" x14ac:dyDescent="0.45">
      <c r="A239" s="155"/>
      <c r="B239" s="152">
        <v>3</v>
      </c>
      <c r="C239" s="156" t="s">
        <v>135</v>
      </c>
      <c r="D239" s="156" t="s">
        <v>136</v>
      </c>
      <c r="E239" s="156"/>
      <c r="F239" s="156"/>
      <c r="G239" s="156"/>
      <c r="H239" s="162" t="s">
        <v>1774</v>
      </c>
      <c r="I239" s="162" t="s">
        <v>1775</v>
      </c>
      <c r="J239" s="157"/>
      <c r="K239" s="163"/>
      <c r="L239" s="163" t="s">
        <v>191</v>
      </c>
      <c r="M239" s="166" t="s">
        <v>890</v>
      </c>
      <c r="N239" s="224" t="s">
        <v>1776</v>
      </c>
      <c r="O239" s="159" t="s">
        <v>1777</v>
      </c>
      <c r="P239" s="159" t="s">
        <v>1778</v>
      </c>
      <c r="Q239" s="159" t="s">
        <v>1779</v>
      </c>
      <c r="R239" s="42" t="s">
        <v>1544</v>
      </c>
      <c r="S239" s="159" t="s">
        <v>1511</v>
      </c>
      <c r="T239" s="159" t="s">
        <v>198</v>
      </c>
      <c r="U239" s="159" t="s">
        <v>896</v>
      </c>
      <c r="V239" s="209" t="s">
        <v>200</v>
      </c>
      <c r="W239" s="152">
        <v>2010</v>
      </c>
      <c r="X239" s="152">
        <v>425</v>
      </c>
      <c r="Y239" s="152"/>
      <c r="Z239" s="177"/>
      <c r="AA239" s="177"/>
      <c r="AB239" s="177"/>
      <c r="AC239" s="177"/>
      <c r="AD239" s="177"/>
      <c r="AE239" s="177"/>
      <c r="AF239" s="177"/>
      <c r="AG239" s="177"/>
      <c r="AH239" s="177"/>
      <c r="AI239" s="177"/>
      <c r="AJ239" s="177"/>
      <c r="AK239" s="177">
        <v>1</v>
      </c>
      <c r="AL239" s="272" t="s">
        <v>201</v>
      </c>
      <c r="AM239" s="277">
        <f t="shared" si="43"/>
        <v>0</v>
      </c>
      <c r="AN239" s="279">
        <f t="shared" si="44"/>
        <v>0</v>
      </c>
      <c r="AO239" s="279">
        <f>(AE239*P3_Reinigen_Lichtkoepel_50X50)+('Perceel 1'!AF239*P3_Reinigen_Lichtkoepel_60x200)+('Perceel 1'!AG239*P3_Reinigen_Lichtkoepel_180x180)+('Perceel 1'!AH239*P3_Reinigen_Lichtstraten_groter_dan_180x180)</f>
        <v>0</v>
      </c>
      <c r="AP239" s="279"/>
      <c r="AQ239" s="279">
        <f t="shared" si="41"/>
        <v>0</v>
      </c>
      <c r="AR239" s="312"/>
      <c r="AS239" s="332">
        <f t="shared" si="42"/>
        <v>0</v>
      </c>
      <c r="AT239" s="336">
        <f t="shared" si="38"/>
        <v>0</v>
      </c>
    </row>
    <row r="240" spans="1:46" s="7" customFormat="1" ht="38.25" hidden="1" x14ac:dyDescent="0.45">
      <c r="A240" s="155"/>
      <c r="B240" s="152">
        <v>3</v>
      </c>
      <c r="C240" s="156" t="s">
        <v>135</v>
      </c>
      <c r="D240" s="156" t="s">
        <v>136</v>
      </c>
      <c r="E240" s="156"/>
      <c r="F240" s="156"/>
      <c r="G240" s="156"/>
      <c r="H240" s="203" t="s">
        <v>1780</v>
      </c>
      <c r="I240" s="163"/>
      <c r="J240" s="157"/>
      <c r="K240" s="163"/>
      <c r="L240" s="163" t="s">
        <v>191</v>
      </c>
      <c r="M240" s="166" t="s">
        <v>890</v>
      </c>
      <c r="N240" s="224" t="s">
        <v>1781</v>
      </c>
      <c r="O240" s="159" t="s">
        <v>1782</v>
      </c>
      <c r="P240" s="159" t="s">
        <v>1783</v>
      </c>
      <c r="Q240" s="159" t="s">
        <v>1784</v>
      </c>
      <c r="R240" s="42" t="s">
        <v>1544</v>
      </c>
      <c r="S240" s="159" t="s">
        <v>1511</v>
      </c>
      <c r="T240" s="159" t="s">
        <v>198</v>
      </c>
      <c r="U240" s="159" t="s">
        <v>896</v>
      </c>
      <c r="V240" s="209" t="s">
        <v>200</v>
      </c>
      <c r="W240" s="152">
        <v>2010</v>
      </c>
      <c r="X240" s="152">
        <v>715</v>
      </c>
      <c r="Y240" s="152"/>
      <c r="Z240" s="177"/>
      <c r="AA240" s="177"/>
      <c r="AB240" s="177"/>
      <c r="AC240" s="177"/>
      <c r="AD240" s="177"/>
      <c r="AE240" s="177"/>
      <c r="AF240" s="177"/>
      <c r="AG240" s="177"/>
      <c r="AH240" s="177"/>
      <c r="AI240" s="177"/>
      <c r="AJ240" s="177"/>
      <c r="AK240" s="177">
        <v>1</v>
      </c>
      <c r="AL240" s="272" t="s">
        <v>201</v>
      </c>
      <c r="AM240" s="277">
        <f t="shared" si="43"/>
        <v>0</v>
      </c>
      <c r="AN240" s="279">
        <f t="shared" si="44"/>
        <v>0</v>
      </c>
      <c r="AO240" s="279">
        <f>(AE240*P3_Reinigen_Lichtkoepel_50X50)+('Perceel 1'!AF240*P3_Reinigen_Lichtkoepel_60x200)+('Perceel 1'!AG240*P3_Reinigen_Lichtkoepel_180x180)+('Perceel 1'!AH240*P3_Reinigen_Lichtstraten_groter_dan_180x180)</f>
        <v>0</v>
      </c>
      <c r="AP240" s="279"/>
      <c r="AQ240" s="279">
        <f t="shared" si="41"/>
        <v>0</v>
      </c>
      <c r="AR240" s="312"/>
      <c r="AS240" s="332">
        <f t="shared" si="42"/>
        <v>0</v>
      </c>
      <c r="AT240" s="336">
        <f t="shared" si="38"/>
        <v>0</v>
      </c>
    </row>
    <row r="241" spans="1:46" s="7" customFormat="1" ht="38.25" hidden="1" x14ac:dyDescent="0.45">
      <c r="A241" s="155"/>
      <c r="B241" s="152">
        <v>3</v>
      </c>
      <c r="C241" s="156" t="s">
        <v>135</v>
      </c>
      <c r="D241" s="156" t="s">
        <v>136</v>
      </c>
      <c r="E241" s="156"/>
      <c r="F241" s="156"/>
      <c r="G241" s="156"/>
      <c r="H241" s="162" t="s">
        <v>1785</v>
      </c>
      <c r="I241" s="162" t="s">
        <v>1786</v>
      </c>
      <c r="J241" s="157"/>
      <c r="K241" s="163"/>
      <c r="L241" s="163" t="s">
        <v>191</v>
      </c>
      <c r="M241" s="166" t="s">
        <v>890</v>
      </c>
      <c r="N241" s="224" t="s">
        <v>1787</v>
      </c>
      <c r="O241" s="159" t="s">
        <v>1788</v>
      </c>
      <c r="P241" s="159" t="s">
        <v>1789</v>
      </c>
      <c r="Q241" s="159" t="s">
        <v>1790</v>
      </c>
      <c r="R241" s="42" t="s">
        <v>1544</v>
      </c>
      <c r="S241" s="159" t="s">
        <v>1511</v>
      </c>
      <c r="T241" s="159" t="s">
        <v>198</v>
      </c>
      <c r="U241" s="159" t="s">
        <v>896</v>
      </c>
      <c r="V241" s="209" t="s">
        <v>200</v>
      </c>
      <c r="W241" s="152">
        <v>2012</v>
      </c>
      <c r="X241" s="152">
        <v>53</v>
      </c>
      <c r="Y241" s="152"/>
      <c r="Z241" s="177"/>
      <c r="AA241" s="177"/>
      <c r="AB241" s="177"/>
      <c r="AC241" s="177"/>
      <c r="AD241" s="177"/>
      <c r="AE241" s="177"/>
      <c r="AF241" s="177"/>
      <c r="AG241" s="177"/>
      <c r="AH241" s="177"/>
      <c r="AI241" s="177"/>
      <c r="AJ241" s="177"/>
      <c r="AK241" s="177">
        <v>1</v>
      </c>
      <c r="AL241" s="272" t="s">
        <v>201</v>
      </c>
      <c r="AM241" s="277">
        <f t="shared" si="43"/>
        <v>0</v>
      </c>
      <c r="AN241" s="279">
        <f t="shared" si="44"/>
        <v>0</v>
      </c>
      <c r="AO241" s="279">
        <f>(AE241*P3_Reinigen_Lichtkoepel_50X50)+('Perceel 1'!AF241*P3_Reinigen_Lichtkoepel_60x200)+('Perceel 1'!AG241*P3_Reinigen_Lichtkoepel_180x180)+('Perceel 1'!AH241*P3_Reinigen_Lichtstraten_groter_dan_180x180)</f>
        <v>0</v>
      </c>
      <c r="AP241" s="279"/>
      <c r="AQ241" s="279">
        <f t="shared" si="41"/>
        <v>0</v>
      </c>
      <c r="AR241" s="312"/>
      <c r="AS241" s="332">
        <f t="shared" si="42"/>
        <v>0</v>
      </c>
      <c r="AT241" s="336">
        <f t="shared" si="38"/>
        <v>0</v>
      </c>
    </row>
    <row r="242" spans="1:46" s="7" customFormat="1" hidden="1" x14ac:dyDescent="0.45">
      <c r="A242" s="155"/>
      <c r="B242" s="165">
        <v>3</v>
      </c>
      <c r="C242" s="156" t="s">
        <v>135</v>
      </c>
      <c r="D242" s="156" t="s">
        <v>136</v>
      </c>
      <c r="E242" s="156"/>
      <c r="F242" s="156"/>
      <c r="G242" s="156"/>
      <c r="H242" s="151" t="s">
        <v>1791</v>
      </c>
      <c r="I242" s="151" t="s">
        <v>1792</v>
      </c>
      <c r="J242" s="157"/>
      <c r="K242" s="163"/>
      <c r="L242" s="163" t="s">
        <v>154</v>
      </c>
      <c r="M242" s="163" t="s">
        <v>155</v>
      </c>
      <c r="N242" s="160" t="s">
        <v>1793</v>
      </c>
      <c r="O242" s="159" t="s">
        <v>1794</v>
      </c>
      <c r="P242" s="160" t="s">
        <v>1795</v>
      </c>
      <c r="Q242" s="160" t="s">
        <v>1796</v>
      </c>
      <c r="R242" s="53" t="s">
        <v>1704</v>
      </c>
      <c r="S242" s="160" t="s">
        <v>1511</v>
      </c>
      <c r="T242" s="159" t="s">
        <v>1797</v>
      </c>
      <c r="U242" s="159" t="s">
        <v>1798</v>
      </c>
      <c r="V242" s="176" t="s">
        <v>1799</v>
      </c>
      <c r="W242" s="152">
        <v>1999</v>
      </c>
      <c r="X242" s="152">
        <v>725</v>
      </c>
      <c r="Y242" s="152"/>
      <c r="Z242" s="177"/>
      <c r="AA242" s="177"/>
      <c r="AB242" s="177"/>
      <c r="AC242" s="177"/>
      <c r="AD242" s="177"/>
      <c r="AE242" s="177"/>
      <c r="AF242" s="177"/>
      <c r="AG242" s="177"/>
      <c r="AH242" s="177"/>
      <c r="AI242" s="177"/>
      <c r="AJ242" s="177"/>
      <c r="AK242" s="257">
        <v>1</v>
      </c>
      <c r="AL242" s="273"/>
      <c r="AM242" s="277">
        <f t="shared" si="43"/>
        <v>0</v>
      </c>
      <c r="AN242" s="279">
        <f t="shared" si="44"/>
        <v>0</v>
      </c>
      <c r="AO242" s="279">
        <f>(AE242*P3_Reinigen_Lichtkoepel_50X50)+('Perceel 1'!AF242*P3_Reinigen_Lichtkoepel_60x200)+('Perceel 1'!AG242*P3_Reinigen_Lichtkoepel_180x180)+('Perceel 1'!AH242*P3_Reinigen_Lichtstraten_groter_dan_180x180)</f>
        <v>0</v>
      </c>
      <c r="AP242" s="279"/>
      <c r="AQ242" s="279">
        <f t="shared" si="41"/>
        <v>0</v>
      </c>
      <c r="AR242" s="312"/>
      <c r="AS242" s="332">
        <f t="shared" si="42"/>
        <v>0</v>
      </c>
      <c r="AT242" s="336">
        <f t="shared" si="38"/>
        <v>0</v>
      </c>
    </row>
    <row r="243" spans="1:46" s="7" customFormat="1" ht="25.5" hidden="1" customHeight="1" x14ac:dyDescent="0.45">
      <c r="A243" s="155"/>
      <c r="B243" s="152">
        <v>3</v>
      </c>
      <c r="C243" s="156" t="s">
        <v>135</v>
      </c>
      <c r="D243" s="156" t="s">
        <v>174</v>
      </c>
      <c r="E243" s="156"/>
      <c r="F243" s="156"/>
      <c r="G243" s="156"/>
      <c r="H243" s="151" t="s">
        <v>1800</v>
      </c>
      <c r="I243" s="159" t="s">
        <v>1801</v>
      </c>
      <c r="J243" s="157"/>
      <c r="K243" s="163"/>
      <c r="L243" s="151" t="s">
        <v>348</v>
      </c>
      <c r="M243" s="159" t="s">
        <v>349</v>
      </c>
      <c r="N243" s="159" t="s">
        <v>1802</v>
      </c>
      <c r="O243" s="159" t="s">
        <v>1803</v>
      </c>
      <c r="P243" s="159" t="s">
        <v>1804</v>
      </c>
      <c r="Q243" s="159" t="s">
        <v>1805</v>
      </c>
      <c r="R243" s="42" t="s">
        <v>1721</v>
      </c>
      <c r="S243" s="159" t="s">
        <v>1511</v>
      </c>
      <c r="T243" s="159" t="s">
        <v>1806</v>
      </c>
      <c r="U243" s="159" t="s">
        <v>1807</v>
      </c>
      <c r="V243" s="176" t="s">
        <v>1808</v>
      </c>
      <c r="W243" s="152">
        <v>1984</v>
      </c>
      <c r="X243" s="152">
        <v>1195</v>
      </c>
      <c r="Y243" s="152"/>
      <c r="Z243" s="177"/>
      <c r="AA243" s="177"/>
      <c r="AB243" s="177"/>
      <c r="AC243" s="177"/>
      <c r="AD243" s="177"/>
      <c r="AE243" s="177"/>
      <c r="AF243" s="177"/>
      <c r="AG243" s="177"/>
      <c r="AH243" s="177"/>
      <c r="AI243" s="177"/>
      <c r="AJ243" s="177"/>
      <c r="AK243" s="177">
        <v>1</v>
      </c>
      <c r="AL243" s="276"/>
      <c r="AM243" s="277">
        <f t="shared" si="43"/>
        <v>0</v>
      </c>
      <c r="AN243" s="279">
        <f t="shared" si="44"/>
        <v>0</v>
      </c>
      <c r="AO243" s="279">
        <f>(AE243*P3_Reinigen_Lichtkoepel_50X50)+('Perceel 1'!AF243*P3_Reinigen_Lichtkoepel_60x200)+('Perceel 1'!AG243*P3_Reinigen_Lichtkoepel_180x180)+('Perceel 1'!AH243*P3_Reinigen_Lichtstraten_groter_dan_180x180)</f>
        <v>0</v>
      </c>
      <c r="AP243" s="279"/>
      <c r="AQ243" s="279">
        <f t="shared" si="41"/>
        <v>0</v>
      </c>
      <c r="AR243" s="312"/>
      <c r="AS243" s="332">
        <f t="shared" si="42"/>
        <v>0</v>
      </c>
      <c r="AT243" s="336">
        <f t="shared" si="38"/>
        <v>0</v>
      </c>
    </row>
    <row r="244" spans="1:46" s="7" customFormat="1" ht="12.75" hidden="1" customHeight="1" x14ac:dyDescent="0.45">
      <c r="A244" s="155"/>
      <c r="B244" s="152">
        <v>3</v>
      </c>
      <c r="C244" s="156" t="s">
        <v>135</v>
      </c>
      <c r="D244" s="156" t="s">
        <v>174</v>
      </c>
      <c r="E244" s="156"/>
      <c r="F244" s="156"/>
      <c r="G244" s="156"/>
      <c r="H244" s="151" t="s">
        <v>1809</v>
      </c>
      <c r="I244" s="151" t="s">
        <v>1810</v>
      </c>
      <c r="J244" s="157"/>
      <c r="K244" s="163"/>
      <c r="L244" s="151" t="s">
        <v>348</v>
      </c>
      <c r="M244" s="159" t="s">
        <v>349</v>
      </c>
      <c r="N244" s="160" t="s">
        <v>1811</v>
      </c>
      <c r="O244" s="159" t="s">
        <v>1812</v>
      </c>
      <c r="P244" s="160" t="s">
        <v>1813</v>
      </c>
      <c r="Q244" s="160" t="s">
        <v>1814</v>
      </c>
      <c r="R244" s="53" t="s">
        <v>1510</v>
      </c>
      <c r="S244" s="160" t="s">
        <v>1511</v>
      </c>
      <c r="T244" s="159" t="s">
        <v>1815</v>
      </c>
      <c r="U244" s="159" t="s">
        <v>1816</v>
      </c>
      <c r="V244" s="176" t="s">
        <v>1817</v>
      </c>
      <c r="W244" s="152" t="s">
        <v>1818</v>
      </c>
      <c r="X244" s="152">
        <v>1130</v>
      </c>
      <c r="Y244" s="152"/>
      <c r="Z244" s="177"/>
      <c r="AA244" s="177"/>
      <c r="AB244" s="177"/>
      <c r="AC244" s="177"/>
      <c r="AD244" s="177"/>
      <c r="AE244" s="177"/>
      <c r="AF244" s="177"/>
      <c r="AG244" s="177"/>
      <c r="AH244" s="177"/>
      <c r="AI244" s="177"/>
      <c r="AJ244" s="177"/>
      <c r="AK244" s="257">
        <v>2</v>
      </c>
      <c r="AL244" s="271"/>
      <c r="AM244" s="277">
        <f t="shared" si="43"/>
        <v>0</v>
      </c>
      <c r="AN244" s="279">
        <f t="shared" si="44"/>
        <v>0</v>
      </c>
      <c r="AO244" s="279">
        <f>(AE244*P3_Reinigen_Lichtkoepel_50X50)+('Perceel 1'!AF244*P3_Reinigen_Lichtkoepel_60x200)+('Perceel 1'!AG244*P3_Reinigen_Lichtkoepel_180x180)+('Perceel 1'!AH244*P3_Reinigen_Lichtstraten_groter_dan_180x180)</f>
        <v>0</v>
      </c>
      <c r="AP244" s="279"/>
      <c r="AQ244" s="279">
        <f t="shared" si="41"/>
        <v>0</v>
      </c>
      <c r="AR244" s="312"/>
      <c r="AS244" s="332">
        <f t="shared" si="42"/>
        <v>0</v>
      </c>
      <c r="AT244" s="336">
        <f t="shared" si="38"/>
        <v>0</v>
      </c>
    </row>
    <row r="245" spans="1:46" s="7" customFormat="1" ht="38.450000000000003" hidden="1" customHeight="1" x14ac:dyDescent="0.45">
      <c r="A245" s="155"/>
      <c r="B245" s="152">
        <v>3</v>
      </c>
      <c r="C245" s="156" t="s">
        <v>135</v>
      </c>
      <c r="D245" s="156" t="s">
        <v>174</v>
      </c>
      <c r="E245" s="156"/>
      <c r="F245" s="156"/>
      <c r="G245" s="156"/>
      <c r="H245" s="151" t="s">
        <v>1819</v>
      </c>
      <c r="I245" s="151" t="s">
        <v>1820</v>
      </c>
      <c r="J245" s="157"/>
      <c r="K245" s="163"/>
      <c r="L245" s="151" t="s">
        <v>348</v>
      </c>
      <c r="M245" s="159" t="s">
        <v>349</v>
      </c>
      <c r="N245" s="195">
        <v>1287</v>
      </c>
      <c r="O245" s="159" t="s">
        <v>1821</v>
      </c>
      <c r="P245" s="159" t="s">
        <v>1822</v>
      </c>
      <c r="Q245" s="160" t="s">
        <v>1823</v>
      </c>
      <c r="R245" s="53" t="s">
        <v>1679</v>
      </c>
      <c r="S245" s="160" t="s">
        <v>1511</v>
      </c>
      <c r="T245" s="159" t="s">
        <v>1824</v>
      </c>
      <c r="U245" s="159" t="s">
        <v>1825</v>
      </c>
      <c r="V245" s="176" t="s">
        <v>1826</v>
      </c>
      <c r="W245" s="152">
        <v>2005</v>
      </c>
      <c r="X245" s="152">
        <v>1394</v>
      </c>
      <c r="Y245" s="152"/>
      <c r="Z245" s="177"/>
      <c r="AA245" s="177" t="s">
        <v>150</v>
      </c>
      <c r="AB245" s="177">
        <v>29</v>
      </c>
      <c r="AC245" s="177"/>
      <c r="AD245" s="177"/>
      <c r="AE245" s="177"/>
      <c r="AF245" s="177"/>
      <c r="AG245" s="177"/>
      <c r="AH245" s="177"/>
      <c r="AI245" s="177"/>
      <c r="AJ245" s="177"/>
      <c r="AK245" s="257">
        <v>1</v>
      </c>
      <c r="AL245" s="271"/>
      <c r="AM245" s="277">
        <f>X245*P3_reinigen_daken_met_vaste_dakveiligheid</f>
        <v>0</v>
      </c>
      <c r="AN245" s="279">
        <f>Y245*P3_reinigen_goten_met_vaste_dakveiligheid</f>
        <v>0</v>
      </c>
      <c r="AO245" s="279">
        <f>(AE245*P3_Reinigen_Lichtkoepel_50X50)+('Perceel 1'!AF245*P3_Reinigen_Lichtkoepel_60x200)+('Perceel 1'!AG245*P3_Reinigen_Lichtkoepel_180x180)+('Perceel 1'!AH245*P3_Reinigen_Lichtstraten_groter_dan_180x180)</f>
        <v>0</v>
      </c>
      <c r="AP245" s="279"/>
      <c r="AQ245" s="279">
        <f t="shared" si="41"/>
        <v>0</v>
      </c>
      <c r="AR245" s="305"/>
      <c r="AS245" s="332">
        <f t="shared" si="42"/>
        <v>0</v>
      </c>
      <c r="AT245" s="336">
        <f t="shared" si="38"/>
        <v>0</v>
      </c>
    </row>
    <row r="246" spans="1:46" s="7" customFormat="1" ht="25.5" hidden="1" x14ac:dyDescent="0.45">
      <c r="A246" s="155"/>
      <c r="B246" s="152">
        <v>3</v>
      </c>
      <c r="C246" s="156" t="s">
        <v>135</v>
      </c>
      <c r="D246" s="156" t="s">
        <v>136</v>
      </c>
      <c r="E246" s="156"/>
      <c r="F246" s="156"/>
      <c r="G246" s="156"/>
      <c r="H246" s="151" t="s">
        <v>1827</v>
      </c>
      <c r="I246" s="151" t="s">
        <v>1828</v>
      </c>
      <c r="J246" s="157"/>
      <c r="K246" s="163"/>
      <c r="L246" s="151" t="s">
        <v>139</v>
      </c>
      <c r="M246" s="159" t="s">
        <v>140</v>
      </c>
      <c r="N246" s="159" t="s">
        <v>1829</v>
      </c>
      <c r="O246" s="159" t="s">
        <v>1830</v>
      </c>
      <c r="P246" s="159" t="s">
        <v>1831</v>
      </c>
      <c r="Q246" s="160" t="s">
        <v>1832</v>
      </c>
      <c r="R246" s="53" t="s">
        <v>942</v>
      </c>
      <c r="S246" s="160" t="s">
        <v>340</v>
      </c>
      <c r="T246" s="159" t="s">
        <v>1833</v>
      </c>
      <c r="U246" s="159" t="s">
        <v>1834</v>
      </c>
      <c r="V246" s="176" t="s">
        <v>400</v>
      </c>
      <c r="W246" s="152">
        <v>2001</v>
      </c>
      <c r="X246" s="152">
        <v>1076</v>
      </c>
      <c r="Y246" s="152"/>
      <c r="Z246" s="177" t="s">
        <v>311</v>
      </c>
      <c r="AA246" s="177"/>
      <c r="AB246" s="177"/>
      <c r="AC246" s="177"/>
      <c r="AD246" s="177"/>
      <c r="AE246" s="177"/>
      <c r="AF246" s="177"/>
      <c r="AG246" s="177"/>
      <c r="AH246" s="177"/>
      <c r="AI246" s="177"/>
      <c r="AJ246" s="177"/>
      <c r="AK246" s="257">
        <v>1</v>
      </c>
      <c r="AL246" s="271"/>
      <c r="AM246" s="277">
        <f>X246*P3_Reinigen_daken_incl._extra_maatregelen_veilig_werken_volgens_VCA_eventuele_vergunningen_leges_voorrijkosten_adminstratieve_kosten_fotorapportage_en_kleine_reparaties</f>
        <v>0</v>
      </c>
      <c r="AN246" s="279">
        <f>Y246*P3_Reinigen_goten_incl._extra_maatregelen_veilig_werken_volgens_VCA__eventuele_vergunningen_leges___voorrijkosten__adminstratieve_kosten__fotorapportage_en_kleine_reparaties</f>
        <v>0</v>
      </c>
      <c r="AO246" s="279">
        <f>(AE246*P3_Reinigen_Lichtkoepel_50X50)+('Perceel 1'!AF246*P3_Reinigen_Lichtkoepel_60x200)+('Perceel 1'!AG246*P3_Reinigen_Lichtkoepel_180x180)+('Perceel 1'!AH246*P3_Reinigen_Lichtstraten_groter_dan_180x180)</f>
        <v>0</v>
      </c>
      <c r="AP246" s="279"/>
      <c r="AQ246" s="279">
        <f t="shared" si="41"/>
        <v>0</v>
      </c>
      <c r="AR246" s="312"/>
      <c r="AS246" s="332">
        <f t="shared" si="42"/>
        <v>0</v>
      </c>
      <c r="AT246" s="336">
        <f t="shared" si="38"/>
        <v>0</v>
      </c>
    </row>
    <row r="247" spans="1:46" s="7" customFormat="1" ht="38.25" hidden="1" x14ac:dyDescent="0.45">
      <c r="A247" s="211"/>
      <c r="B247" s="212">
        <v>3</v>
      </c>
      <c r="C247" s="171" t="s">
        <v>135</v>
      </c>
      <c r="D247" s="171" t="s">
        <v>136</v>
      </c>
      <c r="E247" s="171" t="s">
        <v>174</v>
      </c>
      <c r="F247" s="171"/>
      <c r="G247" s="171"/>
      <c r="H247" s="15"/>
      <c r="I247" s="15"/>
      <c r="J247" s="16"/>
      <c r="K247" s="16"/>
      <c r="L247" s="196" t="s">
        <v>348</v>
      </c>
      <c r="M247" s="171" t="s">
        <v>1621</v>
      </c>
      <c r="N247" s="211" t="s">
        <v>1835</v>
      </c>
      <c r="O247" s="171" t="s">
        <v>1836</v>
      </c>
      <c r="P247" s="171" t="s">
        <v>1837</v>
      </c>
      <c r="Q247" s="211"/>
      <c r="R247" s="58"/>
      <c r="S247" s="211"/>
      <c r="T247" s="171"/>
      <c r="U247" s="171"/>
      <c r="V247" s="171"/>
      <c r="W247" s="211"/>
      <c r="X247" s="261">
        <v>2169</v>
      </c>
      <c r="Y247" s="211"/>
      <c r="Z247" s="171"/>
      <c r="AA247" s="171" t="s">
        <v>150</v>
      </c>
      <c r="AB247" s="171">
        <v>33</v>
      </c>
      <c r="AC247" s="171">
        <v>259</v>
      </c>
      <c r="AD247" s="171"/>
      <c r="AE247" s="171"/>
      <c r="AF247" s="171"/>
      <c r="AG247" s="171"/>
      <c r="AH247" s="171"/>
      <c r="AI247" s="171"/>
      <c r="AJ247" s="171"/>
      <c r="AK247" s="261">
        <v>1</v>
      </c>
      <c r="AL247" s="274"/>
      <c r="AM247" s="277">
        <f>X247*P3_reinigen_daken_met_vaste_dakveiligheid</f>
        <v>0</v>
      </c>
      <c r="AN247" s="279">
        <f>Y247*P3_reinigen_goten_met_vaste_dakveiligheid</f>
        <v>0</v>
      </c>
      <c r="AO247" s="279">
        <f>(AE247*P3_Reinigen_Lichtkoepel_50X50)+('Perceel 1'!AF247*P3_Reinigen_Lichtkoepel_60x200)+('Perceel 1'!AG247*P3_Reinigen_Lichtkoepel_180x180)+('Perceel 1'!AH247*P3_Reinigen_Lichtstraten_groter_dan_180x180)</f>
        <v>0</v>
      </c>
      <c r="AP247" s="279"/>
      <c r="AQ247" s="279">
        <f t="shared" si="41"/>
        <v>0</v>
      </c>
      <c r="AR247" s="305"/>
      <c r="AS247" s="332">
        <f t="shared" si="42"/>
        <v>0</v>
      </c>
      <c r="AT247" s="336">
        <f t="shared" si="38"/>
        <v>0</v>
      </c>
    </row>
    <row r="248" spans="1:46" s="7" customFormat="1" ht="76.5" hidden="1" customHeight="1" x14ac:dyDescent="0.45">
      <c r="A248" s="182"/>
      <c r="B248" s="185">
        <v>3</v>
      </c>
      <c r="C248" s="175" t="s">
        <v>135</v>
      </c>
      <c r="D248" s="175" t="s">
        <v>136</v>
      </c>
      <c r="E248" s="175"/>
      <c r="F248" s="175"/>
      <c r="G248" s="175"/>
      <c r="H248" s="174" t="s">
        <v>1838</v>
      </c>
      <c r="I248" s="174" t="s">
        <v>1839</v>
      </c>
      <c r="J248" s="197"/>
      <c r="K248" s="197"/>
      <c r="L248" s="174"/>
      <c r="M248" s="191" t="s">
        <v>544</v>
      </c>
      <c r="N248" s="182">
        <v>1199</v>
      </c>
      <c r="O248" s="175" t="s">
        <v>1840</v>
      </c>
      <c r="P248" s="182" t="s">
        <v>1841</v>
      </c>
      <c r="Q248" s="182" t="s">
        <v>1842</v>
      </c>
      <c r="R248" s="50" t="s">
        <v>1843</v>
      </c>
      <c r="S248" s="182" t="s">
        <v>869</v>
      </c>
      <c r="T248" s="175" t="s">
        <v>169</v>
      </c>
      <c r="U248" s="175" t="s">
        <v>170</v>
      </c>
      <c r="V248" s="175" t="s">
        <v>171</v>
      </c>
      <c r="W248" s="182">
        <v>2016</v>
      </c>
      <c r="X248" s="255">
        <f>X247*32%</f>
        <v>694.08</v>
      </c>
      <c r="Y248" s="182"/>
      <c r="Z248" s="175" t="s">
        <v>311</v>
      </c>
      <c r="AA248" s="175" t="s">
        <v>150</v>
      </c>
      <c r="AB248" s="175"/>
      <c r="AC248" s="175"/>
      <c r="AD248" s="175"/>
      <c r="AE248" s="175"/>
      <c r="AF248" s="175"/>
      <c r="AG248" s="175"/>
      <c r="AH248" s="175"/>
      <c r="AI248" s="175" t="s">
        <v>345</v>
      </c>
      <c r="AJ248" s="175"/>
      <c r="AK248" s="255">
        <v>1</v>
      </c>
      <c r="AL248" s="274"/>
      <c r="AM248" s="277">
        <f>X248*P3_reinigen_daken_met_vaste_dakveiligheid</f>
        <v>0</v>
      </c>
      <c r="AN248" s="279">
        <f>Y248*P3_reinigen_goten_met_vaste_dakveiligheid</f>
        <v>0</v>
      </c>
      <c r="AO248" s="279">
        <f>(AE248*P3_Reinigen_Lichtkoepel_50X50)+('Perceel 1'!AF248*P3_Reinigen_Lichtkoepel_60x200)+('Perceel 1'!AG248*P3_Reinigen_Lichtkoepel_180x180)+('Perceel 1'!AH248*P3_Reinigen_Lichtstraten_groter_dan_180x180)</f>
        <v>0</v>
      </c>
      <c r="AP248" s="279"/>
      <c r="AQ248" s="279">
        <f t="shared" si="41"/>
        <v>0</v>
      </c>
      <c r="AR248" s="307">
        <f>AR247*32%</f>
        <v>0</v>
      </c>
      <c r="AS248" s="332">
        <f t="shared" si="42"/>
        <v>0</v>
      </c>
      <c r="AT248" s="336">
        <f t="shared" si="38"/>
        <v>0</v>
      </c>
    </row>
    <row r="249" spans="1:46" s="7" customFormat="1" ht="38.450000000000003" hidden="1" customHeight="1" x14ac:dyDescent="0.45">
      <c r="A249" s="182"/>
      <c r="B249" s="185">
        <v>3</v>
      </c>
      <c r="C249" s="175" t="s">
        <v>135</v>
      </c>
      <c r="D249" s="175" t="s">
        <v>174</v>
      </c>
      <c r="E249" s="175"/>
      <c r="F249" s="175"/>
      <c r="G249" s="175"/>
      <c r="H249" s="174" t="s">
        <v>1844</v>
      </c>
      <c r="I249" s="174" t="s">
        <v>1845</v>
      </c>
      <c r="J249" s="197"/>
      <c r="K249" s="197"/>
      <c r="L249" s="174"/>
      <c r="M249" s="175" t="s">
        <v>349</v>
      </c>
      <c r="N249" s="182">
        <v>1292</v>
      </c>
      <c r="O249" s="175" t="s">
        <v>1846</v>
      </c>
      <c r="P249" s="182" t="s">
        <v>1847</v>
      </c>
      <c r="Q249" s="182" t="s">
        <v>1842</v>
      </c>
      <c r="R249" s="50" t="s">
        <v>1843</v>
      </c>
      <c r="S249" s="182" t="s">
        <v>869</v>
      </c>
      <c r="T249" s="175" t="s">
        <v>1848</v>
      </c>
      <c r="U249" s="175" t="s">
        <v>1849</v>
      </c>
      <c r="V249" s="175" t="s">
        <v>1850</v>
      </c>
      <c r="W249" s="182">
        <v>2016</v>
      </c>
      <c r="X249" s="255">
        <f>X247*68%</f>
        <v>1474.92</v>
      </c>
      <c r="Y249" s="182"/>
      <c r="Z249" s="175"/>
      <c r="AA249" s="175" t="s">
        <v>150</v>
      </c>
      <c r="AB249" s="175"/>
      <c r="AC249" s="175"/>
      <c r="AD249" s="175"/>
      <c r="AE249" s="175"/>
      <c r="AF249" s="175"/>
      <c r="AG249" s="175"/>
      <c r="AH249" s="175"/>
      <c r="AI249" s="175" t="s">
        <v>345</v>
      </c>
      <c r="AJ249" s="175"/>
      <c r="AK249" s="255">
        <v>1</v>
      </c>
      <c r="AL249" s="274"/>
      <c r="AM249" s="277">
        <f>X249*P3_reinigen_daken_met_vaste_dakveiligheid</f>
        <v>0</v>
      </c>
      <c r="AN249" s="279">
        <f>Y249*P3_reinigen_goten_met_vaste_dakveiligheid</f>
        <v>0</v>
      </c>
      <c r="AO249" s="279">
        <f>(AE249*P3_Reinigen_Lichtkoepel_50X50)+('Perceel 1'!AF249*P3_Reinigen_Lichtkoepel_60x200)+('Perceel 1'!AG249*P3_Reinigen_Lichtkoepel_180x180)+('Perceel 1'!AH249*P3_Reinigen_Lichtstraten_groter_dan_180x180)</f>
        <v>0</v>
      </c>
      <c r="AP249" s="279"/>
      <c r="AQ249" s="279">
        <f t="shared" si="41"/>
        <v>0</v>
      </c>
      <c r="AR249" s="307">
        <f>AR247*68%</f>
        <v>0</v>
      </c>
      <c r="AS249" s="332">
        <f t="shared" si="42"/>
        <v>0</v>
      </c>
      <c r="AT249" s="336">
        <f t="shared" si="38"/>
        <v>0</v>
      </c>
    </row>
    <row r="250" spans="1:46" s="7" customFormat="1" ht="38.450000000000003" hidden="1" customHeight="1" x14ac:dyDescent="0.45">
      <c r="A250" s="159"/>
      <c r="B250" s="152">
        <v>3</v>
      </c>
      <c r="C250" s="156" t="s">
        <v>135</v>
      </c>
      <c r="D250" s="156" t="s">
        <v>136</v>
      </c>
      <c r="E250" s="156"/>
      <c r="F250" s="156"/>
      <c r="G250" s="156"/>
      <c r="H250" s="151" t="s">
        <v>1851</v>
      </c>
      <c r="I250" s="163" t="s">
        <v>1852</v>
      </c>
      <c r="J250" s="157"/>
      <c r="K250" s="163"/>
      <c r="L250" s="151" t="s">
        <v>280</v>
      </c>
      <c r="M250" s="159" t="s">
        <v>669</v>
      </c>
      <c r="N250" s="164">
        <v>9008</v>
      </c>
      <c r="O250" s="159" t="s">
        <v>1853</v>
      </c>
      <c r="P250" s="159" t="s">
        <v>1854</v>
      </c>
      <c r="Q250" s="159" t="s">
        <v>1855</v>
      </c>
      <c r="R250" s="41" t="s">
        <v>1856</v>
      </c>
      <c r="S250" s="159" t="s">
        <v>869</v>
      </c>
      <c r="T250" s="159"/>
      <c r="U250" s="159"/>
      <c r="V250" s="159"/>
      <c r="W250" s="159">
        <v>2023</v>
      </c>
      <c r="X250" s="177">
        <v>180</v>
      </c>
      <c r="Y250" s="159"/>
      <c r="Z250" s="159"/>
      <c r="AA250" s="159"/>
      <c r="AB250" s="159"/>
      <c r="AC250" s="159"/>
      <c r="AD250" s="159"/>
      <c r="AE250" s="159"/>
      <c r="AF250" s="159"/>
      <c r="AG250" s="159"/>
      <c r="AH250" s="159"/>
      <c r="AI250" s="159"/>
      <c r="AJ250" s="159"/>
      <c r="AK250" s="177">
        <v>1</v>
      </c>
      <c r="AL250" s="272"/>
      <c r="AM250" s="277">
        <f>X250*P3_Reinigen_daken_incl._extra_maatregelen_veilig_werken_volgens_VCA_eventuele_vergunningen_leges_voorrijkosten_adminstratieve_kosten_fotorapportage_en_kleine_reparaties</f>
        <v>0</v>
      </c>
      <c r="AN250" s="279">
        <f>Y250*P3_Reinigen_goten_incl._extra_maatregelen_veilig_werken_volgens_VCA__eventuele_vergunningen_leges___voorrijkosten__adminstratieve_kosten__fotorapportage_en_kleine_reparaties</f>
        <v>0</v>
      </c>
      <c r="AO250" s="279">
        <f>(AE250*P3_Reinigen_Lichtkoepel_50X50)+('Perceel 1'!AF250*P3_Reinigen_Lichtkoepel_60x200)+('Perceel 1'!AG250*P3_Reinigen_Lichtkoepel_180x180)+('Perceel 1'!AH250*P3_Reinigen_Lichtstraten_groter_dan_180x180)</f>
        <v>0</v>
      </c>
      <c r="AP250" s="279"/>
      <c r="AQ250" s="279">
        <f t="shared" si="41"/>
        <v>0</v>
      </c>
      <c r="AR250" s="312"/>
      <c r="AS250" s="332">
        <f t="shared" si="42"/>
        <v>0</v>
      </c>
      <c r="AT250" s="336">
        <f t="shared" si="38"/>
        <v>0</v>
      </c>
    </row>
    <row r="251" spans="1:46" s="7" customFormat="1" ht="204" hidden="1" x14ac:dyDescent="0.45">
      <c r="A251" s="166"/>
      <c r="B251" s="152">
        <v>3</v>
      </c>
      <c r="C251" s="156" t="s">
        <v>135</v>
      </c>
      <c r="D251" s="156" t="s">
        <v>136</v>
      </c>
      <c r="E251" s="156"/>
      <c r="F251" s="156"/>
      <c r="G251" s="156"/>
      <c r="H251" s="163" t="s">
        <v>1857</v>
      </c>
      <c r="I251" s="163"/>
      <c r="J251" s="163"/>
      <c r="K251" s="163"/>
      <c r="L251" s="163" t="s">
        <v>191</v>
      </c>
      <c r="M251" s="166" t="s">
        <v>890</v>
      </c>
      <c r="N251" s="233">
        <v>2212</v>
      </c>
      <c r="O251" s="166" t="s">
        <v>1858</v>
      </c>
      <c r="P251" s="166" t="s">
        <v>1859</v>
      </c>
      <c r="Q251" s="166" t="s">
        <v>1860</v>
      </c>
      <c r="R251" s="52" t="s">
        <v>1843</v>
      </c>
      <c r="S251" s="166" t="s">
        <v>869</v>
      </c>
      <c r="T251" s="166" t="s">
        <v>722</v>
      </c>
      <c r="U251" s="236" t="s">
        <v>723</v>
      </c>
      <c r="V251" s="237" t="s">
        <v>724</v>
      </c>
      <c r="W251" s="166">
        <v>2024</v>
      </c>
      <c r="X251" s="189">
        <v>2654</v>
      </c>
      <c r="Y251" s="166"/>
      <c r="Z251" s="166"/>
      <c r="AA251" s="166" t="s">
        <v>150</v>
      </c>
      <c r="AB251" s="166">
        <v>45</v>
      </c>
      <c r="AC251" s="166">
        <f>57+194+144</f>
        <v>395</v>
      </c>
      <c r="AD251" s="166" t="s">
        <v>1861</v>
      </c>
      <c r="AE251" s="166"/>
      <c r="AF251" s="166"/>
      <c r="AG251" s="166"/>
      <c r="AH251" s="166"/>
      <c r="AI251" s="166" t="s">
        <v>1862</v>
      </c>
      <c r="AJ251" s="166" t="s">
        <v>1863</v>
      </c>
      <c r="AK251" s="189">
        <v>1</v>
      </c>
      <c r="AL251" s="273"/>
      <c r="AM251" s="277">
        <f>X251*P3_reinigen_daken_met_vaste_dakveiligheid</f>
        <v>0</v>
      </c>
      <c r="AN251" s="279">
        <f>Y251*P3_reinigen_goten_met_vaste_dakveiligheid</f>
        <v>0</v>
      </c>
      <c r="AO251" s="279">
        <f>(AE251*P3_Reinigen_Lichtkoepel_50X50)+('Perceel 1'!AF251*P3_Reinigen_Lichtkoepel_60x200)+('Perceel 1'!AG251*P3_Reinigen_Lichtkoepel_180x180)+('Perceel 1'!AH251*P3_Reinigen_Lichtstraten_groter_dan_180x180)</f>
        <v>0</v>
      </c>
      <c r="AP251" s="279"/>
      <c r="AQ251" s="279">
        <f t="shared" si="41"/>
        <v>0</v>
      </c>
      <c r="AR251" s="305"/>
      <c r="AS251" s="332">
        <f t="shared" si="42"/>
        <v>0</v>
      </c>
      <c r="AT251" s="336">
        <f t="shared" si="38"/>
        <v>0</v>
      </c>
    </row>
    <row r="252" spans="1:46" s="7" customFormat="1" ht="38.25" hidden="1" x14ac:dyDescent="0.45">
      <c r="A252" s="155"/>
      <c r="B252" s="152">
        <v>3</v>
      </c>
      <c r="C252" s="156" t="s">
        <v>135</v>
      </c>
      <c r="D252" s="156" t="s">
        <v>136</v>
      </c>
      <c r="E252" s="156"/>
      <c r="F252" s="156"/>
      <c r="G252" s="156"/>
      <c r="H252" s="151" t="s">
        <v>1864</v>
      </c>
      <c r="I252" s="151" t="s">
        <v>1865</v>
      </c>
      <c r="J252" s="157"/>
      <c r="K252" s="163"/>
      <c r="L252" s="163" t="s">
        <v>154</v>
      </c>
      <c r="M252" s="166" t="s">
        <v>544</v>
      </c>
      <c r="N252" s="160" t="s">
        <v>1866</v>
      </c>
      <c r="O252" s="159" t="s">
        <v>1867</v>
      </c>
      <c r="P252" s="160" t="s">
        <v>1868</v>
      </c>
      <c r="Q252" s="160" t="s">
        <v>1869</v>
      </c>
      <c r="R252" s="56" t="s">
        <v>1510</v>
      </c>
      <c r="S252" s="160" t="s">
        <v>1511</v>
      </c>
      <c r="T252" s="159" t="s">
        <v>722</v>
      </c>
      <c r="U252" s="168" t="s">
        <v>723</v>
      </c>
      <c r="V252" s="209" t="s">
        <v>724</v>
      </c>
      <c r="W252" s="152">
        <v>1985</v>
      </c>
      <c r="X252" s="152">
        <v>2046</v>
      </c>
      <c r="Y252" s="152"/>
      <c r="Z252" s="177" t="s">
        <v>311</v>
      </c>
      <c r="AA252" s="177" t="s">
        <v>150</v>
      </c>
      <c r="AB252" s="177">
        <v>18</v>
      </c>
      <c r="AC252" s="177">
        <v>157</v>
      </c>
      <c r="AD252" s="177"/>
      <c r="AE252" s="177"/>
      <c r="AF252" s="177"/>
      <c r="AG252" s="177"/>
      <c r="AH252" s="177"/>
      <c r="AI252" s="177"/>
      <c r="AJ252" s="177" t="s">
        <v>1870</v>
      </c>
      <c r="AK252" s="257">
        <v>1</v>
      </c>
      <c r="AL252" s="271"/>
      <c r="AM252" s="277">
        <f>X252*P3_reinigen_daken_met_vaste_dakveiligheid</f>
        <v>0</v>
      </c>
      <c r="AN252" s="279">
        <f>Y252*P3_reinigen_goten_met_vaste_dakveiligheid</f>
        <v>0</v>
      </c>
      <c r="AO252" s="279">
        <f>(AE252*P3_Reinigen_Lichtkoepel_50X50)+('Perceel 1'!AF252*P3_Reinigen_Lichtkoepel_60x200)+('Perceel 1'!AG252*P3_Reinigen_Lichtkoepel_180x180)+('Perceel 1'!AH252*P3_Reinigen_Lichtstraten_groter_dan_180x180)</f>
        <v>0</v>
      </c>
      <c r="AP252" s="279"/>
      <c r="AQ252" s="279">
        <f t="shared" si="41"/>
        <v>0</v>
      </c>
      <c r="AR252" s="305"/>
      <c r="AS252" s="332">
        <f t="shared" si="42"/>
        <v>0</v>
      </c>
      <c r="AT252" s="336">
        <f t="shared" si="38"/>
        <v>0</v>
      </c>
    </row>
    <row r="253" spans="1:46" s="7" customFormat="1" ht="51" hidden="1" x14ac:dyDescent="0.45">
      <c r="A253" s="238"/>
      <c r="B253" s="212">
        <v>3</v>
      </c>
      <c r="C253" s="171" t="s">
        <v>135</v>
      </c>
      <c r="D253" s="171" t="s">
        <v>136</v>
      </c>
      <c r="E253" s="171" t="s">
        <v>174</v>
      </c>
      <c r="F253" s="171"/>
      <c r="G253" s="171"/>
      <c r="H253" s="15"/>
      <c r="I253" s="15"/>
      <c r="J253" s="16"/>
      <c r="K253" s="16"/>
      <c r="L253" s="196" t="s">
        <v>348</v>
      </c>
      <c r="M253" s="239" t="s">
        <v>1871</v>
      </c>
      <c r="N253" s="211" t="s">
        <v>1872</v>
      </c>
      <c r="O253" s="171" t="s">
        <v>1873</v>
      </c>
      <c r="P253" s="211" t="s">
        <v>1874</v>
      </c>
      <c r="Q253" s="211" t="s">
        <v>1875</v>
      </c>
      <c r="R253" s="58" t="s">
        <v>1876</v>
      </c>
      <c r="S253" s="211" t="s">
        <v>1511</v>
      </c>
      <c r="T253" s="171"/>
      <c r="U253" s="171"/>
      <c r="V253" s="171"/>
      <c r="W253" s="211">
        <v>1999</v>
      </c>
      <c r="X253" s="261">
        <v>2157</v>
      </c>
      <c r="Y253" s="211"/>
      <c r="Z253" s="171"/>
      <c r="AA253" s="171"/>
      <c r="AB253" s="171"/>
      <c r="AC253" s="171"/>
      <c r="AD253" s="171"/>
      <c r="AE253" s="171"/>
      <c r="AF253" s="171"/>
      <c r="AG253" s="171"/>
      <c r="AH253" s="171"/>
      <c r="AI253" s="171"/>
      <c r="AJ253" s="171"/>
      <c r="AK253" s="261">
        <v>1</v>
      </c>
      <c r="AL253" s="271"/>
      <c r="AM253" s="325"/>
      <c r="AN253" s="312"/>
      <c r="AO253" s="312"/>
      <c r="AP253" s="312"/>
      <c r="AQ253" s="312"/>
      <c r="AR253" s="312"/>
      <c r="AS253" s="341"/>
      <c r="AT253" s="344"/>
    </row>
    <row r="254" spans="1:46" s="7" customFormat="1" ht="25.5" hidden="1" customHeight="1" x14ac:dyDescent="0.45">
      <c r="A254" s="182"/>
      <c r="B254" s="185">
        <v>3</v>
      </c>
      <c r="C254" s="175" t="s">
        <v>135</v>
      </c>
      <c r="D254" s="175" t="s">
        <v>174</v>
      </c>
      <c r="E254" s="175"/>
      <c r="F254" s="175"/>
      <c r="G254" s="175"/>
      <c r="H254" s="174" t="s">
        <v>1877</v>
      </c>
      <c r="I254" s="174" t="s">
        <v>1878</v>
      </c>
      <c r="J254" s="197"/>
      <c r="K254" s="197"/>
      <c r="L254" s="174"/>
      <c r="M254" s="175" t="s">
        <v>349</v>
      </c>
      <c r="N254" s="182" t="s">
        <v>1879</v>
      </c>
      <c r="O254" s="175" t="s">
        <v>1880</v>
      </c>
      <c r="P254" s="182" t="s">
        <v>1881</v>
      </c>
      <c r="Q254" s="182" t="s">
        <v>1875</v>
      </c>
      <c r="R254" s="50" t="s">
        <v>1876</v>
      </c>
      <c r="S254" s="182" t="s">
        <v>1511</v>
      </c>
      <c r="T254" s="175" t="s">
        <v>1882</v>
      </c>
      <c r="U254" s="175" t="s">
        <v>1883</v>
      </c>
      <c r="V254" s="175" t="s">
        <v>1884</v>
      </c>
      <c r="W254" s="182">
        <v>1999</v>
      </c>
      <c r="X254" s="255">
        <f>X253*76%</f>
        <v>1639.32</v>
      </c>
      <c r="Y254" s="182"/>
      <c r="Z254" s="175"/>
      <c r="AA254" s="175"/>
      <c r="AB254" s="175"/>
      <c r="AC254" s="175"/>
      <c r="AD254" s="175"/>
      <c r="AE254" s="175"/>
      <c r="AF254" s="175"/>
      <c r="AG254" s="175"/>
      <c r="AH254" s="175"/>
      <c r="AI254" s="191" t="s">
        <v>1885</v>
      </c>
      <c r="AJ254" s="191" t="s">
        <v>1886</v>
      </c>
      <c r="AK254" s="255">
        <v>1</v>
      </c>
      <c r="AL254" s="271"/>
      <c r="AM254" s="277">
        <f t="shared" ref="AM254:AM259" si="45">X254*P3_Reinigen_daken_incl._extra_maatregelen_veilig_werken_volgens_VCA_eventuele_vergunningen_leges_voorrijkosten_adminstratieve_kosten_fotorapportage_en_kleine_reparaties</f>
        <v>0</v>
      </c>
      <c r="AN254" s="279">
        <f t="shared" ref="AN254:AN259" si="46">Y254*P3_Reinigen_goten_incl._extra_maatregelen_veilig_werken_volgens_VCA__eventuele_vergunningen_leges___voorrijkosten__adminstratieve_kosten__fotorapportage_en_kleine_reparaties</f>
        <v>0</v>
      </c>
      <c r="AO254" s="279">
        <f>(AE254*P3_Reinigen_Lichtkoepel_50X50)+('Perceel 1'!AF254*P3_Reinigen_Lichtkoepel_60x200)+('Perceel 1'!AG254*P3_Reinigen_Lichtkoepel_180x180)+('Perceel 1'!AH254*P3_Reinigen_Lichtstraten_groter_dan_180x180)</f>
        <v>0</v>
      </c>
      <c r="AP254" s="279"/>
      <c r="AQ254" s="279">
        <f t="shared" ref="AQ254:AQ264" si="47">(X254+Y254)*P3_Inspecteren_daken_en_goten_1x_per_jaar_gelijktijdig_met_reiniging_inclusief_inspectierapport_en_een_managementrapport</f>
        <v>0</v>
      </c>
      <c r="AR254" s="312"/>
      <c r="AS254" s="332">
        <f t="shared" ref="AS254:AS264" si="48">AR254*P3_keuren_dakveiligheid_per_man_uur</f>
        <v>0</v>
      </c>
      <c r="AT254" s="336">
        <f t="shared" ref="AT254:AT264" si="49">(AM254*AK254)+(Y254*AK254)+AO254+AQ254+AS254</f>
        <v>0</v>
      </c>
    </row>
    <row r="255" spans="1:46" s="7" customFormat="1" ht="57" hidden="1" customHeight="1" x14ac:dyDescent="0.45">
      <c r="A255" s="182"/>
      <c r="B255" s="185">
        <v>3</v>
      </c>
      <c r="C255" s="175" t="s">
        <v>135</v>
      </c>
      <c r="D255" s="175" t="s">
        <v>136</v>
      </c>
      <c r="E255" s="175"/>
      <c r="F255" s="175"/>
      <c r="G255" s="175"/>
      <c r="H255" s="174" t="s">
        <v>1887</v>
      </c>
      <c r="I255" s="174" t="s">
        <v>1888</v>
      </c>
      <c r="J255" s="197"/>
      <c r="K255" s="197"/>
      <c r="L255" s="174"/>
      <c r="M255" s="197" t="s">
        <v>281</v>
      </c>
      <c r="N255" s="182" t="s">
        <v>1889</v>
      </c>
      <c r="O255" s="175" t="s">
        <v>1890</v>
      </c>
      <c r="P255" s="182" t="s">
        <v>1891</v>
      </c>
      <c r="Q255" s="182" t="s">
        <v>1875</v>
      </c>
      <c r="R255" s="50" t="s">
        <v>1876</v>
      </c>
      <c r="S255" s="182" t="s">
        <v>1511</v>
      </c>
      <c r="T255" s="175" t="s">
        <v>1892</v>
      </c>
      <c r="U255" s="175" t="s">
        <v>1893</v>
      </c>
      <c r="V255" s="187" t="s">
        <v>1894</v>
      </c>
      <c r="W255" s="182">
        <v>1999</v>
      </c>
      <c r="X255" s="255">
        <f>X253*4%</f>
        <v>86.28</v>
      </c>
      <c r="Y255" s="182"/>
      <c r="Z255" s="175"/>
      <c r="AA255" s="175"/>
      <c r="AB255" s="175"/>
      <c r="AC255" s="175"/>
      <c r="AD255" s="175"/>
      <c r="AE255" s="175"/>
      <c r="AF255" s="175"/>
      <c r="AG255" s="175"/>
      <c r="AH255" s="175"/>
      <c r="AI255" s="191" t="s">
        <v>1885</v>
      </c>
      <c r="AJ255" s="191" t="s">
        <v>1886</v>
      </c>
      <c r="AK255" s="255">
        <v>1</v>
      </c>
      <c r="AL255" s="271"/>
      <c r="AM255" s="277">
        <f t="shared" si="45"/>
        <v>0</v>
      </c>
      <c r="AN255" s="279">
        <f t="shared" si="46"/>
        <v>0</v>
      </c>
      <c r="AO255" s="279">
        <f>(AE255*P3_Reinigen_Lichtkoepel_50X50)+('Perceel 1'!AF255*P3_Reinigen_Lichtkoepel_60x200)+('Perceel 1'!AG255*P3_Reinigen_Lichtkoepel_180x180)+('Perceel 1'!AH255*P3_Reinigen_Lichtstraten_groter_dan_180x180)</f>
        <v>0</v>
      </c>
      <c r="AP255" s="279"/>
      <c r="AQ255" s="279">
        <f t="shared" si="47"/>
        <v>0</v>
      </c>
      <c r="AR255" s="312"/>
      <c r="AS255" s="332">
        <f t="shared" si="48"/>
        <v>0</v>
      </c>
      <c r="AT255" s="336">
        <f t="shared" si="49"/>
        <v>0</v>
      </c>
    </row>
    <row r="256" spans="1:46" s="7" customFormat="1" ht="51" hidden="1" x14ac:dyDescent="0.45">
      <c r="A256" s="182"/>
      <c r="B256" s="185">
        <v>3</v>
      </c>
      <c r="C256" s="175" t="s">
        <v>135</v>
      </c>
      <c r="D256" s="175" t="s">
        <v>136</v>
      </c>
      <c r="E256" s="175"/>
      <c r="F256" s="175"/>
      <c r="G256" s="175"/>
      <c r="H256" s="174" t="s">
        <v>1895</v>
      </c>
      <c r="I256" s="174" t="s">
        <v>1896</v>
      </c>
      <c r="J256" s="197"/>
      <c r="K256" s="197"/>
      <c r="L256" s="174"/>
      <c r="M256" s="191" t="s">
        <v>544</v>
      </c>
      <c r="N256" s="182" t="s">
        <v>1897</v>
      </c>
      <c r="O256" s="175" t="s">
        <v>1898</v>
      </c>
      <c r="P256" s="182" t="s">
        <v>1899</v>
      </c>
      <c r="Q256" s="182" t="s">
        <v>1875</v>
      </c>
      <c r="R256" s="50" t="s">
        <v>1876</v>
      </c>
      <c r="S256" s="182" t="s">
        <v>1511</v>
      </c>
      <c r="T256" s="175" t="s">
        <v>169</v>
      </c>
      <c r="U256" s="175" t="s">
        <v>170</v>
      </c>
      <c r="V256" s="175" t="s">
        <v>171</v>
      </c>
      <c r="W256" s="182">
        <v>1999</v>
      </c>
      <c r="X256" s="255">
        <f>X253*20%</f>
        <v>431.40000000000003</v>
      </c>
      <c r="Y256" s="182"/>
      <c r="Z256" s="175"/>
      <c r="AA256" s="175"/>
      <c r="AB256" s="175"/>
      <c r="AC256" s="175"/>
      <c r="AD256" s="175"/>
      <c r="AE256" s="175"/>
      <c r="AF256" s="175"/>
      <c r="AG256" s="175"/>
      <c r="AH256" s="175"/>
      <c r="AI256" s="175"/>
      <c r="AJ256" s="175"/>
      <c r="AK256" s="255">
        <v>1</v>
      </c>
      <c r="AL256" s="271"/>
      <c r="AM256" s="277">
        <f t="shared" si="45"/>
        <v>0</v>
      </c>
      <c r="AN256" s="279">
        <f t="shared" si="46"/>
        <v>0</v>
      </c>
      <c r="AO256" s="279">
        <f>(AE256*P3_Reinigen_Lichtkoepel_50X50)+('Perceel 1'!AF256*P3_Reinigen_Lichtkoepel_60x200)+('Perceel 1'!AG256*P3_Reinigen_Lichtkoepel_180x180)+('Perceel 1'!AH256*P3_Reinigen_Lichtstraten_groter_dan_180x180)</f>
        <v>0</v>
      </c>
      <c r="AP256" s="279"/>
      <c r="AQ256" s="279">
        <f t="shared" si="47"/>
        <v>0</v>
      </c>
      <c r="AR256" s="312"/>
      <c r="AS256" s="332">
        <f t="shared" si="48"/>
        <v>0</v>
      </c>
      <c r="AT256" s="336">
        <f t="shared" si="49"/>
        <v>0</v>
      </c>
    </row>
    <row r="257" spans="1:46" s="7" customFormat="1" ht="51" hidden="1" x14ac:dyDescent="0.45">
      <c r="A257" s="155"/>
      <c r="B257" s="152">
        <v>3</v>
      </c>
      <c r="C257" s="156" t="s">
        <v>135</v>
      </c>
      <c r="D257" s="156" t="s">
        <v>136</v>
      </c>
      <c r="E257" s="156"/>
      <c r="F257" s="156"/>
      <c r="G257" s="156"/>
      <c r="H257" s="151" t="s">
        <v>1900</v>
      </c>
      <c r="I257" s="151" t="s">
        <v>1901</v>
      </c>
      <c r="J257" s="157"/>
      <c r="K257" s="163"/>
      <c r="L257" s="163" t="s">
        <v>154</v>
      </c>
      <c r="M257" s="166" t="s">
        <v>544</v>
      </c>
      <c r="N257" s="160" t="s">
        <v>1902</v>
      </c>
      <c r="O257" s="159" t="s">
        <v>1903</v>
      </c>
      <c r="P257" s="160" t="s">
        <v>1904</v>
      </c>
      <c r="Q257" s="160" t="s">
        <v>1905</v>
      </c>
      <c r="R257" s="53" t="s">
        <v>1721</v>
      </c>
      <c r="S257" s="160" t="s">
        <v>1511</v>
      </c>
      <c r="T257" s="159" t="s">
        <v>169</v>
      </c>
      <c r="U257" s="159" t="s">
        <v>1906</v>
      </c>
      <c r="V257" s="176" t="s">
        <v>171</v>
      </c>
      <c r="W257" s="152">
        <v>1984</v>
      </c>
      <c r="X257" s="152">
        <v>936</v>
      </c>
      <c r="Y257" s="152"/>
      <c r="Z257" s="177" t="s">
        <v>311</v>
      </c>
      <c r="AA257" s="177"/>
      <c r="AB257" s="177"/>
      <c r="AC257" s="177"/>
      <c r="AD257" s="177"/>
      <c r="AE257" s="177"/>
      <c r="AF257" s="177"/>
      <c r="AG257" s="177"/>
      <c r="AH257" s="177"/>
      <c r="AI257" s="177"/>
      <c r="AJ257" s="177"/>
      <c r="AK257" s="257">
        <v>1</v>
      </c>
      <c r="AL257" s="271"/>
      <c r="AM257" s="277">
        <f t="shared" si="45"/>
        <v>0</v>
      </c>
      <c r="AN257" s="279">
        <f t="shared" si="46"/>
        <v>0</v>
      </c>
      <c r="AO257" s="279">
        <f>(AE257*P3_Reinigen_Lichtkoepel_50X50)+('Perceel 1'!AF257*P3_Reinigen_Lichtkoepel_60x200)+('Perceel 1'!AG257*P3_Reinigen_Lichtkoepel_180x180)+('Perceel 1'!AH257*P3_Reinigen_Lichtstraten_groter_dan_180x180)</f>
        <v>0</v>
      </c>
      <c r="AP257" s="279"/>
      <c r="AQ257" s="279">
        <f t="shared" si="47"/>
        <v>0</v>
      </c>
      <c r="AR257" s="312"/>
      <c r="AS257" s="332">
        <f t="shared" si="48"/>
        <v>0</v>
      </c>
      <c r="AT257" s="336">
        <f t="shared" si="49"/>
        <v>0</v>
      </c>
    </row>
    <row r="258" spans="1:46" s="7" customFormat="1" ht="76.5" hidden="1" customHeight="1" x14ac:dyDescent="0.45">
      <c r="A258" s="161"/>
      <c r="B258" s="152">
        <v>3</v>
      </c>
      <c r="C258" s="156" t="s">
        <v>135</v>
      </c>
      <c r="D258" s="156" t="s">
        <v>136</v>
      </c>
      <c r="E258" s="156"/>
      <c r="F258" s="156"/>
      <c r="G258" s="156"/>
      <c r="H258" s="151" t="s">
        <v>1907</v>
      </c>
      <c r="I258" s="151" t="s">
        <v>1908</v>
      </c>
      <c r="J258" s="157"/>
      <c r="K258" s="163"/>
      <c r="L258" s="151" t="s">
        <v>348</v>
      </c>
      <c r="M258" s="159" t="s">
        <v>349</v>
      </c>
      <c r="N258" s="159" t="s">
        <v>1909</v>
      </c>
      <c r="O258" s="159" t="s">
        <v>1910</v>
      </c>
      <c r="P258" s="159" t="s">
        <v>1911</v>
      </c>
      <c r="Q258" s="159" t="s">
        <v>1905</v>
      </c>
      <c r="R258" s="42" t="s">
        <v>1721</v>
      </c>
      <c r="S258" s="159" t="s">
        <v>1511</v>
      </c>
      <c r="T258" s="159" t="s">
        <v>1912</v>
      </c>
      <c r="U258" s="159" t="s">
        <v>1562</v>
      </c>
      <c r="V258" s="176" t="s">
        <v>1563</v>
      </c>
      <c r="W258" s="152">
        <v>1986</v>
      </c>
      <c r="X258" s="152">
        <v>1273</v>
      </c>
      <c r="Y258" s="152"/>
      <c r="Z258" s="152"/>
      <c r="AA258" s="152"/>
      <c r="AB258" s="152"/>
      <c r="AC258" s="152"/>
      <c r="AD258" s="152"/>
      <c r="AE258" s="152"/>
      <c r="AF258" s="152"/>
      <c r="AG258" s="152"/>
      <c r="AH258" s="152"/>
      <c r="AI258" s="152"/>
      <c r="AJ258" s="152"/>
      <c r="AK258" s="177">
        <v>1</v>
      </c>
      <c r="AL258" s="272"/>
      <c r="AM258" s="277">
        <f t="shared" si="45"/>
        <v>0</v>
      </c>
      <c r="AN258" s="279">
        <f t="shared" si="46"/>
        <v>0</v>
      </c>
      <c r="AO258" s="279">
        <f>(AE258*P3_Reinigen_Lichtkoepel_50X50)+('Perceel 1'!AF258*P3_Reinigen_Lichtkoepel_60x200)+('Perceel 1'!AG258*P3_Reinigen_Lichtkoepel_180x180)+('Perceel 1'!AH258*P3_Reinigen_Lichtstraten_groter_dan_180x180)</f>
        <v>0</v>
      </c>
      <c r="AP258" s="279"/>
      <c r="AQ258" s="279">
        <f t="shared" si="47"/>
        <v>0</v>
      </c>
      <c r="AR258" s="312"/>
      <c r="AS258" s="332">
        <f t="shared" si="48"/>
        <v>0</v>
      </c>
      <c r="AT258" s="336">
        <f t="shared" si="49"/>
        <v>0</v>
      </c>
    </row>
    <row r="259" spans="1:46" s="7" customFormat="1" ht="32.25" hidden="1" customHeight="1" x14ac:dyDescent="0.45">
      <c r="A259" s="155"/>
      <c r="B259" s="152">
        <v>3</v>
      </c>
      <c r="C259" s="156" t="s">
        <v>135</v>
      </c>
      <c r="D259" s="156" t="s">
        <v>136</v>
      </c>
      <c r="E259" s="156"/>
      <c r="F259" s="156"/>
      <c r="G259" s="156"/>
      <c r="H259" s="151" t="s">
        <v>1913</v>
      </c>
      <c r="I259" s="151" t="s">
        <v>1914</v>
      </c>
      <c r="J259" s="157"/>
      <c r="K259" s="163"/>
      <c r="L259" s="163" t="s">
        <v>154</v>
      </c>
      <c r="M259" s="163" t="s">
        <v>155</v>
      </c>
      <c r="N259" s="160" t="s">
        <v>1915</v>
      </c>
      <c r="O259" s="159" t="s">
        <v>1916</v>
      </c>
      <c r="P259" s="159" t="s">
        <v>1917</v>
      </c>
      <c r="Q259" s="160" t="s">
        <v>1918</v>
      </c>
      <c r="R259" s="53" t="s">
        <v>942</v>
      </c>
      <c r="S259" s="160" t="s">
        <v>340</v>
      </c>
      <c r="T259" s="159" t="s">
        <v>1919</v>
      </c>
      <c r="U259" s="159" t="s">
        <v>1920</v>
      </c>
      <c r="V259" s="176" t="s">
        <v>1921</v>
      </c>
      <c r="W259" s="152">
        <v>2004</v>
      </c>
      <c r="X259" s="152">
        <v>508</v>
      </c>
      <c r="Y259" s="152"/>
      <c r="Z259" s="177"/>
      <c r="AA259" s="177"/>
      <c r="AB259" s="177"/>
      <c r="AC259" s="177"/>
      <c r="AD259" s="177"/>
      <c r="AE259" s="177"/>
      <c r="AF259" s="177"/>
      <c r="AG259" s="177"/>
      <c r="AH259" s="177"/>
      <c r="AI259" s="177"/>
      <c r="AJ259" s="177"/>
      <c r="AK259" s="257">
        <v>1</v>
      </c>
      <c r="AL259" s="271"/>
      <c r="AM259" s="277">
        <f t="shared" si="45"/>
        <v>0</v>
      </c>
      <c r="AN259" s="279">
        <f t="shared" si="46"/>
        <v>0</v>
      </c>
      <c r="AO259" s="279">
        <f>(AE259*P3_Reinigen_Lichtkoepel_50X50)+('Perceel 1'!AF259*P3_Reinigen_Lichtkoepel_60x200)+('Perceel 1'!AG259*P3_Reinigen_Lichtkoepel_180x180)+('Perceel 1'!AH259*P3_Reinigen_Lichtstraten_groter_dan_180x180)</f>
        <v>0</v>
      </c>
      <c r="AP259" s="279"/>
      <c r="AQ259" s="279">
        <f t="shared" si="47"/>
        <v>0</v>
      </c>
      <c r="AR259" s="312"/>
      <c r="AS259" s="332">
        <f t="shared" si="48"/>
        <v>0</v>
      </c>
      <c r="AT259" s="336">
        <f t="shared" si="49"/>
        <v>0</v>
      </c>
    </row>
    <row r="260" spans="1:46" s="7" customFormat="1" ht="25.5" hidden="1" x14ac:dyDescent="0.45">
      <c r="A260" s="161"/>
      <c r="B260" s="152">
        <v>3</v>
      </c>
      <c r="C260" s="156" t="s">
        <v>135</v>
      </c>
      <c r="D260" s="156" t="s">
        <v>1391</v>
      </c>
      <c r="E260" s="156"/>
      <c r="F260" s="156"/>
      <c r="G260" s="156"/>
      <c r="H260" s="151" t="s">
        <v>1922</v>
      </c>
      <c r="I260" s="163" t="s">
        <v>1923</v>
      </c>
      <c r="J260" s="157"/>
      <c r="K260" s="163"/>
      <c r="L260" s="163" t="s">
        <v>154</v>
      </c>
      <c r="M260" s="163" t="s">
        <v>155</v>
      </c>
      <c r="N260" s="164">
        <v>2030</v>
      </c>
      <c r="O260" s="159" t="s">
        <v>1924</v>
      </c>
      <c r="P260" s="159" t="s">
        <v>1925</v>
      </c>
      <c r="Q260" s="159" t="s">
        <v>1926</v>
      </c>
      <c r="R260" s="42" t="s">
        <v>942</v>
      </c>
      <c r="S260" s="159" t="s">
        <v>340</v>
      </c>
      <c r="T260" s="159" t="s">
        <v>1927</v>
      </c>
      <c r="U260" s="159" t="s">
        <v>1928</v>
      </c>
      <c r="V260" s="176" t="s">
        <v>1929</v>
      </c>
      <c r="W260" s="152">
        <v>2006</v>
      </c>
      <c r="X260" s="152">
        <f>1008+110+157+25+105</f>
        <v>1405</v>
      </c>
      <c r="Y260" s="152"/>
      <c r="Z260" s="177"/>
      <c r="AA260" s="177" t="s">
        <v>311</v>
      </c>
      <c r="AB260" s="177">
        <f>12+1+3+4+1</f>
        <v>21</v>
      </c>
      <c r="AC260" s="177"/>
      <c r="AD260" s="177" t="s">
        <v>1930</v>
      </c>
      <c r="AE260" s="177"/>
      <c r="AF260" s="177"/>
      <c r="AG260" s="177"/>
      <c r="AH260" s="177"/>
      <c r="AI260" s="177"/>
      <c r="AJ260" s="177"/>
      <c r="AK260" s="177">
        <v>1</v>
      </c>
      <c r="AL260" s="318"/>
      <c r="AM260" s="277">
        <f>X260*P3_reinigen_daken_met_vaste_dakveiligheid</f>
        <v>0</v>
      </c>
      <c r="AN260" s="279">
        <f>Y260*P3_reinigen_goten_met_vaste_dakveiligheid</f>
        <v>0</v>
      </c>
      <c r="AO260" s="279">
        <f>(AE260*P3_Reinigen_Lichtkoepel_50X50)+('Perceel 1'!AF260*P3_Reinigen_Lichtkoepel_60x200)+('Perceel 1'!AG260*P3_Reinigen_Lichtkoepel_180x180)+('Perceel 1'!AH260*P3_Reinigen_Lichtstraten_groter_dan_180x180)</f>
        <v>0</v>
      </c>
      <c r="AP260" s="279"/>
      <c r="AQ260" s="279">
        <f t="shared" si="47"/>
        <v>0</v>
      </c>
      <c r="AR260" s="305"/>
      <c r="AS260" s="332">
        <f t="shared" si="48"/>
        <v>0</v>
      </c>
      <c r="AT260" s="336">
        <f t="shared" si="49"/>
        <v>0</v>
      </c>
    </row>
    <row r="261" spans="1:46" s="7" customFormat="1" ht="30.95" hidden="1" customHeight="1" x14ac:dyDescent="0.45">
      <c r="A261" s="155"/>
      <c r="B261" s="152">
        <v>3</v>
      </c>
      <c r="C261" s="156" t="s">
        <v>135</v>
      </c>
      <c r="D261" s="156" t="s">
        <v>174</v>
      </c>
      <c r="E261" s="156"/>
      <c r="F261" s="156"/>
      <c r="G261" s="156"/>
      <c r="H261" s="151" t="s">
        <v>1931</v>
      </c>
      <c r="I261" s="151" t="s">
        <v>1932</v>
      </c>
      <c r="J261" s="157"/>
      <c r="K261" s="163"/>
      <c r="L261" s="151" t="s">
        <v>348</v>
      </c>
      <c r="M261" s="159" t="s">
        <v>349</v>
      </c>
      <c r="N261" s="160" t="s">
        <v>1933</v>
      </c>
      <c r="O261" s="159" t="s">
        <v>1934</v>
      </c>
      <c r="P261" s="160" t="s">
        <v>1935</v>
      </c>
      <c r="Q261" s="160" t="s">
        <v>1918</v>
      </c>
      <c r="R261" s="53" t="s">
        <v>942</v>
      </c>
      <c r="S261" s="160" t="s">
        <v>340</v>
      </c>
      <c r="T261" s="159" t="s">
        <v>1936</v>
      </c>
      <c r="U261" s="159" t="s">
        <v>1937</v>
      </c>
      <c r="V261" s="176" t="s">
        <v>1938</v>
      </c>
      <c r="W261" s="152">
        <v>1999</v>
      </c>
      <c r="X261" s="152">
        <v>1232</v>
      </c>
      <c r="Y261" s="152"/>
      <c r="Z261" s="177"/>
      <c r="AA261" s="177"/>
      <c r="AB261" s="177"/>
      <c r="AC261" s="177"/>
      <c r="AD261" s="177"/>
      <c r="AE261" s="177"/>
      <c r="AF261" s="177"/>
      <c r="AG261" s="177"/>
      <c r="AH261" s="177"/>
      <c r="AI261" s="177"/>
      <c r="AJ261" s="177"/>
      <c r="AK261" s="257">
        <v>1</v>
      </c>
      <c r="AL261" s="271"/>
      <c r="AM261" s="277">
        <f>X261*P3_Reinigen_daken_incl._extra_maatregelen_veilig_werken_volgens_VCA_eventuele_vergunningen_leges_voorrijkosten_adminstratieve_kosten_fotorapportage_en_kleine_reparaties</f>
        <v>0</v>
      </c>
      <c r="AN261" s="279">
        <f>Y261*P3_Reinigen_goten_incl._extra_maatregelen_veilig_werken_volgens_VCA__eventuele_vergunningen_leges___voorrijkosten__adminstratieve_kosten__fotorapportage_en_kleine_reparaties</f>
        <v>0</v>
      </c>
      <c r="AO261" s="279">
        <f>(AE261*P3_Reinigen_Lichtkoepel_50X50)+('Perceel 1'!AF261*P3_Reinigen_Lichtkoepel_60x200)+('Perceel 1'!AG261*P3_Reinigen_Lichtkoepel_180x180)+('Perceel 1'!AH261*P3_Reinigen_Lichtstraten_groter_dan_180x180)</f>
        <v>0</v>
      </c>
      <c r="AP261" s="279"/>
      <c r="AQ261" s="279">
        <f t="shared" si="47"/>
        <v>0</v>
      </c>
      <c r="AR261" s="312"/>
      <c r="AS261" s="332">
        <f t="shared" si="48"/>
        <v>0</v>
      </c>
      <c r="AT261" s="336">
        <f t="shared" si="49"/>
        <v>0</v>
      </c>
    </row>
    <row r="262" spans="1:46" s="7" customFormat="1" ht="51" hidden="1" x14ac:dyDescent="0.45">
      <c r="A262" s="155"/>
      <c r="B262" s="152">
        <v>3</v>
      </c>
      <c r="C262" s="156" t="s">
        <v>135</v>
      </c>
      <c r="D262" s="156" t="s">
        <v>136</v>
      </c>
      <c r="E262" s="156"/>
      <c r="F262" s="156"/>
      <c r="G262" s="156"/>
      <c r="H262" s="151" t="s">
        <v>1939</v>
      </c>
      <c r="I262" s="151" t="s">
        <v>1940</v>
      </c>
      <c r="J262" s="157"/>
      <c r="K262" s="163"/>
      <c r="L262" s="163" t="s">
        <v>154</v>
      </c>
      <c r="M262" s="166" t="s">
        <v>544</v>
      </c>
      <c r="N262" s="160" t="s">
        <v>1941</v>
      </c>
      <c r="O262" s="159" t="s">
        <v>1942</v>
      </c>
      <c r="P262" s="160" t="s">
        <v>1943</v>
      </c>
      <c r="Q262" s="160" t="s">
        <v>1918</v>
      </c>
      <c r="R262" s="53" t="s">
        <v>942</v>
      </c>
      <c r="S262" s="160" t="s">
        <v>340</v>
      </c>
      <c r="T262" s="159" t="s">
        <v>169</v>
      </c>
      <c r="U262" s="159" t="s">
        <v>170</v>
      </c>
      <c r="V262" s="176" t="s">
        <v>171</v>
      </c>
      <c r="W262" s="152">
        <v>1999</v>
      </c>
      <c r="X262" s="152">
        <v>438</v>
      </c>
      <c r="Y262" s="152"/>
      <c r="Z262" s="177" t="s">
        <v>311</v>
      </c>
      <c r="AA262" s="177"/>
      <c r="AB262" s="177"/>
      <c r="AC262" s="177"/>
      <c r="AD262" s="177"/>
      <c r="AE262" s="177"/>
      <c r="AF262" s="177"/>
      <c r="AG262" s="177"/>
      <c r="AH262" s="177"/>
      <c r="AI262" s="177"/>
      <c r="AJ262" s="177"/>
      <c r="AK262" s="257">
        <v>1</v>
      </c>
      <c r="AL262" s="271"/>
      <c r="AM262" s="277">
        <f>X262*P3_Reinigen_daken_incl._extra_maatregelen_veilig_werken_volgens_VCA_eventuele_vergunningen_leges_voorrijkosten_adminstratieve_kosten_fotorapportage_en_kleine_reparaties</f>
        <v>0</v>
      </c>
      <c r="AN262" s="279">
        <f>Y262*P3_Reinigen_goten_incl._extra_maatregelen_veilig_werken_volgens_VCA__eventuele_vergunningen_leges___voorrijkosten__adminstratieve_kosten__fotorapportage_en_kleine_reparaties</f>
        <v>0</v>
      </c>
      <c r="AO262" s="279">
        <f>(AE262*P3_Reinigen_Lichtkoepel_50X50)+('Perceel 1'!AF262*P3_Reinigen_Lichtkoepel_60x200)+('Perceel 1'!AG262*P3_Reinigen_Lichtkoepel_180x180)+('Perceel 1'!AH262*P3_Reinigen_Lichtstraten_groter_dan_180x180)</f>
        <v>0</v>
      </c>
      <c r="AP262" s="279"/>
      <c r="AQ262" s="279">
        <f t="shared" si="47"/>
        <v>0</v>
      </c>
      <c r="AR262" s="312"/>
      <c r="AS262" s="332">
        <f t="shared" si="48"/>
        <v>0</v>
      </c>
      <c r="AT262" s="336">
        <f t="shared" si="49"/>
        <v>0</v>
      </c>
    </row>
    <row r="263" spans="1:46" s="7" customFormat="1" ht="25.5" hidden="1" x14ac:dyDescent="0.45">
      <c r="A263" s="155"/>
      <c r="B263" s="152">
        <v>3</v>
      </c>
      <c r="C263" s="156" t="s">
        <v>135</v>
      </c>
      <c r="D263" s="156" t="s">
        <v>347</v>
      </c>
      <c r="E263" s="156"/>
      <c r="F263" s="156"/>
      <c r="G263" s="156"/>
      <c r="H263" s="151" t="s">
        <v>1944</v>
      </c>
      <c r="I263" s="151" t="s">
        <v>1945</v>
      </c>
      <c r="J263" s="157"/>
      <c r="K263" s="163"/>
      <c r="L263" s="151" t="s">
        <v>348</v>
      </c>
      <c r="M263" s="159" t="s">
        <v>349</v>
      </c>
      <c r="N263" s="160" t="s">
        <v>1946</v>
      </c>
      <c r="O263" s="159" t="s">
        <v>1947</v>
      </c>
      <c r="P263" s="159" t="s">
        <v>1948</v>
      </c>
      <c r="Q263" s="160" t="s">
        <v>1949</v>
      </c>
      <c r="R263" s="53" t="s">
        <v>1950</v>
      </c>
      <c r="S263" s="160" t="s">
        <v>340</v>
      </c>
      <c r="T263" s="159" t="s">
        <v>1951</v>
      </c>
      <c r="U263" s="159" t="s">
        <v>1952</v>
      </c>
      <c r="V263" s="176" t="s">
        <v>1953</v>
      </c>
      <c r="W263" s="152">
        <v>2011</v>
      </c>
      <c r="X263" s="152">
        <v>2177</v>
      </c>
      <c r="Y263" s="152"/>
      <c r="Z263" s="177"/>
      <c r="AA263" s="177" t="s">
        <v>150</v>
      </c>
      <c r="AB263" s="177">
        <v>17</v>
      </c>
      <c r="AC263" s="177">
        <v>173</v>
      </c>
      <c r="AD263" s="177"/>
      <c r="AE263" s="177"/>
      <c r="AF263" s="177"/>
      <c r="AG263" s="177"/>
      <c r="AH263" s="177"/>
      <c r="AI263" s="177"/>
      <c r="AJ263" s="177"/>
      <c r="AK263" s="257">
        <v>1</v>
      </c>
      <c r="AL263" s="271"/>
      <c r="AM263" s="277">
        <f>X263*P3_reinigen_daken_met_vaste_dakveiligheid</f>
        <v>0</v>
      </c>
      <c r="AN263" s="279">
        <f>Y263*P3_reinigen_goten_met_vaste_dakveiligheid</f>
        <v>0</v>
      </c>
      <c r="AO263" s="279">
        <f>(AE263*P3_Reinigen_Lichtkoepel_50X50)+('Perceel 1'!AF263*P3_Reinigen_Lichtkoepel_60x200)+('Perceel 1'!AG263*P3_Reinigen_Lichtkoepel_180x180)+('Perceel 1'!AH263*P3_Reinigen_Lichtstraten_groter_dan_180x180)</f>
        <v>0</v>
      </c>
      <c r="AP263" s="279"/>
      <c r="AQ263" s="279">
        <f t="shared" si="47"/>
        <v>0</v>
      </c>
      <c r="AR263" s="305"/>
      <c r="AS263" s="332">
        <f t="shared" si="48"/>
        <v>0</v>
      </c>
      <c r="AT263" s="336">
        <f t="shared" si="49"/>
        <v>0</v>
      </c>
    </row>
    <row r="264" spans="1:46" s="7" customFormat="1" ht="66.95" hidden="1" customHeight="1" thickBot="1" x14ac:dyDescent="0.5">
      <c r="A264" s="160"/>
      <c r="B264" s="165">
        <v>3</v>
      </c>
      <c r="C264" s="156" t="s">
        <v>135</v>
      </c>
      <c r="D264" s="156" t="s">
        <v>136</v>
      </c>
      <c r="E264" s="156"/>
      <c r="F264" s="156"/>
      <c r="G264" s="156"/>
      <c r="H264" s="151" t="s">
        <v>1954</v>
      </c>
      <c r="I264" s="151" t="s">
        <v>1955</v>
      </c>
      <c r="J264" s="157"/>
      <c r="K264" s="163"/>
      <c r="L264" s="151"/>
      <c r="M264" s="166" t="s">
        <v>544</v>
      </c>
      <c r="N264" s="160" t="s">
        <v>1956</v>
      </c>
      <c r="O264" s="159" t="s">
        <v>1957</v>
      </c>
      <c r="P264" s="160" t="s">
        <v>1958</v>
      </c>
      <c r="Q264" s="160" t="s">
        <v>1959</v>
      </c>
      <c r="R264" s="53" t="s">
        <v>942</v>
      </c>
      <c r="S264" s="160" t="s">
        <v>340</v>
      </c>
      <c r="T264" s="159" t="s">
        <v>169</v>
      </c>
      <c r="U264" s="159" t="s">
        <v>170</v>
      </c>
      <c r="V264" s="159" t="s">
        <v>171</v>
      </c>
      <c r="W264" s="160">
        <v>2005</v>
      </c>
      <c r="X264" s="257">
        <v>425</v>
      </c>
      <c r="Y264" s="160"/>
      <c r="Z264" s="159" t="s">
        <v>311</v>
      </c>
      <c r="AA264" s="159" t="s">
        <v>150</v>
      </c>
      <c r="AB264" s="159">
        <v>13</v>
      </c>
      <c r="AC264" s="159"/>
      <c r="AD264" s="159"/>
      <c r="AE264" s="159"/>
      <c r="AF264" s="159"/>
      <c r="AG264" s="159"/>
      <c r="AH264" s="159"/>
      <c r="AI264" s="166" t="s">
        <v>1960</v>
      </c>
      <c r="AJ264" s="166" t="s">
        <v>346</v>
      </c>
      <c r="AK264" s="257">
        <v>1</v>
      </c>
      <c r="AL264" s="272" t="s">
        <v>1961</v>
      </c>
      <c r="AM264" s="300">
        <f>X264*P3_reinigen_daken_met_vaste_dakveiligheid</f>
        <v>0</v>
      </c>
      <c r="AN264" s="301">
        <f>Y264*P3_reinigen_goten_met_vaste_dakveiligheid</f>
        <v>0</v>
      </c>
      <c r="AO264" s="301">
        <f>(AE264*P3_Reinigen_Lichtkoepel_50X50)+('Perceel 1'!AF264*P3_Reinigen_Lichtkoepel_60x200)+('Perceel 1'!AG264*P3_Reinigen_Lichtkoepel_180x180)+('Perceel 1'!AH264*P3_Reinigen_Lichtstraten_groter_dan_180x180)</f>
        <v>0</v>
      </c>
      <c r="AP264" s="301"/>
      <c r="AQ264" s="301">
        <f t="shared" si="47"/>
        <v>0</v>
      </c>
      <c r="AR264" s="326"/>
      <c r="AS264" s="334">
        <f t="shared" si="48"/>
        <v>0</v>
      </c>
      <c r="AT264" s="338">
        <f t="shared" si="49"/>
        <v>0</v>
      </c>
    </row>
    <row r="265" spans="1:46" s="7" customFormat="1" hidden="1" x14ac:dyDescent="0.45">
      <c r="A265" s="8"/>
      <c r="B265" s="40">
        <v>3</v>
      </c>
      <c r="C265" s="1" t="s">
        <v>135</v>
      </c>
      <c r="D265" s="1"/>
      <c r="E265" s="1"/>
      <c r="F265" s="1"/>
      <c r="G265" s="1"/>
      <c r="H265" s="38"/>
      <c r="I265" s="38"/>
      <c r="J265" s="38"/>
      <c r="K265" s="38"/>
      <c r="L265" s="38"/>
      <c r="M265" s="19"/>
      <c r="N265" s="1" t="s">
        <v>1962</v>
      </c>
      <c r="O265" s="291" t="s">
        <v>1963</v>
      </c>
      <c r="P265" s="1"/>
      <c r="Q265" s="1"/>
      <c r="R265" s="1"/>
      <c r="S265" s="1"/>
      <c r="T265" s="19"/>
      <c r="U265" s="19"/>
      <c r="V265" s="19"/>
      <c r="W265" s="30"/>
      <c r="X265" s="313">
        <f>+X205+X207+X208+X209+X210+X211+X212+X213+X214+X215+X216+X217+X219+X220+X221+X223+X224+X225+X226+X227+X228+X229+X230+X231+X232+X233+X234+X235+X236+X237+X238+X239+X240+X241+X242+X243+X244+X245+X246+X248+X249+X250+X251+X252+X254+X255+X256+X257+X258+X259+X260+X261+X262+X263+X264</f>
        <v>57978</v>
      </c>
      <c r="Y265" s="313">
        <f>+Y205+Y207+Y208+Y209+Y210+Y211+Y212+Y213+Y214+Y215+Y216+Y217+Y219+Y220+Y221+Y223+Y224+Y225+Y226+Y227+Y228+Y229+Y230+Y231+Y232+Y233+Y234+Y235+Y236+Y237+Y238+Y239+Y240+Y241+Y242+Y243+Y244+Y245+Y246+Y248+Y249+Y250+Y251+Y252+Y254+Y255+Y256+Y257+Y258+Y259+Y260+Y261+Y262+Y263+Y264</f>
        <v>256</v>
      </c>
      <c r="Z265" s="39"/>
      <c r="AA265" s="39"/>
      <c r="AB265" s="313">
        <f t="shared" ref="AB265:AC265" si="50">+AB205+AB207+AB208+AB209+AB210+AB211+AB212+AB213+AB214+AB215+AB216+AB217+AB219+AB220+AB221+AB223+AB224+AB225+AB226+AB227+AB228+AB229+AB230+AB231+AB232+AB233+AB234+AB235+AB236+AB237+AB238+AB239+AB240+AB241+AB242+AB243+AB244+AB245+AB246+AB248+AB249+AB250+AB251+AB252+AB254+AB255+AB256+AB257+AB258+AB259+AB260+AB261+AB262+AB263+AB264</f>
        <v>411</v>
      </c>
      <c r="AC265" s="313">
        <f t="shared" si="50"/>
        <v>2261.6</v>
      </c>
      <c r="AD265" s="39"/>
      <c r="AE265" s="39"/>
      <c r="AF265" s="39"/>
      <c r="AG265" s="39"/>
      <c r="AH265" s="39"/>
      <c r="AI265" s="39"/>
      <c r="AJ265" s="39"/>
      <c r="AK265" s="283"/>
      <c r="AM265" s="314">
        <f t="shared" ref="AM265:AT265" si="51">+AM205+AM207+AM208+AM209+AM210+AM211+AM212+AM213+AM214+AM215+AM216+AM217+AM219+AM220+AM221+AM223+AM224+AM225+AM226+AM227+AM228+AM229+AM230+AM231+AM232+AM233+AM234+AM235+AM236+AM237+AM238+AM239+AM240+AM241+AM242+AM243+AM244+AM245+AM246+AM248+AM249+AM250+AM251+AM252+AM254+AM255+AM256+AM257+AM258+AM259+AM260+AM261+AM262+AM263+AM264</f>
        <v>0</v>
      </c>
      <c r="AN265" s="314">
        <f t="shared" si="51"/>
        <v>0</v>
      </c>
      <c r="AO265" s="314">
        <f t="shared" si="51"/>
        <v>0</v>
      </c>
      <c r="AP265" s="314"/>
      <c r="AQ265" s="314">
        <f t="shared" si="51"/>
        <v>0</v>
      </c>
      <c r="AR265" s="315">
        <f t="shared" si="51"/>
        <v>0</v>
      </c>
      <c r="AS265" s="314">
        <f t="shared" si="51"/>
        <v>0</v>
      </c>
      <c r="AT265" s="314">
        <f t="shared" si="51"/>
        <v>256</v>
      </c>
    </row>
    <row r="266" spans="1:46" s="7" customFormat="1" hidden="1" x14ac:dyDescent="0.45">
      <c r="A266" s="8"/>
      <c r="B266" s="40"/>
      <c r="C266" s="1"/>
      <c r="D266" s="1"/>
      <c r="E266" s="1"/>
      <c r="F266" s="1"/>
      <c r="G266" s="1"/>
      <c r="H266" s="38"/>
      <c r="I266" s="38"/>
      <c r="J266" s="38"/>
      <c r="K266" s="38"/>
      <c r="L266" s="38"/>
      <c r="M266" s="19"/>
      <c r="N266" s="1"/>
      <c r="O266" s="291"/>
      <c r="P266" s="1"/>
      <c r="Q266" s="1"/>
      <c r="R266" s="1"/>
      <c r="S266" s="1"/>
      <c r="T266" s="19"/>
      <c r="U266" s="19"/>
      <c r="V266" s="19"/>
      <c r="W266" s="30"/>
      <c r="X266" s="313"/>
      <c r="Y266" s="313"/>
      <c r="Z266" s="39"/>
      <c r="AA266" s="39"/>
      <c r="AB266" s="313"/>
      <c r="AC266" s="313"/>
      <c r="AD266" s="39"/>
      <c r="AE266" s="39"/>
      <c r="AF266" s="39"/>
      <c r="AG266" s="39"/>
      <c r="AH266" s="39"/>
      <c r="AI266" s="39"/>
      <c r="AJ266" s="39"/>
      <c r="AK266" s="283"/>
      <c r="AM266" s="314"/>
      <c r="AN266" s="314"/>
      <c r="AO266" s="314"/>
      <c r="AP266" s="314"/>
      <c r="AQ266" s="314"/>
      <c r="AR266" s="315"/>
      <c r="AS266" s="314"/>
      <c r="AT266" s="314"/>
    </row>
    <row r="267" spans="1:46" s="7" customFormat="1" hidden="1" x14ac:dyDescent="0.45">
      <c r="A267" s="8"/>
      <c r="B267" s="40"/>
      <c r="C267" s="1" t="s">
        <v>1964</v>
      </c>
      <c r="D267" s="1"/>
      <c r="E267" s="1"/>
      <c r="F267" s="1"/>
      <c r="G267" s="1"/>
      <c r="H267" s="38"/>
      <c r="I267" s="38"/>
      <c r="J267" s="38"/>
      <c r="K267" s="38"/>
      <c r="L267" s="38"/>
      <c r="M267" s="19"/>
      <c r="N267" s="1"/>
      <c r="O267" s="291" t="s">
        <v>1965</v>
      </c>
      <c r="P267" s="1"/>
      <c r="Q267" s="1"/>
      <c r="R267" s="1"/>
      <c r="S267" s="1"/>
      <c r="T267" s="19"/>
      <c r="U267" s="19"/>
      <c r="V267" s="19"/>
      <c r="W267" s="30"/>
      <c r="X267" s="313">
        <f>X265+X193+X97</f>
        <v>227473</v>
      </c>
      <c r="Y267" s="313">
        <f>Y265+Y193+Y97</f>
        <v>1543</v>
      </c>
      <c r="Z267" s="39"/>
      <c r="AA267" s="39"/>
      <c r="AB267" s="313">
        <f>AB265+AB193+AB97</f>
        <v>1667</v>
      </c>
      <c r="AC267" s="313">
        <f>AC265+AC193+AC97</f>
        <v>7811.6</v>
      </c>
      <c r="AD267" s="39"/>
      <c r="AE267" s="39"/>
      <c r="AF267" s="39"/>
      <c r="AG267" s="39"/>
      <c r="AH267" s="39"/>
      <c r="AI267" s="39"/>
      <c r="AJ267" s="39"/>
      <c r="AK267" s="283"/>
      <c r="AM267" s="314"/>
      <c r="AN267" s="314"/>
      <c r="AO267" s="314"/>
      <c r="AP267" s="314"/>
      <c r="AQ267" s="314"/>
      <c r="AR267" s="315"/>
      <c r="AS267" s="314"/>
      <c r="AT267" s="314"/>
    </row>
    <row r="268" spans="1:46" s="7" customFormat="1" hidden="1" x14ac:dyDescent="0.45">
      <c r="A268" s="8"/>
      <c r="B268" s="40"/>
      <c r="C268" s="1"/>
      <c r="D268" s="1"/>
      <c r="E268" s="1"/>
      <c r="F268" s="1"/>
      <c r="G268" s="1"/>
      <c r="H268" s="38"/>
      <c r="I268" s="38"/>
      <c r="J268" s="38"/>
      <c r="K268" s="38"/>
      <c r="L268" s="38"/>
      <c r="M268" s="19"/>
      <c r="N268" s="1"/>
      <c r="O268" s="291"/>
      <c r="P268" s="1"/>
      <c r="Q268" s="1"/>
      <c r="R268" s="1"/>
      <c r="S268" s="1"/>
      <c r="T268" s="19"/>
      <c r="U268" s="19"/>
      <c r="V268" s="19"/>
      <c r="W268" s="30"/>
      <c r="X268" s="313"/>
      <c r="Y268" s="313"/>
      <c r="Z268" s="39"/>
      <c r="AA268" s="39"/>
      <c r="AB268" s="313"/>
      <c r="AC268" s="313"/>
      <c r="AD268" s="39"/>
      <c r="AE268" s="39"/>
      <c r="AF268" s="39"/>
      <c r="AG268" s="39"/>
      <c r="AH268" s="39"/>
      <c r="AI268" s="39"/>
      <c r="AJ268" s="39"/>
      <c r="AK268" s="283"/>
      <c r="AM268" s="314"/>
      <c r="AN268" s="314"/>
      <c r="AO268" s="314"/>
      <c r="AP268" s="314"/>
      <c r="AQ268" s="314"/>
      <c r="AR268" s="315"/>
      <c r="AS268" s="314"/>
      <c r="AT268" s="314"/>
    </row>
    <row r="269" spans="1:46" s="7" customFormat="1" hidden="1" x14ac:dyDescent="0.45">
      <c r="A269" s="8"/>
      <c r="B269" s="40"/>
      <c r="C269" s="1"/>
      <c r="D269" s="1"/>
      <c r="E269" s="1"/>
      <c r="F269" s="1"/>
      <c r="G269" s="1"/>
      <c r="H269" s="38"/>
      <c r="I269" s="38"/>
      <c r="J269" s="38"/>
      <c r="K269" s="38"/>
      <c r="L269" s="38"/>
      <c r="M269" s="19"/>
      <c r="N269" s="1"/>
      <c r="O269" s="291"/>
      <c r="P269" s="1"/>
      <c r="Q269" s="1"/>
      <c r="R269" s="1"/>
      <c r="S269" s="1"/>
      <c r="T269" s="19"/>
      <c r="U269" s="19"/>
      <c r="V269" s="19"/>
      <c r="W269" s="30"/>
      <c r="X269" s="313"/>
      <c r="Y269" s="313"/>
      <c r="Z269" s="39"/>
      <c r="AA269" s="39"/>
      <c r="AB269" s="313"/>
      <c r="AC269" s="313"/>
      <c r="AD269" s="39"/>
      <c r="AE269" s="39"/>
      <c r="AF269" s="39"/>
      <c r="AG269" s="39"/>
      <c r="AH269" s="39"/>
      <c r="AI269" s="39"/>
      <c r="AJ269" s="39"/>
      <c r="AK269" s="283"/>
      <c r="AM269" s="314"/>
      <c r="AN269" s="314"/>
      <c r="AO269" s="314"/>
      <c r="AP269" s="314"/>
      <c r="AQ269" s="314"/>
      <c r="AR269" s="315"/>
      <c r="AS269" s="314"/>
      <c r="AT269" s="314"/>
    </row>
    <row r="270" spans="1:46" s="7" customFormat="1" hidden="1" x14ac:dyDescent="0.45">
      <c r="A270" s="8"/>
      <c r="B270" s="40"/>
      <c r="C270" s="1"/>
      <c r="D270" s="1"/>
      <c r="E270" s="1"/>
      <c r="F270" s="1"/>
      <c r="G270" s="1"/>
      <c r="H270" s="38"/>
      <c r="I270" s="38"/>
      <c r="J270" s="38"/>
      <c r="K270" s="38"/>
      <c r="L270" s="38"/>
      <c r="M270" s="19"/>
      <c r="N270" s="1"/>
      <c r="O270" s="291"/>
      <c r="P270" s="1"/>
      <c r="Q270" s="1"/>
      <c r="R270" s="1"/>
      <c r="S270" s="1"/>
      <c r="T270" s="19"/>
      <c r="U270" s="19"/>
      <c r="V270" s="19"/>
      <c r="W270" s="30"/>
      <c r="X270" s="313"/>
      <c r="Y270" s="313"/>
      <c r="Z270" s="39"/>
      <c r="AA270" s="39"/>
      <c r="AB270" s="313"/>
      <c r="AC270" s="313"/>
      <c r="AD270" s="39"/>
      <c r="AE270" s="39"/>
      <c r="AF270" s="39"/>
      <c r="AG270" s="39"/>
      <c r="AH270" s="39"/>
      <c r="AI270" s="39"/>
      <c r="AJ270" s="39"/>
      <c r="AK270" s="283"/>
      <c r="AM270" s="314"/>
      <c r="AN270" s="314"/>
      <c r="AO270" s="314"/>
      <c r="AP270" s="314"/>
      <c r="AQ270" s="314"/>
      <c r="AR270" s="315"/>
      <c r="AS270" s="314"/>
      <c r="AT270" s="314"/>
    </row>
    <row r="271" spans="1:46" s="7" customFormat="1" hidden="1" x14ac:dyDescent="0.45">
      <c r="A271" s="8"/>
      <c r="B271" s="40"/>
      <c r="C271" s="1"/>
      <c r="D271" s="1"/>
      <c r="E271" s="1"/>
      <c r="F271" s="1"/>
      <c r="G271" s="1"/>
      <c r="H271" s="38"/>
      <c r="I271" s="38"/>
      <c r="J271" s="38"/>
      <c r="K271" s="38"/>
      <c r="L271" s="38"/>
      <c r="M271" s="19"/>
      <c r="N271" s="1"/>
      <c r="O271" s="291"/>
      <c r="P271" s="1"/>
      <c r="Q271" s="1"/>
      <c r="R271" s="1"/>
      <c r="S271" s="1"/>
      <c r="T271" s="19"/>
      <c r="U271" s="19"/>
      <c r="V271" s="19"/>
      <c r="W271" s="30"/>
      <c r="X271" s="313"/>
      <c r="Y271" s="313"/>
      <c r="Z271" s="39"/>
      <c r="AA271" s="39"/>
      <c r="AB271" s="313"/>
      <c r="AC271" s="313"/>
      <c r="AD271" s="39"/>
      <c r="AE271" s="39"/>
      <c r="AF271" s="39"/>
      <c r="AG271" s="39"/>
      <c r="AH271" s="39"/>
      <c r="AI271" s="39"/>
      <c r="AJ271" s="39"/>
      <c r="AK271" s="283"/>
      <c r="AM271" s="314"/>
      <c r="AN271" s="314"/>
      <c r="AO271" s="314"/>
      <c r="AP271" s="314"/>
      <c r="AQ271" s="314"/>
      <c r="AR271" s="315"/>
      <c r="AS271" s="314"/>
      <c r="AT271" s="314"/>
    </row>
    <row r="272" spans="1:46" s="7" customFormat="1" hidden="1" x14ac:dyDescent="0.45">
      <c r="A272" s="8"/>
      <c r="B272" s="40"/>
      <c r="C272" s="1"/>
      <c r="D272" s="1"/>
      <c r="E272" s="1"/>
      <c r="F272" s="1"/>
      <c r="G272" s="1"/>
      <c r="H272" s="38"/>
      <c r="I272" s="38"/>
      <c r="J272" s="38"/>
      <c r="K272" s="38"/>
      <c r="L272" s="38"/>
      <c r="M272" s="19"/>
      <c r="N272" s="1"/>
      <c r="O272" s="1"/>
      <c r="P272" s="1"/>
      <c r="Q272" s="1"/>
      <c r="R272" s="1"/>
      <c r="S272" s="1"/>
      <c r="T272" s="19"/>
      <c r="U272" s="19"/>
      <c r="V272" s="19"/>
      <c r="W272" s="30"/>
      <c r="X272" s="30"/>
      <c r="Y272" s="30"/>
      <c r="Z272" s="39"/>
      <c r="AA272" s="39"/>
      <c r="AB272" s="39"/>
      <c r="AC272" s="39"/>
      <c r="AD272" s="39"/>
      <c r="AE272" s="39"/>
      <c r="AF272" s="39"/>
      <c r="AG272" s="39"/>
      <c r="AH272" s="39"/>
      <c r="AI272" s="39"/>
      <c r="AJ272" s="39"/>
      <c r="AK272" s="283"/>
      <c r="AM272" s="278"/>
      <c r="AN272" s="278"/>
      <c r="AO272" s="278"/>
      <c r="AP272" s="278"/>
      <c r="AQ272" s="278"/>
      <c r="AS272" s="278"/>
      <c r="AT272" s="278"/>
    </row>
    <row r="273" spans="1:46" s="39" customFormat="1" hidden="1" x14ac:dyDescent="0.45">
      <c r="A273" s="8"/>
      <c r="B273" s="40"/>
      <c r="C273" s="1"/>
      <c r="D273" s="1"/>
      <c r="E273" s="1"/>
      <c r="F273" s="1"/>
      <c r="G273" s="1"/>
      <c r="H273" s="38"/>
      <c r="I273" s="38"/>
      <c r="J273" s="38"/>
      <c r="K273" s="38"/>
      <c r="L273" s="38"/>
      <c r="M273" s="19"/>
      <c r="N273" s="1"/>
      <c r="O273" s="1"/>
      <c r="P273" s="1"/>
      <c r="Q273" s="1"/>
      <c r="R273" s="1"/>
      <c r="S273" s="1"/>
      <c r="T273" s="19"/>
      <c r="U273" s="19"/>
      <c r="V273" s="19"/>
      <c r="W273" s="30"/>
      <c r="X273" s="30"/>
      <c r="Y273" s="30"/>
      <c r="AK273" s="283"/>
      <c r="AL273" s="7"/>
      <c r="AM273" s="278"/>
      <c r="AN273" s="278"/>
      <c r="AO273" s="278"/>
      <c r="AP273" s="278"/>
      <c r="AQ273" s="278"/>
      <c r="AR273" s="7"/>
      <c r="AS273" s="278"/>
      <c r="AT273" s="278"/>
    </row>
    <row r="274" spans="1:46" s="39" customFormat="1" hidden="1" x14ac:dyDescent="0.45">
      <c r="A274" s="8"/>
      <c r="B274" s="40"/>
      <c r="C274" s="1" t="s">
        <v>1966</v>
      </c>
      <c r="D274" s="1"/>
      <c r="E274" s="1"/>
      <c r="F274" s="1"/>
      <c r="G274" s="1"/>
      <c r="H274" s="38"/>
      <c r="I274" s="38"/>
      <c r="J274" s="38"/>
      <c r="K274" s="38"/>
      <c r="L274" s="38"/>
      <c r="M274" s="19"/>
      <c r="N274" s="1"/>
      <c r="O274" s="1"/>
      <c r="P274" s="1"/>
      <c r="Q274" s="1"/>
      <c r="R274" s="1">
        <v>227473</v>
      </c>
      <c r="S274" s="1" t="s">
        <v>40</v>
      </c>
      <c r="T274" s="19"/>
      <c r="U274" s="19"/>
      <c r="V274" s="19"/>
      <c r="W274" s="321">
        <v>1</v>
      </c>
      <c r="X274" s="321">
        <v>1</v>
      </c>
      <c r="Y274" s="293">
        <v>280000</v>
      </c>
      <c r="Z274" s="323">
        <v>195000</v>
      </c>
      <c r="AA274" s="322">
        <v>85000</v>
      </c>
      <c r="AK274" s="283"/>
      <c r="AL274" s="7"/>
      <c r="AM274" s="278"/>
      <c r="AN274" s="278"/>
      <c r="AO274" s="278"/>
      <c r="AP274" s="278"/>
      <c r="AQ274" s="278"/>
      <c r="AR274" s="7"/>
      <c r="AS274" s="278"/>
      <c r="AT274" s="278"/>
    </row>
    <row r="275" spans="1:46" s="39" customFormat="1" hidden="1" x14ac:dyDescent="0.45">
      <c r="A275" s="8"/>
      <c r="B275" s="40"/>
      <c r="C275" s="1" t="s">
        <v>1966</v>
      </c>
      <c r="D275" s="1"/>
      <c r="E275" s="1"/>
      <c r="F275" s="1"/>
      <c r="G275" s="1"/>
      <c r="H275" s="38"/>
      <c r="I275" s="38"/>
      <c r="J275" s="38"/>
      <c r="K275" s="38"/>
      <c r="L275" s="38"/>
      <c r="M275" s="19"/>
      <c r="N275" s="1"/>
      <c r="O275" s="1"/>
      <c r="P275" s="1"/>
      <c r="Q275" s="1">
        <v>1</v>
      </c>
      <c r="R275" s="1">
        <f>X97</f>
        <v>73772</v>
      </c>
      <c r="S275" s="1">
        <f>R274*W275</f>
        <v>73771.768629999991</v>
      </c>
      <c r="T275" s="19"/>
      <c r="U275" s="19"/>
      <c r="V275" s="19"/>
      <c r="W275" s="320">
        <v>0.32430999999999999</v>
      </c>
      <c r="X275" s="320">
        <v>0.32429999999999998</v>
      </c>
      <c r="Y275" s="293">
        <f>Y274*X275</f>
        <v>90804</v>
      </c>
      <c r="Z275" s="323">
        <f>Z274*X275</f>
        <v>63238.499999999993</v>
      </c>
      <c r="AA275" s="322">
        <f>AA274*X275</f>
        <v>27565.499999999996</v>
      </c>
      <c r="AK275" s="283"/>
      <c r="AL275" s="7"/>
      <c r="AM275" s="278"/>
      <c r="AN275" s="278"/>
      <c r="AO275" s="278"/>
      <c r="AP275" s="278"/>
      <c r="AQ275" s="278"/>
      <c r="AR275" s="7"/>
      <c r="AS275" s="278"/>
      <c r="AT275" s="278"/>
    </row>
    <row r="276" spans="1:46" s="39" customFormat="1" hidden="1" x14ac:dyDescent="0.45">
      <c r="A276" s="8"/>
      <c r="B276" s="40"/>
      <c r="C276" s="1" t="s">
        <v>1966</v>
      </c>
      <c r="D276" s="1"/>
      <c r="E276" s="1"/>
      <c r="F276" s="1"/>
      <c r="G276" s="1"/>
      <c r="H276" s="38"/>
      <c r="I276" s="38"/>
      <c r="J276" s="38"/>
      <c r="K276" s="38"/>
      <c r="L276" s="38"/>
      <c r="M276" s="19"/>
      <c r="N276" s="1"/>
      <c r="O276" s="1"/>
      <c r="P276" s="1"/>
      <c r="Q276" s="1">
        <v>2</v>
      </c>
      <c r="R276" s="319">
        <f>X193</f>
        <v>95723</v>
      </c>
      <c r="S276" s="1">
        <f>R274*W276</f>
        <v>95722.994792807003</v>
      </c>
      <c r="T276" s="19"/>
      <c r="U276" s="19"/>
      <c r="V276" s="19"/>
      <c r="W276" s="320">
        <v>0.42081035900000002</v>
      </c>
      <c r="X276" s="320">
        <v>0.42080000000000001</v>
      </c>
      <c r="Y276" s="293">
        <f>Y274*X276</f>
        <v>117824</v>
      </c>
      <c r="Z276" s="323">
        <f>Z274*X276</f>
        <v>82056</v>
      </c>
      <c r="AA276" s="322">
        <f>AA274*X276</f>
        <v>35768</v>
      </c>
      <c r="AK276" s="283"/>
      <c r="AL276" s="7"/>
      <c r="AM276" s="278"/>
      <c r="AN276" s="278"/>
      <c r="AO276" s="278"/>
      <c r="AP276" s="278"/>
      <c r="AQ276" s="278"/>
      <c r="AR276" s="7"/>
      <c r="AS276" s="278"/>
      <c r="AT276" s="278"/>
    </row>
    <row r="277" spans="1:46" s="39" customFormat="1" hidden="1" x14ac:dyDescent="0.45">
      <c r="A277" s="8"/>
      <c r="B277" s="40"/>
      <c r="C277" s="1" t="s">
        <v>1966</v>
      </c>
      <c r="D277" s="1"/>
      <c r="E277" s="1"/>
      <c r="F277" s="1"/>
      <c r="G277" s="1"/>
      <c r="H277" s="38"/>
      <c r="I277" s="38"/>
      <c r="J277" s="38"/>
      <c r="K277" s="38"/>
      <c r="L277" s="38"/>
      <c r="M277" s="19"/>
      <c r="N277" s="1"/>
      <c r="O277" s="1"/>
      <c r="P277" s="1"/>
      <c r="Q277" s="1">
        <v>3</v>
      </c>
      <c r="R277" s="319">
        <f>X265</f>
        <v>57978</v>
      </c>
      <c r="S277" s="1">
        <f>R274*W277</f>
        <v>57978.318240000001</v>
      </c>
      <c r="T277" s="19"/>
      <c r="U277" s="19"/>
      <c r="V277" s="19"/>
      <c r="W277" s="320">
        <v>0.25488</v>
      </c>
      <c r="X277" s="320">
        <v>0.25490000000000002</v>
      </c>
      <c r="Y277" s="293">
        <f>Y274*X277</f>
        <v>71372</v>
      </c>
      <c r="Z277" s="323">
        <f>Z274*X277</f>
        <v>49705.5</v>
      </c>
      <c r="AA277" s="322">
        <f>+AA274*X277</f>
        <v>21666.5</v>
      </c>
      <c r="AK277" s="283"/>
      <c r="AL277" s="7"/>
      <c r="AM277" s="278"/>
      <c r="AN277" s="278"/>
      <c r="AO277" s="278"/>
      <c r="AP277" s="278"/>
      <c r="AQ277" s="278"/>
      <c r="AR277" s="7"/>
      <c r="AS277" s="278"/>
      <c r="AT277" s="278"/>
    </row>
    <row r="278" spans="1:46" s="39" customFormat="1" hidden="1" x14ac:dyDescent="0.45">
      <c r="A278" s="8"/>
      <c r="B278" s="40"/>
      <c r="C278" s="1" t="s">
        <v>1966</v>
      </c>
      <c r="D278" s="1"/>
      <c r="E278" s="1"/>
      <c r="F278" s="1"/>
      <c r="G278" s="1"/>
      <c r="H278" s="38"/>
      <c r="I278" s="38"/>
      <c r="J278" s="38"/>
      <c r="K278" s="38"/>
      <c r="L278" s="38"/>
      <c r="M278" s="19"/>
      <c r="N278" s="1"/>
      <c r="O278" s="1"/>
      <c r="P278" s="1"/>
      <c r="Q278" s="1"/>
      <c r="R278" s="313">
        <f t="shared" ref="R278:S278" si="52">R275+R276+R277</f>
        <v>227473</v>
      </c>
      <c r="S278" s="313">
        <f t="shared" si="52"/>
        <v>227473.08166280697</v>
      </c>
      <c r="T278" s="19"/>
      <c r="U278" s="19"/>
      <c r="V278" s="19"/>
      <c r="W278" s="320">
        <f>W275+W276+W277</f>
        <v>1.0000003589999999</v>
      </c>
      <c r="X278" s="320">
        <f>X275+X276+X277</f>
        <v>1</v>
      </c>
      <c r="Y278" s="293">
        <f>SUM(Y275:Y277)</f>
        <v>280000</v>
      </c>
      <c r="Z278" s="323">
        <f>SUM(Z275:Z277)</f>
        <v>195000</v>
      </c>
      <c r="AA278" s="322">
        <f>SUM(AA275:AA277)</f>
        <v>85000</v>
      </c>
      <c r="AK278" s="283"/>
      <c r="AL278" s="7"/>
      <c r="AM278" s="278"/>
      <c r="AN278" s="278"/>
      <c r="AO278" s="278"/>
      <c r="AP278" s="278"/>
      <c r="AQ278" s="278"/>
      <c r="AR278" s="7"/>
      <c r="AS278" s="278"/>
      <c r="AT278" s="278"/>
    </row>
    <row r="279" spans="1:46" s="39" customFormat="1" hidden="1" x14ac:dyDescent="0.45">
      <c r="A279" s="8"/>
      <c r="B279" s="40"/>
      <c r="C279" s="1"/>
      <c r="D279" s="1"/>
      <c r="E279" s="1"/>
      <c r="F279" s="1"/>
      <c r="G279" s="1"/>
      <c r="H279" s="38"/>
      <c r="I279" s="38"/>
      <c r="J279" s="38"/>
      <c r="K279" s="38"/>
      <c r="L279" s="38"/>
      <c r="M279" s="19"/>
      <c r="N279" s="1"/>
      <c r="O279" s="1"/>
      <c r="P279" s="1"/>
      <c r="Q279" s="1"/>
      <c r="R279" s="1"/>
      <c r="S279" s="1"/>
      <c r="T279" s="19"/>
      <c r="U279" s="19"/>
      <c r="V279" s="19"/>
      <c r="W279" s="30"/>
      <c r="X279" s="30"/>
      <c r="Y279" s="30"/>
      <c r="AK279" s="283"/>
      <c r="AL279" s="7"/>
      <c r="AM279" s="278"/>
      <c r="AN279" s="278"/>
      <c r="AO279" s="278"/>
      <c r="AP279" s="278"/>
      <c r="AQ279" s="278"/>
      <c r="AR279" s="7"/>
      <c r="AS279" s="278"/>
      <c r="AT279" s="278"/>
    </row>
    <row r="280" spans="1:46" s="39" customFormat="1" hidden="1" x14ac:dyDescent="0.45">
      <c r="A280" s="8"/>
      <c r="B280" s="40"/>
      <c r="C280" s="1"/>
      <c r="D280" s="1"/>
      <c r="E280" s="1"/>
      <c r="F280" s="1"/>
      <c r="G280" s="1"/>
      <c r="H280" s="38"/>
      <c r="I280" s="38"/>
      <c r="J280" s="38"/>
      <c r="K280" s="38"/>
      <c r="L280" s="38"/>
      <c r="M280" s="19"/>
      <c r="N280" s="1"/>
      <c r="O280" s="1"/>
      <c r="P280" s="1"/>
      <c r="Q280" s="1"/>
      <c r="R280" s="1"/>
      <c r="S280" s="1"/>
      <c r="T280" s="19"/>
      <c r="U280" s="19"/>
      <c r="V280" s="19"/>
      <c r="W280" s="30"/>
      <c r="X280" s="30"/>
      <c r="Y280" s="30"/>
      <c r="AK280" s="283"/>
      <c r="AL280" s="7"/>
      <c r="AM280" s="278"/>
      <c r="AN280" s="278"/>
      <c r="AO280" s="278"/>
      <c r="AP280" s="278"/>
      <c r="AQ280" s="278"/>
      <c r="AR280" s="7"/>
      <c r="AS280" s="278"/>
      <c r="AT280" s="278"/>
    </row>
    <row r="281" spans="1:46" s="39" customFormat="1" hidden="1" x14ac:dyDescent="0.45">
      <c r="A281" s="8"/>
      <c r="B281" s="40"/>
      <c r="C281" s="1"/>
      <c r="D281" s="1"/>
      <c r="E281" s="1"/>
      <c r="F281" s="1"/>
      <c r="G281" s="1"/>
      <c r="H281" s="38"/>
      <c r="I281" s="38"/>
      <c r="J281" s="38"/>
      <c r="K281" s="38"/>
      <c r="L281" s="38"/>
      <c r="M281" s="19"/>
      <c r="N281" s="1"/>
      <c r="O281" s="1"/>
      <c r="P281" s="1"/>
      <c r="Q281" s="1"/>
      <c r="R281" s="1"/>
      <c r="S281" s="1"/>
      <c r="T281" s="19"/>
      <c r="U281" s="19"/>
      <c r="V281" s="19"/>
      <c r="W281" s="30"/>
      <c r="X281" s="30"/>
      <c r="Y281" s="30"/>
      <c r="AK281" s="283"/>
      <c r="AL281" s="7"/>
      <c r="AM281" s="278"/>
      <c r="AN281" s="278"/>
      <c r="AO281" s="278"/>
      <c r="AP281" s="278"/>
      <c r="AQ281" s="278"/>
      <c r="AR281" s="7"/>
      <c r="AS281" s="278"/>
      <c r="AT281" s="278"/>
    </row>
    <row r="282" spans="1:46" s="39" customFormat="1" hidden="1" x14ac:dyDescent="0.45">
      <c r="A282" s="8"/>
      <c r="B282" s="40"/>
      <c r="C282" s="1"/>
      <c r="D282" s="1"/>
      <c r="E282" s="1"/>
      <c r="F282" s="1"/>
      <c r="G282" s="1"/>
      <c r="H282" s="38"/>
      <c r="I282" s="38"/>
      <c r="J282" s="38"/>
      <c r="K282" s="38"/>
      <c r="L282" s="38"/>
      <c r="M282" s="19"/>
      <c r="N282" s="1"/>
      <c r="O282" s="1"/>
      <c r="P282" s="1"/>
      <c r="Q282" s="1"/>
      <c r="R282" s="1"/>
      <c r="S282" s="1"/>
      <c r="T282" s="19"/>
      <c r="U282" s="19"/>
      <c r="V282" s="19"/>
      <c r="W282" s="30"/>
      <c r="X282" s="30"/>
      <c r="Y282" s="30"/>
      <c r="AK282" s="283"/>
      <c r="AL282" s="7"/>
      <c r="AM282" s="278"/>
      <c r="AN282" s="278"/>
      <c r="AO282" s="278"/>
      <c r="AP282" s="278"/>
      <c r="AQ282" s="278"/>
      <c r="AR282" s="7"/>
      <c r="AS282" s="278"/>
      <c r="AT282" s="278"/>
    </row>
    <row r="283" spans="1:46" s="39" customFormat="1" hidden="1" x14ac:dyDescent="0.45">
      <c r="A283" s="8"/>
      <c r="B283" s="40"/>
      <c r="C283" s="1"/>
      <c r="D283" s="1"/>
      <c r="E283" s="1"/>
      <c r="F283" s="1"/>
      <c r="G283" s="1"/>
      <c r="H283" s="38"/>
      <c r="I283" s="38"/>
      <c r="J283" s="38"/>
      <c r="K283" s="38"/>
      <c r="L283" s="38"/>
      <c r="M283" s="19"/>
      <c r="N283" s="1"/>
      <c r="O283" s="1"/>
      <c r="P283" s="1"/>
      <c r="Q283" s="1"/>
      <c r="R283" s="1"/>
      <c r="S283" s="1"/>
      <c r="T283" s="19"/>
      <c r="U283" s="19"/>
      <c r="V283" s="19"/>
      <c r="W283" s="30"/>
      <c r="X283" s="30"/>
      <c r="Y283" s="30"/>
      <c r="AK283" s="283"/>
      <c r="AL283" s="7"/>
      <c r="AM283" s="278"/>
      <c r="AN283" s="278"/>
      <c r="AO283" s="278"/>
      <c r="AP283" s="278"/>
      <c r="AQ283" s="278"/>
      <c r="AR283" s="7"/>
      <c r="AS283" s="278"/>
      <c r="AT283" s="278"/>
    </row>
    <row r="284" spans="1:46" s="39" customFormat="1" hidden="1" x14ac:dyDescent="0.45">
      <c r="A284" s="8"/>
      <c r="B284" s="40"/>
      <c r="C284" s="1"/>
      <c r="D284" s="1"/>
      <c r="E284" s="1"/>
      <c r="F284" s="1"/>
      <c r="G284" s="1"/>
      <c r="H284" s="38"/>
      <c r="I284" s="38"/>
      <c r="J284" s="38"/>
      <c r="K284" s="38"/>
      <c r="L284" s="38"/>
      <c r="M284" s="19"/>
      <c r="N284" s="1"/>
      <c r="O284" s="1"/>
      <c r="P284" s="1"/>
      <c r="Q284" s="1"/>
      <c r="R284" s="1"/>
      <c r="S284" s="1"/>
      <c r="T284" s="19"/>
      <c r="U284" s="19"/>
      <c r="V284" s="19"/>
      <c r="W284" s="30"/>
      <c r="X284" s="30"/>
      <c r="Y284" s="30"/>
      <c r="AK284" s="283"/>
      <c r="AL284" s="7"/>
      <c r="AM284" s="278"/>
      <c r="AN284" s="278"/>
      <c r="AO284" s="278"/>
      <c r="AP284" s="278"/>
      <c r="AQ284" s="278"/>
      <c r="AR284" s="7"/>
      <c r="AS284" s="278"/>
      <c r="AT284" s="278"/>
    </row>
    <row r="285" spans="1:46" s="39" customFormat="1" hidden="1" x14ac:dyDescent="0.45">
      <c r="A285" s="8"/>
      <c r="B285" s="40"/>
      <c r="C285" s="1"/>
      <c r="D285" s="1"/>
      <c r="E285" s="1"/>
      <c r="F285" s="1"/>
      <c r="G285" s="1"/>
      <c r="H285" s="38"/>
      <c r="I285" s="38"/>
      <c r="J285" s="38"/>
      <c r="K285" s="38"/>
      <c r="L285" s="38"/>
      <c r="M285" s="19"/>
      <c r="N285" s="1"/>
      <c r="O285" s="1"/>
      <c r="P285" s="1"/>
      <c r="Q285" s="1"/>
      <c r="R285" s="1"/>
      <c r="S285" s="1"/>
      <c r="T285" s="19"/>
      <c r="U285" s="19"/>
      <c r="V285" s="19"/>
      <c r="W285" s="30"/>
      <c r="X285" s="30"/>
      <c r="Y285" s="30"/>
      <c r="AK285" s="283"/>
      <c r="AL285" s="7"/>
      <c r="AM285" s="278"/>
      <c r="AN285" s="278"/>
      <c r="AO285" s="278"/>
      <c r="AP285" s="278"/>
      <c r="AQ285" s="278"/>
      <c r="AR285" s="7"/>
      <c r="AS285" s="278"/>
      <c r="AT285" s="278"/>
    </row>
    <row r="286" spans="1:46" s="39" customFormat="1" hidden="1" x14ac:dyDescent="0.45">
      <c r="A286" s="8"/>
      <c r="B286" s="40"/>
      <c r="C286" s="1"/>
      <c r="D286" s="1"/>
      <c r="E286" s="1"/>
      <c r="F286" s="1"/>
      <c r="G286" s="1"/>
      <c r="H286" s="38"/>
      <c r="I286" s="38"/>
      <c r="J286" s="38"/>
      <c r="K286" s="38"/>
      <c r="L286" s="38"/>
      <c r="M286" s="19"/>
      <c r="N286" s="1"/>
      <c r="O286" s="1"/>
      <c r="P286" s="1"/>
      <c r="Q286" s="1"/>
      <c r="R286" s="1"/>
      <c r="S286" s="1"/>
      <c r="T286" s="19"/>
      <c r="U286" s="19"/>
      <c r="V286" s="19"/>
      <c r="W286" s="30"/>
      <c r="X286" s="30"/>
      <c r="Y286" s="30"/>
      <c r="AK286" s="283"/>
      <c r="AL286" s="7"/>
      <c r="AM286" s="278"/>
      <c r="AN286" s="278"/>
      <c r="AO286" s="278"/>
      <c r="AP286" s="278"/>
      <c r="AQ286" s="278"/>
      <c r="AR286" s="7"/>
      <c r="AS286" s="278"/>
      <c r="AT286" s="278"/>
    </row>
    <row r="287" spans="1:46" s="39" customFormat="1" hidden="1" x14ac:dyDescent="0.45">
      <c r="A287" s="8"/>
      <c r="B287" s="40"/>
      <c r="C287" s="1"/>
      <c r="D287" s="1"/>
      <c r="E287" s="1"/>
      <c r="F287" s="1"/>
      <c r="G287" s="1"/>
      <c r="H287" s="38"/>
      <c r="I287" s="38"/>
      <c r="J287" s="38"/>
      <c r="K287" s="38"/>
      <c r="L287" s="38"/>
      <c r="M287" s="19"/>
      <c r="N287" s="1"/>
      <c r="O287" s="1"/>
      <c r="P287" s="1"/>
      <c r="Q287" s="1"/>
      <c r="R287" s="1"/>
      <c r="S287" s="1"/>
      <c r="T287" s="19"/>
      <c r="U287" s="19"/>
      <c r="V287" s="19"/>
      <c r="W287" s="30"/>
      <c r="X287" s="30"/>
      <c r="Y287" s="30"/>
      <c r="AK287" s="283"/>
      <c r="AL287" s="7"/>
      <c r="AM287" s="278"/>
      <c r="AN287" s="278"/>
      <c r="AO287" s="278"/>
      <c r="AP287" s="278"/>
      <c r="AQ287" s="278"/>
      <c r="AR287" s="7"/>
      <c r="AS287" s="278"/>
      <c r="AT287" s="278"/>
    </row>
    <row r="288" spans="1:46" s="39" customFormat="1" hidden="1" x14ac:dyDescent="0.45">
      <c r="A288" s="8"/>
      <c r="B288" s="40"/>
      <c r="C288" s="1"/>
      <c r="D288" s="1"/>
      <c r="E288" s="1"/>
      <c r="F288" s="1"/>
      <c r="G288" s="1"/>
      <c r="H288" s="38"/>
      <c r="I288" s="38"/>
      <c r="J288" s="38"/>
      <c r="K288" s="38"/>
      <c r="L288" s="38"/>
      <c r="M288" s="19"/>
      <c r="N288" s="1"/>
      <c r="O288" s="1"/>
      <c r="P288" s="1"/>
      <c r="Q288" s="1"/>
      <c r="R288" s="1"/>
      <c r="S288" s="1"/>
      <c r="T288" s="19"/>
      <c r="U288" s="19"/>
      <c r="V288" s="19"/>
      <c r="W288" s="30"/>
      <c r="X288" s="30"/>
      <c r="Y288" s="30"/>
      <c r="AK288" s="283"/>
      <c r="AL288" s="7"/>
      <c r="AM288" s="278"/>
      <c r="AN288" s="278"/>
      <c r="AO288" s="278"/>
      <c r="AP288" s="278"/>
      <c r="AQ288" s="278"/>
      <c r="AR288" s="7"/>
      <c r="AS288" s="278"/>
      <c r="AT288" s="278"/>
    </row>
    <row r="289" spans="2:46" s="8" customFormat="1" hidden="1" x14ac:dyDescent="0.45">
      <c r="B289" s="40"/>
      <c r="C289" s="1"/>
      <c r="D289" s="1"/>
      <c r="E289" s="1"/>
      <c r="F289" s="1"/>
      <c r="G289" s="1"/>
      <c r="H289" s="38"/>
      <c r="I289" s="38"/>
      <c r="J289" s="38"/>
      <c r="K289" s="38"/>
      <c r="L289" s="38"/>
      <c r="M289" s="19"/>
      <c r="N289" s="1"/>
      <c r="O289" s="1"/>
      <c r="P289" s="1"/>
      <c r="Q289" s="1"/>
      <c r="R289" s="1"/>
      <c r="S289" s="1"/>
      <c r="T289" s="19"/>
      <c r="U289" s="19"/>
      <c r="V289" s="19"/>
      <c r="W289" s="30"/>
      <c r="X289" s="30"/>
      <c r="Y289" s="30"/>
      <c r="Z289" s="39"/>
      <c r="AA289" s="39"/>
      <c r="AB289" s="39"/>
      <c r="AC289" s="39"/>
      <c r="AD289" s="39"/>
      <c r="AE289" s="39"/>
      <c r="AF289" s="39"/>
      <c r="AG289" s="39"/>
      <c r="AH289" s="39"/>
      <c r="AI289" s="39"/>
      <c r="AJ289" s="39"/>
      <c r="AK289" s="283"/>
      <c r="AL289" s="7"/>
      <c r="AM289" s="278"/>
      <c r="AN289" s="278"/>
      <c r="AO289" s="278"/>
      <c r="AP289" s="278"/>
      <c r="AQ289" s="278"/>
      <c r="AR289" s="7"/>
      <c r="AS289" s="278"/>
      <c r="AT289" s="278"/>
    </row>
    <row r="290" spans="2:46" s="8" customFormat="1" hidden="1" x14ac:dyDescent="0.45">
      <c r="B290" s="40"/>
      <c r="C290" s="1"/>
      <c r="D290" s="1"/>
      <c r="E290" s="1"/>
      <c r="F290" s="1"/>
      <c r="G290" s="1"/>
      <c r="H290" s="38"/>
      <c r="I290" s="38"/>
      <c r="J290" s="38"/>
      <c r="K290" s="38"/>
      <c r="L290" s="38"/>
      <c r="M290" s="19"/>
      <c r="N290" s="1"/>
      <c r="O290" s="1"/>
      <c r="P290" s="1"/>
      <c r="Q290" s="1"/>
      <c r="R290" s="1"/>
      <c r="S290" s="1"/>
      <c r="T290" s="19"/>
      <c r="U290" s="19"/>
      <c r="V290" s="19"/>
      <c r="W290" s="30"/>
      <c r="X290" s="30"/>
      <c r="Y290" s="30"/>
      <c r="Z290" s="39"/>
      <c r="AA290" s="39"/>
      <c r="AB290" s="39"/>
      <c r="AC290" s="39"/>
      <c r="AD290" s="39"/>
      <c r="AE290" s="39"/>
      <c r="AF290" s="39"/>
      <c r="AG290" s="39"/>
      <c r="AH290" s="39"/>
      <c r="AI290" s="39"/>
      <c r="AJ290" s="39"/>
      <c r="AK290" s="283"/>
      <c r="AL290" s="7"/>
      <c r="AM290" s="278"/>
      <c r="AN290" s="278"/>
      <c r="AO290" s="278"/>
      <c r="AP290" s="278"/>
      <c r="AQ290" s="278"/>
      <c r="AR290" s="7"/>
      <c r="AS290" s="278"/>
      <c r="AT290" s="278"/>
    </row>
    <row r="291" spans="2:46" s="8" customFormat="1" hidden="1" x14ac:dyDescent="0.45">
      <c r="B291" s="40"/>
      <c r="C291" s="1"/>
      <c r="D291" s="1"/>
      <c r="E291" s="1"/>
      <c r="F291" s="1"/>
      <c r="G291" s="1"/>
      <c r="H291" s="38"/>
      <c r="I291" s="38"/>
      <c r="J291" s="38"/>
      <c r="K291" s="38"/>
      <c r="L291" s="38"/>
      <c r="M291" s="19"/>
      <c r="N291" s="1"/>
      <c r="O291" s="1"/>
      <c r="P291" s="1"/>
      <c r="Q291" s="1"/>
      <c r="R291" s="1"/>
      <c r="S291" s="1"/>
      <c r="T291" s="19"/>
      <c r="U291" s="19"/>
      <c r="V291" s="19"/>
      <c r="W291" s="30"/>
      <c r="X291" s="30"/>
      <c r="Y291" s="30"/>
      <c r="Z291" s="39"/>
      <c r="AA291" s="39"/>
      <c r="AB291" s="39"/>
      <c r="AC291" s="39"/>
      <c r="AD291" s="39"/>
      <c r="AE291" s="39"/>
      <c r="AF291" s="39"/>
      <c r="AG291" s="39"/>
      <c r="AH291" s="39"/>
      <c r="AI291" s="39"/>
      <c r="AJ291" s="39"/>
      <c r="AK291" s="283"/>
      <c r="AL291" s="7"/>
      <c r="AM291" s="278"/>
      <c r="AN291" s="278"/>
      <c r="AO291" s="278"/>
      <c r="AP291" s="278"/>
      <c r="AQ291" s="278"/>
      <c r="AR291" s="7"/>
      <c r="AS291" s="278"/>
      <c r="AT291" s="278"/>
    </row>
    <row r="292" spans="2:46" s="8" customFormat="1" hidden="1" x14ac:dyDescent="0.45">
      <c r="B292" s="40"/>
      <c r="C292" s="1"/>
      <c r="D292" s="1"/>
      <c r="E292" s="1"/>
      <c r="F292" s="1"/>
      <c r="G292" s="1"/>
      <c r="H292" s="38"/>
      <c r="I292" s="38"/>
      <c r="J292" s="38"/>
      <c r="K292" s="38"/>
      <c r="L292" s="38"/>
      <c r="M292" s="19"/>
      <c r="N292" s="1"/>
      <c r="O292" s="1"/>
      <c r="P292" s="1"/>
      <c r="Q292" s="1"/>
      <c r="R292" s="1"/>
      <c r="S292" s="1"/>
      <c r="T292" s="19"/>
      <c r="U292" s="19"/>
      <c r="V292" s="19"/>
      <c r="W292" s="30"/>
      <c r="X292" s="30"/>
      <c r="Y292" s="30"/>
      <c r="Z292" s="39"/>
      <c r="AA292" s="39"/>
      <c r="AB292" s="39"/>
      <c r="AC292" s="39"/>
      <c r="AD292" s="39"/>
      <c r="AE292" s="39"/>
      <c r="AF292" s="39"/>
      <c r="AG292" s="39"/>
      <c r="AH292" s="39"/>
      <c r="AI292" s="39"/>
      <c r="AJ292" s="39"/>
      <c r="AK292" s="283"/>
      <c r="AL292" s="7"/>
      <c r="AM292" s="278"/>
      <c r="AN292" s="278"/>
      <c r="AO292" s="278"/>
      <c r="AP292" s="278"/>
      <c r="AQ292" s="278"/>
      <c r="AR292" s="7"/>
      <c r="AS292" s="278"/>
      <c r="AT292" s="278"/>
    </row>
    <row r="293" spans="2:46" s="8" customFormat="1" hidden="1" x14ac:dyDescent="0.45">
      <c r="B293" s="40"/>
      <c r="C293" s="1"/>
      <c r="D293" s="1"/>
      <c r="E293" s="1"/>
      <c r="F293" s="1"/>
      <c r="G293" s="1"/>
      <c r="H293" s="38"/>
      <c r="I293" s="38"/>
      <c r="J293" s="38"/>
      <c r="K293" s="38"/>
      <c r="L293" s="38"/>
      <c r="M293" s="19"/>
      <c r="N293" s="1"/>
      <c r="O293" s="1"/>
      <c r="P293" s="1"/>
      <c r="Q293" s="1"/>
      <c r="R293" s="1"/>
      <c r="S293" s="1"/>
      <c r="T293" s="19"/>
      <c r="U293" s="19"/>
      <c r="V293" s="19"/>
      <c r="W293" s="30"/>
      <c r="X293" s="30"/>
      <c r="Y293" s="30"/>
      <c r="Z293" s="39"/>
      <c r="AA293" s="39"/>
      <c r="AB293" s="39"/>
      <c r="AC293" s="39"/>
      <c r="AD293" s="39"/>
      <c r="AE293" s="39"/>
      <c r="AF293" s="39"/>
      <c r="AG293" s="39"/>
      <c r="AH293" s="39"/>
      <c r="AI293" s="39"/>
      <c r="AJ293" s="39"/>
      <c r="AK293" s="283"/>
      <c r="AL293" s="7"/>
      <c r="AM293" s="278"/>
      <c r="AN293" s="278"/>
      <c r="AO293" s="278"/>
      <c r="AP293" s="278"/>
      <c r="AQ293" s="278"/>
      <c r="AR293" s="7"/>
      <c r="AS293" s="278"/>
      <c r="AT293" s="278"/>
    </row>
    <row r="294" spans="2:46" s="8" customFormat="1" hidden="1" x14ac:dyDescent="0.45">
      <c r="B294" s="40"/>
      <c r="C294" s="1"/>
      <c r="D294" s="1"/>
      <c r="E294" s="1"/>
      <c r="F294" s="1"/>
      <c r="G294" s="1"/>
      <c r="H294" s="38"/>
      <c r="I294" s="38"/>
      <c r="J294" s="38"/>
      <c r="K294" s="38"/>
      <c r="L294" s="38"/>
      <c r="M294" s="19"/>
      <c r="N294" s="1"/>
      <c r="O294" s="1"/>
      <c r="P294" s="1"/>
      <c r="Q294" s="1"/>
      <c r="R294" s="1"/>
      <c r="S294" s="1"/>
      <c r="T294" s="19"/>
      <c r="U294" s="19"/>
      <c r="V294" s="19"/>
      <c r="W294" s="30"/>
      <c r="X294" s="30"/>
      <c r="Y294" s="30"/>
      <c r="Z294" s="39"/>
      <c r="AA294" s="39"/>
      <c r="AB294" s="39"/>
      <c r="AC294" s="39"/>
      <c r="AD294" s="39"/>
      <c r="AE294" s="39"/>
      <c r="AF294" s="39"/>
      <c r="AG294" s="39"/>
      <c r="AH294" s="39"/>
      <c r="AI294" s="39"/>
      <c r="AJ294" s="39"/>
      <c r="AK294" s="283"/>
      <c r="AL294" s="7"/>
      <c r="AM294" s="278"/>
      <c r="AN294" s="278"/>
      <c r="AO294" s="278"/>
      <c r="AP294" s="278"/>
      <c r="AQ294" s="278"/>
      <c r="AR294" s="7"/>
      <c r="AS294" s="278"/>
      <c r="AT294" s="278"/>
    </row>
    <row r="295" spans="2:46" s="8" customFormat="1" hidden="1" x14ac:dyDescent="0.45">
      <c r="B295" s="40"/>
      <c r="C295" s="1"/>
      <c r="D295" s="1"/>
      <c r="E295" s="1"/>
      <c r="F295" s="1"/>
      <c r="G295" s="1"/>
      <c r="H295" s="38"/>
      <c r="I295" s="38"/>
      <c r="J295" s="38"/>
      <c r="K295" s="38"/>
      <c r="L295" s="38"/>
      <c r="M295" s="19"/>
      <c r="N295" s="1"/>
      <c r="O295" s="1"/>
      <c r="P295" s="1"/>
      <c r="Q295" s="1"/>
      <c r="R295" s="1"/>
      <c r="S295" s="1"/>
      <c r="T295" s="19"/>
      <c r="U295" s="19"/>
      <c r="V295" s="19"/>
      <c r="W295" s="30"/>
      <c r="X295" s="30"/>
      <c r="Y295" s="30"/>
      <c r="Z295" s="39"/>
      <c r="AA295" s="39"/>
      <c r="AB295" s="39"/>
      <c r="AC295" s="39"/>
      <c r="AD295" s="39"/>
      <c r="AE295" s="39"/>
      <c r="AF295" s="39"/>
      <c r="AG295" s="39"/>
      <c r="AH295" s="39"/>
      <c r="AI295" s="39"/>
      <c r="AJ295" s="39"/>
      <c r="AK295" s="283"/>
      <c r="AL295" s="7"/>
      <c r="AM295" s="278"/>
      <c r="AN295" s="278"/>
      <c r="AO295" s="278"/>
      <c r="AP295" s="278"/>
      <c r="AQ295" s="278"/>
      <c r="AR295" s="7"/>
      <c r="AS295" s="278"/>
      <c r="AT295" s="278"/>
    </row>
    <row r="296" spans="2:46" s="8" customFormat="1" hidden="1" x14ac:dyDescent="0.45">
      <c r="B296" s="40"/>
      <c r="C296" s="1"/>
      <c r="D296" s="1"/>
      <c r="E296" s="1"/>
      <c r="F296" s="1"/>
      <c r="G296" s="1"/>
      <c r="H296" s="38"/>
      <c r="I296" s="38"/>
      <c r="J296" s="38"/>
      <c r="K296" s="38"/>
      <c r="L296" s="38"/>
      <c r="M296" s="19"/>
      <c r="N296" s="1"/>
      <c r="O296" s="1"/>
      <c r="P296" s="1"/>
      <c r="Q296" s="1"/>
      <c r="R296" s="1"/>
      <c r="S296" s="1"/>
      <c r="T296" s="19"/>
      <c r="U296" s="19"/>
      <c r="V296" s="19"/>
      <c r="W296" s="30"/>
      <c r="X296" s="30"/>
      <c r="Y296" s="30"/>
      <c r="Z296" s="39"/>
      <c r="AA296" s="39"/>
      <c r="AB296" s="39"/>
      <c r="AC296" s="39"/>
      <c r="AD296" s="39"/>
      <c r="AE296" s="39"/>
      <c r="AF296" s="39"/>
      <c r="AG296" s="39"/>
      <c r="AH296" s="39"/>
      <c r="AI296" s="39"/>
      <c r="AJ296" s="39"/>
      <c r="AK296" s="283"/>
      <c r="AL296" s="7"/>
      <c r="AM296" s="278"/>
      <c r="AN296" s="278"/>
      <c r="AO296" s="278"/>
      <c r="AP296" s="278"/>
      <c r="AQ296" s="278"/>
      <c r="AR296" s="7"/>
      <c r="AS296" s="278"/>
      <c r="AT296" s="278"/>
    </row>
    <row r="297" spans="2:46" s="8" customFormat="1" hidden="1" x14ac:dyDescent="0.45">
      <c r="B297" s="40"/>
      <c r="C297" s="1"/>
      <c r="D297" s="1"/>
      <c r="E297" s="1"/>
      <c r="F297" s="1"/>
      <c r="G297" s="1"/>
      <c r="H297" s="38"/>
      <c r="I297" s="38"/>
      <c r="J297" s="38"/>
      <c r="K297" s="38"/>
      <c r="L297" s="38"/>
      <c r="M297" s="19"/>
      <c r="N297" s="1"/>
      <c r="O297" s="1"/>
      <c r="P297" s="1"/>
      <c r="Q297" s="1"/>
      <c r="R297" s="1"/>
      <c r="S297" s="1"/>
      <c r="T297" s="19"/>
      <c r="U297" s="19"/>
      <c r="V297" s="19"/>
      <c r="W297" s="30"/>
      <c r="X297" s="30"/>
      <c r="Y297" s="30"/>
      <c r="Z297" s="39"/>
      <c r="AA297" s="39"/>
      <c r="AB297" s="39"/>
      <c r="AC297" s="39"/>
      <c r="AD297" s="39"/>
      <c r="AE297" s="39"/>
      <c r="AF297" s="39"/>
      <c r="AG297" s="39"/>
      <c r="AH297" s="39"/>
      <c r="AI297" s="39"/>
      <c r="AJ297" s="39"/>
      <c r="AK297" s="283"/>
      <c r="AL297" s="7"/>
      <c r="AM297" s="278"/>
      <c r="AN297" s="278"/>
      <c r="AO297" s="278"/>
      <c r="AP297" s="278"/>
      <c r="AQ297" s="278"/>
      <c r="AR297" s="7"/>
      <c r="AS297" s="278"/>
      <c r="AT297" s="278"/>
    </row>
    <row r="298" spans="2:46" s="8" customFormat="1" hidden="1" x14ac:dyDescent="0.45">
      <c r="B298" s="40"/>
      <c r="C298" s="1"/>
      <c r="D298" s="1"/>
      <c r="E298" s="1"/>
      <c r="F298" s="1"/>
      <c r="G298" s="1"/>
      <c r="H298" s="38"/>
      <c r="I298" s="38"/>
      <c r="J298" s="38"/>
      <c r="K298" s="38"/>
      <c r="L298" s="38"/>
      <c r="M298" s="19"/>
      <c r="N298" s="1"/>
      <c r="O298" s="1"/>
      <c r="P298" s="1"/>
      <c r="Q298" s="1"/>
      <c r="R298" s="1"/>
      <c r="S298" s="1"/>
      <c r="T298" s="19"/>
      <c r="U298" s="19"/>
      <c r="V298" s="19"/>
      <c r="W298" s="30"/>
      <c r="X298" s="30"/>
      <c r="Y298" s="30"/>
      <c r="Z298" s="39"/>
      <c r="AA298" s="39"/>
      <c r="AB298" s="39"/>
      <c r="AC298" s="39"/>
      <c r="AD298" s="39"/>
      <c r="AE298" s="39"/>
      <c r="AF298" s="39"/>
      <c r="AG298" s="39"/>
      <c r="AH298" s="39"/>
      <c r="AI298" s="39"/>
      <c r="AJ298" s="39"/>
      <c r="AK298" s="283"/>
      <c r="AL298" s="7"/>
      <c r="AM298" s="278"/>
      <c r="AN298" s="278"/>
      <c r="AO298" s="278"/>
      <c r="AP298" s="278"/>
      <c r="AQ298" s="278"/>
      <c r="AR298" s="7"/>
      <c r="AS298" s="278"/>
      <c r="AT298" s="278"/>
    </row>
    <row r="299" spans="2:46" s="8" customFormat="1" hidden="1" x14ac:dyDescent="0.45">
      <c r="B299" s="40"/>
      <c r="C299" s="1"/>
      <c r="D299" s="1"/>
      <c r="E299" s="1"/>
      <c r="F299" s="1"/>
      <c r="G299" s="1"/>
      <c r="H299" s="38"/>
      <c r="I299" s="38"/>
      <c r="J299" s="38"/>
      <c r="K299" s="38"/>
      <c r="L299" s="38"/>
      <c r="M299" s="19"/>
      <c r="N299" s="1"/>
      <c r="O299" s="1"/>
      <c r="P299" s="1"/>
      <c r="Q299" s="1"/>
      <c r="R299" s="1"/>
      <c r="S299" s="1"/>
      <c r="T299" s="19"/>
      <c r="U299" s="19"/>
      <c r="V299" s="19"/>
      <c r="W299" s="30"/>
      <c r="X299" s="30"/>
      <c r="Y299" s="30"/>
      <c r="Z299" s="39"/>
      <c r="AA299" s="39"/>
      <c r="AB299" s="39"/>
      <c r="AC299" s="39"/>
      <c r="AD299" s="39"/>
      <c r="AE299" s="39"/>
      <c r="AF299" s="39"/>
      <c r="AG299" s="39"/>
      <c r="AH299" s="39"/>
      <c r="AI299" s="39"/>
      <c r="AJ299" s="39"/>
      <c r="AK299" s="283"/>
      <c r="AL299" s="7"/>
      <c r="AM299" s="278"/>
      <c r="AN299" s="278"/>
      <c r="AO299" s="278"/>
      <c r="AP299" s="278"/>
      <c r="AQ299" s="278"/>
      <c r="AR299" s="7"/>
      <c r="AS299" s="278"/>
      <c r="AT299" s="278"/>
    </row>
    <row r="300" spans="2:46" s="8" customFormat="1" hidden="1" x14ac:dyDescent="0.45">
      <c r="B300" s="40"/>
      <c r="C300" s="1"/>
      <c r="D300" s="1"/>
      <c r="E300" s="1"/>
      <c r="F300" s="1"/>
      <c r="G300" s="1"/>
      <c r="H300" s="38"/>
      <c r="I300" s="38"/>
      <c r="J300" s="38"/>
      <c r="K300" s="38"/>
      <c r="L300" s="38"/>
      <c r="M300" s="19"/>
      <c r="N300" s="1"/>
      <c r="O300" s="1"/>
      <c r="P300" s="1"/>
      <c r="Q300" s="1"/>
      <c r="R300" s="1"/>
      <c r="S300" s="1"/>
      <c r="T300" s="19"/>
      <c r="U300" s="19"/>
      <c r="V300" s="19"/>
      <c r="W300" s="30"/>
      <c r="X300" s="30"/>
      <c r="Y300" s="30"/>
      <c r="Z300" s="39"/>
      <c r="AA300" s="39"/>
      <c r="AB300" s="39"/>
      <c r="AC300" s="39"/>
      <c r="AD300" s="39"/>
      <c r="AE300" s="39"/>
      <c r="AF300" s="39"/>
      <c r="AG300" s="39"/>
      <c r="AH300" s="39"/>
      <c r="AI300" s="39"/>
      <c r="AJ300" s="39"/>
      <c r="AK300" s="283"/>
      <c r="AL300" s="7"/>
      <c r="AM300" s="278"/>
      <c r="AN300" s="278"/>
      <c r="AO300" s="278"/>
      <c r="AP300" s="278"/>
      <c r="AQ300" s="278"/>
      <c r="AR300" s="7"/>
      <c r="AS300" s="278"/>
      <c r="AT300" s="278"/>
    </row>
    <row r="301" spans="2:46" s="8" customFormat="1" hidden="1" x14ac:dyDescent="0.45">
      <c r="B301" s="40"/>
      <c r="C301" s="1"/>
      <c r="D301" s="1"/>
      <c r="E301" s="1"/>
      <c r="F301" s="1"/>
      <c r="G301" s="1"/>
      <c r="H301" s="38"/>
      <c r="I301" s="38"/>
      <c r="J301" s="38"/>
      <c r="K301" s="38"/>
      <c r="L301" s="38"/>
      <c r="M301" s="19"/>
      <c r="N301" s="1"/>
      <c r="O301" s="1"/>
      <c r="P301" s="1"/>
      <c r="Q301" s="1"/>
      <c r="R301" s="1"/>
      <c r="S301" s="1"/>
      <c r="T301" s="19"/>
      <c r="U301" s="19"/>
      <c r="V301" s="19"/>
      <c r="W301" s="30"/>
      <c r="X301" s="30"/>
      <c r="Y301" s="30"/>
      <c r="Z301" s="39"/>
      <c r="AA301" s="39"/>
      <c r="AB301" s="39"/>
      <c r="AC301" s="39"/>
      <c r="AD301" s="39"/>
      <c r="AE301" s="39"/>
      <c r="AF301" s="39"/>
      <c r="AG301" s="39"/>
      <c r="AH301" s="39"/>
      <c r="AI301" s="39"/>
      <c r="AJ301" s="39"/>
      <c r="AK301" s="283"/>
      <c r="AL301" s="7"/>
      <c r="AM301" s="278"/>
      <c r="AN301" s="278"/>
      <c r="AO301" s="278"/>
      <c r="AP301" s="278"/>
      <c r="AQ301" s="278"/>
      <c r="AR301" s="7"/>
      <c r="AS301" s="278"/>
      <c r="AT301" s="278"/>
    </row>
    <row r="302" spans="2:46" s="8" customFormat="1" hidden="1" x14ac:dyDescent="0.45">
      <c r="B302" s="40"/>
      <c r="C302" s="1"/>
      <c r="D302" s="1"/>
      <c r="E302" s="1"/>
      <c r="F302" s="1"/>
      <c r="G302" s="1"/>
      <c r="H302" s="38"/>
      <c r="I302" s="38"/>
      <c r="J302" s="38"/>
      <c r="K302" s="38"/>
      <c r="L302" s="38"/>
      <c r="M302" s="19"/>
      <c r="N302" s="1"/>
      <c r="O302" s="1"/>
      <c r="P302" s="1"/>
      <c r="Q302" s="1"/>
      <c r="R302" s="1"/>
      <c r="S302" s="1"/>
      <c r="T302" s="19"/>
      <c r="U302" s="19"/>
      <c r="V302" s="19"/>
      <c r="W302" s="30"/>
      <c r="X302" s="30"/>
      <c r="Y302" s="30"/>
      <c r="Z302" s="39"/>
      <c r="AA302" s="39"/>
      <c r="AB302" s="39"/>
      <c r="AC302" s="39"/>
      <c r="AD302" s="39"/>
      <c r="AE302" s="39"/>
      <c r="AF302" s="39"/>
      <c r="AG302" s="39"/>
      <c r="AH302" s="39"/>
      <c r="AI302" s="39"/>
      <c r="AJ302" s="39"/>
      <c r="AK302" s="283"/>
      <c r="AL302" s="7"/>
      <c r="AM302" s="278"/>
      <c r="AN302" s="278"/>
      <c r="AO302" s="278"/>
      <c r="AP302" s="278"/>
      <c r="AQ302" s="278"/>
      <c r="AR302" s="7"/>
      <c r="AS302" s="278"/>
      <c r="AT302" s="278"/>
    </row>
    <row r="303" spans="2:46" s="8" customFormat="1" hidden="1" x14ac:dyDescent="0.45">
      <c r="B303" s="40"/>
      <c r="C303" s="1"/>
      <c r="D303" s="1"/>
      <c r="E303" s="1"/>
      <c r="F303" s="1"/>
      <c r="G303" s="1"/>
      <c r="H303" s="38"/>
      <c r="I303" s="38"/>
      <c r="J303" s="38"/>
      <c r="K303" s="38"/>
      <c r="L303" s="38"/>
      <c r="M303" s="19"/>
      <c r="N303" s="1"/>
      <c r="O303" s="1"/>
      <c r="P303" s="1"/>
      <c r="Q303" s="1"/>
      <c r="R303" s="1"/>
      <c r="S303" s="1"/>
      <c r="T303" s="19"/>
      <c r="U303" s="19"/>
      <c r="V303" s="19"/>
      <c r="W303" s="30"/>
      <c r="X303" s="30"/>
      <c r="Y303" s="30"/>
      <c r="Z303" s="39"/>
      <c r="AA303" s="39"/>
      <c r="AB303" s="39"/>
      <c r="AC303" s="39"/>
      <c r="AD303" s="39"/>
      <c r="AE303" s="39"/>
      <c r="AF303" s="39"/>
      <c r="AG303" s="39"/>
      <c r="AH303" s="39"/>
      <c r="AI303" s="39"/>
      <c r="AJ303" s="39"/>
      <c r="AK303" s="283"/>
      <c r="AL303" s="7"/>
      <c r="AM303" s="278"/>
      <c r="AN303" s="278"/>
      <c r="AO303" s="278"/>
      <c r="AP303" s="278"/>
      <c r="AQ303" s="278"/>
      <c r="AR303" s="7"/>
      <c r="AS303" s="278"/>
      <c r="AT303" s="278"/>
    </row>
    <row r="304" spans="2:46" s="8" customFormat="1" hidden="1" x14ac:dyDescent="0.45">
      <c r="B304" s="40"/>
      <c r="C304" s="1"/>
      <c r="D304" s="1"/>
      <c r="E304" s="1"/>
      <c r="F304" s="1"/>
      <c r="G304" s="1"/>
      <c r="H304" s="38"/>
      <c r="I304" s="38"/>
      <c r="J304" s="38"/>
      <c r="K304" s="38"/>
      <c r="L304" s="38"/>
      <c r="M304" s="19"/>
      <c r="N304" s="1"/>
      <c r="O304" s="1"/>
      <c r="P304" s="1"/>
      <c r="Q304" s="1"/>
      <c r="R304" s="1"/>
      <c r="S304" s="1"/>
      <c r="T304" s="19"/>
      <c r="U304" s="19"/>
      <c r="V304" s="19"/>
      <c r="W304" s="30"/>
      <c r="X304" s="30"/>
      <c r="Y304" s="30"/>
      <c r="Z304" s="39"/>
      <c r="AA304" s="39"/>
      <c r="AB304" s="39"/>
      <c r="AC304" s="39"/>
      <c r="AD304" s="39"/>
      <c r="AE304" s="39"/>
      <c r="AF304" s="39"/>
      <c r="AG304" s="39"/>
      <c r="AH304" s="39"/>
      <c r="AI304" s="39"/>
      <c r="AJ304" s="39"/>
      <c r="AK304" s="283"/>
      <c r="AL304" s="7"/>
      <c r="AM304" s="278"/>
      <c r="AN304" s="278"/>
      <c r="AO304" s="278"/>
      <c r="AP304" s="278"/>
      <c r="AQ304" s="278"/>
      <c r="AR304" s="7"/>
      <c r="AS304" s="278"/>
      <c r="AT304" s="278"/>
    </row>
    <row r="305" spans="2:46" s="8" customFormat="1" hidden="1" x14ac:dyDescent="0.45">
      <c r="B305" s="40"/>
      <c r="C305" s="1"/>
      <c r="D305" s="1"/>
      <c r="E305" s="1"/>
      <c r="F305" s="1"/>
      <c r="G305" s="1"/>
      <c r="H305" s="38"/>
      <c r="I305" s="38"/>
      <c r="J305" s="38"/>
      <c r="K305" s="38"/>
      <c r="L305" s="38"/>
      <c r="M305" s="19"/>
      <c r="N305" s="1"/>
      <c r="O305" s="1"/>
      <c r="P305" s="1"/>
      <c r="Q305" s="1"/>
      <c r="R305" s="1"/>
      <c r="S305" s="1"/>
      <c r="T305" s="19"/>
      <c r="U305" s="19"/>
      <c r="V305" s="19"/>
      <c r="W305" s="30"/>
      <c r="X305" s="30"/>
      <c r="Y305" s="30"/>
      <c r="Z305" s="39"/>
      <c r="AA305" s="39"/>
      <c r="AB305" s="39"/>
      <c r="AC305" s="39"/>
      <c r="AD305" s="39"/>
      <c r="AE305" s="39"/>
      <c r="AF305" s="39"/>
      <c r="AG305" s="39"/>
      <c r="AH305" s="39"/>
      <c r="AI305" s="39"/>
      <c r="AJ305" s="39"/>
      <c r="AK305" s="283"/>
      <c r="AL305" s="7"/>
      <c r="AM305" s="278"/>
      <c r="AN305" s="278"/>
      <c r="AO305" s="278"/>
      <c r="AP305" s="278"/>
      <c r="AQ305" s="278"/>
      <c r="AR305" s="7"/>
      <c r="AS305" s="278"/>
      <c r="AT305" s="278"/>
    </row>
    <row r="306" spans="2:46" s="8" customFormat="1" hidden="1" x14ac:dyDescent="0.45">
      <c r="B306" s="40"/>
      <c r="C306" s="1"/>
      <c r="D306" s="1"/>
      <c r="E306" s="1"/>
      <c r="F306" s="1"/>
      <c r="G306" s="1"/>
      <c r="H306" s="38"/>
      <c r="I306" s="38"/>
      <c r="J306" s="38"/>
      <c r="K306" s="38"/>
      <c r="L306" s="38"/>
      <c r="M306" s="19"/>
      <c r="N306" s="1"/>
      <c r="O306" s="1"/>
      <c r="P306" s="1"/>
      <c r="Q306" s="1"/>
      <c r="R306" s="1"/>
      <c r="S306" s="1"/>
      <c r="T306" s="19"/>
      <c r="U306" s="19"/>
      <c r="V306" s="19"/>
      <c r="W306" s="30"/>
      <c r="X306" s="30"/>
      <c r="Y306" s="30"/>
      <c r="Z306" s="39"/>
      <c r="AA306" s="39"/>
      <c r="AB306" s="39"/>
      <c r="AC306" s="39"/>
      <c r="AD306" s="39"/>
      <c r="AE306" s="39"/>
      <c r="AF306" s="39"/>
      <c r="AG306" s="39"/>
      <c r="AH306" s="39"/>
      <c r="AI306" s="39"/>
      <c r="AJ306" s="39"/>
      <c r="AK306" s="283"/>
      <c r="AL306" s="7"/>
      <c r="AM306" s="278"/>
      <c r="AN306" s="278"/>
      <c r="AO306" s="278"/>
      <c r="AP306" s="278"/>
      <c r="AQ306" s="278"/>
      <c r="AR306" s="7"/>
      <c r="AS306" s="278"/>
      <c r="AT306" s="278"/>
    </row>
    <row r="307" spans="2:46" s="8" customFormat="1" hidden="1" x14ac:dyDescent="0.45">
      <c r="B307" s="40"/>
      <c r="C307" s="1"/>
      <c r="D307" s="1"/>
      <c r="E307" s="1"/>
      <c r="F307" s="1"/>
      <c r="G307" s="1"/>
      <c r="H307" s="38"/>
      <c r="I307" s="38"/>
      <c r="J307" s="38"/>
      <c r="K307" s="38"/>
      <c r="L307" s="38"/>
      <c r="M307" s="19"/>
      <c r="N307" s="1"/>
      <c r="O307" s="1"/>
      <c r="P307" s="1"/>
      <c r="Q307" s="1"/>
      <c r="R307" s="1"/>
      <c r="S307" s="1"/>
      <c r="T307" s="19"/>
      <c r="U307" s="19"/>
      <c r="V307" s="19"/>
      <c r="W307" s="30"/>
      <c r="X307" s="30"/>
      <c r="Y307" s="30"/>
      <c r="Z307" s="39"/>
      <c r="AA307" s="39"/>
      <c r="AB307" s="39"/>
      <c r="AC307" s="39"/>
      <c r="AD307" s="39"/>
      <c r="AE307" s="39"/>
      <c r="AF307" s="39"/>
      <c r="AG307" s="39"/>
      <c r="AH307" s="39"/>
      <c r="AI307" s="39"/>
      <c r="AJ307" s="39"/>
      <c r="AK307" s="283"/>
      <c r="AL307" s="7"/>
      <c r="AM307" s="278"/>
      <c r="AN307" s="278"/>
      <c r="AO307" s="278"/>
      <c r="AP307" s="278"/>
      <c r="AQ307" s="278"/>
      <c r="AR307" s="7"/>
      <c r="AS307" s="278"/>
      <c r="AT307" s="278"/>
    </row>
    <row r="308" spans="2:46" s="8" customFormat="1" hidden="1" x14ac:dyDescent="0.45">
      <c r="B308" s="40"/>
      <c r="C308" s="1"/>
      <c r="D308" s="1"/>
      <c r="E308" s="1"/>
      <c r="F308" s="1"/>
      <c r="G308" s="1"/>
      <c r="H308" s="38"/>
      <c r="I308" s="38"/>
      <c r="J308" s="38"/>
      <c r="K308" s="38"/>
      <c r="L308" s="38"/>
      <c r="M308" s="19"/>
      <c r="N308" s="1"/>
      <c r="O308" s="1"/>
      <c r="P308" s="1"/>
      <c r="Q308" s="1"/>
      <c r="R308" s="1"/>
      <c r="S308" s="1"/>
      <c r="T308" s="19"/>
      <c r="U308" s="19"/>
      <c r="V308" s="19"/>
      <c r="W308" s="30"/>
      <c r="X308" s="30"/>
      <c r="Y308" s="30"/>
      <c r="Z308" s="39"/>
      <c r="AA308" s="39"/>
      <c r="AB308" s="39"/>
      <c r="AC308" s="39"/>
      <c r="AD308" s="39"/>
      <c r="AE308" s="39"/>
      <c r="AF308" s="39"/>
      <c r="AG308" s="39"/>
      <c r="AH308" s="39"/>
      <c r="AI308" s="39"/>
      <c r="AJ308" s="39"/>
      <c r="AK308" s="283"/>
      <c r="AL308" s="7"/>
      <c r="AM308" s="278"/>
      <c r="AN308" s="278"/>
      <c r="AO308" s="278"/>
      <c r="AP308" s="278"/>
      <c r="AQ308" s="278"/>
      <c r="AR308" s="7"/>
      <c r="AS308" s="278"/>
      <c r="AT308" s="278"/>
    </row>
    <row r="309" spans="2:46" s="8" customFormat="1" hidden="1" x14ac:dyDescent="0.45">
      <c r="B309" s="40"/>
      <c r="C309" s="1"/>
      <c r="D309" s="1"/>
      <c r="E309" s="1"/>
      <c r="F309" s="1"/>
      <c r="G309" s="1"/>
      <c r="H309" s="38"/>
      <c r="I309" s="38"/>
      <c r="J309" s="38"/>
      <c r="K309" s="38"/>
      <c r="L309" s="38"/>
      <c r="M309" s="19"/>
      <c r="N309" s="1"/>
      <c r="O309" s="1"/>
      <c r="P309" s="1"/>
      <c r="Q309" s="1"/>
      <c r="R309" s="1"/>
      <c r="S309" s="1"/>
      <c r="T309" s="19"/>
      <c r="U309" s="19"/>
      <c r="V309" s="19"/>
      <c r="W309" s="30"/>
      <c r="X309" s="30"/>
      <c r="Y309" s="30"/>
      <c r="Z309" s="39"/>
      <c r="AA309" s="39"/>
      <c r="AB309" s="39"/>
      <c r="AC309" s="39"/>
      <c r="AD309" s="39"/>
      <c r="AE309" s="39"/>
      <c r="AF309" s="39"/>
      <c r="AG309" s="39"/>
      <c r="AH309" s="39"/>
      <c r="AI309" s="39"/>
      <c r="AJ309" s="39"/>
      <c r="AK309" s="283"/>
      <c r="AL309" s="7"/>
      <c r="AM309" s="278"/>
      <c r="AN309" s="278"/>
      <c r="AO309" s="278"/>
      <c r="AP309" s="278"/>
      <c r="AQ309" s="278"/>
      <c r="AR309" s="7"/>
      <c r="AS309" s="278"/>
      <c r="AT309" s="278"/>
    </row>
    <row r="310" spans="2:46" s="8" customFormat="1" hidden="1" x14ac:dyDescent="0.45">
      <c r="B310" s="40"/>
      <c r="C310" s="1"/>
      <c r="D310" s="1"/>
      <c r="E310" s="1"/>
      <c r="F310" s="1"/>
      <c r="G310" s="1"/>
      <c r="H310" s="38"/>
      <c r="I310" s="38"/>
      <c r="J310" s="38"/>
      <c r="K310" s="38"/>
      <c r="L310" s="38"/>
      <c r="M310" s="19"/>
      <c r="N310" s="1"/>
      <c r="O310" s="1"/>
      <c r="P310" s="1"/>
      <c r="Q310" s="1"/>
      <c r="R310" s="1"/>
      <c r="S310" s="1"/>
      <c r="T310" s="19"/>
      <c r="U310" s="19"/>
      <c r="V310" s="19"/>
      <c r="W310" s="30"/>
      <c r="X310" s="30"/>
      <c r="Y310" s="30"/>
      <c r="Z310" s="39"/>
      <c r="AA310" s="39"/>
      <c r="AB310" s="39"/>
      <c r="AC310" s="39"/>
      <c r="AD310" s="39"/>
      <c r="AE310" s="39"/>
      <c r="AF310" s="39"/>
      <c r="AG310" s="39"/>
      <c r="AH310" s="39"/>
      <c r="AI310" s="39"/>
      <c r="AJ310" s="39"/>
      <c r="AK310" s="283"/>
      <c r="AL310" s="7"/>
      <c r="AM310" s="278"/>
      <c r="AN310" s="278"/>
      <c r="AO310" s="278"/>
      <c r="AP310" s="278"/>
      <c r="AQ310" s="278"/>
      <c r="AR310" s="7"/>
      <c r="AS310" s="278"/>
      <c r="AT310" s="278"/>
    </row>
    <row r="311" spans="2:46" s="8" customFormat="1" hidden="1" x14ac:dyDescent="0.45">
      <c r="B311" s="40"/>
      <c r="C311" s="1"/>
      <c r="D311" s="1"/>
      <c r="E311" s="1"/>
      <c r="F311" s="1"/>
      <c r="G311" s="1"/>
      <c r="H311" s="38"/>
      <c r="I311" s="38"/>
      <c r="J311" s="38"/>
      <c r="K311" s="38"/>
      <c r="L311" s="38"/>
      <c r="M311" s="19"/>
      <c r="N311" s="1"/>
      <c r="O311" s="1"/>
      <c r="P311" s="1"/>
      <c r="Q311" s="1"/>
      <c r="R311" s="1"/>
      <c r="S311" s="1"/>
      <c r="T311" s="19"/>
      <c r="U311" s="19"/>
      <c r="V311" s="19"/>
      <c r="W311" s="30"/>
      <c r="X311" s="30"/>
      <c r="Y311" s="30"/>
      <c r="Z311" s="39"/>
      <c r="AA311" s="39"/>
      <c r="AB311" s="39"/>
      <c r="AC311" s="39"/>
      <c r="AD311" s="39"/>
      <c r="AE311" s="39"/>
      <c r="AF311" s="39"/>
      <c r="AG311" s="39"/>
      <c r="AH311" s="39"/>
      <c r="AI311" s="39"/>
      <c r="AJ311" s="39"/>
      <c r="AK311" s="283"/>
      <c r="AL311" s="7"/>
      <c r="AM311" s="278"/>
      <c r="AN311" s="278"/>
      <c r="AO311" s="278"/>
      <c r="AP311" s="278"/>
      <c r="AQ311" s="278"/>
      <c r="AR311" s="7"/>
      <c r="AS311" s="278"/>
      <c r="AT311" s="278"/>
    </row>
    <row r="312" spans="2:46" s="8" customFormat="1" hidden="1" x14ac:dyDescent="0.45">
      <c r="B312" s="40"/>
      <c r="C312" s="1"/>
      <c r="D312" s="1"/>
      <c r="E312" s="1"/>
      <c r="F312" s="1"/>
      <c r="G312" s="1"/>
      <c r="H312" s="38"/>
      <c r="I312" s="38"/>
      <c r="J312" s="38"/>
      <c r="K312" s="38"/>
      <c r="L312" s="38"/>
      <c r="M312" s="19"/>
      <c r="N312" s="1"/>
      <c r="O312" s="1"/>
      <c r="P312" s="1"/>
      <c r="Q312" s="1"/>
      <c r="R312" s="1"/>
      <c r="S312" s="1"/>
      <c r="T312" s="19"/>
      <c r="U312" s="19"/>
      <c r="V312" s="19"/>
      <c r="W312" s="30"/>
      <c r="X312" s="30"/>
      <c r="Y312" s="30"/>
      <c r="Z312" s="39"/>
      <c r="AA312" s="39"/>
      <c r="AB312" s="39"/>
      <c r="AC312" s="39"/>
      <c r="AD312" s="39"/>
      <c r="AE312" s="39"/>
      <c r="AF312" s="39"/>
      <c r="AG312" s="39"/>
      <c r="AH312" s="39"/>
      <c r="AI312" s="39"/>
      <c r="AJ312" s="39"/>
      <c r="AK312" s="283"/>
      <c r="AL312" s="7"/>
      <c r="AM312" s="278"/>
      <c r="AN312" s="278"/>
      <c r="AO312" s="278"/>
      <c r="AP312" s="278"/>
      <c r="AQ312" s="278"/>
      <c r="AR312" s="7"/>
      <c r="AS312" s="278"/>
      <c r="AT312" s="278"/>
    </row>
    <row r="313" spans="2:46" s="8" customFormat="1" hidden="1" x14ac:dyDescent="0.45">
      <c r="B313" s="40"/>
      <c r="C313" s="1"/>
      <c r="D313" s="1"/>
      <c r="E313" s="1"/>
      <c r="F313" s="1"/>
      <c r="G313" s="1"/>
      <c r="H313" s="38"/>
      <c r="I313" s="38"/>
      <c r="J313" s="38"/>
      <c r="K313" s="38"/>
      <c r="L313" s="38"/>
      <c r="M313" s="19"/>
      <c r="N313" s="1"/>
      <c r="O313" s="1"/>
      <c r="P313" s="1"/>
      <c r="Q313" s="1"/>
      <c r="R313" s="1"/>
      <c r="S313" s="1"/>
      <c r="T313" s="19"/>
      <c r="U313" s="19"/>
      <c r="V313" s="19"/>
      <c r="W313" s="30"/>
      <c r="X313" s="30"/>
      <c r="Y313" s="30"/>
      <c r="Z313" s="39"/>
      <c r="AA313" s="39"/>
      <c r="AB313" s="39"/>
      <c r="AC313" s="39"/>
      <c r="AD313" s="39"/>
      <c r="AE313" s="39"/>
      <c r="AF313" s="39"/>
      <c r="AG313" s="39"/>
      <c r="AH313" s="39"/>
      <c r="AI313" s="39"/>
      <c r="AJ313" s="39"/>
      <c r="AK313" s="283"/>
      <c r="AL313" s="7"/>
      <c r="AM313" s="278"/>
      <c r="AN313" s="278"/>
      <c r="AO313" s="278"/>
      <c r="AP313" s="278"/>
      <c r="AQ313" s="278"/>
      <c r="AR313" s="7"/>
      <c r="AS313" s="278"/>
      <c r="AT313" s="278"/>
    </row>
    <row r="314" spans="2:46" s="8" customFormat="1" hidden="1" x14ac:dyDescent="0.45">
      <c r="B314" s="40"/>
      <c r="C314" s="1"/>
      <c r="D314" s="1"/>
      <c r="E314" s="1"/>
      <c r="F314" s="1"/>
      <c r="G314" s="1"/>
      <c r="H314" s="38"/>
      <c r="I314" s="38"/>
      <c r="J314" s="38"/>
      <c r="K314" s="38"/>
      <c r="L314" s="38"/>
      <c r="M314" s="19"/>
      <c r="N314" s="1"/>
      <c r="O314" s="1"/>
      <c r="P314" s="1"/>
      <c r="Q314" s="1"/>
      <c r="R314" s="1"/>
      <c r="S314" s="1"/>
      <c r="T314" s="19"/>
      <c r="U314" s="19"/>
      <c r="V314" s="19"/>
      <c r="W314" s="30"/>
      <c r="X314" s="30"/>
      <c r="Y314" s="30"/>
      <c r="Z314" s="39"/>
      <c r="AA314" s="39"/>
      <c r="AB314" s="39"/>
      <c r="AC314" s="39"/>
      <c r="AD314" s="39"/>
      <c r="AE314" s="39"/>
      <c r="AF314" s="39"/>
      <c r="AG314" s="39"/>
      <c r="AH314" s="39"/>
      <c r="AI314" s="39"/>
      <c r="AJ314" s="39"/>
      <c r="AK314" s="283"/>
      <c r="AL314" s="7"/>
      <c r="AM314" s="278"/>
      <c r="AN314" s="278"/>
      <c r="AO314" s="278"/>
      <c r="AP314" s="278"/>
      <c r="AQ314" s="278"/>
      <c r="AR314" s="7"/>
      <c r="AS314" s="278"/>
      <c r="AT314" s="278"/>
    </row>
    <row r="315" spans="2:46" s="8" customFormat="1" hidden="1" x14ac:dyDescent="0.45">
      <c r="B315" s="40"/>
      <c r="C315" s="1"/>
      <c r="D315" s="1"/>
      <c r="E315" s="1"/>
      <c r="F315" s="1"/>
      <c r="G315" s="1"/>
      <c r="H315" s="38"/>
      <c r="I315" s="38"/>
      <c r="J315" s="38"/>
      <c r="K315" s="38"/>
      <c r="L315" s="38"/>
      <c r="M315" s="19"/>
      <c r="N315" s="1"/>
      <c r="O315" s="1"/>
      <c r="P315" s="1"/>
      <c r="Q315" s="1"/>
      <c r="R315" s="1"/>
      <c r="S315" s="1"/>
      <c r="T315" s="19"/>
      <c r="U315" s="19"/>
      <c r="V315" s="19"/>
      <c r="W315" s="30"/>
      <c r="X315" s="30"/>
      <c r="Y315" s="30"/>
      <c r="Z315" s="39"/>
      <c r="AA315" s="39"/>
      <c r="AB315" s="39"/>
      <c r="AC315" s="39"/>
      <c r="AD315" s="39"/>
      <c r="AE315" s="39"/>
      <c r="AF315" s="39"/>
      <c r="AG315" s="39"/>
      <c r="AH315" s="39"/>
      <c r="AI315" s="39"/>
      <c r="AJ315" s="39"/>
      <c r="AK315" s="283"/>
      <c r="AL315" s="7"/>
      <c r="AM315" s="278"/>
      <c r="AN315" s="278"/>
      <c r="AO315" s="278"/>
      <c r="AP315" s="278"/>
      <c r="AQ315" s="278"/>
      <c r="AR315" s="7"/>
      <c r="AS315" s="278"/>
      <c r="AT315" s="278"/>
    </row>
    <row r="316" spans="2:46" s="8" customFormat="1" hidden="1" x14ac:dyDescent="0.45">
      <c r="B316" s="40"/>
      <c r="C316" s="1"/>
      <c r="D316" s="1"/>
      <c r="E316" s="1"/>
      <c r="F316" s="1"/>
      <c r="G316" s="1"/>
      <c r="H316" s="38"/>
      <c r="I316" s="38"/>
      <c r="J316" s="38"/>
      <c r="K316" s="38"/>
      <c r="L316" s="38"/>
      <c r="M316" s="19"/>
      <c r="N316" s="1"/>
      <c r="O316" s="1"/>
      <c r="P316" s="1"/>
      <c r="Q316" s="1"/>
      <c r="R316" s="1"/>
      <c r="S316" s="1"/>
      <c r="T316" s="19"/>
      <c r="U316" s="19"/>
      <c r="V316" s="19"/>
      <c r="W316" s="30"/>
      <c r="X316" s="30"/>
      <c r="Y316" s="30"/>
      <c r="Z316" s="39"/>
      <c r="AA316" s="39"/>
      <c r="AB316" s="39"/>
      <c r="AC316" s="39"/>
      <c r="AD316" s="39"/>
      <c r="AE316" s="39"/>
      <c r="AF316" s="39"/>
      <c r="AG316" s="39"/>
      <c r="AH316" s="39"/>
      <c r="AI316" s="39"/>
      <c r="AJ316" s="39"/>
      <c r="AK316" s="283"/>
      <c r="AL316" s="7"/>
      <c r="AM316" s="278"/>
      <c r="AN316" s="278"/>
      <c r="AO316" s="278"/>
      <c r="AP316" s="278"/>
      <c r="AQ316" s="278"/>
      <c r="AR316" s="7"/>
      <c r="AS316" s="278"/>
      <c r="AT316" s="278"/>
    </row>
    <row r="317" spans="2:46" s="8" customFormat="1" hidden="1" x14ac:dyDescent="0.45">
      <c r="B317" s="40"/>
      <c r="C317" s="1"/>
      <c r="D317" s="1"/>
      <c r="E317" s="1"/>
      <c r="F317" s="1"/>
      <c r="G317" s="1"/>
      <c r="H317" s="38"/>
      <c r="I317" s="38"/>
      <c r="J317" s="38"/>
      <c r="K317" s="38"/>
      <c r="L317" s="38"/>
      <c r="M317" s="19"/>
      <c r="N317" s="1"/>
      <c r="O317" s="1"/>
      <c r="P317" s="1"/>
      <c r="Q317" s="1"/>
      <c r="R317" s="1"/>
      <c r="S317" s="1"/>
      <c r="T317" s="19"/>
      <c r="U317" s="19"/>
      <c r="V317" s="19"/>
      <c r="W317" s="30"/>
      <c r="X317" s="30"/>
      <c r="Y317" s="30"/>
      <c r="Z317" s="39"/>
      <c r="AA317" s="39"/>
      <c r="AB317" s="39"/>
      <c r="AC317" s="39"/>
      <c r="AD317" s="39"/>
      <c r="AE317" s="39"/>
      <c r="AF317" s="39"/>
      <c r="AG317" s="39"/>
      <c r="AH317" s="39"/>
      <c r="AI317" s="39"/>
      <c r="AJ317" s="39"/>
      <c r="AK317" s="283"/>
      <c r="AL317" s="7"/>
      <c r="AM317" s="278"/>
      <c r="AN317" s="278"/>
      <c r="AO317" s="278"/>
      <c r="AP317" s="278"/>
      <c r="AQ317" s="278"/>
      <c r="AR317" s="7"/>
      <c r="AS317" s="278"/>
      <c r="AT317" s="278"/>
    </row>
    <row r="318" spans="2:46" s="8" customFormat="1" hidden="1" x14ac:dyDescent="0.45">
      <c r="B318" s="40"/>
      <c r="C318" s="1"/>
      <c r="D318" s="1"/>
      <c r="E318" s="1"/>
      <c r="F318" s="1"/>
      <c r="G318" s="1"/>
      <c r="H318" s="38"/>
      <c r="I318" s="38"/>
      <c r="J318" s="38"/>
      <c r="K318" s="38"/>
      <c r="L318" s="38"/>
      <c r="M318" s="19"/>
      <c r="N318" s="1"/>
      <c r="O318" s="1"/>
      <c r="P318" s="1"/>
      <c r="Q318" s="1"/>
      <c r="R318" s="1"/>
      <c r="S318" s="1"/>
      <c r="T318" s="19"/>
      <c r="U318" s="19"/>
      <c r="V318" s="19"/>
      <c r="W318" s="30"/>
      <c r="X318" s="30"/>
      <c r="Y318" s="30"/>
      <c r="Z318" s="39"/>
      <c r="AA318" s="39"/>
      <c r="AB318" s="39"/>
      <c r="AC318" s="39"/>
      <c r="AD318" s="39"/>
      <c r="AE318" s="39"/>
      <c r="AF318" s="39"/>
      <c r="AG318" s="39"/>
      <c r="AH318" s="39"/>
      <c r="AI318" s="39"/>
      <c r="AJ318" s="39"/>
      <c r="AK318" s="283"/>
      <c r="AL318" s="7"/>
      <c r="AM318" s="278"/>
      <c r="AN318" s="278"/>
      <c r="AO318" s="278"/>
      <c r="AP318" s="278"/>
      <c r="AQ318" s="278"/>
      <c r="AR318" s="7"/>
      <c r="AS318" s="278"/>
      <c r="AT318" s="278"/>
    </row>
    <row r="319" spans="2:46" s="8" customFormat="1" hidden="1" x14ac:dyDescent="0.45">
      <c r="B319" s="40"/>
      <c r="C319" s="1"/>
      <c r="D319" s="1"/>
      <c r="E319" s="1"/>
      <c r="F319" s="1"/>
      <c r="G319" s="1"/>
      <c r="H319" s="38"/>
      <c r="I319" s="38"/>
      <c r="J319" s="38"/>
      <c r="K319" s="38"/>
      <c r="L319" s="38"/>
      <c r="M319" s="19"/>
      <c r="N319" s="1"/>
      <c r="O319" s="1"/>
      <c r="P319" s="1"/>
      <c r="Q319" s="1"/>
      <c r="R319" s="1"/>
      <c r="S319" s="1"/>
      <c r="T319" s="19"/>
      <c r="U319" s="19"/>
      <c r="V319" s="19"/>
      <c r="W319" s="30"/>
      <c r="X319" s="30"/>
      <c r="Y319" s="30"/>
      <c r="Z319" s="39"/>
      <c r="AA319" s="39"/>
      <c r="AB319" s="39"/>
      <c r="AC319" s="39"/>
      <c r="AD319" s="39"/>
      <c r="AE319" s="39"/>
      <c r="AF319" s="39"/>
      <c r="AG319" s="39"/>
      <c r="AH319" s="39"/>
      <c r="AI319" s="39"/>
      <c r="AJ319" s="39"/>
      <c r="AK319" s="283"/>
      <c r="AL319" s="7"/>
      <c r="AM319" s="278"/>
      <c r="AN319" s="278"/>
      <c r="AO319" s="278"/>
      <c r="AP319" s="278"/>
      <c r="AQ319" s="278"/>
      <c r="AR319" s="7"/>
      <c r="AS319" s="278"/>
      <c r="AT319" s="278"/>
    </row>
    <row r="320" spans="2:46" s="8" customFormat="1" hidden="1" x14ac:dyDescent="0.45">
      <c r="B320" s="40"/>
      <c r="C320" s="1"/>
      <c r="D320" s="1"/>
      <c r="E320" s="1"/>
      <c r="F320" s="1"/>
      <c r="G320" s="1"/>
      <c r="H320" s="38"/>
      <c r="I320" s="38"/>
      <c r="J320" s="38"/>
      <c r="K320" s="38"/>
      <c r="L320" s="38"/>
      <c r="M320" s="19"/>
      <c r="N320" s="1"/>
      <c r="O320" s="1"/>
      <c r="P320" s="1"/>
      <c r="Q320" s="1"/>
      <c r="R320" s="1"/>
      <c r="S320" s="1"/>
      <c r="T320" s="19"/>
      <c r="U320" s="19"/>
      <c r="V320" s="19"/>
      <c r="W320" s="30"/>
      <c r="X320" s="30"/>
      <c r="Y320" s="30"/>
      <c r="Z320" s="39"/>
      <c r="AA320" s="39"/>
      <c r="AB320" s="39"/>
      <c r="AC320" s="39"/>
      <c r="AD320" s="39"/>
      <c r="AE320" s="39"/>
      <c r="AF320" s="39"/>
      <c r="AG320" s="39"/>
      <c r="AH320" s="39"/>
      <c r="AI320" s="39"/>
      <c r="AJ320" s="39"/>
      <c r="AK320" s="283"/>
      <c r="AL320" s="7"/>
      <c r="AM320" s="278"/>
      <c r="AN320" s="278"/>
      <c r="AO320" s="278"/>
      <c r="AP320" s="278"/>
      <c r="AQ320" s="278"/>
      <c r="AR320" s="7"/>
      <c r="AS320" s="278"/>
      <c r="AT320" s="278"/>
    </row>
    <row r="321" spans="1:44" s="278" customFormat="1" hidden="1" x14ac:dyDescent="0.45">
      <c r="A321" s="8"/>
      <c r="B321" s="40"/>
      <c r="C321" s="1"/>
      <c r="D321" s="1"/>
      <c r="E321" s="1"/>
      <c r="F321" s="1"/>
      <c r="G321" s="1"/>
      <c r="H321" s="38"/>
      <c r="I321" s="38"/>
      <c r="J321" s="38"/>
      <c r="K321" s="38"/>
      <c r="L321" s="38"/>
      <c r="M321" s="19"/>
      <c r="N321" s="1"/>
      <c r="O321" s="1"/>
      <c r="P321" s="1"/>
      <c r="Q321" s="1"/>
      <c r="R321" s="1"/>
      <c r="S321" s="1"/>
      <c r="T321" s="19"/>
      <c r="U321" s="19"/>
      <c r="V321" s="19"/>
      <c r="W321" s="30"/>
      <c r="X321" s="30"/>
      <c r="Y321" s="30"/>
      <c r="Z321" s="39"/>
      <c r="AA321" s="39"/>
      <c r="AB321" s="39"/>
      <c r="AC321" s="39"/>
      <c r="AD321" s="39"/>
      <c r="AE321" s="39"/>
      <c r="AF321" s="39"/>
      <c r="AG321" s="39"/>
      <c r="AH321" s="39"/>
      <c r="AI321" s="39"/>
      <c r="AJ321" s="39"/>
      <c r="AK321" s="283"/>
      <c r="AL321" s="7"/>
      <c r="AR321" s="7"/>
    </row>
    <row r="322" spans="1:44" s="278" customFormat="1" hidden="1" x14ac:dyDescent="0.45">
      <c r="A322" s="8"/>
      <c r="B322" s="40"/>
      <c r="C322" s="1"/>
      <c r="D322" s="1"/>
      <c r="E322" s="1"/>
      <c r="F322" s="1"/>
      <c r="G322" s="1"/>
      <c r="H322" s="38"/>
      <c r="I322" s="38"/>
      <c r="J322" s="38"/>
      <c r="K322" s="38"/>
      <c r="L322" s="38"/>
      <c r="M322" s="19"/>
      <c r="N322" s="1"/>
      <c r="O322" s="1"/>
      <c r="P322" s="1"/>
      <c r="Q322" s="1"/>
      <c r="R322" s="1"/>
      <c r="S322" s="1"/>
      <c r="T322" s="19"/>
      <c r="U322" s="19"/>
      <c r="V322" s="19"/>
      <c r="W322" s="30"/>
      <c r="X322" s="30"/>
      <c r="Y322" s="30"/>
      <c r="Z322" s="39"/>
      <c r="AA322" s="39"/>
      <c r="AB322" s="39"/>
      <c r="AC322" s="39"/>
      <c r="AD322" s="39"/>
      <c r="AE322" s="39"/>
      <c r="AF322" s="39"/>
      <c r="AG322" s="39"/>
      <c r="AH322" s="39"/>
      <c r="AI322" s="39"/>
      <c r="AJ322" s="39"/>
      <c r="AK322" s="283"/>
      <c r="AL322" s="7"/>
      <c r="AR322" s="7"/>
    </row>
    <row r="323" spans="1:44" s="278" customFormat="1" hidden="1" x14ac:dyDescent="0.45">
      <c r="A323" s="8"/>
      <c r="B323" s="40"/>
      <c r="C323" s="1"/>
      <c r="D323" s="1"/>
      <c r="E323" s="1"/>
      <c r="F323" s="1"/>
      <c r="G323" s="1"/>
      <c r="H323" s="38"/>
      <c r="I323" s="38"/>
      <c r="J323" s="38"/>
      <c r="K323" s="38"/>
      <c r="L323" s="38"/>
      <c r="M323" s="19"/>
      <c r="N323" s="1"/>
      <c r="O323" s="1"/>
      <c r="P323" s="1"/>
      <c r="Q323" s="1"/>
      <c r="R323" s="1"/>
      <c r="S323" s="1"/>
      <c r="T323" s="19"/>
      <c r="U323" s="19"/>
      <c r="V323" s="19"/>
      <c r="W323" s="30"/>
      <c r="X323" s="30"/>
      <c r="Y323" s="30"/>
      <c r="Z323" s="39"/>
      <c r="AA323" s="39"/>
      <c r="AB323" s="39"/>
      <c r="AC323" s="39"/>
      <c r="AD323" s="39"/>
      <c r="AE323" s="39"/>
      <c r="AF323" s="39"/>
      <c r="AG323" s="39"/>
      <c r="AH323" s="39"/>
      <c r="AI323" s="39"/>
      <c r="AJ323" s="39"/>
      <c r="AK323" s="283"/>
      <c r="AL323" s="7"/>
      <c r="AR323" s="7"/>
    </row>
    <row r="324" spans="1:44" s="278" customFormat="1" hidden="1" x14ac:dyDescent="0.45">
      <c r="A324" s="8"/>
      <c r="B324" s="40"/>
      <c r="C324" s="1"/>
      <c r="D324" s="1"/>
      <c r="E324" s="1"/>
      <c r="F324" s="1"/>
      <c r="G324" s="1"/>
      <c r="H324" s="38"/>
      <c r="I324" s="38"/>
      <c r="J324" s="38"/>
      <c r="K324" s="38"/>
      <c r="L324" s="38"/>
      <c r="M324" s="19"/>
      <c r="N324" s="1"/>
      <c r="O324" s="1"/>
      <c r="P324" s="1"/>
      <c r="Q324" s="1"/>
      <c r="R324" s="1"/>
      <c r="S324" s="1"/>
      <c r="T324" s="19"/>
      <c r="U324" s="19"/>
      <c r="V324" s="19"/>
      <c r="W324" s="30"/>
      <c r="X324" s="30"/>
      <c r="Y324" s="30"/>
      <c r="Z324" s="39"/>
      <c r="AA324" s="39"/>
      <c r="AB324" s="39"/>
      <c r="AC324" s="39"/>
      <c r="AD324" s="39"/>
      <c r="AE324" s="39"/>
      <c r="AF324" s="39"/>
      <c r="AG324" s="39"/>
      <c r="AH324" s="39"/>
      <c r="AI324" s="39"/>
      <c r="AJ324" s="39"/>
      <c r="AK324" s="283"/>
      <c r="AL324" s="7"/>
      <c r="AR324" s="7"/>
    </row>
    <row r="325" spans="1:44" s="278" customFormat="1" hidden="1" x14ac:dyDescent="0.45">
      <c r="A325" s="8"/>
      <c r="B325" s="40"/>
      <c r="C325" s="1"/>
      <c r="D325" s="1"/>
      <c r="E325" s="1"/>
      <c r="F325" s="1"/>
      <c r="G325" s="1"/>
      <c r="H325" s="38"/>
      <c r="I325" s="38"/>
      <c r="J325" s="38"/>
      <c r="K325" s="38"/>
      <c r="L325" s="38"/>
      <c r="M325" s="19"/>
      <c r="N325" s="1"/>
      <c r="O325" s="1"/>
      <c r="P325" s="1"/>
      <c r="Q325" s="1"/>
      <c r="R325" s="1"/>
      <c r="S325" s="1"/>
      <c r="T325" s="19"/>
      <c r="U325" s="19"/>
      <c r="V325" s="19"/>
      <c r="W325" s="30"/>
      <c r="X325" s="30"/>
      <c r="Y325" s="30"/>
      <c r="Z325" s="39"/>
      <c r="AA325" s="39"/>
      <c r="AB325" s="39"/>
      <c r="AC325" s="39"/>
      <c r="AD325" s="39"/>
      <c r="AE325" s="39"/>
      <c r="AF325" s="39"/>
      <c r="AG325" s="39"/>
      <c r="AH325" s="39"/>
      <c r="AI325" s="39"/>
      <c r="AJ325" s="39"/>
      <c r="AK325" s="283"/>
      <c r="AL325" s="7"/>
      <c r="AR325" s="7"/>
    </row>
    <row r="326" spans="1:44" s="278" customFormat="1" ht="51" hidden="1" x14ac:dyDescent="0.45">
      <c r="A326" s="95"/>
      <c r="B326" s="95"/>
      <c r="C326" s="95" t="s">
        <v>1967</v>
      </c>
      <c r="D326" s="95"/>
      <c r="E326" s="95"/>
      <c r="F326" s="95"/>
      <c r="G326" s="95"/>
      <c r="H326" s="96"/>
      <c r="I326" s="96"/>
      <c r="J326" s="96"/>
      <c r="K326" s="96"/>
      <c r="L326" s="96"/>
      <c r="M326" s="14" t="s">
        <v>1968</v>
      </c>
      <c r="N326" s="97" t="s">
        <v>1969</v>
      </c>
      <c r="O326" s="97" t="s">
        <v>1970</v>
      </c>
      <c r="P326" s="97" t="s">
        <v>208</v>
      </c>
      <c r="Q326" s="97"/>
      <c r="R326" s="574" t="s">
        <v>1971</v>
      </c>
      <c r="S326" s="97" t="s">
        <v>1971</v>
      </c>
      <c r="T326" s="97" t="s">
        <v>169</v>
      </c>
      <c r="U326" s="97" t="s">
        <v>170</v>
      </c>
      <c r="V326" s="97" t="s">
        <v>171</v>
      </c>
      <c r="W326" s="97"/>
      <c r="X326" s="264"/>
      <c r="Y326" s="97"/>
      <c r="Z326" s="97"/>
      <c r="AA326" s="97"/>
      <c r="AB326" s="97"/>
      <c r="AC326" s="97"/>
      <c r="AD326" s="97"/>
      <c r="AE326" s="97"/>
      <c r="AF326" s="97"/>
      <c r="AG326" s="97"/>
      <c r="AH326" s="97"/>
      <c r="AI326" s="97"/>
      <c r="AJ326" s="97"/>
      <c r="AK326" s="284" t="s">
        <v>1972</v>
      </c>
      <c r="AL326" s="9"/>
      <c r="AR326" s="7"/>
    </row>
    <row r="327" spans="1:44" s="278" customFormat="1" ht="51" hidden="1" x14ac:dyDescent="0.45">
      <c r="A327" s="63"/>
      <c r="B327"/>
      <c r="C327" s="64" t="s">
        <v>1967</v>
      </c>
      <c r="D327" s="2"/>
      <c r="E327" s="2"/>
      <c r="F327" s="2"/>
      <c r="G327" s="2"/>
      <c r="H327" s="65"/>
      <c r="I327" s="65"/>
      <c r="J327" s="65"/>
      <c r="K327" s="65"/>
      <c r="L327" s="65"/>
      <c r="M327" s="66" t="s">
        <v>1968</v>
      </c>
      <c r="N327" s="67" t="s">
        <v>1973</v>
      </c>
      <c r="O327" s="67" t="s">
        <v>1974</v>
      </c>
      <c r="P327" s="67" t="s">
        <v>1975</v>
      </c>
      <c r="Q327" s="67"/>
      <c r="R327" s="574" t="s">
        <v>1971</v>
      </c>
      <c r="S327" s="67" t="s">
        <v>1971</v>
      </c>
      <c r="T327" s="67" t="s">
        <v>169</v>
      </c>
      <c r="U327" s="67" t="s">
        <v>170</v>
      </c>
      <c r="V327" s="67" t="s">
        <v>171</v>
      </c>
      <c r="W327" s="67"/>
      <c r="X327" s="265"/>
      <c r="Y327" s="67"/>
      <c r="Z327" s="67"/>
      <c r="AA327" s="67"/>
      <c r="AB327" s="67"/>
      <c r="AC327" s="67"/>
      <c r="AD327" s="67"/>
      <c r="AE327" s="67"/>
      <c r="AF327" s="67"/>
      <c r="AG327" s="67"/>
      <c r="AH327" s="67"/>
      <c r="AI327" s="67"/>
      <c r="AJ327" s="67"/>
      <c r="AK327" s="285" t="s">
        <v>1972</v>
      </c>
      <c r="AL327" s="9"/>
      <c r="AR327" s="7"/>
    </row>
    <row r="328" spans="1:44" s="278" customFormat="1" ht="25.5" hidden="1" customHeight="1" x14ac:dyDescent="0.45">
      <c r="A328" s="35"/>
      <c r="B328" s="27"/>
      <c r="C328" s="2" t="s">
        <v>1967</v>
      </c>
      <c r="D328" s="2" t="s">
        <v>832</v>
      </c>
      <c r="E328" s="2" t="s">
        <v>306</v>
      </c>
      <c r="F328" s="2"/>
      <c r="G328" s="2"/>
      <c r="H328" s="128"/>
      <c r="I328" s="128"/>
      <c r="J328" s="128"/>
      <c r="K328" s="128"/>
      <c r="L328" s="128" t="s">
        <v>280</v>
      </c>
      <c r="M328" s="28" t="s">
        <v>1976</v>
      </c>
      <c r="N328" s="27" t="s">
        <v>1977</v>
      </c>
      <c r="O328" s="28" t="s">
        <v>1978</v>
      </c>
      <c r="P328" s="27" t="s">
        <v>1979</v>
      </c>
      <c r="Q328" s="27" t="s">
        <v>1980</v>
      </c>
      <c r="R328" s="211" t="s">
        <v>1704</v>
      </c>
      <c r="S328" s="27" t="s">
        <v>1511</v>
      </c>
      <c r="T328" s="28"/>
      <c r="U328" s="28"/>
      <c r="V328" s="28"/>
      <c r="W328" s="27">
        <v>1994</v>
      </c>
      <c r="X328" s="266">
        <f>oppervlak_dak_0006+oppervlak_dak_0016</f>
        <v>796</v>
      </c>
      <c r="Y328" s="27"/>
      <c r="Z328" s="28"/>
      <c r="AA328" s="28"/>
      <c r="AB328" s="28"/>
      <c r="AC328" s="28"/>
      <c r="AD328" s="28"/>
      <c r="AE328" s="28"/>
      <c r="AF328" s="28"/>
      <c r="AG328" s="28"/>
      <c r="AH328" s="28"/>
      <c r="AI328" s="28" t="s">
        <v>1981</v>
      </c>
      <c r="AJ328" s="28" t="s">
        <v>470</v>
      </c>
      <c r="AK328" s="266"/>
      <c r="AL328" s="14" t="s">
        <v>1982</v>
      </c>
      <c r="AR328" s="7"/>
    </row>
    <row r="329" spans="1:44" s="278" customFormat="1" ht="140.25" hidden="1" customHeight="1" x14ac:dyDescent="0.45">
      <c r="A329" s="182"/>
      <c r="B329" s="182"/>
      <c r="C329" s="2" t="s">
        <v>1967</v>
      </c>
      <c r="D329" s="2" t="s">
        <v>832</v>
      </c>
      <c r="E329" s="2" t="s">
        <v>306</v>
      </c>
      <c r="F329" s="2"/>
      <c r="G329" s="2" t="s">
        <v>1983</v>
      </c>
      <c r="H329" s="174" t="s">
        <v>1984</v>
      </c>
      <c r="I329" s="174" t="s">
        <v>1985</v>
      </c>
      <c r="J329" s="174"/>
      <c r="K329" s="174"/>
      <c r="L329" s="174"/>
      <c r="M329" s="174" t="s">
        <v>281</v>
      </c>
      <c r="N329" s="182" t="s">
        <v>1986</v>
      </c>
      <c r="O329" s="175" t="s">
        <v>1987</v>
      </c>
      <c r="P329" s="182" t="s">
        <v>1988</v>
      </c>
      <c r="Q329" s="182" t="s">
        <v>1980</v>
      </c>
      <c r="R329" s="182" t="s">
        <v>1704</v>
      </c>
      <c r="S329" s="182" t="s">
        <v>1511</v>
      </c>
      <c r="T329" s="175" t="s">
        <v>1989</v>
      </c>
      <c r="U329" s="175" t="s">
        <v>1990</v>
      </c>
      <c r="V329" s="187" t="s">
        <v>1991</v>
      </c>
      <c r="W329" s="182">
        <v>1994</v>
      </c>
      <c r="X329" s="255">
        <v>398</v>
      </c>
      <c r="Y329" s="182"/>
      <c r="Z329" s="175"/>
      <c r="AA329" s="175"/>
      <c r="AB329" s="175"/>
      <c r="AC329" s="175"/>
      <c r="AD329" s="175"/>
      <c r="AE329" s="175"/>
      <c r="AF329" s="175"/>
      <c r="AG329" s="175"/>
      <c r="AH329" s="175"/>
      <c r="AI329" s="175" t="s">
        <v>1981</v>
      </c>
      <c r="AJ329" s="175" t="s">
        <v>470</v>
      </c>
      <c r="AK329" s="255"/>
      <c r="AL329" s="166" t="s">
        <v>1992</v>
      </c>
      <c r="AR329" s="7"/>
    </row>
    <row r="330" spans="1:44" s="278" customFormat="1" ht="76.5" hidden="1" customHeight="1" x14ac:dyDescent="0.45">
      <c r="A330" s="182"/>
      <c r="B330" s="182"/>
      <c r="C330" s="2" t="s">
        <v>1967</v>
      </c>
      <c r="D330" s="2" t="s">
        <v>832</v>
      </c>
      <c r="E330" s="2" t="s">
        <v>306</v>
      </c>
      <c r="F330" s="2"/>
      <c r="G330" s="2" t="s">
        <v>1983</v>
      </c>
      <c r="H330" s="174" t="s">
        <v>1993</v>
      </c>
      <c r="I330" s="174" t="s">
        <v>1994</v>
      </c>
      <c r="J330" s="174"/>
      <c r="K330" s="174"/>
      <c r="L330" s="174"/>
      <c r="M330" s="174" t="s">
        <v>1995</v>
      </c>
      <c r="N330" s="182" t="s">
        <v>1996</v>
      </c>
      <c r="O330" s="175" t="s">
        <v>1997</v>
      </c>
      <c r="P330" s="182" t="s">
        <v>1998</v>
      </c>
      <c r="Q330" s="182" t="s">
        <v>1980</v>
      </c>
      <c r="R330" s="182" t="s">
        <v>1704</v>
      </c>
      <c r="S330" s="182" t="s">
        <v>1511</v>
      </c>
      <c r="T330" s="175" t="s">
        <v>1999</v>
      </c>
      <c r="U330" s="175" t="s">
        <v>2000</v>
      </c>
      <c r="V330" s="175" t="s">
        <v>2001</v>
      </c>
      <c r="W330" s="182">
        <v>1994</v>
      </c>
      <c r="X330" s="255">
        <v>398</v>
      </c>
      <c r="Y330" s="182"/>
      <c r="Z330" s="175"/>
      <c r="AA330" s="175"/>
      <c r="AB330" s="175"/>
      <c r="AC330" s="175"/>
      <c r="AD330" s="175"/>
      <c r="AE330" s="175"/>
      <c r="AF330" s="175"/>
      <c r="AG330" s="175"/>
      <c r="AH330" s="175"/>
      <c r="AI330" s="175" t="s">
        <v>1981</v>
      </c>
      <c r="AJ330" s="175" t="s">
        <v>470</v>
      </c>
      <c r="AK330" s="255"/>
      <c r="AL330" s="166" t="s">
        <v>2002</v>
      </c>
      <c r="AR330" s="7"/>
    </row>
    <row r="331" spans="1:44" s="278" customFormat="1" ht="102" hidden="1" x14ac:dyDescent="0.45">
      <c r="A331" s="35"/>
      <c r="B331" s="28"/>
      <c r="C331" s="2" t="s">
        <v>1967</v>
      </c>
      <c r="D331" s="2" t="s">
        <v>832</v>
      </c>
      <c r="E331" s="2"/>
      <c r="F331" s="2"/>
      <c r="G331" s="2"/>
      <c r="H331" s="128" t="s">
        <v>2003</v>
      </c>
      <c r="I331" s="128" t="s">
        <v>2004</v>
      </c>
      <c r="J331" s="128"/>
      <c r="K331" s="128"/>
      <c r="L331" s="128" t="s">
        <v>280</v>
      </c>
      <c r="M331" s="28" t="s">
        <v>669</v>
      </c>
      <c r="N331" s="28" t="s">
        <v>2005</v>
      </c>
      <c r="O331" s="28" t="s">
        <v>2006</v>
      </c>
      <c r="P331" s="27" t="s">
        <v>2007</v>
      </c>
      <c r="Q331" s="27" t="s">
        <v>2008</v>
      </c>
      <c r="R331" s="211" t="s">
        <v>1363</v>
      </c>
      <c r="S331" s="27" t="s">
        <v>340</v>
      </c>
      <c r="T331" s="28"/>
      <c r="U331" s="28"/>
      <c r="V331" s="28"/>
      <c r="W331" s="27">
        <v>1998</v>
      </c>
      <c r="X331" s="266">
        <f>oppervlak_dak_0008+oppervlak_dak_0018</f>
        <v>1120</v>
      </c>
      <c r="Y331" s="27"/>
      <c r="Z331" s="28"/>
      <c r="AA331" s="28" t="s">
        <v>150</v>
      </c>
      <c r="AB331" s="28">
        <v>18</v>
      </c>
      <c r="AC331" s="28">
        <v>120</v>
      </c>
      <c r="AD331" s="28"/>
      <c r="AE331" s="28"/>
      <c r="AF331" s="28"/>
      <c r="AG331" s="28"/>
      <c r="AH331" s="28"/>
      <c r="AI331" s="28" t="s">
        <v>253</v>
      </c>
      <c r="AJ331" s="28" t="s">
        <v>2009</v>
      </c>
      <c r="AK331" s="266"/>
      <c r="AL331" s="14" t="s">
        <v>2010</v>
      </c>
      <c r="AR331" s="7"/>
    </row>
    <row r="332" spans="1:44" s="278" customFormat="1" ht="114.75" hidden="1" x14ac:dyDescent="0.45">
      <c r="A332" s="182"/>
      <c r="B332" s="191"/>
      <c r="C332" s="2" t="s">
        <v>1967</v>
      </c>
      <c r="D332" s="2" t="s">
        <v>832</v>
      </c>
      <c r="E332" s="2"/>
      <c r="F332" s="2"/>
      <c r="G332" s="2"/>
      <c r="H332" s="197" t="s">
        <v>2011</v>
      </c>
      <c r="I332" s="197" t="s">
        <v>2012</v>
      </c>
      <c r="J332" s="197"/>
      <c r="K332" s="197"/>
      <c r="L332" s="197"/>
      <c r="M332" s="175" t="s">
        <v>669</v>
      </c>
      <c r="N332" s="175" t="s">
        <v>2013</v>
      </c>
      <c r="O332" s="175" t="s">
        <v>2014</v>
      </c>
      <c r="P332" s="175" t="s">
        <v>2015</v>
      </c>
      <c r="Q332" s="182" t="s">
        <v>2008</v>
      </c>
      <c r="R332" s="182" t="s">
        <v>1363</v>
      </c>
      <c r="S332" s="182" t="s">
        <v>340</v>
      </c>
      <c r="T332" s="175" t="s">
        <v>2016</v>
      </c>
      <c r="U332" s="175" t="s">
        <v>2017</v>
      </c>
      <c r="V332" s="175" t="s">
        <v>2018</v>
      </c>
      <c r="W332" s="182">
        <v>1998</v>
      </c>
      <c r="X332" s="255">
        <v>560</v>
      </c>
      <c r="Y332" s="182"/>
      <c r="Z332" s="175"/>
      <c r="AA332" s="175" t="s">
        <v>150</v>
      </c>
      <c r="AB332" s="175"/>
      <c r="AC332" s="175"/>
      <c r="AD332" s="175"/>
      <c r="AE332" s="175"/>
      <c r="AF332" s="175"/>
      <c r="AG332" s="175"/>
      <c r="AH332" s="175"/>
      <c r="AI332" s="175" t="s">
        <v>253</v>
      </c>
      <c r="AJ332" s="175" t="s">
        <v>2009</v>
      </c>
      <c r="AK332" s="255"/>
      <c r="AL332" s="159" t="s">
        <v>2019</v>
      </c>
      <c r="AR332" s="7"/>
    </row>
    <row r="333" spans="1:44" s="278" customFormat="1" ht="114.75" hidden="1" x14ac:dyDescent="0.45">
      <c r="A333" s="69"/>
      <c r="B333" s="68"/>
      <c r="C333" s="2" t="s">
        <v>1967</v>
      </c>
      <c r="D333" s="2" t="s">
        <v>832</v>
      </c>
      <c r="E333" s="2"/>
      <c r="F333" s="2"/>
      <c r="G333" s="2"/>
      <c r="H333" s="63" t="s">
        <v>2020</v>
      </c>
      <c r="I333" s="63" t="s">
        <v>2021</v>
      </c>
      <c r="J333" s="63"/>
      <c r="K333" s="63"/>
      <c r="L333" s="63"/>
      <c r="M333" s="68" t="s">
        <v>669</v>
      </c>
      <c r="N333" s="68" t="s">
        <v>2022</v>
      </c>
      <c r="O333" s="68" t="s">
        <v>2023</v>
      </c>
      <c r="P333" s="69" t="s">
        <v>2024</v>
      </c>
      <c r="Q333" s="69" t="s">
        <v>2008</v>
      </c>
      <c r="R333" s="182" t="s">
        <v>1363</v>
      </c>
      <c r="S333" s="69" t="s">
        <v>340</v>
      </c>
      <c r="T333" s="68" t="s">
        <v>2025</v>
      </c>
      <c r="U333" s="68" t="s">
        <v>2017</v>
      </c>
      <c r="V333" s="68" t="s">
        <v>2018</v>
      </c>
      <c r="W333" s="69">
        <v>1998</v>
      </c>
      <c r="X333" s="267">
        <v>560</v>
      </c>
      <c r="Y333" s="69"/>
      <c r="Z333" s="68"/>
      <c r="AA333" s="68" t="s">
        <v>150</v>
      </c>
      <c r="AB333" s="68"/>
      <c r="AC333" s="68"/>
      <c r="AD333" s="68"/>
      <c r="AE333" s="68"/>
      <c r="AF333" s="68"/>
      <c r="AG333" s="68"/>
      <c r="AH333" s="68"/>
      <c r="AI333" s="68" t="s">
        <v>253</v>
      </c>
      <c r="AJ333" s="68" t="s">
        <v>2009</v>
      </c>
      <c r="AK333" s="267"/>
      <c r="AL333" s="70" t="s">
        <v>2019</v>
      </c>
      <c r="AR333" s="7"/>
    </row>
    <row r="334" spans="1:44" s="278" customFormat="1" ht="63.75" hidden="1" customHeight="1" x14ac:dyDescent="0.45">
      <c r="A334" s="24"/>
      <c r="B334" s="111"/>
      <c r="C334" s="25" t="s">
        <v>1967</v>
      </c>
      <c r="D334" s="25" t="s">
        <v>136</v>
      </c>
      <c r="E334" s="25"/>
      <c r="F334" s="25"/>
      <c r="G334" s="25" t="s">
        <v>833</v>
      </c>
      <c r="H334" s="150" t="s">
        <v>2026</v>
      </c>
      <c r="I334" s="112" t="s">
        <v>2027</v>
      </c>
      <c r="J334" s="112"/>
      <c r="K334" s="112"/>
      <c r="L334" s="112" t="s">
        <v>348</v>
      </c>
      <c r="M334" s="111" t="s">
        <v>349</v>
      </c>
      <c r="N334" s="111" t="s">
        <v>2028</v>
      </c>
      <c r="O334" s="111" t="s">
        <v>2029</v>
      </c>
      <c r="P334" s="112" t="s">
        <v>2030</v>
      </c>
      <c r="Q334" s="111" t="s">
        <v>2031</v>
      </c>
      <c r="R334" s="160" t="s">
        <v>1570</v>
      </c>
      <c r="S334" s="111" t="s">
        <v>1511</v>
      </c>
      <c r="T334" s="111" t="s">
        <v>2032</v>
      </c>
      <c r="U334" s="111" t="s">
        <v>2033</v>
      </c>
      <c r="V334" s="113" t="s">
        <v>2034</v>
      </c>
      <c r="W334" s="114">
        <v>2004</v>
      </c>
      <c r="X334" s="114">
        <v>2574</v>
      </c>
      <c r="Y334" s="114"/>
      <c r="Z334" s="115" t="s">
        <v>311</v>
      </c>
      <c r="AA334" s="115" t="s">
        <v>2035</v>
      </c>
      <c r="AB334" s="115">
        <v>51</v>
      </c>
      <c r="AC334" s="115">
        <v>306</v>
      </c>
      <c r="AD334" s="115" t="s">
        <v>2036</v>
      </c>
      <c r="AE334" s="115"/>
      <c r="AF334" s="115"/>
      <c r="AG334" s="115"/>
      <c r="AH334" s="115"/>
      <c r="AI334" s="115"/>
      <c r="AJ334" s="115"/>
      <c r="AK334" s="115"/>
      <c r="AL334" s="106" t="s">
        <v>2037</v>
      </c>
      <c r="AR334" s="7"/>
    </row>
    <row r="335" spans="1:44" s="278" customFormat="1" ht="25.5" hidden="1" x14ac:dyDescent="0.45">
      <c r="A335" s="35"/>
      <c r="B335" s="27"/>
      <c r="C335" s="2" t="s">
        <v>1967</v>
      </c>
      <c r="D335" s="2" t="s">
        <v>832</v>
      </c>
      <c r="E335" s="2" t="s">
        <v>306</v>
      </c>
      <c r="F335" s="2"/>
      <c r="G335" s="2"/>
      <c r="H335" s="128"/>
      <c r="I335" s="128"/>
      <c r="J335" s="128"/>
      <c r="K335" s="128"/>
      <c r="L335" s="128" t="s">
        <v>280</v>
      </c>
      <c r="M335" s="28" t="s">
        <v>1976</v>
      </c>
      <c r="N335" s="27" t="s">
        <v>2038</v>
      </c>
      <c r="O335" s="28" t="s">
        <v>2039</v>
      </c>
      <c r="P335" s="27" t="s">
        <v>2040</v>
      </c>
      <c r="Q335" s="27" t="s">
        <v>2041</v>
      </c>
      <c r="R335" s="211" t="s">
        <v>339</v>
      </c>
      <c r="S335" s="27" t="s">
        <v>340</v>
      </c>
      <c r="T335" s="28"/>
      <c r="U335" s="28"/>
      <c r="V335" s="28"/>
      <c r="W335" s="27">
        <v>1990</v>
      </c>
      <c r="X335" s="266">
        <f>oppervlak_dak_0019+oppervlak_dak_0012</f>
        <v>796</v>
      </c>
      <c r="Y335" s="27"/>
      <c r="Z335" s="28"/>
      <c r="AA335" s="28"/>
      <c r="AB335" s="28"/>
      <c r="AC335" s="28"/>
      <c r="AD335" s="28"/>
      <c r="AE335" s="28"/>
      <c r="AF335" s="28"/>
      <c r="AG335" s="28"/>
      <c r="AH335" s="28"/>
      <c r="AI335" s="28"/>
      <c r="AJ335" s="28"/>
      <c r="AK335" s="266" t="s">
        <v>2042</v>
      </c>
      <c r="AL335" s="14" t="s">
        <v>2043</v>
      </c>
      <c r="AR335" s="7"/>
    </row>
    <row r="336" spans="1:44" s="278" customFormat="1" ht="165.75" hidden="1" x14ac:dyDescent="0.45">
      <c r="A336" s="182"/>
      <c r="B336" s="182"/>
      <c r="C336" s="2" t="s">
        <v>1967</v>
      </c>
      <c r="D336" s="2" t="s">
        <v>832</v>
      </c>
      <c r="E336" s="2" t="s">
        <v>306</v>
      </c>
      <c r="F336" s="2"/>
      <c r="G336" s="2"/>
      <c r="H336" s="174" t="s">
        <v>1984</v>
      </c>
      <c r="I336" s="174" t="s">
        <v>2044</v>
      </c>
      <c r="J336" s="174"/>
      <c r="K336" s="174"/>
      <c r="L336" s="174"/>
      <c r="M336" s="175" t="s">
        <v>281</v>
      </c>
      <c r="N336" s="182" t="s">
        <v>2045</v>
      </c>
      <c r="O336" s="175" t="s">
        <v>2046</v>
      </c>
      <c r="P336" s="182" t="s">
        <v>2047</v>
      </c>
      <c r="Q336" s="182" t="s">
        <v>2041</v>
      </c>
      <c r="R336" s="182" t="s">
        <v>339</v>
      </c>
      <c r="S336" s="182" t="s">
        <v>340</v>
      </c>
      <c r="T336" s="175" t="s">
        <v>2048</v>
      </c>
      <c r="U336" s="175" t="s">
        <v>2049</v>
      </c>
      <c r="V336" s="175" t="s">
        <v>2050</v>
      </c>
      <c r="W336" s="182">
        <v>1990</v>
      </c>
      <c r="X336" s="255">
        <v>398</v>
      </c>
      <c r="Y336" s="182"/>
      <c r="Z336" s="175"/>
      <c r="AA336" s="175"/>
      <c r="AB336" s="175"/>
      <c r="AC336" s="175"/>
      <c r="AD336" s="175"/>
      <c r="AE336" s="175"/>
      <c r="AF336" s="175"/>
      <c r="AG336" s="175"/>
      <c r="AH336" s="175"/>
      <c r="AI336" s="175"/>
      <c r="AJ336" s="175"/>
      <c r="AK336" s="255" t="s">
        <v>2042</v>
      </c>
      <c r="AL336" s="166" t="s">
        <v>1992</v>
      </c>
      <c r="AR336" s="7"/>
    </row>
    <row r="337" spans="1:44" s="278" customFormat="1" ht="178.5" hidden="1" x14ac:dyDescent="0.45">
      <c r="A337" s="182"/>
      <c r="B337" s="182"/>
      <c r="C337" s="2" t="s">
        <v>1967</v>
      </c>
      <c r="D337" s="2" t="s">
        <v>832</v>
      </c>
      <c r="E337" s="2" t="s">
        <v>306</v>
      </c>
      <c r="F337" s="2"/>
      <c r="G337" s="2" t="s">
        <v>1983</v>
      </c>
      <c r="H337" s="174" t="s">
        <v>2051</v>
      </c>
      <c r="I337" s="174" t="s">
        <v>2052</v>
      </c>
      <c r="J337" s="174"/>
      <c r="K337" s="174"/>
      <c r="L337" s="174"/>
      <c r="M337" s="175" t="s">
        <v>1995</v>
      </c>
      <c r="N337" s="182" t="s">
        <v>2053</v>
      </c>
      <c r="O337" s="175" t="s">
        <v>2054</v>
      </c>
      <c r="P337" s="182" t="s">
        <v>2055</v>
      </c>
      <c r="Q337" s="182" t="s">
        <v>2041</v>
      </c>
      <c r="R337" s="182" t="s">
        <v>339</v>
      </c>
      <c r="S337" s="182" t="s">
        <v>340</v>
      </c>
      <c r="T337" s="175" t="s">
        <v>2056</v>
      </c>
      <c r="U337" s="175" t="s">
        <v>2057</v>
      </c>
      <c r="V337" s="175" t="s">
        <v>2058</v>
      </c>
      <c r="W337" s="182">
        <v>1990</v>
      </c>
      <c r="X337" s="255">
        <v>398</v>
      </c>
      <c r="Y337" s="182"/>
      <c r="Z337" s="175"/>
      <c r="AA337" s="175"/>
      <c r="AB337" s="175"/>
      <c r="AC337" s="175"/>
      <c r="AD337" s="175"/>
      <c r="AE337" s="175"/>
      <c r="AF337" s="175"/>
      <c r="AG337" s="175"/>
      <c r="AH337" s="175"/>
      <c r="AI337" s="175"/>
      <c r="AJ337" s="175"/>
      <c r="AK337" s="255" t="s">
        <v>2042</v>
      </c>
      <c r="AL337" s="166" t="s">
        <v>2002</v>
      </c>
      <c r="AR337" s="7"/>
    </row>
    <row r="338" spans="1:44" s="278" customFormat="1" ht="12.75" hidden="1" customHeight="1" x14ac:dyDescent="0.45">
      <c r="A338" s="7"/>
      <c r="B338" s="82"/>
      <c r="C338" s="2" t="s">
        <v>1967</v>
      </c>
      <c r="D338" s="2" t="s">
        <v>2059</v>
      </c>
      <c r="E338" s="2"/>
      <c r="F338" s="2"/>
      <c r="G338" s="2"/>
      <c r="H338" s="78" t="s">
        <v>2060</v>
      </c>
      <c r="I338" s="78" t="s">
        <v>2061</v>
      </c>
      <c r="J338" s="78">
        <v>59570</v>
      </c>
      <c r="K338" s="78"/>
      <c r="L338" s="78"/>
      <c r="M338" s="77" t="s">
        <v>140</v>
      </c>
      <c r="N338" s="77" t="s">
        <v>2062</v>
      </c>
      <c r="O338" s="77" t="s">
        <v>2063</v>
      </c>
      <c r="P338" s="77" t="s">
        <v>2064</v>
      </c>
      <c r="Q338" s="77" t="s">
        <v>2065</v>
      </c>
      <c r="R338" s="575" t="s">
        <v>339</v>
      </c>
      <c r="S338" s="77" t="s">
        <v>340</v>
      </c>
      <c r="T338" s="77" t="s">
        <v>2066</v>
      </c>
      <c r="U338" s="77" t="s">
        <v>2067</v>
      </c>
      <c r="V338" s="79" t="s">
        <v>2068</v>
      </c>
      <c r="W338" s="80">
        <v>1989</v>
      </c>
      <c r="X338" s="80">
        <v>1047</v>
      </c>
      <c r="Y338" s="80"/>
      <c r="Z338" s="81"/>
      <c r="AA338" s="81"/>
      <c r="AB338" s="81"/>
      <c r="AC338" s="81"/>
      <c r="AD338" s="81"/>
      <c r="AE338" s="81"/>
      <c r="AF338" s="81"/>
      <c r="AG338" s="81"/>
      <c r="AH338" s="81"/>
      <c r="AI338" s="81">
        <v>2010</v>
      </c>
      <c r="AJ338" s="81" t="s">
        <v>2069</v>
      </c>
      <c r="AK338" s="81"/>
      <c r="AL338" s="9"/>
      <c r="AR338" s="7"/>
    </row>
    <row r="339" spans="1:44" s="278" customFormat="1" ht="12.75" hidden="1" customHeight="1" x14ac:dyDescent="0.45">
      <c r="A339" s="37"/>
      <c r="B339" s="149"/>
      <c r="C339" s="21" t="s">
        <v>1967</v>
      </c>
      <c r="D339" s="2" t="s">
        <v>306</v>
      </c>
      <c r="E339" s="2"/>
      <c r="F339" s="2"/>
      <c r="G339" s="2"/>
      <c r="H339" s="124"/>
      <c r="I339" s="124"/>
      <c r="J339" s="124">
        <v>59618</v>
      </c>
      <c r="K339" s="124"/>
      <c r="L339" s="124"/>
      <c r="M339" s="122" t="s">
        <v>2070</v>
      </c>
      <c r="N339" s="122" t="s">
        <v>2071</v>
      </c>
      <c r="O339" s="122" t="s">
        <v>2072</v>
      </c>
      <c r="P339" s="122" t="s">
        <v>2073</v>
      </c>
      <c r="Q339" s="122" t="s">
        <v>2074</v>
      </c>
      <c r="R339" s="576" t="s">
        <v>1363</v>
      </c>
      <c r="S339" s="122" t="s">
        <v>340</v>
      </c>
      <c r="T339" s="122"/>
      <c r="U339" s="122"/>
      <c r="V339" s="122"/>
      <c r="W339" s="122">
        <v>1994</v>
      </c>
      <c r="X339" s="268">
        <f>oppervlak_dak_1246+oppervlak_dak_1134</f>
        <v>2170</v>
      </c>
      <c r="Y339" s="122"/>
      <c r="Z339" s="122"/>
      <c r="AA339" s="122"/>
      <c r="AB339" s="122"/>
      <c r="AC339" s="122"/>
      <c r="AD339" s="122"/>
      <c r="AE339" s="122"/>
      <c r="AF339" s="122"/>
      <c r="AG339" s="122"/>
      <c r="AH339" s="122"/>
      <c r="AI339" s="122">
        <v>2014</v>
      </c>
      <c r="AJ339" s="122" t="s">
        <v>1018</v>
      </c>
      <c r="AK339" s="268"/>
      <c r="AL339" s="98" t="s">
        <v>2075</v>
      </c>
      <c r="AR339" s="7"/>
    </row>
    <row r="340" spans="1:44" s="278" customFormat="1" ht="12.75" hidden="1" customHeight="1" x14ac:dyDescent="0.45">
      <c r="A340" s="182"/>
      <c r="B340" s="191"/>
      <c r="C340" s="21" t="s">
        <v>1967</v>
      </c>
      <c r="D340" s="2" t="s">
        <v>306</v>
      </c>
      <c r="E340" s="2"/>
      <c r="F340" s="2"/>
      <c r="G340" s="2"/>
      <c r="H340" s="577" t="s">
        <v>2076</v>
      </c>
      <c r="I340" s="577" t="s">
        <v>2077</v>
      </c>
      <c r="J340" s="577"/>
      <c r="K340" s="577"/>
      <c r="L340" s="577"/>
      <c r="M340" s="251" t="s">
        <v>2070</v>
      </c>
      <c r="N340" s="251" t="s">
        <v>2078</v>
      </c>
      <c r="O340" s="251" t="s">
        <v>2079</v>
      </c>
      <c r="P340" s="251" t="s">
        <v>2080</v>
      </c>
      <c r="Q340" s="251" t="s">
        <v>2074</v>
      </c>
      <c r="R340" s="251" t="s">
        <v>1363</v>
      </c>
      <c r="S340" s="251" t="s">
        <v>340</v>
      </c>
      <c r="T340" s="251" t="s">
        <v>1630</v>
      </c>
      <c r="U340" s="251" t="s">
        <v>2081</v>
      </c>
      <c r="V340" s="251" t="s">
        <v>2082</v>
      </c>
      <c r="W340" s="251">
        <v>1994</v>
      </c>
      <c r="X340" s="578">
        <v>1834</v>
      </c>
      <c r="Y340" s="251"/>
      <c r="Z340" s="251"/>
      <c r="AA340" s="251"/>
      <c r="AB340" s="251"/>
      <c r="AC340" s="251"/>
      <c r="AD340" s="251"/>
      <c r="AE340" s="251"/>
      <c r="AF340" s="251"/>
      <c r="AG340" s="251"/>
      <c r="AH340" s="251"/>
      <c r="AI340" s="251">
        <v>2014</v>
      </c>
      <c r="AJ340" s="251" t="s">
        <v>1018</v>
      </c>
      <c r="AK340" s="578"/>
      <c r="AL340" s="579" t="s">
        <v>2075</v>
      </c>
      <c r="AR340" s="7"/>
    </row>
    <row r="341" spans="1:44" s="278" customFormat="1" ht="12.75" hidden="1" customHeight="1" x14ac:dyDescent="0.45">
      <c r="A341" s="182"/>
      <c r="B341" s="191"/>
      <c r="C341" s="21" t="s">
        <v>1967</v>
      </c>
      <c r="D341" s="2" t="s">
        <v>306</v>
      </c>
      <c r="E341" s="2"/>
      <c r="F341" s="2"/>
      <c r="G341" s="2"/>
      <c r="H341" s="577" t="s">
        <v>2083</v>
      </c>
      <c r="I341" s="577" t="s">
        <v>2084</v>
      </c>
      <c r="J341" s="577"/>
      <c r="K341" s="577"/>
      <c r="L341" s="577"/>
      <c r="M341" s="251" t="s">
        <v>2070</v>
      </c>
      <c r="N341" s="251" t="s">
        <v>2085</v>
      </c>
      <c r="O341" s="251" t="s">
        <v>2086</v>
      </c>
      <c r="P341" s="251" t="s">
        <v>2087</v>
      </c>
      <c r="Q341" s="251" t="s">
        <v>2074</v>
      </c>
      <c r="R341" s="251" t="s">
        <v>1363</v>
      </c>
      <c r="S341" s="251" t="s">
        <v>340</v>
      </c>
      <c r="T341" s="251" t="s">
        <v>1630</v>
      </c>
      <c r="U341" s="251" t="s">
        <v>2081</v>
      </c>
      <c r="V341" s="251" t="s">
        <v>2082</v>
      </c>
      <c r="W341" s="251">
        <v>1994</v>
      </c>
      <c r="X341" s="578">
        <v>336</v>
      </c>
      <c r="Y341" s="251"/>
      <c r="Z341" s="251"/>
      <c r="AA341" s="251"/>
      <c r="AB341" s="251"/>
      <c r="AC341" s="251"/>
      <c r="AD341" s="251"/>
      <c r="AE341" s="251"/>
      <c r="AF341" s="251"/>
      <c r="AG341" s="251"/>
      <c r="AH341" s="251"/>
      <c r="AI341" s="251">
        <v>2014</v>
      </c>
      <c r="AJ341" s="251" t="s">
        <v>1018</v>
      </c>
      <c r="AK341" s="578"/>
      <c r="AL341" s="579" t="s">
        <v>2075</v>
      </c>
      <c r="AR341" s="7"/>
    </row>
    <row r="342" spans="1:44" s="278" customFormat="1" ht="30.75" hidden="1" customHeight="1" x14ac:dyDescent="0.45">
      <c r="A342" s="7"/>
      <c r="B342" s="66"/>
      <c r="C342" s="66" t="s">
        <v>1967</v>
      </c>
      <c r="D342" s="2"/>
      <c r="E342" s="2"/>
      <c r="F342" s="2"/>
      <c r="G342" s="2"/>
      <c r="H342" s="78" t="s">
        <v>2088</v>
      </c>
      <c r="I342" s="78" t="s">
        <v>2089</v>
      </c>
      <c r="J342" s="78">
        <v>59531</v>
      </c>
      <c r="K342" s="78"/>
      <c r="L342" s="78"/>
      <c r="M342" s="77" t="s">
        <v>349</v>
      </c>
      <c r="N342" s="77" t="s">
        <v>2090</v>
      </c>
      <c r="O342" s="77" t="s">
        <v>2091</v>
      </c>
      <c r="P342" s="77" t="s">
        <v>2092</v>
      </c>
      <c r="Q342" s="77" t="s">
        <v>2093</v>
      </c>
      <c r="R342" s="575" t="s">
        <v>1363</v>
      </c>
      <c r="S342" s="77" t="s">
        <v>340</v>
      </c>
      <c r="T342" s="77" t="s">
        <v>2066</v>
      </c>
      <c r="U342" s="77" t="s">
        <v>2081</v>
      </c>
      <c r="V342" s="79" t="s">
        <v>2082</v>
      </c>
      <c r="W342" s="80">
        <v>1995</v>
      </c>
      <c r="X342" s="80">
        <v>744</v>
      </c>
      <c r="Y342" s="80"/>
      <c r="Z342" s="81"/>
      <c r="AA342" s="81"/>
      <c r="AB342" s="81"/>
      <c r="AC342" s="81"/>
      <c r="AD342" s="81"/>
      <c r="AE342" s="81"/>
      <c r="AF342" s="81"/>
      <c r="AG342" s="81"/>
      <c r="AH342" s="81"/>
      <c r="AI342" s="81"/>
      <c r="AJ342" s="81"/>
      <c r="AK342" s="81"/>
      <c r="AL342" s="66" t="s">
        <v>2094</v>
      </c>
      <c r="AR342" s="7"/>
    </row>
    <row r="343" spans="1:44" s="278" customFormat="1" ht="140.25" hidden="1" customHeight="1" x14ac:dyDescent="0.45">
      <c r="A343" s="8"/>
      <c r="B343" s="3"/>
      <c r="C343" s="2" t="s">
        <v>1967</v>
      </c>
      <c r="D343" s="2" t="s">
        <v>832</v>
      </c>
      <c r="E343" s="2"/>
      <c r="F343" s="2"/>
      <c r="G343" s="2"/>
      <c r="H343" s="143" t="s">
        <v>2095</v>
      </c>
      <c r="I343" s="143" t="s">
        <v>2096</v>
      </c>
      <c r="J343" s="143"/>
      <c r="K343" s="143"/>
      <c r="L343" s="143" t="s">
        <v>280</v>
      </c>
      <c r="M343" s="4" t="s">
        <v>669</v>
      </c>
      <c r="N343" s="3" t="s">
        <v>2097</v>
      </c>
      <c r="O343" s="4" t="s">
        <v>2098</v>
      </c>
      <c r="P343" s="3" t="s">
        <v>2099</v>
      </c>
      <c r="Q343" s="3" t="s">
        <v>2100</v>
      </c>
      <c r="R343" s="160" t="s">
        <v>1704</v>
      </c>
      <c r="S343" s="3" t="s">
        <v>1511</v>
      </c>
      <c r="T343" s="4" t="s">
        <v>1989</v>
      </c>
      <c r="U343" s="4" t="s">
        <v>1990</v>
      </c>
      <c r="V343" s="148" t="s">
        <v>1991</v>
      </c>
      <c r="W343" s="5">
        <v>1988</v>
      </c>
      <c r="X343" s="5">
        <v>1051</v>
      </c>
      <c r="Y343" s="5"/>
      <c r="Z343" s="6"/>
      <c r="AA343" s="6"/>
      <c r="AB343" s="6"/>
      <c r="AC343" s="6"/>
      <c r="AD343" s="6"/>
      <c r="AE343" s="6"/>
      <c r="AF343" s="6"/>
      <c r="AG343" s="6"/>
      <c r="AH343" s="6"/>
      <c r="AI343" s="6" t="s">
        <v>1981</v>
      </c>
      <c r="AJ343" s="6" t="s">
        <v>470</v>
      </c>
      <c r="AK343" s="286"/>
      <c r="AL343" s="14" t="s">
        <v>2010</v>
      </c>
      <c r="AR343" s="7"/>
    </row>
    <row r="344" spans="1:44" s="278" customFormat="1" hidden="1" x14ac:dyDescent="0.45">
      <c r="A344" s="23"/>
      <c r="B344" s="159"/>
      <c r="C344" s="2" t="s">
        <v>1967</v>
      </c>
      <c r="D344" s="2" t="s">
        <v>2101</v>
      </c>
      <c r="E344" s="2"/>
      <c r="F344" s="2"/>
      <c r="G344" s="2"/>
      <c r="H344" s="159" t="s">
        <v>2102</v>
      </c>
      <c r="I344" s="166" t="s">
        <v>2103</v>
      </c>
      <c r="J344" s="229"/>
      <c r="K344" s="229"/>
      <c r="L344" s="163" t="s">
        <v>154</v>
      </c>
      <c r="M344" s="163" t="s">
        <v>155</v>
      </c>
      <c r="N344" s="164">
        <v>1391</v>
      </c>
      <c r="O344" s="159" t="s">
        <v>2104</v>
      </c>
      <c r="P344" s="159" t="s">
        <v>2105</v>
      </c>
      <c r="Q344" s="159" t="s">
        <v>2106</v>
      </c>
      <c r="R344" s="159" t="s">
        <v>1363</v>
      </c>
      <c r="S344" s="159" t="s">
        <v>340</v>
      </c>
      <c r="T344" s="159" t="s">
        <v>2107</v>
      </c>
      <c r="U344" s="159" t="s">
        <v>2108</v>
      </c>
      <c r="V344" s="176" t="s">
        <v>2109</v>
      </c>
      <c r="W344" s="177">
        <v>1998</v>
      </c>
      <c r="X344" s="177">
        <f>145+92+284</f>
        <v>521</v>
      </c>
      <c r="Y344" s="177"/>
      <c r="Z344" s="177"/>
      <c r="AA344" s="177" t="s">
        <v>135</v>
      </c>
      <c r="AB344" s="177">
        <f>3+4+8</f>
        <v>15</v>
      </c>
      <c r="AC344" s="177"/>
      <c r="AD344" s="177" t="s">
        <v>2110</v>
      </c>
      <c r="AE344" s="177"/>
      <c r="AF344" s="177"/>
      <c r="AG344" s="177"/>
      <c r="AH344" s="177"/>
      <c r="AI344" s="177"/>
      <c r="AJ344" s="177"/>
      <c r="AK344" s="177"/>
      <c r="AL344" s="580"/>
      <c r="AR344" s="7"/>
    </row>
    <row r="345" spans="1:44" s="278" customFormat="1" ht="140.25" hidden="1" customHeight="1" x14ac:dyDescent="0.45">
      <c r="A345" s="252"/>
      <c r="B345" s="581"/>
      <c r="C345" s="25" t="s">
        <v>1967</v>
      </c>
      <c r="D345" s="25" t="s">
        <v>2101</v>
      </c>
      <c r="E345" s="25"/>
      <c r="F345" s="25"/>
      <c r="G345" s="25"/>
      <c r="H345" s="252" t="s">
        <v>2111</v>
      </c>
      <c r="I345" s="582"/>
      <c r="J345" s="252"/>
      <c r="K345" s="252"/>
      <c r="L345" s="583" t="s">
        <v>154</v>
      </c>
      <c r="M345" s="252" t="s">
        <v>155</v>
      </c>
      <c r="N345" s="252">
        <v>1191.1394</v>
      </c>
      <c r="O345" s="252" t="s">
        <v>2112</v>
      </c>
      <c r="P345" s="252" t="s">
        <v>2112</v>
      </c>
      <c r="Q345" s="252" t="s">
        <v>2106</v>
      </c>
      <c r="R345" s="584" t="s">
        <v>1363</v>
      </c>
      <c r="S345" s="252" t="s">
        <v>340</v>
      </c>
      <c r="T345" s="252" t="s">
        <v>2107</v>
      </c>
      <c r="U345" s="252" t="s">
        <v>2108</v>
      </c>
      <c r="V345" s="252" t="s">
        <v>2109</v>
      </c>
      <c r="W345" s="252">
        <v>2011</v>
      </c>
      <c r="X345" s="585">
        <f>276+567</f>
        <v>843</v>
      </c>
      <c r="Y345" s="252"/>
      <c r="Z345" s="252"/>
      <c r="AA345" s="252"/>
      <c r="AB345" s="252"/>
      <c r="AC345" s="252"/>
      <c r="AD345" s="252"/>
      <c r="AE345" s="252"/>
      <c r="AF345" s="252"/>
      <c r="AG345" s="252"/>
      <c r="AH345" s="252"/>
      <c r="AI345" s="252"/>
      <c r="AJ345" s="252"/>
      <c r="AK345" s="586"/>
      <c r="AL345" s="273" t="s">
        <v>2113</v>
      </c>
      <c r="AR345" s="7"/>
    </row>
    <row r="346" spans="1:44" s="278" customFormat="1" ht="140.25" hidden="1" customHeight="1" x14ac:dyDescent="0.45">
      <c r="A346" s="251"/>
      <c r="B346" s="251"/>
      <c r="C346" s="25" t="s">
        <v>1967</v>
      </c>
      <c r="D346" s="25" t="s">
        <v>2101</v>
      </c>
      <c r="E346" s="25"/>
      <c r="F346" s="25"/>
      <c r="G346" s="25"/>
      <c r="H346" s="251" t="s">
        <v>2111</v>
      </c>
      <c r="I346" s="251" t="s">
        <v>2114</v>
      </c>
      <c r="J346" s="36"/>
      <c r="K346" s="36"/>
      <c r="L346" s="251"/>
      <c r="M346" s="251" t="s">
        <v>155</v>
      </c>
      <c r="N346" s="251">
        <v>1394</v>
      </c>
      <c r="O346" s="251" t="s">
        <v>2115</v>
      </c>
      <c r="P346" s="251" t="s">
        <v>2112</v>
      </c>
      <c r="Q346" s="251" t="s">
        <v>2106</v>
      </c>
      <c r="R346" s="175" t="s">
        <v>1363</v>
      </c>
      <c r="S346" s="251" t="s">
        <v>340</v>
      </c>
      <c r="T346" s="251" t="s">
        <v>2107</v>
      </c>
      <c r="U346" s="251" t="s">
        <v>2108</v>
      </c>
      <c r="V346" s="251" t="s">
        <v>2109</v>
      </c>
      <c r="W346" s="251">
        <v>2011</v>
      </c>
      <c r="X346" s="578">
        <v>639</v>
      </c>
      <c r="Y346" s="251"/>
      <c r="Z346" s="251"/>
      <c r="AA346" s="251"/>
      <c r="AB346" s="251"/>
      <c r="AC346" s="251"/>
      <c r="AD346" s="251"/>
      <c r="AE346" s="251"/>
      <c r="AF346" s="251"/>
      <c r="AG346" s="251"/>
      <c r="AH346" s="251"/>
      <c r="AI346" s="251"/>
      <c r="AJ346" s="251"/>
      <c r="AK346" s="578"/>
      <c r="AL346" s="273" t="s">
        <v>2113</v>
      </c>
      <c r="AR346" s="7"/>
    </row>
    <row r="347" spans="1:44" s="278" customFormat="1" ht="140.25" hidden="1" customHeight="1" x14ac:dyDescent="0.45">
      <c r="A347" s="84"/>
      <c r="B347" s="84"/>
      <c r="C347" s="25" t="s">
        <v>1967</v>
      </c>
      <c r="D347" s="25" t="s">
        <v>2101</v>
      </c>
      <c r="E347" s="25"/>
      <c r="F347" s="25"/>
      <c r="G347" s="25"/>
      <c r="H347" s="84" t="s">
        <v>2111</v>
      </c>
      <c r="I347" s="84" t="s">
        <v>2114</v>
      </c>
      <c r="J347" s="94"/>
      <c r="K347" s="94"/>
      <c r="L347" s="84"/>
      <c r="M347" s="84" t="s">
        <v>155</v>
      </c>
      <c r="N347" s="84">
        <v>1191</v>
      </c>
      <c r="O347" s="84" t="s">
        <v>2116</v>
      </c>
      <c r="P347" s="84" t="s">
        <v>2112</v>
      </c>
      <c r="Q347" s="84" t="s">
        <v>2106</v>
      </c>
      <c r="R347" s="175" t="s">
        <v>1363</v>
      </c>
      <c r="S347" s="84" t="s">
        <v>340</v>
      </c>
      <c r="T347" s="84" t="s">
        <v>2107</v>
      </c>
      <c r="U347" s="84" t="s">
        <v>2108</v>
      </c>
      <c r="V347" s="84" t="s">
        <v>2109</v>
      </c>
      <c r="W347" s="84">
        <v>2011</v>
      </c>
      <c r="X347" s="269">
        <v>204</v>
      </c>
      <c r="Y347" s="84"/>
      <c r="Z347" s="84"/>
      <c r="AA347" s="84"/>
      <c r="AB347" s="84"/>
      <c r="AC347" s="84"/>
      <c r="AD347" s="84"/>
      <c r="AE347" s="84"/>
      <c r="AF347" s="84"/>
      <c r="AG347" s="84"/>
      <c r="AH347" s="84"/>
      <c r="AI347" s="84"/>
      <c r="AJ347" s="84"/>
      <c r="AK347" s="269"/>
      <c r="AL347" s="83" t="s">
        <v>2113</v>
      </c>
      <c r="AR347" s="7"/>
    </row>
    <row r="348" spans="1:44" s="278" customFormat="1" ht="25.5" hidden="1" x14ac:dyDescent="0.45">
      <c r="A348" s="35"/>
      <c r="B348" s="27"/>
      <c r="C348" s="2" t="s">
        <v>1967</v>
      </c>
      <c r="D348" s="2" t="s">
        <v>832</v>
      </c>
      <c r="E348" s="2" t="s">
        <v>306</v>
      </c>
      <c r="F348" s="2"/>
      <c r="G348" s="2"/>
      <c r="H348" s="128"/>
      <c r="I348" s="128"/>
      <c r="J348" s="128"/>
      <c r="K348" s="128"/>
      <c r="L348" s="128" t="s">
        <v>280</v>
      </c>
      <c r="M348" s="28" t="s">
        <v>1976</v>
      </c>
      <c r="N348" s="27" t="s">
        <v>2117</v>
      </c>
      <c r="O348" s="28" t="s">
        <v>2118</v>
      </c>
      <c r="P348" s="27" t="s">
        <v>2119</v>
      </c>
      <c r="Q348" s="27" t="s">
        <v>1439</v>
      </c>
      <c r="R348" s="211" t="s">
        <v>1363</v>
      </c>
      <c r="S348" s="27" t="s">
        <v>340</v>
      </c>
      <c r="T348" s="28"/>
      <c r="U348" s="28"/>
      <c r="V348" s="28"/>
      <c r="W348" s="27">
        <v>1994</v>
      </c>
      <c r="X348" s="266">
        <f>X349+X350</f>
        <v>796</v>
      </c>
      <c r="Y348" s="27"/>
      <c r="Z348" s="28"/>
      <c r="AA348" s="28"/>
      <c r="AB348" s="28"/>
      <c r="AC348" s="28"/>
      <c r="AD348" s="28"/>
      <c r="AE348" s="28"/>
      <c r="AF348" s="28"/>
      <c r="AG348" s="28"/>
      <c r="AH348" s="28"/>
      <c r="AI348" s="28" t="s">
        <v>1981</v>
      </c>
      <c r="AJ348" s="28" t="s">
        <v>223</v>
      </c>
      <c r="AK348" s="266"/>
      <c r="AL348" s="14" t="s">
        <v>2120</v>
      </c>
      <c r="AR348" s="7"/>
    </row>
    <row r="349" spans="1:44" s="278" customFormat="1" ht="165.75" hidden="1" x14ac:dyDescent="0.45">
      <c r="A349" s="182"/>
      <c r="B349" s="182"/>
      <c r="C349" s="2" t="s">
        <v>1967</v>
      </c>
      <c r="D349" s="2" t="s">
        <v>832</v>
      </c>
      <c r="E349" s="2" t="s">
        <v>306</v>
      </c>
      <c r="F349" s="2"/>
      <c r="G349" s="2" t="s">
        <v>1983</v>
      </c>
      <c r="H349" s="174" t="s">
        <v>1984</v>
      </c>
      <c r="I349" s="174" t="s">
        <v>2121</v>
      </c>
      <c r="J349" s="174"/>
      <c r="K349" s="174"/>
      <c r="L349" s="174"/>
      <c r="M349" s="175" t="s">
        <v>669</v>
      </c>
      <c r="N349" s="182" t="s">
        <v>2122</v>
      </c>
      <c r="O349" s="175" t="s">
        <v>2123</v>
      </c>
      <c r="P349" s="182" t="s">
        <v>2124</v>
      </c>
      <c r="Q349" s="182" t="s">
        <v>1439</v>
      </c>
      <c r="R349" s="182" t="s">
        <v>1363</v>
      </c>
      <c r="S349" s="182" t="s">
        <v>340</v>
      </c>
      <c r="T349" s="175" t="s">
        <v>2125</v>
      </c>
      <c r="U349" s="175" t="s">
        <v>2126</v>
      </c>
      <c r="V349" s="175" t="s">
        <v>2127</v>
      </c>
      <c r="W349" s="182">
        <v>1994</v>
      </c>
      <c r="X349" s="255">
        <v>398</v>
      </c>
      <c r="Y349" s="182"/>
      <c r="Z349" s="175"/>
      <c r="AA349" s="175"/>
      <c r="AB349" s="175"/>
      <c r="AC349" s="175"/>
      <c r="AD349" s="175"/>
      <c r="AE349" s="175"/>
      <c r="AF349" s="175"/>
      <c r="AG349" s="175"/>
      <c r="AH349" s="175"/>
      <c r="AI349" s="175" t="s">
        <v>1981</v>
      </c>
      <c r="AJ349" s="175" t="s">
        <v>223</v>
      </c>
      <c r="AK349" s="255"/>
      <c r="AL349" s="166" t="s">
        <v>1992</v>
      </c>
      <c r="AR349" s="7"/>
    </row>
    <row r="350" spans="1:44" s="278" customFormat="1" ht="178.5" hidden="1" x14ac:dyDescent="0.45">
      <c r="A350" s="69"/>
      <c r="B350" s="69"/>
      <c r="C350" s="2" t="s">
        <v>1967</v>
      </c>
      <c r="D350" s="2" t="s">
        <v>306</v>
      </c>
      <c r="E350" s="2" t="s">
        <v>832</v>
      </c>
      <c r="F350" s="2"/>
      <c r="G350" s="2" t="s">
        <v>1983</v>
      </c>
      <c r="H350" s="63" t="s">
        <v>2128</v>
      </c>
      <c r="I350" s="63" t="s">
        <v>2129</v>
      </c>
      <c r="J350" s="63"/>
      <c r="K350" s="63"/>
      <c r="L350" s="63"/>
      <c r="M350" s="63" t="s">
        <v>1995</v>
      </c>
      <c r="N350" s="69" t="s">
        <v>2130</v>
      </c>
      <c r="O350" s="68" t="s">
        <v>2131</v>
      </c>
      <c r="P350" s="69" t="s">
        <v>2132</v>
      </c>
      <c r="Q350" s="69" t="s">
        <v>1439</v>
      </c>
      <c r="R350" s="182" t="s">
        <v>1363</v>
      </c>
      <c r="S350" s="69" t="s">
        <v>340</v>
      </c>
      <c r="T350" s="68" t="s">
        <v>2133</v>
      </c>
      <c r="U350" s="68" t="s">
        <v>2134</v>
      </c>
      <c r="V350" s="68" t="s">
        <v>1450</v>
      </c>
      <c r="W350" s="69">
        <v>1994</v>
      </c>
      <c r="X350" s="267">
        <v>398</v>
      </c>
      <c r="Y350" s="69"/>
      <c r="Z350" s="68"/>
      <c r="AA350" s="68"/>
      <c r="AB350" s="68"/>
      <c r="AC350" s="68"/>
      <c r="AD350" s="68"/>
      <c r="AE350" s="68"/>
      <c r="AF350" s="68"/>
      <c r="AG350" s="68"/>
      <c r="AH350" s="68"/>
      <c r="AI350" s="68" t="s">
        <v>1981</v>
      </c>
      <c r="AJ350" s="68" t="s">
        <v>223</v>
      </c>
      <c r="AK350" s="267"/>
      <c r="AL350" s="66" t="s">
        <v>2002</v>
      </c>
      <c r="AR350" s="7"/>
    </row>
    <row r="351" spans="1:44" s="278" customFormat="1" ht="140.25" hidden="1" customHeight="1" x14ac:dyDescent="0.45">
      <c r="A351" s="18"/>
      <c r="B351" s="12"/>
      <c r="C351" s="2" t="s">
        <v>1967</v>
      </c>
      <c r="D351" s="2" t="s">
        <v>832</v>
      </c>
      <c r="E351" s="2"/>
      <c r="F351" s="2"/>
      <c r="G351" s="2"/>
      <c r="H351" s="104" t="s">
        <v>2135</v>
      </c>
      <c r="I351" s="104" t="s">
        <v>2136</v>
      </c>
      <c r="J351" s="104"/>
      <c r="K351" s="104"/>
      <c r="L351" s="104" t="s">
        <v>280</v>
      </c>
      <c r="M351" s="92" t="s">
        <v>669</v>
      </c>
      <c r="N351" s="12" t="s">
        <v>2137</v>
      </c>
      <c r="O351" s="92" t="s">
        <v>2138</v>
      </c>
      <c r="P351" s="12" t="s">
        <v>2139</v>
      </c>
      <c r="Q351" s="12" t="s">
        <v>1905</v>
      </c>
      <c r="R351" s="160" t="s">
        <v>1721</v>
      </c>
      <c r="S351" s="12" t="s">
        <v>1511</v>
      </c>
      <c r="T351" s="92" t="s">
        <v>2140</v>
      </c>
      <c r="U351" s="92" t="s">
        <v>2141</v>
      </c>
      <c r="V351" s="103" t="s">
        <v>2142</v>
      </c>
      <c r="W351" s="76">
        <v>1984</v>
      </c>
      <c r="X351" s="76">
        <v>1263</v>
      </c>
      <c r="Y351" s="76"/>
      <c r="Z351" s="105"/>
      <c r="AA351" s="105"/>
      <c r="AB351" s="105"/>
      <c r="AC351" s="105"/>
      <c r="AD351" s="105"/>
      <c r="AE351" s="105"/>
      <c r="AF351" s="105"/>
      <c r="AG351" s="105"/>
      <c r="AH351" s="105"/>
      <c r="AI351" s="105" t="s">
        <v>2143</v>
      </c>
      <c r="AJ351" s="105" t="s">
        <v>1018</v>
      </c>
      <c r="AK351" s="287"/>
      <c r="AL351" s="106" t="s">
        <v>2010</v>
      </c>
      <c r="AR351" s="7"/>
    </row>
    <row r="352" spans="1:44" s="278" customFormat="1" ht="84" hidden="1" customHeight="1" x14ac:dyDescent="0.45">
      <c r="A352" s="32"/>
      <c r="B352" s="34"/>
      <c r="C352" s="2" t="s">
        <v>1967</v>
      </c>
      <c r="D352" s="2" t="s">
        <v>136</v>
      </c>
      <c r="E352" s="2"/>
      <c r="F352" s="2"/>
      <c r="G352" s="2"/>
      <c r="H352" s="142" t="s">
        <v>2144</v>
      </c>
      <c r="I352" s="143" t="s">
        <v>2145</v>
      </c>
      <c r="J352" s="144"/>
      <c r="K352" s="145"/>
      <c r="L352" s="144" t="s">
        <v>348</v>
      </c>
      <c r="M352" s="34" t="s">
        <v>349</v>
      </c>
      <c r="N352" s="33" t="s">
        <v>2146</v>
      </c>
      <c r="O352" s="34" t="s">
        <v>2147</v>
      </c>
      <c r="P352" s="34" t="s">
        <v>2148</v>
      </c>
      <c r="Q352" s="34" t="s">
        <v>2149</v>
      </c>
      <c r="R352" s="34" t="s">
        <v>1843</v>
      </c>
      <c r="S352" s="34" t="s">
        <v>869</v>
      </c>
      <c r="T352" s="146" t="s">
        <v>2150</v>
      </c>
      <c r="U352" s="34" t="s">
        <v>2151</v>
      </c>
      <c r="V352" s="147" t="s">
        <v>2152</v>
      </c>
      <c r="W352" s="34">
        <v>2019</v>
      </c>
      <c r="X352" s="270">
        <v>700</v>
      </c>
      <c r="Y352" s="34"/>
      <c r="Z352" s="34"/>
      <c r="AA352" s="34"/>
      <c r="AB352" s="34"/>
      <c r="AC352" s="34"/>
      <c r="AD352" s="34"/>
      <c r="AE352" s="34"/>
      <c r="AF352" s="34"/>
      <c r="AG352" s="34"/>
      <c r="AH352" s="34"/>
      <c r="AI352" s="34" t="s">
        <v>638</v>
      </c>
      <c r="AJ352" s="34" t="s">
        <v>562</v>
      </c>
      <c r="AK352" s="6"/>
      <c r="AL352" s="14" t="s">
        <v>2153</v>
      </c>
      <c r="AR352" s="7"/>
    </row>
    <row r="353" spans="1:44" s="278" customFormat="1" ht="102" hidden="1" x14ac:dyDescent="0.45">
      <c r="A353" s="89"/>
      <c r="B353" s="70"/>
      <c r="C353" s="2" t="s">
        <v>1967</v>
      </c>
      <c r="D353" s="2" t="s">
        <v>832</v>
      </c>
      <c r="E353" s="2"/>
      <c r="F353" s="2"/>
      <c r="G353" s="2"/>
      <c r="H353" s="90" t="s">
        <v>2154</v>
      </c>
      <c r="I353" s="90" t="s">
        <v>2155</v>
      </c>
      <c r="J353" s="72"/>
      <c r="K353" s="72"/>
      <c r="L353" s="72" t="s">
        <v>280</v>
      </c>
      <c r="M353" s="70" t="s">
        <v>669</v>
      </c>
      <c r="N353" s="91" t="s">
        <v>2156</v>
      </c>
      <c r="O353" s="92" t="s">
        <v>2157</v>
      </c>
      <c r="P353" s="92" t="s">
        <v>2158</v>
      </c>
      <c r="Q353" s="92" t="s">
        <v>2159</v>
      </c>
      <c r="R353" s="4" t="s">
        <v>1843</v>
      </c>
      <c r="S353" s="92" t="s">
        <v>869</v>
      </c>
      <c r="T353" s="48" t="s">
        <v>2160</v>
      </c>
      <c r="U353" s="70" t="s">
        <v>2161</v>
      </c>
      <c r="V353" s="93" t="s">
        <v>2162</v>
      </c>
      <c r="W353" s="92">
        <v>2020</v>
      </c>
      <c r="X353" s="105">
        <v>1265</v>
      </c>
      <c r="Y353" s="92"/>
      <c r="Z353" s="92"/>
      <c r="AA353" s="92"/>
      <c r="AB353" s="92">
        <v>20</v>
      </c>
      <c r="AC353" s="92">
        <v>122</v>
      </c>
      <c r="AD353" s="92"/>
      <c r="AE353" s="92"/>
      <c r="AF353" s="92"/>
      <c r="AG353" s="92"/>
      <c r="AH353" s="92"/>
      <c r="AI353" s="92" t="s">
        <v>324</v>
      </c>
      <c r="AJ353" s="92" t="s">
        <v>2163</v>
      </c>
      <c r="AK353" s="75"/>
      <c r="AL353" s="66" t="s">
        <v>2010</v>
      </c>
      <c r="AR353" s="7"/>
    </row>
    <row r="354" spans="1:44" s="278" customFormat="1" ht="76.5" hidden="1" customHeight="1" x14ac:dyDescent="0.45">
      <c r="A354" s="7"/>
      <c r="B354" s="4"/>
      <c r="C354" s="21" t="s">
        <v>1967</v>
      </c>
      <c r="D354" s="2" t="s">
        <v>306</v>
      </c>
      <c r="E354" s="2"/>
      <c r="F354" s="2"/>
      <c r="G354" s="2"/>
      <c r="H354" s="3" t="s">
        <v>2164</v>
      </c>
      <c r="I354" s="3" t="s">
        <v>2165</v>
      </c>
      <c r="J354" s="3" t="s">
        <v>2164</v>
      </c>
      <c r="K354" s="3"/>
      <c r="L354" s="3"/>
      <c r="M354" s="4" t="s">
        <v>2166</v>
      </c>
      <c r="N354" s="3" t="s">
        <v>2167</v>
      </c>
      <c r="O354" s="3" t="s">
        <v>2168</v>
      </c>
      <c r="P354" s="3" t="s">
        <v>2169</v>
      </c>
      <c r="Q354" s="3" t="s">
        <v>1421</v>
      </c>
      <c r="R354" s="160" t="s">
        <v>1214</v>
      </c>
      <c r="S354" s="3" t="s">
        <v>340</v>
      </c>
      <c r="T354" s="4" t="s">
        <v>1630</v>
      </c>
      <c r="U354" s="3" t="s">
        <v>2170</v>
      </c>
      <c r="V354" s="141" t="s">
        <v>2171</v>
      </c>
      <c r="W354" s="5">
        <v>1983</v>
      </c>
      <c r="X354" s="5">
        <v>1860</v>
      </c>
      <c r="Y354" s="5"/>
      <c r="Z354" s="5"/>
      <c r="AA354" s="5"/>
      <c r="AB354" s="5"/>
      <c r="AC354" s="5"/>
      <c r="AD354" s="5"/>
      <c r="AE354" s="5"/>
      <c r="AF354" s="5"/>
      <c r="AG354" s="5"/>
      <c r="AH354" s="5"/>
      <c r="AI354" s="5"/>
      <c r="AJ354" s="5"/>
      <c r="AK354" s="286"/>
      <c r="AL354" s="7"/>
      <c r="AR354" s="7"/>
    </row>
    <row r="355" spans="1:44" s="278" customFormat="1" ht="140.25" hidden="1" customHeight="1" x14ac:dyDescent="0.45">
      <c r="A355" s="8"/>
      <c r="B355" s="70"/>
      <c r="C355" s="2" t="s">
        <v>1967</v>
      </c>
      <c r="D355" s="2" t="s">
        <v>832</v>
      </c>
      <c r="E355" s="2"/>
      <c r="F355" s="2"/>
      <c r="G355" s="2"/>
      <c r="H355" s="72" t="s">
        <v>2172</v>
      </c>
      <c r="I355" s="72" t="s">
        <v>2173</v>
      </c>
      <c r="J355" s="72"/>
      <c r="K355" s="72"/>
      <c r="L355" s="72" t="s">
        <v>280</v>
      </c>
      <c r="M355" s="70" t="s">
        <v>669</v>
      </c>
      <c r="N355" s="73" t="s">
        <v>2174</v>
      </c>
      <c r="O355" s="70" t="s">
        <v>2175</v>
      </c>
      <c r="P355" s="73" t="s">
        <v>2176</v>
      </c>
      <c r="Q355" s="73" t="s">
        <v>2177</v>
      </c>
      <c r="R355" s="160" t="s">
        <v>1126</v>
      </c>
      <c r="S355" s="73" t="s">
        <v>340</v>
      </c>
      <c r="T355" s="70" t="s">
        <v>2178</v>
      </c>
      <c r="U355" s="70" t="s">
        <v>2179</v>
      </c>
      <c r="V355" s="71" t="s">
        <v>2180</v>
      </c>
      <c r="W355" s="74">
        <v>1981</v>
      </c>
      <c r="X355" s="74">
        <v>1094</v>
      </c>
      <c r="Y355" s="74"/>
      <c r="Z355" s="75"/>
      <c r="AA355" s="75"/>
      <c r="AB355" s="75"/>
      <c r="AC355" s="75"/>
      <c r="AD355" s="75"/>
      <c r="AE355" s="75"/>
      <c r="AF355" s="75"/>
      <c r="AG355" s="75"/>
      <c r="AH355" s="75"/>
      <c r="AI355" s="75"/>
      <c r="AJ355" s="75"/>
      <c r="AK355" s="288"/>
      <c r="AL355" s="66" t="s">
        <v>2010</v>
      </c>
      <c r="AR355" s="7"/>
    </row>
    <row r="356" spans="1:44" s="278" customFormat="1" ht="165.75" hidden="1" x14ac:dyDescent="0.45">
      <c r="A356" s="29"/>
      <c r="B356" s="106"/>
      <c r="C356" s="140" t="s">
        <v>1967</v>
      </c>
      <c r="D356" s="2" t="s">
        <v>136</v>
      </c>
      <c r="E356" s="2"/>
      <c r="F356" s="2"/>
      <c r="G356" s="2" t="s">
        <v>2181</v>
      </c>
      <c r="H356" s="112" t="s">
        <v>2182</v>
      </c>
      <c r="I356" s="104" t="s">
        <v>2183</v>
      </c>
      <c r="J356" s="112">
        <v>59499</v>
      </c>
      <c r="K356" s="112"/>
      <c r="L356" s="112" t="s">
        <v>2184</v>
      </c>
      <c r="M356" s="111" t="s">
        <v>2185</v>
      </c>
      <c r="N356" s="111" t="s">
        <v>2186</v>
      </c>
      <c r="O356" s="111" t="s">
        <v>2187</v>
      </c>
      <c r="P356" s="111" t="s">
        <v>2188</v>
      </c>
      <c r="Q356" s="111" t="s">
        <v>1390</v>
      </c>
      <c r="R356" s="575" t="s">
        <v>1126</v>
      </c>
      <c r="S356" s="111" t="s">
        <v>340</v>
      </c>
      <c r="T356" s="111" t="s">
        <v>169</v>
      </c>
      <c r="U356" s="111" t="s">
        <v>170</v>
      </c>
      <c r="V356" s="113" t="s">
        <v>2189</v>
      </c>
      <c r="W356" s="114">
        <v>2008</v>
      </c>
      <c r="X356" s="114">
        <v>416</v>
      </c>
      <c r="Y356" s="114"/>
      <c r="Z356" s="115"/>
      <c r="AA356" s="115"/>
      <c r="AB356" s="115"/>
      <c r="AC356" s="115"/>
      <c r="AD356" s="115"/>
      <c r="AE356" s="115"/>
      <c r="AF356" s="115"/>
      <c r="AG356" s="115"/>
      <c r="AH356" s="115"/>
      <c r="AI356" s="115"/>
      <c r="AJ356" s="115"/>
      <c r="AK356" s="115"/>
      <c r="AL356" s="106" t="s">
        <v>2190</v>
      </c>
      <c r="AR356" s="7"/>
    </row>
    <row r="357" spans="1:44" s="278" customFormat="1" ht="140.25" hidden="1" customHeight="1" x14ac:dyDescent="0.45">
      <c r="A357" s="8"/>
      <c r="B357" s="92"/>
      <c r="C357" s="2" t="s">
        <v>1967</v>
      </c>
      <c r="D357" s="2" t="s">
        <v>832</v>
      </c>
      <c r="E357" s="2"/>
      <c r="F357" s="2"/>
      <c r="G357" s="2"/>
      <c r="H357" s="104" t="s">
        <v>2191</v>
      </c>
      <c r="I357" s="104" t="s">
        <v>2192</v>
      </c>
      <c r="J357" s="104"/>
      <c r="K357" s="104"/>
      <c r="L357" s="104" t="s">
        <v>280</v>
      </c>
      <c r="M357" s="92" t="s">
        <v>281</v>
      </c>
      <c r="N357" s="12" t="s">
        <v>2193</v>
      </c>
      <c r="O357" s="92" t="s">
        <v>2194</v>
      </c>
      <c r="P357" s="12" t="s">
        <v>2195</v>
      </c>
      <c r="Q357" s="12" t="s">
        <v>2196</v>
      </c>
      <c r="R357" s="160" t="s">
        <v>1214</v>
      </c>
      <c r="S357" s="12" t="s">
        <v>340</v>
      </c>
      <c r="T357" s="92" t="s">
        <v>2197</v>
      </c>
      <c r="U357" s="92" t="s">
        <v>2198</v>
      </c>
      <c r="V357" s="103" t="s">
        <v>2199</v>
      </c>
      <c r="W357" s="76">
        <v>1983</v>
      </c>
      <c r="X357" s="76">
        <v>1149</v>
      </c>
      <c r="Y357" s="76"/>
      <c r="Z357" s="105"/>
      <c r="AA357" s="105"/>
      <c r="AB357" s="105"/>
      <c r="AC357" s="105"/>
      <c r="AD357" s="105"/>
      <c r="AE357" s="105"/>
      <c r="AF357" s="105"/>
      <c r="AG357" s="105"/>
      <c r="AH357" s="105"/>
      <c r="AI357" s="105"/>
      <c r="AJ357" s="105"/>
      <c r="AK357" s="287" t="s">
        <v>2200</v>
      </c>
      <c r="AL357" s="106" t="s">
        <v>2010</v>
      </c>
      <c r="AR357" s="7"/>
    </row>
    <row r="358" spans="1:44" s="278" customFormat="1" hidden="1" x14ac:dyDescent="0.45">
      <c r="A358" s="24"/>
      <c r="B358" s="111"/>
      <c r="C358" s="2" t="s">
        <v>1967</v>
      </c>
      <c r="D358" s="2" t="s">
        <v>861</v>
      </c>
      <c r="E358" s="2"/>
      <c r="F358" s="2"/>
      <c r="G358" s="2"/>
      <c r="H358" s="132" t="s">
        <v>2201</v>
      </c>
      <c r="I358" s="133" t="s">
        <v>2202</v>
      </c>
      <c r="J358" s="134"/>
      <c r="K358" s="134"/>
      <c r="L358" s="112" t="s">
        <v>139</v>
      </c>
      <c r="M358" s="111" t="s">
        <v>140</v>
      </c>
      <c r="N358" s="135" t="s">
        <v>2203</v>
      </c>
      <c r="O358" s="111" t="s">
        <v>2204</v>
      </c>
      <c r="P358" s="111" t="s">
        <v>2205</v>
      </c>
      <c r="Q358" s="111" t="s">
        <v>2206</v>
      </c>
      <c r="R358" s="575" t="s">
        <v>1239</v>
      </c>
      <c r="S358" s="111" t="s">
        <v>340</v>
      </c>
      <c r="T358" s="136" t="s">
        <v>2207</v>
      </c>
      <c r="U358" s="137" t="s">
        <v>2208</v>
      </c>
      <c r="V358" s="138" t="s">
        <v>2209</v>
      </c>
      <c r="W358" s="114">
        <v>1971</v>
      </c>
      <c r="X358" s="114"/>
      <c r="Y358" s="114">
        <v>73</v>
      </c>
      <c r="Z358" s="115"/>
      <c r="AA358" s="115"/>
      <c r="AB358" s="115"/>
      <c r="AC358" s="115"/>
      <c r="AD358" s="115"/>
      <c r="AE358" s="115"/>
      <c r="AF358" s="115"/>
      <c r="AG358" s="115"/>
      <c r="AH358" s="115"/>
      <c r="AI358" s="115"/>
      <c r="AJ358" s="139"/>
      <c r="AK358" s="39"/>
      <c r="AL358" s="106" t="s">
        <v>2210</v>
      </c>
      <c r="AR358" s="7"/>
    </row>
    <row r="359" spans="1:44" s="278" customFormat="1" ht="114.75" hidden="1" x14ac:dyDescent="0.45">
      <c r="A359" s="8"/>
      <c r="B359" s="92"/>
      <c r="C359" s="2" t="s">
        <v>1967</v>
      </c>
      <c r="D359" s="2" t="s">
        <v>832</v>
      </c>
      <c r="E359" s="2"/>
      <c r="F359" s="2"/>
      <c r="G359" s="2"/>
      <c r="H359" s="104" t="s">
        <v>2211</v>
      </c>
      <c r="I359" s="104" t="s">
        <v>2212</v>
      </c>
      <c r="J359" s="104"/>
      <c r="K359" s="104"/>
      <c r="L359" s="104" t="s">
        <v>280</v>
      </c>
      <c r="M359" s="92" t="s">
        <v>669</v>
      </c>
      <c r="N359" s="12" t="s">
        <v>2213</v>
      </c>
      <c r="O359" s="92" t="s">
        <v>2214</v>
      </c>
      <c r="P359" s="12" t="s">
        <v>2215</v>
      </c>
      <c r="Q359" s="12" t="s">
        <v>796</v>
      </c>
      <c r="R359" s="160" t="s">
        <v>768</v>
      </c>
      <c r="S359" s="12" t="s">
        <v>340</v>
      </c>
      <c r="T359" s="92" t="s">
        <v>2216</v>
      </c>
      <c r="U359" s="92" t="s">
        <v>2217</v>
      </c>
      <c r="V359" s="103" t="s">
        <v>2218</v>
      </c>
      <c r="W359" s="76">
        <v>2000</v>
      </c>
      <c r="X359" s="76">
        <v>68</v>
      </c>
      <c r="Y359" s="76">
        <v>53</v>
      </c>
      <c r="Z359" s="105"/>
      <c r="AA359" s="105"/>
      <c r="AB359" s="105"/>
      <c r="AC359" s="105"/>
      <c r="AD359" s="105"/>
      <c r="AE359" s="105"/>
      <c r="AF359" s="105"/>
      <c r="AG359" s="105"/>
      <c r="AH359" s="105"/>
      <c r="AI359" s="105"/>
      <c r="AJ359" s="105"/>
      <c r="AK359" s="287"/>
      <c r="AL359" s="92" t="s">
        <v>2219</v>
      </c>
      <c r="AR359" s="7"/>
    </row>
    <row r="360" spans="1:44" s="278" customFormat="1" ht="38.25" hidden="1" x14ac:dyDescent="0.45">
      <c r="A360" s="8"/>
      <c r="B360" s="92"/>
      <c r="C360" s="2" t="s">
        <v>1967</v>
      </c>
      <c r="D360" s="2" t="s">
        <v>832</v>
      </c>
      <c r="E360" s="2"/>
      <c r="F360" s="2"/>
      <c r="G360" s="2"/>
      <c r="H360" s="131" t="s">
        <v>2220</v>
      </c>
      <c r="I360" s="131" t="s">
        <v>2221</v>
      </c>
      <c r="J360" s="104"/>
      <c r="K360" s="104"/>
      <c r="L360" s="104" t="s">
        <v>280</v>
      </c>
      <c r="M360" s="92" t="s">
        <v>281</v>
      </c>
      <c r="N360" s="12" t="s">
        <v>2222</v>
      </c>
      <c r="O360" s="92" t="s">
        <v>2223</v>
      </c>
      <c r="P360" s="12" t="s">
        <v>2224</v>
      </c>
      <c r="Q360" s="12" t="s">
        <v>2225</v>
      </c>
      <c r="R360" s="160" t="s">
        <v>768</v>
      </c>
      <c r="S360" s="12" t="s">
        <v>340</v>
      </c>
      <c r="T360" s="92" t="s">
        <v>2226</v>
      </c>
      <c r="U360" s="92" t="s">
        <v>2227</v>
      </c>
      <c r="V360" s="103" t="s">
        <v>2228</v>
      </c>
      <c r="W360" s="76">
        <v>1999</v>
      </c>
      <c r="X360" s="76">
        <v>1244</v>
      </c>
      <c r="Y360" s="76">
        <v>11</v>
      </c>
      <c r="Z360" s="105"/>
      <c r="AA360" s="105"/>
      <c r="AB360" s="105"/>
      <c r="AC360" s="105"/>
      <c r="AD360" s="105"/>
      <c r="AE360" s="105"/>
      <c r="AF360" s="105"/>
      <c r="AG360" s="105"/>
      <c r="AH360" s="105"/>
      <c r="AI360" s="105"/>
      <c r="AJ360" s="105"/>
      <c r="AK360" s="287" t="s">
        <v>2229</v>
      </c>
      <c r="AL360" s="106"/>
      <c r="AR360" s="7"/>
    </row>
    <row r="361" spans="1:44" s="278" customFormat="1" ht="12.75" hidden="1" customHeight="1" x14ac:dyDescent="0.45">
      <c r="A361" s="27"/>
      <c r="B361" s="27"/>
      <c r="C361" s="21" t="s">
        <v>1967</v>
      </c>
      <c r="D361" s="2" t="s">
        <v>136</v>
      </c>
      <c r="E361" s="2" t="s">
        <v>2230</v>
      </c>
      <c r="F361" s="2"/>
      <c r="G361" s="2"/>
      <c r="H361" s="128"/>
      <c r="I361" s="128"/>
      <c r="J361" s="128"/>
      <c r="K361" s="128"/>
      <c r="L361" s="128"/>
      <c r="M361" s="27" t="s">
        <v>2231</v>
      </c>
      <c r="N361" s="27">
        <v>1148</v>
      </c>
      <c r="O361" s="129" t="s">
        <v>2232</v>
      </c>
      <c r="P361" s="27" t="s">
        <v>2232</v>
      </c>
      <c r="Q361" s="27" t="s">
        <v>1959</v>
      </c>
      <c r="R361" s="211" t="s">
        <v>942</v>
      </c>
      <c r="S361" s="27" t="s">
        <v>340</v>
      </c>
      <c r="T361" s="27"/>
      <c r="U361" s="27"/>
      <c r="V361" s="27"/>
      <c r="W361" s="27">
        <v>2005</v>
      </c>
      <c r="X361" s="266">
        <f>oppervlak_dak_1756+oppervlak_dak_1148</f>
        <v>1238</v>
      </c>
      <c r="Y361" s="27"/>
      <c r="Z361" s="28"/>
      <c r="AA361" s="28" t="s">
        <v>150</v>
      </c>
      <c r="AB361" s="28">
        <f>AB362+AB264</f>
        <v>37</v>
      </c>
      <c r="AC361" s="28"/>
      <c r="AD361" s="28"/>
      <c r="AE361" s="28"/>
      <c r="AF361" s="28"/>
      <c r="AG361" s="28"/>
      <c r="AH361" s="28"/>
      <c r="AI361" s="28">
        <v>2005</v>
      </c>
      <c r="AJ361" s="28"/>
      <c r="AK361" s="266"/>
      <c r="AL361" s="130"/>
      <c r="AR361" s="7"/>
    </row>
    <row r="362" spans="1:44" s="278" customFormat="1" ht="57" hidden="1" x14ac:dyDescent="0.45">
      <c r="A362" s="69"/>
      <c r="B362" s="87"/>
      <c r="C362" s="21" t="s">
        <v>1967</v>
      </c>
      <c r="D362" s="2" t="s">
        <v>2230</v>
      </c>
      <c r="E362" s="2"/>
      <c r="F362" s="2"/>
      <c r="G362" s="2"/>
      <c r="H362" s="88" t="s">
        <v>2233</v>
      </c>
      <c r="I362" s="88" t="s">
        <v>2234</v>
      </c>
      <c r="J362" s="88"/>
      <c r="K362" s="88"/>
      <c r="L362" s="88"/>
      <c r="M362" s="69" t="s">
        <v>140</v>
      </c>
      <c r="N362" s="87" t="s">
        <v>2235</v>
      </c>
      <c r="O362" s="87" t="s">
        <v>2236</v>
      </c>
      <c r="P362" s="87" t="s">
        <v>2237</v>
      </c>
      <c r="Q362" s="69" t="s">
        <v>1959</v>
      </c>
      <c r="R362" s="182" t="s">
        <v>942</v>
      </c>
      <c r="S362" s="69" t="s">
        <v>340</v>
      </c>
      <c r="T362" s="69" t="s">
        <v>169</v>
      </c>
      <c r="U362" s="69" t="s">
        <v>170</v>
      </c>
      <c r="V362" s="69" t="s">
        <v>171</v>
      </c>
      <c r="W362" s="69">
        <v>2005</v>
      </c>
      <c r="X362" s="267">
        <v>813</v>
      </c>
      <c r="Y362" s="69"/>
      <c r="Z362" s="68"/>
      <c r="AA362" s="68" t="s">
        <v>150</v>
      </c>
      <c r="AB362" s="68">
        <v>24</v>
      </c>
      <c r="AC362" s="68"/>
      <c r="AD362" s="68"/>
      <c r="AE362" s="68"/>
      <c r="AF362" s="68"/>
      <c r="AG362" s="68"/>
      <c r="AH362" s="68"/>
      <c r="AI362" s="68">
        <v>2005</v>
      </c>
      <c r="AJ362" s="68"/>
      <c r="AK362" s="267"/>
      <c r="AL362" s="7"/>
      <c r="AR362" s="7"/>
    </row>
    <row r="363" spans="1:44" s="278" customFormat="1" ht="52.5" hidden="1" x14ac:dyDescent="0.45">
      <c r="A363" s="26"/>
      <c r="B363" s="122"/>
      <c r="C363" s="25" t="s">
        <v>1967</v>
      </c>
      <c r="D363" s="25" t="s">
        <v>2101</v>
      </c>
      <c r="E363" s="25"/>
      <c r="F363" s="25"/>
      <c r="G363" s="25"/>
      <c r="H363" s="123"/>
      <c r="I363" s="122"/>
      <c r="J363" s="123"/>
      <c r="K363" s="123"/>
      <c r="L363" s="124" t="s">
        <v>154</v>
      </c>
      <c r="M363" s="124" t="s">
        <v>2238</v>
      </c>
      <c r="N363" s="122" t="s">
        <v>2239</v>
      </c>
      <c r="O363" s="122" t="s">
        <v>2240</v>
      </c>
      <c r="P363" s="122" t="s">
        <v>2241</v>
      </c>
      <c r="Q363" s="122" t="s">
        <v>976</v>
      </c>
      <c r="R363" s="171" t="s">
        <v>942</v>
      </c>
      <c r="S363" s="122" t="s">
        <v>340</v>
      </c>
      <c r="T363" s="122"/>
      <c r="U363" s="122"/>
      <c r="V363" s="122"/>
      <c r="W363" s="125">
        <v>2000</v>
      </c>
      <c r="X363" s="125">
        <f>X365+X364</f>
        <v>2204</v>
      </c>
      <c r="Y363" s="125"/>
      <c r="Z363" s="126"/>
      <c r="AA363" s="127" t="s">
        <v>311</v>
      </c>
      <c r="AB363" s="127">
        <f>AB364+AB365</f>
        <v>40</v>
      </c>
      <c r="AC363" s="127">
        <f>AC364+AC365</f>
        <v>293</v>
      </c>
      <c r="AD363" s="127" t="str">
        <f>+AD364</f>
        <v>dakluik dak 1</v>
      </c>
      <c r="AE363" s="127"/>
      <c r="AF363" s="127"/>
      <c r="AG363" s="127"/>
      <c r="AH363" s="127"/>
      <c r="AI363" s="127"/>
      <c r="AJ363" s="127"/>
      <c r="AK363" s="270"/>
      <c r="AL363" s="31" t="s">
        <v>2113</v>
      </c>
      <c r="AR363" s="7"/>
    </row>
    <row r="364" spans="1:44" s="278" customFormat="1" ht="26.25" hidden="1" x14ac:dyDescent="0.45">
      <c r="A364" s="251"/>
      <c r="B364" s="251"/>
      <c r="C364" s="25" t="s">
        <v>1967</v>
      </c>
      <c r="D364" s="25" t="s">
        <v>2101</v>
      </c>
      <c r="E364" s="25"/>
      <c r="F364" s="25"/>
      <c r="G364" s="25"/>
      <c r="H364" s="251" t="s">
        <v>2242</v>
      </c>
      <c r="I364" s="251" t="s">
        <v>2243</v>
      </c>
      <c r="J364" s="251"/>
      <c r="K364" s="251"/>
      <c r="L364" s="251"/>
      <c r="M364" s="251" t="s">
        <v>155</v>
      </c>
      <c r="N364" s="251" t="s">
        <v>2244</v>
      </c>
      <c r="O364" s="251" t="s">
        <v>2245</v>
      </c>
      <c r="P364" s="251" t="s">
        <v>2246</v>
      </c>
      <c r="Q364" s="251" t="s">
        <v>976</v>
      </c>
      <c r="R364" s="175" t="s">
        <v>942</v>
      </c>
      <c r="S364" s="251" t="s">
        <v>340</v>
      </c>
      <c r="T364" s="251"/>
      <c r="U364" s="251"/>
      <c r="V364" s="251"/>
      <c r="W364" s="587">
        <v>2000</v>
      </c>
      <c r="X364" s="587">
        <v>1640</v>
      </c>
      <c r="Y364" s="587"/>
      <c r="Z364" s="588"/>
      <c r="AA364" s="253" t="s">
        <v>311</v>
      </c>
      <c r="AB364" s="253">
        <f>15+1+4+12</f>
        <v>32</v>
      </c>
      <c r="AC364" s="253">
        <f>120+22+76</f>
        <v>218</v>
      </c>
      <c r="AD364" s="253" t="s">
        <v>2247</v>
      </c>
      <c r="AE364" s="253"/>
      <c r="AF364" s="253"/>
      <c r="AG364" s="253"/>
      <c r="AH364" s="253"/>
      <c r="AI364" s="253"/>
      <c r="AJ364" s="253"/>
      <c r="AK364" s="589"/>
      <c r="AL364" s="273" t="s">
        <v>2113</v>
      </c>
      <c r="AR364" s="7"/>
    </row>
    <row r="365" spans="1:44" s="278" customFormat="1" ht="25.5" hidden="1" x14ac:dyDescent="0.45">
      <c r="A365" s="84"/>
      <c r="B365" s="84"/>
      <c r="C365" s="25" t="s">
        <v>1967</v>
      </c>
      <c r="D365" s="25" t="s">
        <v>2101</v>
      </c>
      <c r="E365" s="25"/>
      <c r="F365" s="25"/>
      <c r="G365" s="25"/>
      <c r="H365" s="84" t="s">
        <v>2248</v>
      </c>
      <c r="I365" s="84" t="s">
        <v>2249</v>
      </c>
      <c r="J365" s="84"/>
      <c r="K365" s="84"/>
      <c r="L365" s="84"/>
      <c r="M365" s="84" t="s">
        <v>544</v>
      </c>
      <c r="N365" s="85">
        <v>1194</v>
      </c>
      <c r="O365" s="84" t="s">
        <v>2250</v>
      </c>
      <c r="P365" s="84" t="s">
        <v>2251</v>
      </c>
      <c r="Q365" s="84" t="s">
        <v>976</v>
      </c>
      <c r="R365" s="175" t="s">
        <v>942</v>
      </c>
      <c r="S365" s="84" t="s">
        <v>340</v>
      </c>
      <c r="T365" s="84"/>
      <c r="U365" s="84"/>
      <c r="V365" s="84"/>
      <c r="W365" s="86">
        <v>2000</v>
      </c>
      <c r="X365" s="86">
        <v>564</v>
      </c>
      <c r="Y365" s="86"/>
      <c r="Z365" s="80"/>
      <c r="AA365" s="80" t="s">
        <v>311</v>
      </c>
      <c r="AB365" s="80">
        <f>8</f>
        <v>8</v>
      </c>
      <c r="AC365" s="80">
        <f>75</f>
        <v>75</v>
      </c>
      <c r="AD365" s="80"/>
      <c r="AE365" s="80"/>
      <c r="AF365" s="80"/>
      <c r="AG365" s="80"/>
      <c r="AH365" s="80"/>
      <c r="AI365" s="80"/>
      <c r="AJ365" s="80"/>
      <c r="AK365" s="81"/>
      <c r="AL365" s="83" t="s">
        <v>2113</v>
      </c>
      <c r="AR365" s="7"/>
    </row>
    <row r="366" spans="1:44" s="278" customFormat="1" ht="25.5" hidden="1" x14ac:dyDescent="0.45">
      <c r="A366" s="24"/>
      <c r="B366" s="111"/>
      <c r="C366" s="25" t="s">
        <v>1967</v>
      </c>
      <c r="D366" s="25" t="s">
        <v>2101</v>
      </c>
      <c r="E366" s="25"/>
      <c r="F366" s="25"/>
      <c r="G366" s="25"/>
      <c r="H366" s="112" t="s">
        <v>2252</v>
      </c>
      <c r="I366" s="112" t="s">
        <v>2253</v>
      </c>
      <c r="J366" s="112"/>
      <c r="K366" s="112"/>
      <c r="L366" s="112" t="s">
        <v>154</v>
      </c>
      <c r="M366" s="112" t="s">
        <v>155</v>
      </c>
      <c r="N366" s="120">
        <v>1392</v>
      </c>
      <c r="O366" s="111" t="s">
        <v>2254</v>
      </c>
      <c r="P366" s="111" t="s">
        <v>2255</v>
      </c>
      <c r="Q366" s="111" t="s">
        <v>976</v>
      </c>
      <c r="R366" s="159" t="s">
        <v>942</v>
      </c>
      <c r="S366" s="111" t="s">
        <v>340</v>
      </c>
      <c r="T366" s="111" t="s">
        <v>2256</v>
      </c>
      <c r="U366" s="111" t="s">
        <v>2257</v>
      </c>
      <c r="V366" s="113" t="s">
        <v>2258</v>
      </c>
      <c r="W366" s="114">
        <v>2004</v>
      </c>
      <c r="X366" s="114">
        <f>1226+489+287</f>
        <v>2002</v>
      </c>
      <c r="Y366" s="114"/>
      <c r="Z366" s="115"/>
      <c r="AA366" s="115" t="s">
        <v>311</v>
      </c>
      <c r="AB366" s="115">
        <f>8+3+7</f>
        <v>18</v>
      </c>
      <c r="AC366" s="115"/>
      <c r="AD366" s="115"/>
      <c r="AE366" s="115"/>
      <c r="AF366" s="115"/>
      <c r="AG366" s="115"/>
      <c r="AH366" s="115"/>
      <c r="AI366" s="115"/>
      <c r="AJ366" s="115"/>
      <c r="AK366" s="115"/>
      <c r="AL366" s="121" t="s">
        <v>2113</v>
      </c>
      <c r="AR366" s="7"/>
    </row>
    <row r="367" spans="1:44" s="278" customFormat="1" ht="140.25" hidden="1" customHeight="1" x14ac:dyDescent="0.45">
      <c r="A367" s="8"/>
      <c r="B367" s="92"/>
      <c r="C367" s="2" t="s">
        <v>1967</v>
      </c>
      <c r="D367" s="2" t="s">
        <v>832</v>
      </c>
      <c r="E367" s="2"/>
      <c r="F367" s="2"/>
      <c r="G367" s="2"/>
      <c r="H367" s="104" t="s">
        <v>2259</v>
      </c>
      <c r="I367" s="104" t="s">
        <v>2260</v>
      </c>
      <c r="J367" s="104"/>
      <c r="K367" s="104"/>
      <c r="L367" s="104" t="s">
        <v>280</v>
      </c>
      <c r="M367" s="92" t="s">
        <v>281</v>
      </c>
      <c r="N367" s="92" t="s">
        <v>2261</v>
      </c>
      <c r="O367" s="92" t="s">
        <v>2262</v>
      </c>
      <c r="P367" s="92" t="s">
        <v>2263</v>
      </c>
      <c r="Q367" s="92" t="s">
        <v>1832</v>
      </c>
      <c r="R367" s="159" t="s">
        <v>942</v>
      </c>
      <c r="S367" s="92" t="s">
        <v>340</v>
      </c>
      <c r="T367" s="92" t="s">
        <v>2264</v>
      </c>
      <c r="U367" s="92" t="s">
        <v>2265</v>
      </c>
      <c r="V367" s="92" t="s">
        <v>2266</v>
      </c>
      <c r="W367" s="76">
        <v>2000</v>
      </c>
      <c r="X367" s="76">
        <v>58</v>
      </c>
      <c r="Y367" s="119">
        <v>75</v>
      </c>
      <c r="Z367" s="105"/>
      <c r="AA367" s="105"/>
      <c r="AB367" s="105"/>
      <c r="AC367" s="105"/>
      <c r="AD367" s="105"/>
      <c r="AE367" s="105"/>
      <c r="AF367" s="105"/>
      <c r="AG367" s="105"/>
      <c r="AH367" s="105"/>
      <c r="AI367" s="105"/>
      <c r="AJ367" s="105"/>
      <c r="AK367" s="287"/>
      <c r="AL367" s="106" t="s">
        <v>2010</v>
      </c>
      <c r="AR367" s="7"/>
    </row>
    <row r="368" spans="1:44" s="278" customFormat="1" ht="25.5" hidden="1" customHeight="1" x14ac:dyDescent="0.45">
      <c r="A368" s="107"/>
      <c r="B368" s="92"/>
      <c r="C368" s="2" t="s">
        <v>1967</v>
      </c>
      <c r="D368" s="2" t="s">
        <v>2267</v>
      </c>
      <c r="E368" s="2"/>
      <c r="F368" s="2"/>
      <c r="G368" s="2"/>
      <c r="H368" s="104"/>
      <c r="I368" s="104"/>
      <c r="J368" s="104"/>
      <c r="K368" s="104"/>
      <c r="L368" s="104"/>
      <c r="M368" s="12" t="s">
        <v>1968</v>
      </c>
      <c r="N368" s="12" t="s">
        <v>2268</v>
      </c>
      <c r="O368" s="12" t="s">
        <v>2269</v>
      </c>
      <c r="P368" s="12" t="s">
        <v>2270</v>
      </c>
      <c r="Q368" s="12" t="s">
        <v>2271</v>
      </c>
      <c r="R368" s="160" t="s">
        <v>895</v>
      </c>
      <c r="S368" s="12" t="s">
        <v>340</v>
      </c>
      <c r="T368" s="92" t="s">
        <v>2272</v>
      </c>
      <c r="U368" s="92" t="s">
        <v>2273</v>
      </c>
      <c r="V368" s="118" t="s">
        <v>2274</v>
      </c>
      <c r="W368" s="76">
        <v>2003</v>
      </c>
      <c r="X368" s="76">
        <v>636</v>
      </c>
      <c r="Y368" s="76"/>
      <c r="Z368" s="105"/>
      <c r="AA368" s="105"/>
      <c r="AB368" s="105"/>
      <c r="AC368" s="105"/>
      <c r="AD368" s="105"/>
      <c r="AE368" s="105"/>
      <c r="AF368" s="105"/>
      <c r="AG368" s="105"/>
      <c r="AH368" s="105"/>
      <c r="AI368" s="105"/>
      <c r="AJ368" s="105"/>
      <c r="AK368" s="287"/>
      <c r="AL368" s="7"/>
      <c r="AR368" s="7"/>
    </row>
    <row r="369" spans="1:44" s="278" customFormat="1" ht="76.5" hidden="1" customHeight="1" x14ac:dyDescent="0.45">
      <c r="A369" s="107"/>
      <c r="B369" s="108"/>
      <c r="C369" s="21" t="s">
        <v>1967</v>
      </c>
      <c r="D369" s="2" t="s">
        <v>306</v>
      </c>
      <c r="E369" s="2"/>
      <c r="F369" s="2"/>
      <c r="G369" s="2"/>
      <c r="H369" s="12" t="s">
        <v>2275</v>
      </c>
      <c r="I369" s="12" t="s">
        <v>2165</v>
      </c>
      <c r="J369" s="12" t="s">
        <v>2275</v>
      </c>
      <c r="K369" s="12"/>
      <c r="L369" s="12"/>
      <c r="M369" s="92" t="s">
        <v>2276</v>
      </c>
      <c r="N369" s="12" t="s">
        <v>2277</v>
      </c>
      <c r="O369" s="92" t="s">
        <v>2278</v>
      </c>
      <c r="P369" s="92" t="s">
        <v>2279</v>
      </c>
      <c r="Q369" s="12" t="s">
        <v>636</v>
      </c>
      <c r="R369" s="160" t="s">
        <v>637</v>
      </c>
      <c r="S369" s="12" t="s">
        <v>189</v>
      </c>
      <c r="T369" s="116" t="s">
        <v>2280</v>
      </c>
      <c r="U369" s="116" t="s">
        <v>2281</v>
      </c>
      <c r="V369" s="117" t="s">
        <v>2282</v>
      </c>
      <c r="W369" s="76">
        <v>1979</v>
      </c>
      <c r="X369" s="76">
        <v>1220</v>
      </c>
      <c r="Y369" s="76"/>
      <c r="Z369" s="76"/>
      <c r="AA369" s="76"/>
      <c r="AB369" s="76"/>
      <c r="AC369" s="76"/>
      <c r="AD369" s="76"/>
      <c r="AE369" s="76"/>
      <c r="AF369" s="76"/>
      <c r="AG369" s="76"/>
      <c r="AH369" s="76"/>
      <c r="AI369" s="76"/>
      <c r="AJ369" s="76" t="s">
        <v>2283</v>
      </c>
      <c r="AK369" s="287" t="s">
        <v>2042</v>
      </c>
      <c r="AL369" s="7"/>
      <c r="AR369" s="7"/>
    </row>
    <row r="370" spans="1:44" s="278" customFormat="1" ht="51" hidden="1" x14ac:dyDescent="0.45">
      <c r="A370" s="110"/>
      <c r="B370" s="111"/>
      <c r="C370" s="2" t="s">
        <v>1967</v>
      </c>
      <c r="D370" s="2" t="s">
        <v>306</v>
      </c>
      <c r="E370" s="2"/>
      <c r="F370" s="2"/>
      <c r="G370" s="2"/>
      <c r="H370" s="112" t="s">
        <v>2284</v>
      </c>
      <c r="I370" s="104" t="s">
        <v>2285</v>
      </c>
      <c r="J370" s="112"/>
      <c r="K370" s="112"/>
      <c r="L370" s="112" t="s">
        <v>348</v>
      </c>
      <c r="M370" s="111" t="s">
        <v>349</v>
      </c>
      <c r="N370" s="111" t="s">
        <v>2286</v>
      </c>
      <c r="O370" s="111" t="s">
        <v>2287</v>
      </c>
      <c r="P370" s="111" t="s">
        <v>2288</v>
      </c>
      <c r="Q370" s="111" t="s">
        <v>2289</v>
      </c>
      <c r="R370" s="575" t="s">
        <v>693</v>
      </c>
      <c r="S370" s="111" t="s">
        <v>146</v>
      </c>
      <c r="T370" s="111" t="s">
        <v>2290</v>
      </c>
      <c r="U370" s="111" t="s">
        <v>2291</v>
      </c>
      <c r="V370" s="113" t="s">
        <v>2292</v>
      </c>
      <c r="W370" s="114">
        <v>2008</v>
      </c>
      <c r="X370" s="114">
        <v>1345</v>
      </c>
      <c r="Y370" s="114"/>
      <c r="Z370" s="115"/>
      <c r="AA370" s="115" t="s">
        <v>311</v>
      </c>
      <c r="AB370" s="115">
        <v>17</v>
      </c>
      <c r="AC370" s="115"/>
      <c r="AD370" s="115"/>
      <c r="AE370" s="115"/>
      <c r="AF370" s="115"/>
      <c r="AG370" s="115"/>
      <c r="AH370" s="115"/>
      <c r="AI370" s="115"/>
      <c r="AJ370" s="115"/>
      <c r="AK370" s="115"/>
      <c r="AL370" s="111" t="s">
        <v>2293</v>
      </c>
      <c r="AR370" s="7"/>
    </row>
    <row r="371" spans="1:44" s="278" customFormat="1" ht="140.25" hidden="1" customHeight="1" x14ac:dyDescent="0.45">
      <c r="A371" s="18"/>
      <c r="B371" s="92"/>
      <c r="C371" s="2" t="s">
        <v>1967</v>
      </c>
      <c r="D371" s="2" t="s">
        <v>832</v>
      </c>
      <c r="E371" s="2"/>
      <c r="F371" s="2"/>
      <c r="G371" s="2"/>
      <c r="H371" s="104" t="s">
        <v>2294</v>
      </c>
      <c r="I371" s="104" t="s">
        <v>2295</v>
      </c>
      <c r="J371" s="104"/>
      <c r="K371" s="104"/>
      <c r="L371" s="104" t="s">
        <v>280</v>
      </c>
      <c r="M371" s="92" t="s">
        <v>669</v>
      </c>
      <c r="N371" s="12" t="s">
        <v>2296</v>
      </c>
      <c r="O371" s="92" t="s">
        <v>2297</v>
      </c>
      <c r="P371" s="12" t="s">
        <v>2298</v>
      </c>
      <c r="Q371" s="12" t="s">
        <v>2299</v>
      </c>
      <c r="R371" s="160" t="s">
        <v>339</v>
      </c>
      <c r="S371" s="12" t="s">
        <v>340</v>
      </c>
      <c r="T371" s="92" t="s">
        <v>2300</v>
      </c>
      <c r="U371" s="92" t="s">
        <v>2301</v>
      </c>
      <c r="V371" s="103" t="s">
        <v>2302</v>
      </c>
      <c r="W371" s="76">
        <v>1987</v>
      </c>
      <c r="X371" s="76">
        <v>1804</v>
      </c>
      <c r="Y371" s="76"/>
      <c r="Z371" s="105"/>
      <c r="AA371" s="105"/>
      <c r="AB371" s="105"/>
      <c r="AC371" s="105"/>
      <c r="AD371" s="105"/>
      <c r="AE371" s="105"/>
      <c r="AF371" s="105"/>
      <c r="AG371" s="105"/>
      <c r="AH371" s="105"/>
      <c r="AI371" s="105"/>
      <c r="AJ371" s="105"/>
      <c r="AK371" s="287"/>
      <c r="AL371" s="106" t="s">
        <v>2010</v>
      </c>
      <c r="AR371" s="7"/>
    </row>
    <row r="372" spans="1:44" s="278" customFormat="1" ht="102" hidden="1" x14ac:dyDescent="0.45">
      <c r="A372" s="18"/>
      <c r="B372" s="92"/>
      <c r="C372" s="2" t="s">
        <v>1967</v>
      </c>
      <c r="D372" s="2" t="s">
        <v>832</v>
      </c>
      <c r="E372" s="2"/>
      <c r="F372" s="2"/>
      <c r="G372" s="2"/>
      <c r="H372" s="104" t="s">
        <v>2303</v>
      </c>
      <c r="I372" s="104" t="s">
        <v>2304</v>
      </c>
      <c r="J372" s="104"/>
      <c r="K372" s="104"/>
      <c r="L372" s="104" t="s">
        <v>280</v>
      </c>
      <c r="M372" s="92" t="s">
        <v>281</v>
      </c>
      <c r="N372" s="12" t="s">
        <v>2305</v>
      </c>
      <c r="O372" s="92" t="s">
        <v>2306</v>
      </c>
      <c r="P372" s="12" t="s">
        <v>2307</v>
      </c>
      <c r="Q372" s="12" t="s">
        <v>2308</v>
      </c>
      <c r="R372" s="160" t="s">
        <v>230</v>
      </c>
      <c r="S372" s="12" t="s">
        <v>189</v>
      </c>
      <c r="T372" s="92" t="s">
        <v>2309</v>
      </c>
      <c r="U372" s="92" t="s">
        <v>2310</v>
      </c>
      <c r="V372" s="103" t="s">
        <v>2311</v>
      </c>
      <c r="W372" s="76">
        <v>1977</v>
      </c>
      <c r="X372" s="76">
        <v>1103</v>
      </c>
      <c r="Y372" s="76"/>
      <c r="Z372" s="105"/>
      <c r="AA372" s="105"/>
      <c r="AB372" s="105"/>
      <c r="AC372" s="105"/>
      <c r="AD372" s="105"/>
      <c r="AE372" s="105"/>
      <c r="AF372" s="105"/>
      <c r="AG372" s="105"/>
      <c r="AH372" s="105"/>
      <c r="AI372" s="105"/>
      <c r="AJ372" s="105"/>
      <c r="AK372" s="287" t="s">
        <v>2042</v>
      </c>
      <c r="AL372" s="106" t="s">
        <v>2010</v>
      </c>
      <c r="AR372" s="7"/>
    </row>
    <row r="373" spans="1:44" s="278" customFormat="1" ht="76.5" hidden="1" customHeight="1" x14ac:dyDescent="0.45">
      <c r="A373" s="107"/>
      <c r="B373" s="108"/>
      <c r="C373" s="21" t="s">
        <v>1967</v>
      </c>
      <c r="D373" s="2" t="s">
        <v>306</v>
      </c>
      <c r="E373" s="2"/>
      <c r="F373" s="2"/>
      <c r="G373" s="2"/>
      <c r="H373" s="12" t="s">
        <v>2312</v>
      </c>
      <c r="I373" s="12" t="s">
        <v>2165</v>
      </c>
      <c r="J373" s="12" t="s">
        <v>2312</v>
      </c>
      <c r="K373" s="12"/>
      <c r="L373" s="12"/>
      <c r="M373" s="92" t="s">
        <v>2166</v>
      </c>
      <c r="N373" s="12" t="s">
        <v>2313</v>
      </c>
      <c r="O373" s="12" t="s">
        <v>2314</v>
      </c>
      <c r="P373" s="12" t="s">
        <v>2315</v>
      </c>
      <c r="Q373" s="12" t="s">
        <v>518</v>
      </c>
      <c r="R373" s="160" t="s">
        <v>302</v>
      </c>
      <c r="S373" s="12" t="s">
        <v>146</v>
      </c>
      <c r="T373" s="92" t="s">
        <v>1630</v>
      </c>
      <c r="U373" s="12" t="s">
        <v>2316</v>
      </c>
      <c r="V373" s="109" t="s">
        <v>2317</v>
      </c>
      <c r="W373" s="76">
        <v>2009</v>
      </c>
      <c r="X373" s="76">
        <v>1014</v>
      </c>
      <c r="Y373" s="76"/>
      <c r="Z373" s="76"/>
      <c r="AA373" s="76"/>
      <c r="AB373" s="76"/>
      <c r="AC373" s="76"/>
      <c r="AD373" s="76"/>
      <c r="AE373" s="76"/>
      <c r="AF373" s="76"/>
      <c r="AG373" s="76"/>
      <c r="AH373" s="76"/>
      <c r="AI373" s="76">
        <v>2009</v>
      </c>
      <c r="AJ373" s="76"/>
      <c r="AK373" s="287"/>
      <c r="AL373" s="7"/>
      <c r="AR373" s="7"/>
    </row>
    <row r="374" spans="1:44" s="278" customFormat="1" ht="76.5" hidden="1" customHeight="1" x14ac:dyDescent="0.45">
      <c r="A374" s="7"/>
      <c r="B374" s="108"/>
      <c r="C374" s="21" t="s">
        <v>1967</v>
      </c>
      <c r="D374" s="2"/>
      <c r="E374" s="2"/>
      <c r="F374" s="2"/>
      <c r="G374" s="2"/>
      <c r="H374" s="12"/>
      <c r="I374" s="12"/>
      <c r="J374" s="12"/>
      <c r="K374" s="12"/>
      <c r="L374" s="12"/>
      <c r="M374" s="92"/>
      <c r="N374" s="12">
        <v>4320</v>
      </c>
      <c r="O374" s="12" t="s">
        <v>2318</v>
      </c>
      <c r="P374" s="12" t="s">
        <v>2319</v>
      </c>
      <c r="Q374" s="12"/>
      <c r="R374" s="160"/>
      <c r="S374" s="12"/>
      <c r="T374" s="92"/>
      <c r="U374" s="12"/>
      <c r="V374" s="109"/>
      <c r="W374" s="76"/>
      <c r="X374" s="76"/>
      <c r="Y374" s="76"/>
      <c r="Z374" s="76"/>
      <c r="AA374" s="76"/>
      <c r="AB374" s="76"/>
      <c r="AC374" s="76"/>
      <c r="AD374" s="76"/>
      <c r="AE374" s="76"/>
      <c r="AF374" s="76"/>
      <c r="AG374" s="76"/>
      <c r="AH374" s="76"/>
      <c r="AI374" s="76"/>
      <c r="AJ374" s="76"/>
      <c r="AK374" s="287"/>
      <c r="AL374" s="7" t="s">
        <v>2320</v>
      </c>
      <c r="AR374" s="7"/>
    </row>
    <row r="375" spans="1:44" s="278" customFormat="1" ht="140.25" hidden="1" customHeight="1" x14ac:dyDescent="0.45">
      <c r="A375" s="8"/>
      <c r="B375" s="92"/>
      <c r="C375" s="2" t="s">
        <v>1967</v>
      </c>
      <c r="D375" s="2" t="s">
        <v>832</v>
      </c>
      <c r="E375" s="2"/>
      <c r="F375" s="2"/>
      <c r="G375" s="2"/>
      <c r="H375" s="104" t="s">
        <v>2321</v>
      </c>
      <c r="I375" s="104" t="s">
        <v>2322</v>
      </c>
      <c r="J375" s="104"/>
      <c r="K375" s="104"/>
      <c r="L375" s="104" t="s">
        <v>280</v>
      </c>
      <c r="M375" s="92" t="s">
        <v>281</v>
      </c>
      <c r="N375" s="12" t="s">
        <v>2323</v>
      </c>
      <c r="O375" s="92" t="s">
        <v>2324</v>
      </c>
      <c r="P375" s="12" t="s">
        <v>2325</v>
      </c>
      <c r="Q375" s="12" t="s">
        <v>415</v>
      </c>
      <c r="R375" s="160" t="s">
        <v>416</v>
      </c>
      <c r="S375" s="12" t="s">
        <v>189</v>
      </c>
      <c r="T375" s="92" t="s">
        <v>2326</v>
      </c>
      <c r="U375" s="92" t="s">
        <v>2327</v>
      </c>
      <c r="V375" s="103" t="s">
        <v>2328</v>
      </c>
      <c r="W375" s="76">
        <v>1980</v>
      </c>
      <c r="X375" s="76">
        <f>1090+130</f>
        <v>1220</v>
      </c>
      <c r="Y375" s="76"/>
      <c r="Z375" s="105"/>
      <c r="AA375" s="105"/>
      <c r="AB375" s="105"/>
      <c r="AC375" s="105"/>
      <c r="AD375" s="105"/>
      <c r="AE375" s="105"/>
      <c r="AF375" s="105"/>
      <c r="AG375" s="105"/>
      <c r="AH375" s="105"/>
      <c r="AI375" s="105"/>
      <c r="AJ375" s="105"/>
      <c r="AK375" s="287" t="s">
        <v>2042</v>
      </c>
      <c r="AL375" s="106" t="s">
        <v>2010</v>
      </c>
      <c r="AR375" s="7"/>
    </row>
  </sheetData>
  <sheetProtection algorithmName="SHA-512" hashValue="DfmMZTY5tcIf8eTWNm4Tk99uXxC4WKVbfjNgTr3OMXlc1Xj1whRRktzwPHDF+gSnepIz9BwwfNPgyV9jRV+KlQ==" saltValue="0HQUbvdawcBTmo1jizeQtQ==" spinCount="100000" sheet="1" objects="1" scenarios="1"/>
  <autoFilter ref="A1:AU375" xr:uid="{2D8AF4F5-D1EE-4516-B618-B62FCF832ECD}">
    <filterColumn colId="1">
      <filters>
        <filter val="1"/>
      </filters>
    </filterColumn>
    <filterColumn colId="2">
      <filters>
        <filter val="ja"/>
      </filters>
    </filterColumn>
  </autoFilter>
  <hyperlinks>
    <hyperlink ref="V137" r:id="rId1" xr:uid="{B21DA2EC-14E8-4506-AA12-19FF15B1C447}"/>
    <hyperlink ref="V120" r:id="rId2" xr:uid="{ED422DC2-9F5A-4EBA-8F21-36C1C62AB700}"/>
    <hyperlink ref="V129" r:id="rId3" display="administratie@bombardon.asg-almere.nl" xr:uid="{BB698A68-41EC-40EE-99E3-31359C649ED8}"/>
    <hyperlink ref="V263" r:id="rId4" display="info@praktijkonderwijsalmere.nl" xr:uid="{4139FD17-4057-4A78-ACC2-C665687976A3}"/>
    <hyperlink ref="V259" r:id="rId5" display="info@dansstudioyvette.nl" xr:uid="{A14A44A9-FE1A-4B95-80A8-F268F3D3ADA5}"/>
    <hyperlink ref="V117" r:id="rId6" display="bestuur@almere81.nl" xr:uid="{104F91AF-B4E2-4BA4-8725-299C395BD5AA}"/>
    <hyperlink ref="V125" r:id="rId7" display="rwestman@deschoor.nl" xr:uid="{650F1678-E273-4062-979B-1E05EC1CA608}"/>
    <hyperlink ref="V135" r:id="rId8" xr:uid="{27724A7B-4218-47A3-AAAF-EB7A2AF65C74}"/>
    <hyperlink ref="V264" r:id="rId9" display="meldpuntvastgoedbedrijf@almere.nl  " xr:uid="{4EB25775-E6EE-440F-9761-9AC4FCC372A0}"/>
    <hyperlink ref="V138" r:id="rId10" display="meldpuntvastgoedbedrijf@almere.nl  " xr:uid="{91D426ED-B6AA-4063-AA3D-21C61D474864}"/>
    <hyperlink ref="V34" r:id="rId11" display="meldpuntvastgoedbedrijf@almere.nl  " xr:uid="{9639335E-2059-4DD0-A202-7E62BFA09F7F}"/>
    <hyperlink ref="V68" r:id="rId12" display="meldpuntvastgoedbedrijf@almere.nl  " xr:uid="{0F55287E-5C9B-4E45-9C97-23D1375E30B6}"/>
    <hyperlink ref="V371" r:id="rId13" display="dir.klimop@prisma-almere.nl" xr:uid="{A5E87E2E-E437-47FE-AA2C-6AE79DDDD697}"/>
    <hyperlink ref="V48" r:id="rId14" xr:uid="{6C713B1A-5F3A-46A2-8E71-76B3257DEC4F}"/>
    <hyperlink ref="V63" r:id="rId15" display="meldpuntvastgoedbedrijf@almere.nl  " xr:uid="{87765BE4-3341-43C7-9FFF-FF01D26AEB74}"/>
    <hyperlink ref="V42" r:id="rId16" display="meldpuntvastgoedbedrijf@almere.nl  " xr:uid="{CAE66637-26C6-4DD2-8B0C-3903F0A086CF}"/>
    <hyperlink ref="V29" r:id="rId17" xr:uid="{DF2741F4-C244-4E2C-8732-B33628732144}"/>
    <hyperlink ref="V372" r:id="rId18" xr:uid="{4307FFAD-3352-4D89-BBCE-2DDC81C16E63}"/>
    <hyperlink ref="V369" r:id="rId19" display="dir.loofhut@skofv.nl ? " xr:uid="{EED394C8-9026-48E1-B139-4083F6B9E476}"/>
    <hyperlink ref="V375" r:id="rId20" xr:uid="{0F85DF2B-B431-4F0E-9BB5-DC0236A6F074}"/>
    <hyperlink ref="V373" r:id="rId21" xr:uid="{86C5EE2A-27DA-4DD2-927F-D0C7651218EB}"/>
    <hyperlink ref="V23" r:id="rId22" display="info@deschoor.nl" xr:uid="{0D371D23-9DA2-4006-81E7-A6158503D244}"/>
    <hyperlink ref="V76" r:id="rId23" display="meldpuntvastgoedbedrijf@almere.nl  " xr:uid="{E885E60A-BF49-4937-96FE-08A83F630A27}"/>
    <hyperlink ref="V2" r:id="rId24" xr:uid="{34AB6426-9F5A-4D8A-B912-7A5F72F1496C}"/>
    <hyperlink ref="V169" r:id="rId25" display="meldpuntvastgoedbedrijf@almere.nl  " xr:uid="{5A466640-ACB9-4EFC-B36C-1F5B55C57731}"/>
    <hyperlink ref="V149" r:id="rId26" xr:uid="{9F2882BF-7524-4ABE-985C-5EE79B7D03F6}"/>
    <hyperlink ref="V356" r:id="rId27" xr:uid="{D3E5FFFD-9982-482D-92B6-1D93BF4A42B0}"/>
    <hyperlink ref="V168" r:id="rId28" display="meldpuntvastgoedbedrijf@almere.nl  " xr:uid="{E7CD7749-E38B-4BFD-B6EB-AE9099DFF47E}"/>
    <hyperlink ref="V152" r:id="rId29" display="meldpuntvastgoedbedrijf@almere.nl  " xr:uid="{464867C0-CE7E-4B30-9BAD-16378DD4B886}"/>
    <hyperlink ref="V156" r:id="rId30" display="info@deschoor.nl ?" xr:uid="{E221FF22-E5E3-4180-A27B-A397EA686F11}"/>
    <hyperlink ref="V354" r:id="rId31" xr:uid="{D62159BC-43E2-4E75-94DE-96965107CD17}"/>
    <hyperlink ref="V182" r:id="rId32" display="meldpuntvastgoedbedrijf@almere.nl" xr:uid="{539C167F-1C25-4BD2-BA5A-060F6E4498FB}"/>
    <hyperlink ref="V357" r:id="rId33" xr:uid="{F5744555-C388-4144-9F6E-F4FF7B3A1CDA}"/>
    <hyperlink ref="V166" r:id="rId34" display="meldpuntvastgoedbedrijf@almere.nl  " xr:uid="{B8CFF537-FF22-471A-853F-E9641D0D4B68}"/>
    <hyperlink ref="V165" r:id="rId35" xr:uid="{7E05FBA9-3A60-47F8-B37B-F3B909E35BE6}"/>
    <hyperlink ref="V181" r:id="rId36" xr:uid="{6EB65B5D-AE64-487B-9936-4680ACDFD17E}"/>
    <hyperlink ref="V183" r:id="rId37" xr:uid="{E301EA10-D403-45B5-8908-FAC733415FDF}"/>
    <hyperlink ref="V159" r:id="rId38" display="www.ontdekking.asg-almere.nl" xr:uid="{6876C58D-2927-4F01-95E8-34E89B724D03}"/>
    <hyperlink ref="V171" r:id="rId39" display="dir.windwijzer@prisma-almere.nl" xr:uid="{EE071250-FD46-42E2-A4ED-8B36E1E178A2}"/>
    <hyperlink ref="V145" r:id="rId40" display="meldpuntvastgoedbedrijf@almere.nl  " xr:uid="{8BEED6F0-2316-471A-9156-69FC9E4EA475}"/>
    <hyperlink ref="V146" r:id="rId41" xr:uid="{1F707B68-BD63-4747-9AF8-D700184C5F99}"/>
    <hyperlink ref="V179" r:id="rId42" xr:uid="{DED7596C-3B59-4EA6-9C2A-2350486E4315}"/>
    <hyperlink ref="V88" r:id="rId43" display="meldpuntvastgoedbedrijf@almere.nl  " xr:uid="{257ED4B9-121D-484B-8DE5-DA138B89DF05}"/>
    <hyperlink ref="V355" r:id="rId44" xr:uid="{6219D15C-0C7F-451A-A758-94EBB73034C9}"/>
    <hyperlink ref="V143" r:id="rId45" display="meldpuntvastgoedbedrijf@almere.nl  " xr:uid="{7BEDD733-FCE7-43C5-BA01-781CA088FA48}"/>
    <hyperlink ref="V144" r:id="rId46" xr:uid="{ECAA8757-B6E5-462D-9A25-65788D31A1F7}"/>
    <hyperlink ref="V153" r:id="rId47" display="info@stadennatuur.nl" xr:uid="{FD0135F0-A51F-4A50-B438-4B12ED207698}"/>
    <hyperlink ref="V191" r:id="rId48" xr:uid="{943924FE-B930-41C5-905D-A702D94EF0D2}"/>
    <hyperlink ref="V190" r:id="rId49" display="meldpuntvastgoedbedrijf@almere.nl  " xr:uid="{32D8603E-1425-45AC-B234-679A02F55AFC}"/>
    <hyperlink ref="V192" r:id="rId50" xr:uid="{FDE58D73-6ABA-409F-B3C3-5F0C19996032}"/>
    <hyperlink ref="V188" r:id="rId51" display="meldpuntvastgoedbedrijf@almere.nl  " xr:uid="{5F1ADA11-A0F9-4FEB-BBF9-691FC5B163BA}"/>
    <hyperlink ref="V350" r:id="rId52" display="info@zonnewiel.nl" xr:uid="{6BA5A4CA-2A6B-474B-ADD4-35CB0C83FFB6}"/>
    <hyperlink ref="V349" r:id="rId53" xr:uid="{8206D579-63BD-435B-87D5-F5FB55062D1C}"/>
    <hyperlink ref="V185" r:id="rId54" display="info@zonnewiel.nl" xr:uid="{5D3E5A8D-891B-46D6-BF15-610CD9A30755}"/>
    <hyperlink ref="V184" r:id="rId55" display="meldpuntvastgoedbedrijf@almere.nl  " xr:uid="{84028E1B-EF6D-4AB1-AE16-1FC2F7D8C348}"/>
    <hyperlink ref="V186" r:id="rId56" display="meldpuntvastgoedbedrijf@almere.nl  " xr:uid="{7EA29D32-8545-418A-9AFA-AECD2518D1BB}"/>
    <hyperlink ref="V342" r:id="rId57" xr:uid="{B0637400-6F9E-437C-85E7-D54E4D9EDE13}"/>
    <hyperlink ref="V337" r:id="rId58" display="crescendo@skofv.nl" xr:uid="{6FAE0DE2-1F5C-4B07-8C09-C9019B4B3819}"/>
    <hyperlink ref="V336" r:id="rId59" xr:uid="{F15F4A5B-0CDC-479B-8BA8-BBCA3988CFAC}"/>
    <hyperlink ref="V85" r:id="rId60" display="meldpuntvastgoedbedrijf@almere.nl  " xr:uid="{476C9372-C2AB-482B-ADEB-2B3B19877FBB}"/>
    <hyperlink ref="V119" r:id="rId61" xr:uid="{ECAC2B98-8127-472A-B9C0-E7B7B54B57C5}"/>
    <hyperlink ref="V343" r:id="rId62" xr:uid="{B4BBAC31-61DB-4F5B-8C1A-A8B67FE32BE5}"/>
    <hyperlink ref="V329" r:id="rId63" xr:uid="{855F3246-DCDB-4A21-96D1-BBA29E9F1514}"/>
    <hyperlink ref="V330" r:id="rId64" display="dir.lettertuin@skofv.nl" xr:uid="{3470AC59-91E6-4B1E-89A0-C48C393FED21}"/>
    <hyperlink ref="V229" r:id="rId65" display="meldpuntvastgoedbedrijf@almere.nl  " xr:uid="{D53A8988-0E12-4736-A61E-DF7491754D0F}"/>
    <hyperlink ref="V242" r:id="rId66" xr:uid="{9539D100-E5FA-45B2-99D2-90040BA7CD72}"/>
    <hyperlink ref="V221" r:id="rId67" display="meldpuntvastgoedbedrijf@almere.nl  " xr:uid="{FCF15FD2-AB13-4885-9369-B5861F7CAE69}"/>
    <hyperlink ref="V223" r:id="rId68" display="directie@spectrum.asg-almere.nl" xr:uid="{B24E5E23-459C-4BC0-8A2A-B7D33B89FDAF}"/>
    <hyperlink ref="V213" r:id="rId69" xr:uid="{736AAB49-F2E6-41D9-A6DD-6D436D63792B}"/>
    <hyperlink ref="V245" r:id="rId70" xr:uid="{56E75161-4E76-4A68-BCE7-C981925C9288}"/>
    <hyperlink ref="V228" r:id="rId71" display="meldpuntvastgoedbedrijf@almere.nl  " xr:uid="{165CE82C-50B1-416D-9B90-F28A598FDB66}"/>
    <hyperlink ref="V227" r:id="rId72" display="info@praktijkonderwijsalmere.nl" xr:uid="{A9B89ED9-B0B7-4450-9475-E5F85CCFB11E}"/>
    <hyperlink ref="V220" r:id="rId73" display="meldpuntvastgoedbedrijf@almere.nl  " xr:uid="{EDD70C8D-CA39-4F2A-95B6-4345A8B1E7AE}"/>
    <hyperlink ref="V217" r:id="rId74" display="meldpuntvastgoedbedrijf@almere.nl " xr:uid="{C7622FDF-F6E0-4301-AA54-D93871F2FEDF}"/>
    <hyperlink ref="V256" r:id="rId75" display="meldpuntvastgoedbedrijf@almere.nl  " xr:uid="{715E4B38-213A-4D8B-AB3E-5C81ABAB5DE5}"/>
    <hyperlink ref="V255" r:id="rId76" xr:uid="{6354B13B-4FD5-41F9-A4AB-F2B88AA55155}"/>
    <hyperlink ref="V254" r:id="rId77" display="directie@aurora.asg-almere.nl" xr:uid="{897A3CD0-A513-44BC-9444-660267C966AA}"/>
    <hyperlink ref="V334" r:id="rId78" display="dir.dukdalf@prisma-almere.nl, " xr:uid="{F8C721AE-AEAE-45B0-9092-B49094B67FE4}"/>
    <hyperlink ref="V215" r:id="rId79" xr:uid="{8A7A1084-32E7-4D73-AE9B-AC5F850C8447}"/>
    <hyperlink ref="V209" r:id="rId80" display="vrijbuiter@optisport.nl" xr:uid="{E86F9EBA-EE6A-4919-8B28-CD369069208F}"/>
    <hyperlink ref="V231" r:id="rId81" xr:uid="{E8CE6CE0-03B3-4777-94C1-230E5F5581BB}"/>
    <hyperlink ref="V243" r:id="rId82" xr:uid="{E01F2AD7-5CC5-4A24-BD07-E8FC819A089D}"/>
    <hyperlink ref="V351" r:id="rId83" xr:uid="{BC99B1BD-05F7-4190-9163-37A97C267B3A}"/>
    <hyperlink ref="V257" r:id="rId84" xr:uid="{0EEFC18B-7143-4CC4-9290-2340AD79F8C9}"/>
    <hyperlink ref="V214" r:id="rId85" xr:uid="{1ECDC08D-A8E8-40D5-9609-9F0C47DB7477}"/>
    <hyperlink ref="V244" r:id="rId86" xr:uid="{34DFD7B3-2227-451E-B998-B2ED6F03D963}"/>
    <hyperlink ref="V204" r:id="rId87" display="meldpuntvastgoedbedrijf@almere.nl  " xr:uid="{6946D0A3-4F3B-4FE5-9D2D-1A49DD149D9E}"/>
    <hyperlink ref="V230" r:id="rId88" display="rmjvdijk@almere.nl" xr:uid="{E0F77149-680B-4D7F-8B39-7FD6B962EB5E}"/>
    <hyperlink ref="V37" r:id="rId89" xr:uid="{E76B918F-69CD-4310-8619-A11101FE4478}"/>
    <hyperlink ref="V93" r:id="rId90" display="edwin.eerens@smallsteps.info" xr:uid="{B5C75A74-3F0E-414F-A1E8-809DE153208F}"/>
    <hyperlink ref="V40" r:id="rId91" display="info@obssyncope.nl" xr:uid="{FD9B86D5-DF4C-4899-8F09-C763A3044017}"/>
    <hyperlink ref="V43" r:id="rId92" xr:uid="{691ADC10-7886-48F5-A0A7-638D8E892A42}"/>
    <hyperlink ref="V52" r:id="rId93" xr:uid="{25FF81AF-9CC7-4BAE-B0B8-C3FD96F41CD6}"/>
    <hyperlink ref="V71" r:id="rId94" xr:uid="{CB1F1523-B4C3-41F8-BBBF-4F4F13391887}"/>
    <hyperlink ref="V96" r:id="rId95" display="info@sterrenschoolderuimte.nl" xr:uid="{CA068ABD-4063-442C-B981-D04819B673AD}"/>
    <hyperlink ref="V176" r:id="rId96" xr:uid="{1F67C420-89A9-4751-8361-395F8C8F2909}"/>
    <hyperlink ref="V212" r:id="rId97" xr:uid="{91FE700E-F70E-4C54-A2BF-D991DC9BB7BA}"/>
    <hyperlink ref="V338" r:id="rId98" xr:uid="{CF741D65-7D50-48DF-A3EC-0085B3DA5851}"/>
    <hyperlink ref="V83" r:id="rId99" xr:uid="{A7E78E0D-4CFD-4F9C-9C94-160F8DF906E5}"/>
    <hyperlink ref="V368" r:id="rId100" xr:uid="{F4431D50-02D7-496D-BED5-E34348F2D79F}"/>
    <hyperlink ref="V124" r:id="rId101" display="kinderrevalidatiealmere@trappenberg.merem.nl" xr:uid="{31646F4B-DE80-4A75-9827-FA3C8528F0E5}"/>
    <hyperlink ref="V81" r:id="rId102" display="info@dikkertjedap.nl" xr:uid="{FC9A62F9-A628-407C-A3F2-53D6268FD1F9}"/>
    <hyperlink ref="V11" r:id="rId103" xr:uid="{D4587E76-9C84-4F86-8DD3-DBD653C3363E}"/>
    <hyperlink ref="V236" r:id="rId104" xr:uid="{6A6D2CF5-F231-408C-A252-D8B80E9D4622}"/>
    <hyperlink ref="V208" r:id="rId105" display="administratie@albatros.asg-almere.nl" xr:uid="{BD16E24F-21F5-4DAE-854D-D7E51B4BC309}"/>
    <hyperlink ref="V47" r:id="rId106" display="lentemorgen11@gmail.com" xr:uid="{672D1353-7B91-44CB-90CA-1F1BBD4777F5}"/>
    <hyperlink ref="V132" r:id="rId107" display="patrick@cafeop2.nl" xr:uid="{656A3B19-A675-47E6-A09F-1F04D918AFB6}"/>
    <hyperlink ref="V128" r:id="rId108" display="administratie@bombardon.edu.almere.nl" xr:uid="{68A16AEE-D21F-418C-A2CD-F890410B1272}"/>
    <hyperlink ref="V177" r:id="rId109" xr:uid="{DE5CEE1F-5B26-483C-8E2D-6DFE0EEBAD12}"/>
    <hyperlink ref="V28" r:id="rId110" xr:uid="{1C7C048C-87CD-4144-9612-FF7546549633}"/>
    <hyperlink ref="V67" r:id="rId111" xr:uid="{D56B869F-3C84-4FF8-A3D6-955F616112B7}"/>
    <hyperlink ref="V126" r:id="rId112" display="info@amethistverslavingszorg.nl" xr:uid="{26924026-9574-4BB6-BA14-BCA23BCF8152}"/>
    <hyperlink ref="V163" r:id="rId113" display="meldpuntvastgoedbedrijf@almere.nl  " xr:uid="{062C1446-C91D-4FDC-BB4D-284A456FD87C}"/>
    <hyperlink ref="V70" r:id="rId114" xr:uid="{E438EBD9-4683-4C86-A49C-ED7DBD9C2A5A}"/>
    <hyperlink ref="V237" r:id="rId115" display="info@rcbulldogs.nl" xr:uid="{16262A39-ECF5-41A3-B0AC-115AFB795EAE}"/>
    <hyperlink ref="V54" r:id="rId116" xr:uid="{9C76F9DC-CC0F-4310-BC43-F55E76953027}"/>
    <hyperlink ref="V12" r:id="rId117" display="meldpuntvastgoedbedrijf@almere.nl  " xr:uid="{3B1D811B-3017-4EBF-BD9E-8B7AE0699835}"/>
    <hyperlink ref="V6" r:id="rId118" display="meldpuntvastgoedbedrijf@almere.nl  " xr:uid="{654E3682-DEA1-4599-8FE2-A1FF1606B54E}"/>
    <hyperlink ref="V262" r:id="rId119" display="meldpuntvastgoedbedrijf@almere.nl  " xr:uid="{F078155F-A48A-47A4-9E3F-F0350D3D4FD3}"/>
    <hyperlink ref="V174" r:id="rId120" display="voorzitter@waterwijk.nl" xr:uid="{93E61DA3-8B91-41AC-96AA-4092364B80E1}"/>
    <hyperlink ref="V79" r:id="rId121" display="pwjschrijver@almere.nl" xr:uid="{0802D0D2-E0AE-40DA-81E8-7FAA47BC0A89}"/>
    <hyperlink ref="V56" r:id="rId122" xr:uid="{974FAB2C-A333-4508-95A2-335AFA6BB227}"/>
    <hyperlink ref="V61" r:id="rId123" xr:uid="{8E53B89A-34D7-4ADB-A5A8-B1A0DCFB5B78}"/>
    <hyperlink ref="V362" r:id="rId124" display="meldpuntvastgoedbedrijf@almere.nl  " xr:uid="{18FD6EA1-D9AA-4E84-9713-BAAA90526F9B}"/>
    <hyperlink ref="V72" r:id="rId125" display="cvkesteren@stadennatuur.nl" xr:uid="{0CBCCB58-8D79-4AA2-B76B-87C4D5ECCDDE}"/>
    <hyperlink ref="V216" r:id="rId126" display="info@stadennatuur.nl" xr:uid="{137851C1-C92B-4521-A406-6A702A6CCFA8}"/>
    <hyperlink ref="V108" r:id="rId127" display="info@stadennatuur.nl" xr:uid="{E524B816-BE92-4133-A98A-F233CE5FB8A9}"/>
    <hyperlink ref="V60" r:id="rId128" xr:uid="{C81F8FC0-6E14-4604-9885-8A27791ED942}"/>
    <hyperlink ref="V205" r:id="rId129" display="patrick.schipper@sheerenlo.nl" xr:uid="{010054EE-0252-450E-A56B-134FD4C077CC}"/>
    <hyperlink ref="V116" r:id="rId130" xr:uid="{BA513EFB-9D90-4E37-8939-4FF1913517FB}"/>
    <hyperlink ref="V332" r:id="rId131" display="dir.kraanvogel@prisma-almere.nl" xr:uid="{645EAD2B-E7DD-4993-A951-15FE14C0EFDF}"/>
    <hyperlink ref="V340" r:id="rId132" xr:uid="{0F1852A8-BE8F-4EB2-9192-43B6E4574998}"/>
    <hyperlink ref="V341" r:id="rId133" xr:uid="{A0C57D2C-99AC-4BF3-88ED-1A4078158626}"/>
    <hyperlink ref="V232" r:id="rId134" display="mailto:beheer@buitenhoutmhc.nl" xr:uid="{0B149130-3F65-43CC-B775-65C27C8F013E}"/>
    <hyperlink ref="V187" r:id="rId135" display="meldpuntvastgoedbedrijf@almere.nl  " xr:uid="{40B07AD4-9FDA-437E-AE1D-BF8DE0EF22F6}"/>
    <hyperlink ref="V7" r:id="rId136" xr:uid="{F65BC71F-ECAC-4F4F-BE9C-DCEB9F30D613}"/>
    <hyperlink ref="V104" r:id="rId137" display="hhgabriel@almere.nl" xr:uid="{87F77107-00CE-40A0-8E35-350A469C3466}"/>
    <hyperlink ref="V13" r:id="rId138" xr:uid="{18B4836B-0FF3-4695-9280-D04A7C283625}"/>
    <hyperlink ref="V15" r:id="rId139" xr:uid="{419C35A5-7D0C-450A-820E-6C7BE3EDF5CF}"/>
    <hyperlink ref="V18" r:id="rId140" display="info@kingdomimpact.nl" xr:uid="{9AC2912F-B88D-4392-8B33-C0B2A3654681}"/>
    <hyperlink ref="V21" r:id="rId141" xr:uid="{15B44BAB-F8F9-4A9B-A8A6-D77D91C768B9}"/>
    <hyperlink ref="V22" r:id="rId142" xr:uid="{73274EDD-13F1-4923-A925-6E58DE683DDE}"/>
    <hyperlink ref="V33" r:id="rId143" display="info@deschoor.nl" xr:uid="{BD371A09-2DCC-42BD-AAFC-289F230AA753}"/>
    <hyperlink ref="V36" r:id="rId144" xr:uid="{3BECEB0C-5EA5-4FA2-8A40-AD8A1912D696}"/>
    <hyperlink ref="V49" r:id="rId145" display="info@deschoor.nl" xr:uid="{16C3F145-963B-4613-B358-9F4D573A83B7}"/>
    <hyperlink ref="V57" r:id="rId146" xr:uid="{E0B690F3-0757-40B0-973A-CB7E12EA034D}"/>
    <hyperlink ref="V59" r:id="rId147" xr:uid="{E1E01874-07AA-4A72-B7E8-CBE543A5B272}"/>
    <hyperlink ref="V64" r:id="rId148" xr:uid="{A3EC7897-28DA-49CE-9485-5C6461F3BF57}"/>
    <hyperlink ref="V73" r:id="rId149" xr:uid="{8B6A781D-F2AA-49BD-84B3-97CB1749DB75}"/>
    <hyperlink ref="V75" r:id="rId150" xr:uid="{5165AA8D-EC85-4D80-BD31-0597CF11A3AB}"/>
    <hyperlink ref="V110" r:id="rId151" xr:uid="{A8E7027C-7F9D-4BB4-B9F0-FFB72BE4B737}"/>
    <hyperlink ref="V111" r:id="rId152" xr:uid="{5D3966BE-448E-4EB1-9E89-9DE9D244CD79}"/>
    <hyperlink ref="V112" r:id="rId153" xr:uid="{2D76A0B3-AFAF-4396-8634-499C5D7E933B}"/>
    <hyperlink ref="V113" r:id="rId154" xr:uid="{FBF84933-227B-4399-9C78-21A43F41343A}"/>
    <hyperlink ref="V114" r:id="rId155" xr:uid="{39C928CE-A62E-404C-A27E-C426EAA93AE7}"/>
    <hyperlink ref="V115" r:id="rId156" xr:uid="{32E59F9A-7795-45BC-A62A-CFDB1920391B}"/>
    <hyperlink ref="V238" r:id="rId157" xr:uid="{6DAACD93-78D8-48AE-949C-DE40A767D165}"/>
    <hyperlink ref="V239" r:id="rId158" xr:uid="{F6E2C314-FCBC-4F51-AF63-B98859F7B3C9}"/>
    <hyperlink ref="V240" r:id="rId159" xr:uid="{3ABF65B9-4735-49CE-AE7D-4FBAE985FDD2}"/>
    <hyperlink ref="V241" r:id="rId160" xr:uid="{E5A41942-F1D7-449E-9D93-2EE0CA29D3B2}"/>
    <hyperlink ref="V246" r:id="rId161" xr:uid="{4DD47DF3-F376-4BF7-AA38-FEEC51CCD46E}"/>
    <hyperlink ref="V261" r:id="rId162" display="info@palet.asg-almere.nl " xr:uid="{9348F872-8975-446A-8CE9-F93281A02DD5}"/>
    <hyperlink ref="V131" r:id="rId163" xr:uid="{A63A973B-B4B1-4781-9A20-1B284315CB82}"/>
    <hyperlink ref="V139" r:id="rId164" display="mailto:rwestman@deschoor.nl" xr:uid="{2992D855-841A-4307-8EFA-E2BAB19E31DC}"/>
    <hyperlink ref="V141" r:id="rId165" display="mailto:rwestman@deschoor.nl" xr:uid="{E815CB00-1FAF-4C93-947F-141E75EAC5DE}"/>
    <hyperlink ref="V94" r:id="rId166" xr:uid="{6A366631-7199-4D13-A5C0-539781494AD2}"/>
    <hyperlink ref="V360" r:id="rId167" display="dir.omnibus@prisma-almere.nl" xr:uid="{201F42C7-D9AF-4742-9745-1804BAB46B06}"/>
    <hyperlink ref="V157" r:id="rId168" display="mailto:rwestman@deschoor.nl" xr:uid="{A454875F-92B7-4E90-B3BF-A028EB16C223}"/>
    <hyperlink ref="V161" r:id="rId169" display="info@deschoor.nl ?" xr:uid="{F70C3FE4-8705-4792-966F-9555F4966D99}"/>
    <hyperlink ref="V87" r:id="rId170" display="info@deschoor.nl ?" xr:uid="{372DC671-7C1C-47C5-BDD2-1AB8AE8F5D97}"/>
    <hyperlink ref="V180" r:id="rId171" display="info@deschoor.nl ?" xr:uid="{E25EE53C-2F0D-4FE8-BA30-CD9627F23720}"/>
    <hyperlink ref="V210" r:id="rId172" display="info@deschoor.nl ?" xr:uid="{BF30101A-52F3-4AAD-9EB6-FDB33BDCFB53}"/>
    <hyperlink ref="V84" r:id="rId173" display="info@deschoor.nl ?" xr:uid="{4F855187-162F-42AC-85CD-4DCCFDC074F8}"/>
    <hyperlink ref="V225" r:id="rId174" display="info@deschoor.nl ?" xr:uid="{5DC9DD36-334E-4F21-BC50-0F5D8A49A934}"/>
    <hyperlink ref="V233" r:id="rId175" display="info@deschoor.nl ?" xr:uid="{32540470-BDA5-4097-B5D5-89A7BD3111BF}"/>
    <hyperlink ref="V175" r:id="rId176" display="info@deschoor.nl ?" xr:uid="{A5B77B75-1BA7-4A46-8B58-5A3C1D8DCC16}"/>
    <hyperlink ref="V162" r:id="rId177" xr:uid="{A54337A9-50C2-4F8E-9CA1-9167C08B79B6}"/>
    <hyperlink ref="V134" r:id="rId178" xr:uid="{4E0261F6-EBD5-42C2-8308-B91509D92C31}"/>
    <hyperlink ref="V89" r:id="rId179" display="meldpuntvastgoedbedrijf@almere.nl  " xr:uid="{55F77B71-170F-4D7D-933B-538122796919}"/>
    <hyperlink ref="V207" r:id="rId180" display="administratie@albatros.asg-almere.nl" xr:uid="{8C4BBA7C-4BC2-4414-873F-DFFAA51247B2}"/>
    <hyperlink ref="V333" r:id="rId181" display="dir.kraanvogel@prisma-almere.nl" xr:uid="{C0C869ED-97AB-4E79-BB26-D3B5A33BFD37}"/>
    <hyperlink ref="V224" r:id="rId182" display="directie@spectrum.asg-almere.nl" xr:uid="{6B81BB35-14E3-4635-B68B-F1B643FFCB94}"/>
    <hyperlink ref="V103" r:id="rId183" display="hhgabriel@almere.nl" xr:uid="{4C07863F-13B8-41C9-93A5-9C7F3440939D}"/>
    <hyperlink ref="V105" r:id="rId184" display="hhgabriel@almere.nl" xr:uid="{233A7B0C-D8AF-4FA9-A950-38FC9725327C}"/>
    <hyperlink ref="V106" r:id="rId185" display="hhgabriel@almere.nl" xr:uid="{B3704C4F-F899-47A9-A04B-2C722063252B}"/>
    <hyperlink ref="V107" r:id="rId186" xr:uid="{E1DEE424-7956-4A6C-8DBE-0FB8832366A7}"/>
    <hyperlink ref="V140" r:id="rId187" xr:uid="{91CE9DB2-ED51-4FE0-BF7D-5579D16770FE}"/>
    <hyperlink ref="V91" r:id="rId188" display="mailto:rwestman@deschoor.nl" xr:uid="{28E4FA7A-24BF-46ED-BCBE-F0C63930ABE7}"/>
    <hyperlink ref="V226" r:id="rId189" xr:uid="{323E83B1-920D-42C9-8863-55A455B99BBF}"/>
    <hyperlink ref="V219" r:id="rId190" xr:uid="{54012F90-7493-409F-853E-38AD6E4BD7AB}"/>
    <hyperlink ref="V80" r:id="rId191" display="pwjschrijver@almere.nl" xr:uid="{200A5397-E1F3-406F-89DA-91A3F1BF1DB2}"/>
    <hyperlink ref="V123" r:id="rId192" display="pwjschrijver@almere.nl" xr:uid="{D6B9F5E8-E5E6-4BE0-B8C7-3F3D42FF0F68}"/>
    <hyperlink ref="V155" r:id="rId193" display="pwjschrijver@almere.nl" xr:uid="{1255EAC2-51B0-43F2-ACD5-3809D41D46FD}"/>
    <hyperlink ref="V158" r:id="rId194" display="pwjschrijver@almere.nl" xr:uid="{0AF53F04-23E8-4BDF-BE33-2A76FC033FE9}"/>
    <hyperlink ref="V178" r:id="rId195" display="pwjschrijver@almere.nl" xr:uid="{90327CBD-DB9C-4C09-8752-4722CA9930FD}"/>
    <hyperlink ref="V252" r:id="rId196" display="pwjschrijver@almere.nl" xr:uid="{EE42948E-E596-4835-AB63-D9F61B45F6EA}"/>
    <hyperlink ref="V66" r:id="rId197" display="meldpuntvastgoedbedrijf@almere.nl  " xr:uid="{E2F8FE67-F481-42F9-A16D-AD1AD723FD07}"/>
    <hyperlink ref="V133" r:id="rId198" display="meldpuntvastgoedbedrijf@almere.nl  " xr:uid="{D81F8FB2-8A2F-4E50-8B76-906C582CC2A5}"/>
    <hyperlink ref="V3" r:id="rId199" xr:uid="{A46D7B5B-55C3-4503-9976-ED749FCB5603}"/>
    <hyperlink ref="V366" r:id="rId200" xr:uid="{43D59BFC-5E4E-4284-B79A-5533D1A29506}"/>
    <hyperlink ref="V148" r:id="rId201" xr:uid="{05B6AF1A-BBA3-431E-92AC-A6660EA8F188}"/>
    <hyperlink ref="V150" r:id="rId202" xr:uid="{1D510860-C9BF-44F8-A8CE-D390F4031B71}"/>
    <hyperlink ref="V164" r:id="rId203" display="info@deschoor.nl ?" xr:uid="{34D57CBE-5658-4F4A-A31E-44CAA0E79E0A}"/>
    <hyperlink ref="V95" r:id="rId204" xr:uid="{06D8E140-7DE2-4098-9184-A7330BE8E1A1}"/>
    <hyperlink ref="V4" r:id="rId205" display="meldpuntvastgoedbedrijf@almere.nl  " xr:uid="{274A26F2-D2B5-40BF-98D9-271F3B13FF92}"/>
    <hyperlink ref="V130" r:id="rId206" display="sbatenburg@almere.nl" xr:uid="{D732911A-A38B-48B8-8E85-AD50985E9641}"/>
    <hyperlink ref="V109" r:id="rId207" xr:uid="{9A4DCF9B-C276-4110-8991-4E5118A931AE}"/>
    <hyperlink ref="V251" r:id="rId208" display="pwjschrijver@almere.nl" xr:uid="{89A67108-57A3-4614-A371-3641D1D6559C}"/>
    <hyperlink ref="V17" r:id="rId209" xr:uid="{B633043D-EA31-452E-AB75-2273044769DE}"/>
    <hyperlink ref="V20" r:id="rId210" display="meldpuntvastgoedbedrijf@almere.nl  " xr:uid="{14CCE90C-1AFE-422F-AAA0-F5CC72771A13}"/>
    <hyperlink ref="V16" r:id="rId211" xr:uid="{4715CF23-F92B-4F4C-8BCC-0A96F81DF02B}"/>
    <hyperlink ref="V327" r:id="rId212" display="meldpuntvastgoedbedrijf@almere.nl  " xr:uid="{956822E8-B389-42E4-8EAB-636979194ECD}"/>
    <hyperlink ref="V10" r:id="rId213" display="hhgabriel@almere.nl" xr:uid="{B972A7A9-6DC8-42F5-9BFB-59D3873499F2}"/>
    <hyperlink ref="V326" r:id="rId214" display="meldpuntvastgoedbedrijf@almere.nl  " xr:uid="{B0A6ADAF-2554-4AAA-A06C-E804627EC4DD}"/>
    <hyperlink ref="V9" r:id="rId215" display="meldpuntvastgoedbedrijf@almere.nl  " xr:uid="{34C6BA0B-0F51-4361-A7C4-FCC5E96F6D43}"/>
  </hyperlinks>
  <pageMargins left="0.7" right="0.7" top="0.75" bottom="0.75" header="0.3" footer="0.3"/>
  <pageSetup paperSize="9" scale="28" orientation="landscape" r:id="rId216"/>
  <ignoredErrors>
    <ignoredError sqref="AM12:AN13 AM34:AN34 AM36:AN36 AM43:AN43 AM46:AN46 AM50:AN50 AM68:AN68 AM70:AN70 AM78:AN78 AT4 AT33 AT46 AT57 AT60 AT64 AM69:AN6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1F729-25D0-4991-8B70-E994E54E41CC}">
  <sheetPr filterMode="1"/>
  <dimension ref="A1:AT375"/>
  <sheetViews>
    <sheetView topLeftCell="S1" zoomScale="75" zoomScaleNormal="75" workbookViewId="0">
      <pane ySplit="1" topLeftCell="A114" activePane="bottomLeft" state="frozen"/>
      <selection activeCell="A14" sqref="A14"/>
      <selection pane="bottomLeft" activeCell="AL122" sqref="AL122"/>
    </sheetView>
  </sheetViews>
  <sheetFormatPr defaultColWidth="9.1328125" defaultRowHeight="14.25" x14ac:dyDescent="0.4"/>
  <cols>
    <col min="1" max="1" width="10" style="8" hidden="1" customWidth="1"/>
    <col min="2" max="2" width="7.1328125" style="378" customWidth="1"/>
    <col min="3" max="7" width="7.1328125" style="1" hidden="1" customWidth="1"/>
    <col min="8" max="8" width="14.3984375" style="38" hidden="1" customWidth="1"/>
    <col min="9" max="9" width="14.1328125" style="38" hidden="1" customWidth="1"/>
    <col min="10" max="11" width="13.86328125" style="38" hidden="1" customWidth="1"/>
    <col min="12" max="12" width="22" style="38" hidden="1" customWidth="1"/>
    <col min="13" max="13" width="17" style="19" hidden="1" customWidth="1"/>
    <col min="14" max="14" width="11.3984375" style="404" customWidth="1"/>
    <col min="15" max="15" width="66.1328125" style="404" customWidth="1"/>
    <col min="16" max="16" width="26" style="404" customWidth="1"/>
    <col min="17" max="17" width="9.3984375" style="404" customWidth="1"/>
    <col min="18" max="18" width="20.86328125" style="404" customWidth="1"/>
    <col min="19" max="19" width="19.1328125" style="404" customWidth="1"/>
    <col min="20" max="20" width="30.86328125" style="19" hidden="1" customWidth="1"/>
    <col min="21" max="21" width="25" style="19" hidden="1" customWidth="1"/>
    <col min="22" max="22" width="25.1328125" style="19" hidden="1" customWidth="1"/>
    <col min="23" max="23" width="8.86328125" style="393" customWidth="1"/>
    <col min="24" max="25" width="14.59765625" style="393" customWidth="1"/>
    <col min="26" max="26" width="16.86328125" style="394" customWidth="1"/>
    <col min="27" max="27" width="13.86328125" style="394" customWidth="1"/>
    <col min="28" max="28" width="12.265625" style="394" customWidth="1"/>
    <col min="29" max="34" width="10.86328125" style="394" customWidth="1"/>
    <col min="35" max="35" width="12" style="394" customWidth="1"/>
    <col min="36" max="36" width="12" style="39" hidden="1" customWidth="1"/>
    <col min="37" max="37" width="14.73046875" style="405" customWidth="1"/>
    <col min="38" max="38" width="30.86328125" style="368" customWidth="1"/>
    <col min="39" max="42" width="12.59765625" style="406" customWidth="1"/>
    <col min="43" max="43" width="12.59765625" style="368" customWidth="1"/>
    <col min="44" max="44" width="12.59765625" style="406" customWidth="1"/>
    <col min="45" max="45" width="20" style="406" bestFit="1" customWidth="1"/>
    <col min="46" max="16384" width="9.1328125" style="368"/>
  </cols>
  <sheetData>
    <row r="1" spans="1:45" s="363" customFormat="1" ht="217.5" customHeight="1" thickTop="1" thickBot="1" x14ac:dyDescent="0.5">
      <c r="A1" s="151" t="s">
        <v>97</v>
      </c>
      <c r="B1" s="483" t="s">
        <v>98</v>
      </c>
      <c r="C1" s="151" t="s">
        <v>99</v>
      </c>
      <c r="D1" s="153" t="s">
        <v>100</v>
      </c>
      <c r="E1" s="153" t="s">
        <v>101</v>
      </c>
      <c r="F1" s="153" t="s">
        <v>101</v>
      </c>
      <c r="G1" s="153" t="s">
        <v>102</v>
      </c>
      <c r="H1" s="152" t="s">
        <v>103</v>
      </c>
      <c r="I1" s="152" t="s">
        <v>104</v>
      </c>
      <c r="J1" s="152" t="s">
        <v>105</v>
      </c>
      <c r="K1" s="152" t="s">
        <v>106</v>
      </c>
      <c r="L1" s="154" t="s">
        <v>107</v>
      </c>
      <c r="M1" s="154" t="s">
        <v>108</v>
      </c>
      <c r="N1" s="483" t="s">
        <v>109</v>
      </c>
      <c r="O1" s="483" t="s">
        <v>110</v>
      </c>
      <c r="P1" s="483" t="s">
        <v>111</v>
      </c>
      <c r="Q1" s="483" t="s">
        <v>112</v>
      </c>
      <c r="R1" s="506" t="s">
        <v>113</v>
      </c>
      <c r="S1" s="483" t="s">
        <v>114</v>
      </c>
      <c r="T1" s="152" t="s">
        <v>115</v>
      </c>
      <c r="U1" s="152" t="s">
        <v>116</v>
      </c>
      <c r="V1" s="152" t="s">
        <v>117</v>
      </c>
      <c r="W1" s="483" t="s">
        <v>118</v>
      </c>
      <c r="X1" s="483" t="s">
        <v>119</v>
      </c>
      <c r="Y1" s="483" t="s">
        <v>120</v>
      </c>
      <c r="Z1" s="483" t="s">
        <v>121</v>
      </c>
      <c r="AA1" s="483" t="s">
        <v>122</v>
      </c>
      <c r="AB1" s="483" t="s">
        <v>123</v>
      </c>
      <c r="AC1" s="483" t="s">
        <v>124</v>
      </c>
      <c r="AD1" s="483" t="s">
        <v>125</v>
      </c>
      <c r="AE1" s="483" t="s">
        <v>126</v>
      </c>
      <c r="AF1" s="483" t="s">
        <v>127</v>
      </c>
      <c r="AG1" s="483" t="s">
        <v>128</v>
      </c>
      <c r="AH1" s="483" t="s">
        <v>129</v>
      </c>
      <c r="AI1" s="483" t="s">
        <v>130</v>
      </c>
      <c r="AJ1" s="152" t="s">
        <v>131</v>
      </c>
      <c r="AK1" s="483" t="s">
        <v>2329</v>
      </c>
      <c r="AL1" s="484" t="s">
        <v>132</v>
      </c>
      <c r="AM1" s="485" t="s">
        <v>2330</v>
      </c>
      <c r="AN1" s="486" t="s">
        <v>2331</v>
      </c>
      <c r="AO1" s="486" t="s">
        <v>2343</v>
      </c>
      <c r="AP1" s="486" t="s">
        <v>2334</v>
      </c>
      <c r="AQ1" s="530" t="s">
        <v>133</v>
      </c>
      <c r="AR1" s="487" t="s">
        <v>2344</v>
      </c>
      <c r="AS1" s="488" t="s">
        <v>134</v>
      </c>
    </row>
    <row r="2" spans="1:45" s="7" customFormat="1" ht="39" hidden="1" thickTop="1" thickBot="1" x14ac:dyDescent="0.5">
      <c r="A2" s="155"/>
      <c r="B2" s="152">
        <v>1</v>
      </c>
      <c r="C2" s="156" t="s">
        <v>135</v>
      </c>
      <c r="D2" s="156" t="s">
        <v>136</v>
      </c>
      <c r="E2" s="156"/>
      <c r="F2" s="156"/>
      <c r="G2" s="156"/>
      <c r="H2" s="151" t="s">
        <v>137</v>
      </c>
      <c r="I2" s="151" t="s">
        <v>138</v>
      </c>
      <c r="J2" s="157"/>
      <c r="K2" s="158"/>
      <c r="L2" s="151" t="s">
        <v>139</v>
      </c>
      <c r="M2" s="159" t="s">
        <v>140</v>
      </c>
      <c r="N2" s="160" t="s">
        <v>141</v>
      </c>
      <c r="O2" s="159" t="s">
        <v>142</v>
      </c>
      <c r="P2" s="159" t="s">
        <v>143</v>
      </c>
      <c r="Q2" s="159" t="s">
        <v>144</v>
      </c>
      <c r="R2" s="41" t="s">
        <v>145</v>
      </c>
      <c r="S2" s="159" t="s">
        <v>146</v>
      </c>
      <c r="T2" s="159" t="s">
        <v>147</v>
      </c>
      <c r="U2" s="159" t="s">
        <v>148</v>
      </c>
      <c r="V2" s="176" t="s">
        <v>149</v>
      </c>
      <c r="W2" s="152">
        <v>2007</v>
      </c>
      <c r="X2" s="152">
        <v>531</v>
      </c>
      <c r="Y2" s="152"/>
      <c r="Z2" s="177"/>
      <c r="AA2" s="177" t="s">
        <v>150</v>
      </c>
      <c r="AB2" s="177">
        <v>10</v>
      </c>
      <c r="AC2" s="177">
        <v>82</v>
      </c>
      <c r="AD2" s="177" t="s">
        <v>151</v>
      </c>
      <c r="AE2" s="177"/>
      <c r="AF2" s="177"/>
      <c r="AG2" s="177"/>
      <c r="AH2" s="177"/>
      <c r="AI2" s="177"/>
      <c r="AJ2" s="177"/>
      <c r="AK2" s="257">
        <v>1</v>
      </c>
      <c r="AL2" s="271"/>
      <c r="AM2" s="308">
        <f>X2*P1_reinigen_daken_met_vaste_dakveiligheid</f>
        <v>0</v>
      </c>
      <c r="AN2" s="309">
        <f>Y2*P1_reinigen_goten_met_vaste_dakveiligheid</f>
        <v>0</v>
      </c>
      <c r="AO2" s="309">
        <f>(AE2*P1_Reinigen_Lichtkoepel_50X50)+('Perceel 2'!AF2*P1_Reinigen_Lichtkoepel_60x200)+('Perceel 2'!AG2*P1_Reinigen_Lichtkoepel_180x180)+('Perceel 2'!AH2*P1_Reinigen_Lichtstraten_groter_dan_180x180)</f>
        <v>0</v>
      </c>
      <c r="AP2" s="309">
        <f t="shared" ref="AP2:AP8" si="0">(X2+Y2)*P1_Inspecteren_daken_en_goten_1x_per_jaar_gelijktijdig_met_reiniging_inclusief_inspectierapport_en_een_managementrapport</f>
        <v>0</v>
      </c>
      <c r="AQ2" s="330"/>
      <c r="AR2" s="331">
        <f t="shared" ref="AR2:AR8" si="1">AQ2*P1_keuren_dakveiligheid_per_man_uur</f>
        <v>0</v>
      </c>
      <c r="AS2" s="335">
        <f>(AM2*AK2)+(Y2*AK2)+AO2+AP2+AR2</f>
        <v>0</v>
      </c>
    </row>
    <row r="3" spans="1:45" s="7" customFormat="1" ht="26.25" hidden="1" thickTop="1" thickBot="1" x14ac:dyDescent="0.5">
      <c r="A3" s="161"/>
      <c r="B3" s="152">
        <v>1</v>
      </c>
      <c r="C3" s="156" t="s">
        <v>135</v>
      </c>
      <c r="D3" s="156" t="s">
        <v>136</v>
      </c>
      <c r="E3" s="156"/>
      <c r="F3" s="156"/>
      <c r="G3" s="156"/>
      <c r="H3" s="162" t="s">
        <v>152</v>
      </c>
      <c r="I3" s="162" t="s">
        <v>153</v>
      </c>
      <c r="J3" s="157"/>
      <c r="K3" s="158"/>
      <c r="L3" s="151" t="s">
        <v>154</v>
      </c>
      <c r="M3" s="159" t="s">
        <v>155</v>
      </c>
      <c r="N3" s="159" t="s">
        <v>156</v>
      </c>
      <c r="O3" s="159" t="s">
        <v>157</v>
      </c>
      <c r="P3" s="159" t="s">
        <v>158</v>
      </c>
      <c r="Q3" s="159" t="s">
        <v>144</v>
      </c>
      <c r="R3" s="41" t="s">
        <v>159</v>
      </c>
      <c r="S3" s="159" t="s">
        <v>146</v>
      </c>
      <c r="T3" s="166" t="s">
        <v>160</v>
      </c>
      <c r="U3" s="166" t="s">
        <v>161</v>
      </c>
      <c r="V3" s="178" t="s">
        <v>162</v>
      </c>
      <c r="W3" s="152">
        <v>2021</v>
      </c>
      <c r="X3" s="152">
        <f>1365+115</f>
        <v>1480</v>
      </c>
      <c r="Y3" s="152"/>
      <c r="Z3" s="177"/>
      <c r="AA3" s="177"/>
      <c r="AB3" s="177">
        <v>20</v>
      </c>
      <c r="AC3" s="177">
        <v>121</v>
      </c>
      <c r="AD3" s="177"/>
      <c r="AE3" s="177"/>
      <c r="AF3" s="177"/>
      <c r="AG3" s="177"/>
      <c r="AH3" s="177"/>
      <c r="AI3" s="177" t="s">
        <v>163</v>
      </c>
      <c r="AJ3" s="177"/>
      <c r="AK3" s="177">
        <v>1</v>
      </c>
      <c r="AL3" s="272"/>
      <c r="AM3" s="277">
        <f>X3*P1_reinigen_daken_met_vaste_dakveiligheid</f>
        <v>0</v>
      </c>
      <c r="AN3" s="279">
        <f>Y3*P1_reinigen_goten_met_vaste_dakveiligheid</f>
        <v>0</v>
      </c>
      <c r="AO3" s="279">
        <f>(AE3*P1_Reinigen_Lichtkoepel_50X50)+('Perceel 2'!AF3*P1_Reinigen_Lichtkoepel_60x200)+('Perceel 2'!AG3*P1_Reinigen_Lichtkoepel_180x180)+('Perceel 2'!AH3*P1_Reinigen_Lichtstraten_groter_dan_180x180)</f>
        <v>0</v>
      </c>
      <c r="AP3" s="279">
        <f t="shared" si="0"/>
        <v>0</v>
      </c>
      <c r="AQ3" s="289"/>
      <c r="AR3" s="332">
        <f t="shared" si="1"/>
        <v>0</v>
      </c>
      <c r="AS3" s="336">
        <f t="shared" ref="AS3:AS66" si="2">(AM3*AK3)+(Y3*AK3)+AO3+AP3+AR3</f>
        <v>0</v>
      </c>
    </row>
    <row r="4" spans="1:45" s="7" customFormat="1" ht="51.75" hidden="1" thickTop="1" thickBot="1" x14ac:dyDescent="0.5">
      <c r="A4" s="161"/>
      <c r="B4" s="152">
        <v>1</v>
      </c>
      <c r="C4" s="156" t="s">
        <v>135</v>
      </c>
      <c r="D4" s="156" t="s">
        <v>136</v>
      </c>
      <c r="E4" s="156"/>
      <c r="F4" s="156"/>
      <c r="G4" s="156"/>
      <c r="H4" s="162" t="s">
        <v>164</v>
      </c>
      <c r="I4" s="162"/>
      <c r="J4" s="157"/>
      <c r="K4" s="163"/>
      <c r="L4" s="151" t="s">
        <v>154</v>
      </c>
      <c r="M4" s="159" t="s">
        <v>155</v>
      </c>
      <c r="N4" s="164">
        <v>1198</v>
      </c>
      <c r="O4" s="159" t="s">
        <v>165</v>
      </c>
      <c r="P4" s="159" t="s">
        <v>166</v>
      </c>
      <c r="Q4" s="159" t="s">
        <v>167</v>
      </c>
      <c r="R4" s="41" t="s">
        <v>168</v>
      </c>
      <c r="S4" s="159" t="s">
        <v>146</v>
      </c>
      <c r="T4" s="159" t="s">
        <v>169</v>
      </c>
      <c r="U4" s="159" t="s">
        <v>170</v>
      </c>
      <c r="V4" s="176" t="s">
        <v>171</v>
      </c>
      <c r="W4" s="152">
        <v>2022</v>
      </c>
      <c r="X4" s="152">
        <v>480</v>
      </c>
      <c r="Y4" s="152">
        <v>45</v>
      </c>
      <c r="Z4" s="177"/>
      <c r="AA4" s="177"/>
      <c r="AB4" s="177">
        <v>4</v>
      </c>
      <c r="AC4" s="177">
        <v>21</v>
      </c>
      <c r="AD4" s="177"/>
      <c r="AE4" s="177"/>
      <c r="AF4" s="177"/>
      <c r="AG4" s="177"/>
      <c r="AH4" s="177"/>
      <c r="AI4" s="177" t="s">
        <v>172</v>
      </c>
      <c r="AJ4" s="177" t="s">
        <v>173</v>
      </c>
      <c r="AK4" s="177">
        <v>2</v>
      </c>
      <c r="AL4" s="272"/>
      <c r="AM4" s="277">
        <f>X4*P1_reinigen_daken_met_vaste_dakveiligheid</f>
        <v>0</v>
      </c>
      <c r="AN4" s="279">
        <f>Y4*P1_reinigen_goten_met_vaste_dakveiligheid</f>
        <v>0</v>
      </c>
      <c r="AO4" s="279">
        <f>(AE4*P1_Reinigen_Lichtkoepel_50X50)+('Perceel 2'!AF4*P1_Reinigen_Lichtkoepel_60x200)+('Perceel 2'!AG4*P1_Reinigen_Lichtkoepel_180x180)+('Perceel 2'!AH4*P1_Reinigen_Lichtstraten_groter_dan_180x180)</f>
        <v>0</v>
      </c>
      <c r="AP4" s="279">
        <f t="shared" si="0"/>
        <v>0</v>
      </c>
      <c r="AQ4" s="289"/>
      <c r="AR4" s="332">
        <f t="shared" si="1"/>
        <v>0</v>
      </c>
      <c r="AS4" s="336">
        <f t="shared" si="2"/>
        <v>90</v>
      </c>
    </row>
    <row r="5" spans="1:45" s="7" customFormat="1" ht="39" hidden="1" thickTop="1" thickBot="1" x14ac:dyDescent="0.5">
      <c r="A5" s="161"/>
      <c r="B5" s="152">
        <v>1</v>
      </c>
      <c r="C5" s="156" t="s">
        <v>135</v>
      </c>
      <c r="D5" s="156" t="s">
        <v>174</v>
      </c>
      <c r="E5" s="156"/>
      <c r="F5" s="156"/>
      <c r="G5" s="156"/>
      <c r="H5" s="162" t="s">
        <v>175</v>
      </c>
      <c r="I5" s="162"/>
      <c r="J5" s="157"/>
      <c r="K5" s="163"/>
      <c r="L5" s="151"/>
      <c r="M5" s="159" t="s">
        <v>176</v>
      </c>
      <c r="N5" s="164">
        <v>1295</v>
      </c>
      <c r="O5" s="159" t="s">
        <v>177</v>
      </c>
      <c r="P5" s="159" t="s">
        <v>178</v>
      </c>
      <c r="Q5" s="159" t="s">
        <v>167</v>
      </c>
      <c r="R5" s="41" t="s">
        <v>168</v>
      </c>
      <c r="S5" s="159" t="s">
        <v>146</v>
      </c>
      <c r="T5" s="159" t="s">
        <v>179</v>
      </c>
      <c r="U5" s="159" t="s">
        <v>180</v>
      </c>
      <c r="V5" s="176" t="s">
        <v>181</v>
      </c>
      <c r="W5" s="152">
        <v>2022</v>
      </c>
      <c r="X5" s="152"/>
      <c r="Y5" s="152">
        <v>90</v>
      </c>
      <c r="Z5" s="177"/>
      <c r="AA5" s="177"/>
      <c r="AB5" s="177"/>
      <c r="AC5" s="177"/>
      <c r="AD5" s="177"/>
      <c r="AE5" s="177"/>
      <c r="AF5" s="177"/>
      <c r="AG5" s="177"/>
      <c r="AH5" s="177"/>
      <c r="AI5" s="177" t="s">
        <v>172</v>
      </c>
      <c r="AJ5" s="177" t="s">
        <v>173</v>
      </c>
      <c r="AK5" s="177">
        <v>2</v>
      </c>
      <c r="AL5" s="272"/>
      <c r="AM5" s="277">
        <f>X5*P1_Reinigen_daken_incl._extra_maatregelen_veilig_werken_volgens_VCA__eventuele_vergunningen_leges___voorrijkosten__adminstratieve_kosten__fotorapportage_en_kleine_reparaties_¹</f>
        <v>0</v>
      </c>
      <c r="AN5" s="279">
        <f>Y5*P1_Reinigen_goten_incl._extra_maatregelen_veilig_werken_volgens_VCA__eventuele_vergunningen_leges___voorrijkosten__adminstratieve_kosten__fotorapportage_en_kleine_reparaties_¹</f>
        <v>0</v>
      </c>
      <c r="AO5" s="279">
        <f>(AE5*P1_Reinigen_Lichtkoepel_50X50)+('Perceel 2'!AF5*P1_Reinigen_Lichtkoepel_60x200)+('Perceel 2'!AG5*P1_Reinigen_Lichtkoepel_180x180)+('Perceel 2'!AH5*P1_Reinigen_Lichtstraten_groter_dan_180x180)</f>
        <v>0</v>
      </c>
      <c r="AP5" s="279">
        <f t="shared" si="0"/>
        <v>0</v>
      </c>
      <c r="AQ5" s="298"/>
      <c r="AR5" s="332">
        <f t="shared" si="1"/>
        <v>0</v>
      </c>
      <c r="AS5" s="336">
        <f t="shared" si="2"/>
        <v>180</v>
      </c>
    </row>
    <row r="6" spans="1:45" s="7" customFormat="1" ht="51.75" hidden="1" thickTop="1" thickBot="1" x14ac:dyDescent="0.5">
      <c r="A6" s="155"/>
      <c r="B6" s="165">
        <v>1</v>
      </c>
      <c r="C6" s="156" t="s">
        <v>135</v>
      </c>
      <c r="D6" s="156" t="s">
        <v>136</v>
      </c>
      <c r="E6" s="156"/>
      <c r="F6" s="156"/>
      <c r="G6" s="156"/>
      <c r="H6" s="151" t="s">
        <v>182</v>
      </c>
      <c r="I6" s="151" t="s">
        <v>183</v>
      </c>
      <c r="J6" s="157"/>
      <c r="K6" s="163"/>
      <c r="L6" s="163" t="s">
        <v>154</v>
      </c>
      <c r="M6" s="166" t="s">
        <v>155</v>
      </c>
      <c r="N6" s="160" t="s">
        <v>184</v>
      </c>
      <c r="O6" s="159" t="s">
        <v>185</v>
      </c>
      <c r="P6" s="159" t="s">
        <v>186</v>
      </c>
      <c r="Q6" s="159" t="s">
        <v>187</v>
      </c>
      <c r="R6" s="42" t="s">
        <v>188</v>
      </c>
      <c r="S6" s="159" t="s">
        <v>189</v>
      </c>
      <c r="T6" s="159" t="s">
        <v>169</v>
      </c>
      <c r="U6" s="159" t="s">
        <v>170</v>
      </c>
      <c r="V6" s="176" t="s">
        <v>171</v>
      </c>
      <c r="W6" s="152">
        <v>1980</v>
      </c>
      <c r="X6" s="152">
        <v>497</v>
      </c>
      <c r="Y6" s="152"/>
      <c r="Z6" s="177"/>
      <c r="AA6" s="177"/>
      <c r="AB6" s="177"/>
      <c r="AC6" s="177"/>
      <c r="AD6" s="177"/>
      <c r="AE6" s="177"/>
      <c r="AF6" s="177"/>
      <c r="AG6" s="177"/>
      <c r="AH6" s="177"/>
      <c r="AI6" s="177"/>
      <c r="AJ6" s="177"/>
      <c r="AK6" s="257">
        <v>1</v>
      </c>
      <c r="AL6" s="271"/>
      <c r="AM6" s="277">
        <f>X6*P1_Reinigen_daken_incl._extra_maatregelen_veilig_werken_volgens_VCA__eventuele_vergunningen_leges___voorrijkosten__adminstratieve_kosten__fotorapportage_en_kleine_reparaties_¹</f>
        <v>0</v>
      </c>
      <c r="AN6" s="279">
        <f>Y6*P1_Reinigen_goten_incl._extra_maatregelen_veilig_werken_volgens_VCA__eventuele_vergunningen_leges___voorrijkosten__adminstratieve_kosten__fotorapportage_en_kleine_reparaties_¹</f>
        <v>0</v>
      </c>
      <c r="AO6" s="279">
        <f>(AE6*P1_Reinigen_Lichtkoepel_50X50)+('Perceel 2'!AF6*P1_Reinigen_Lichtkoepel_60x200)+('Perceel 2'!AG6*P1_Reinigen_Lichtkoepel_180x180)+('Perceel 2'!AH6*P1_Reinigen_Lichtstraten_groter_dan_180x180)</f>
        <v>0</v>
      </c>
      <c r="AP6" s="279">
        <f t="shared" si="0"/>
        <v>0</v>
      </c>
      <c r="AQ6" s="298"/>
      <c r="AR6" s="332">
        <f t="shared" si="1"/>
        <v>0</v>
      </c>
      <c r="AS6" s="336">
        <f t="shared" si="2"/>
        <v>0</v>
      </c>
    </row>
    <row r="7" spans="1:45" s="7" customFormat="1" ht="39" hidden="1" thickTop="1" thickBot="1" x14ac:dyDescent="0.5">
      <c r="A7" s="155"/>
      <c r="B7" s="152">
        <v>1</v>
      </c>
      <c r="C7" s="156" t="s">
        <v>135</v>
      </c>
      <c r="D7" s="156" t="s">
        <v>136</v>
      </c>
      <c r="E7" s="156"/>
      <c r="F7" s="156"/>
      <c r="G7" s="156"/>
      <c r="H7" s="151" t="s">
        <v>190</v>
      </c>
      <c r="I7" s="151"/>
      <c r="J7" s="157"/>
      <c r="K7" s="163"/>
      <c r="L7" s="163" t="s">
        <v>191</v>
      </c>
      <c r="M7" s="166" t="s">
        <v>192</v>
      </c>
      <c r="N7" s="168" t="s">
        <v>193</v>
      </c>
      <c r="O7" s="159" t="s">
        <v>194</v>
      </c>
      <c r="P7" s="159" t="s">
        <v>195</v>
      </c>
      <c r="Q7" s="159" t="s">
        <v>196</v>
      </c>
      <c r="R7" s="42" t="s">
        <v>197</v>
      </c>
      <c r="S7" s="159" t="s">
        <v>189</v>
      </c>
      <c r="T7" s="159" t="s">
        <v>198</v>
      </c>
      <c r="U7" s="159" t="s">
        <v>199</v>
      </c>
      <c r="V7" s="176" t="s">
        <v>200</v>
      </c>
      <c r="W7" s="152">
        <v>1984</v>
      </c>
      <c r="X7" s="152">
        <f>9.5+44+43.5+25+205</f>
        <v>327</v>
      </c>
      <c r="Y7" s="152"/>
      <c r="Z7" s="177"/>
      <c r="AA7" s="177"/>
      <c r="AB7" s="177"/>
      <c r="AC7" s="177"/>
      <c r="AD7" s="177"/>
      <c r="AE7" s="177"/>
      <c r="AF7" s="177"/>
      <c r="AG7" s="177"/>
      <c r="AH7" s="177"/>
      <c r="AI7" s="177"/>
      <c r="AJ7" s="177"/>
      <c r="AK7" s="177">
        <v>1</v>
      </c>
      <c r="AL7" s="272" t="s">
        <v>201</v>
      </c>
      <c r="AM7" s="277">
        <f>X7*P1_Reinigen_daken_incl._extra_maatregelen_veilig_werken_volgens_VCA__eventuele_vergunningen_leges___voorrijkosten__adminstratieve_kosten__fotorapportage_en_kleine_reparaties_¹</f>
        <v>0</v>
      </c>
      <c r="AN7" s="279">
        <f>Y7*P1_Reinigen_goten_incl._extra_maatregelen_veilig_werken_volgens_VCA__eventuele_vergunningen_leges___voorrijkosten__adminstratieve_kosten__fotorapportage_en_kleine_reparaties_¹</f>
        <v>0</v>
      </c>
      <c r="AO7" s="279">
        <f>(AE7*P1_Reinigen_Lichtkoepel_50X50)+('Perceel 2'!AF7*P1_Reinigen_Lichtkoepel_60x200)+('Perceel 2'!AG7*P1_Reinigen_Lichtkoepel_180x180)+('Perceel 2'!AH7*P1_Reinigen_Lichtstraten_groter_dan_180x180)</f>
        <v>0</v>
      </c>
      <c r="AP7" s="279">
        <f t="shared" si="0"/>
        <v>0</v>
      </c>
      <c r="AQ7" s="298"/>
      <c r="AR7" s="332">
        <f t="shared" si="1"/>
        <v>0</v>
      </c>
      <c r="AS7" s="336">
        <f t="shared" si="2"/>
        <v>0</v>
      </c>
    </row>
    <row r="8" spans="1:45" s="7" customFormat="1" ht="26.25" hidden="1" thickTop="1" thickBot="1" x14ac:dyDescent="0.5">
      <c r="A8" s="169"/>
      <c r="B8" s="180">
        <v>1</v>
      </c>
      <c r="C8" s="171" t="s">
        <v>135</v>
      </c>
      <c r="D8" s="171" t="s">
        <v>136</v>
      </c>
      <c r="E8" s="171"/>
      <c r="F8" s="171"/>
      <c r="G8" s="171"/>
      <c r="H8" s="170" t="s">
        <v>202</v>
      </c>
      <c r="I8" s="170" t="s">
        <v>203</v>
      </c>
      <c r="J8" s="172"/>
      <c r="K8" s="173"/>
      <c r="L8" s="170" t="s">
        <v>139</v>
      </c>
      <c r="M8" s="169" t="s">
        <v>140</v>
      </c>
      <c r="N8" s="169" t="s">
        <v>204</v>
      </c>
      <c r="O8" s="170" t="s">
        <v>205</v>
      </c>
      <c r="P8" s="170"/>
      <c r="Q8" s="170"/>
      <c r="R8" s="43"/>
      <c r="S8" s="170"/>
      <c r="T8" s="170"/>
      <c r="U8" s="170"/>
      <c r="V8" s="170"/>
      <c r="W8" s="170"/>
      <c r="X8" s="180">
        <f>X9+X10</f>
        <v>117</v>
      </c>
      <c r="Y8" s="170"/>
      <c r="Z8" s="170"/>
      <c r="AA8" s="170"/>
      <c r="AB8" s="170"/>
      <c r="AC8" s="170"/>
      <c r="AD8" s="170"/>
      <c r="AE8" s="170"/>
      <c r="AF8" s="170"/>
      <c r="AG8" s="170"/>
      <c r="AH8" s="170"/>
      <c r="AI8" s="170"/>
      <c r="AJ8" s="170"/>
      <c r="AK8" s="177"/>
      <c r="AL8" s="272"/>
      <c r="AM8" s="277">
        <f>X8*P1_Reinigen_daken_incl._extra_maatregelen_veilig_werken_volgens_VCA__eventuele_vergunningen_leges___voorrijkosten__adminstratieve_kosten__fotorapportage_en_kleine_reparaties_¹</f>
        <v>0</v>
      </c>
      <c r="AN8" s="279">
        <f>Y8*P1_Reinigen_goten_incl._extra_maatregelen_veilig_werken_volgens_VCA__eventuele_vergunningen_leges___voorrijkosten__adminstratieve_kosten__fotorapportage_en_kleine_reparaties_¹</f>
        <v>0</v>
      </c>
      <c r="AO8" s="279">
        <f>(AE8*P1_Reinigen_Lichtkoepel_50X50)+('Perceel 2'!AF8*P1_Reinigen_Lichtkoepel_60x200)+('Perceel 2'!AG8*P1_Reinigen_Lichtkoepel_180x180)+('Perceel 2'!AH8*P1_Reinigen_Lichtstraten_groter_dan_180x180)</f>
        <v>0</v>
      </c>
      <c r="AP8" s="279">
        <f t="shared" si="0"/>
        <v>0</v>
      </c>
      <c r="AQ8" s="298"/>
      <c r="AR8" s="332">
        <f t="shared" si="1"/>
        <v>0</v>
      </c>
      <c r="AS8" s="336">
        <f t="shared" si="2"/>
        <v>0</v>
      </c>
    </row>
    <row r="9" spans="1:45" s="7" customFormat="1" ht="51.75" hidden="1" thickTop="1" thickBot="1" x14ac:dyDescent="0.5">
      <c r="A9" s="174"/>
      <c r="B9" s="181">
        <v>1</v>
      </c>
      <c r="C9" s="175" t="s">
        <v>135</v>
      </c>
      <c r="D9" s="175" t="s">
        <v>136</v>
      </c>
      <c r="E9" s="174"/>
      <c r="F9" s="174"/>
      <c r="G9" s="174"/>
      <c r="H9" s="174" t="s">
        <v>202</v>
      </c>
      <c r="I9" s="174" t="s">
        <v>203</v>
      </c>
      <c r="J9" s="10"/>
      <c r="K9" s="10"/>
      <c r="L9" s="175"/>
      <c r="M9" s="175" t="s">
        <v>140</v>
      </c>
      <c r="N9" s="175" t="s">
        <v>206</v>
      </c>
      <c r="O9" s="175" t="s">
        <v>207</v>
      </c>
      <c r="P9" s="175" t="s">
        <v>208</v>
      </c>
      <c r="Q9" s="175" t="s">
        <v>209</v>
      </c>
      <c r="R9" s="44" t="s">
        <v>197</v>
      </c>
      <c r="S9" s="175" t="s">
        <v>189</v>
      </c>
      <c r="T9" s="175" t="s">
        <v>169</v>
      </c>
      <c r="U9" s="175" t="s">
        <v>170</v>
      </c>
      <c r="V9" s="175" t="s">
        <v>171</v>
      </c>
      <c r="W9" s="175">
        <v>1998</v>
      </c>
      <c r="X9" s="258">
        <v>27</v>
      </c>
      <c r="Y9" s="175"/>
      <c r="Z9" s="175"/>
      <c r="AA9" s="175"/>
      <c r="AB9" s="175"/>
      <c r="AC9" s="175"/>
      <c r="AD9" s="175"/>
      <c r="AE9" s="175"/>
      <c r="AF9" s="175"/>
      <c r="AG9" s="175"/>
      <c r="AH9" s="175"/>
      <c r="AI9" s="175"/>
      <c r="AJ9" s="175"/>
      <c r="AK9" s="177">
        <v>1</v>
      </c>
      <c r="AL9" s="272"/>
      <c r="AM9" s="299"/>
      <c r="AN9" s="298"/>
      <c r="AO9" s="298"/>
      <c r="AP9" s="298"/>
      <c r="AQ9" s="298"/>
      <c r="AR9" s="333"/>
      <c r="AS9" s="337"/>
    </row>
    <row r="10" spans="1:45" s="7" customFormat="1" ht="51.75" hidden="1" thickTop="1" thickBot="1" x14ac:dyDescent="0.5">
      <c r="A10" s="174"/>
      <c r="B10" s="181">
        <v>1</v>
      </c>
      <c r="C10" s="175" t="s">
        <v>135</v>
      </c>
      <c r="D10" s="175" t="s">
        <v>136</v>
      </c>
      <c r="E10" s="174"/>
      <c r="F10" s="174"/>
      <c r="G10" s="174"/>
      <c r="H10" s="174" t="s">
        <v>202</v>
      </c>
      <c r="I10" s="174" t="s">
        <v>203</v>
      </c>
      <c r="J10" s="10"/>
      <c r="K10" s="10"/>
      <c r="L10" s="175"/>
      <c r="M10" s="175" t="s">
        <v>140</v>
      </c>
      <c r="N10" s="175" t="s">
        <v>210</v>
      </c>
      <c r="O10" s="175" t="s">
        <v>211</v>
      </c>
      <c r="P10" s="175" t="s">
        <v>212</v>
      </c>
      <c r="Q10" s="175" t="s">
        <v>213</v>
      </c>
      <c r="R10" s="44" t="s">
        <v>168</v>
      </c>
      <c r="S10" s="175" t="s">
        <v>146</v>
      </c>
      <c r="T10" s="175" t="s">
        <v>169</v>
      </c>
      <c r="U10" s="175" t="s">
        <v>170</v>
      </c>
      <c r="V10" s="175" t="s">
        <v>171</v>
      </c>
      <c r="W10" s="175">
        <v>1982</v>
      </c>
      <c r="X10" s="258">
        <f>45+45</f>
        <v>90</v>
      </c>
      <c r="Y10" s="175"/>
      <c r="Z10" s="175"/>
      <c r="AA10" s="175"/>
      <c r="AB10" s="175"/>
      <c r="AC10" s="175"/>
      <c r="AD10" s="175"/>
      <c r="AE10" s="175"/>
      <c r="AF10" s="175"/>
      <c r="AG10" s="175"/>
      <c r="AH10" s="175"/>
      <c r="AI10" s="175"/>
      <c r="AJ10" s="175"/>
      <c r="AK10" s="177">
        <v>2</v>
      </c>
      <c r="AL10" s="273"/>
      <c r="AM10" s="299"/>
      <c r="AN10" s="298"/>
      <c r="AO10" s="298"/>
      <c r="AP10" s="298"/>
      <c r="AQ10" s="298"/>
      <c r="AR10" s="333"/>
      <c r="AS10" s="337"/>
    </row>
    <row r="11" spans="1:45" s="7" customFormat="1" ht="39" hidden="1" thickTop="1" thickBot="1" x14ac:dyDescent="0.5">
      <c r="A11" s="155"/>
      <c r="B11" s="152">
        <v>1</v>
      </c>
      <c r="C11" s="156" t="s">
        <v>135</v>
      </c>
      <c r="D11" s="156" t="s">
        <v>174</v>
      </c>
      <c r="E11" s="156"/>
      <c r="F11" s="156"/>
      <c r="G11" s="156"/>
      <c r="H11" s="151" t="s">
        <v>214</v>
      </c>
      <c r="I11" s="151" t="s">
        <v>215</v>
      </c>
      <c r="J11" s="157"/>
      <c r="K11" s="163"/>
      <c r="L11" s="151"/>
      <c r="M11" s="159" t="s">
        <v>176</v>
      </c>
      <c r="N11" s="159" t="s">
        <v>216</v>
      </c>
      <c r="O11" s="159" t="s">
        <v>217</v>
      </c>
      <c r="P11" s="159" t="s">
        <v>218</v>
      </c>
      <c r="Q11" s="159" t="s">
        <v>187</v>
      </c>
      <c r="R11" s="42" t="s">
        <v>188</v>
      </c>
      <c r="S11" s="159" t="s">
        <v>189</v>
      </c>
      <c r="T11" s="159" t="s">
        <v>219</v>
      </c>
      <c r="U11" s="159" t="s">
        <v>220</v>
      </c>
      <c r="V11" s="176" t="s">
        <v>221</v>
      </c>
      <c r="W11" s="152">
        <v>1980</v>
      </c>
      <c r="X11" s="152">
        <v>1828</v>
      </c>
      <c r="Y11" s="152"/>
      <c r="Z11" s="189"/>
      <c r="AA11" s="189"/>
      <c r="AB11" s="189"/>
      <c r="AC11" s="177"/>
      <c r="AD11" s="177"/>
      <c r="AE11" s="177"/>
      <c r="AF11" s="177"/>
      <c r="AG11" s="177"/>
      <c r="AH11" s="177"/>
      <c r="AI11" s="189" t="s">
        <v>222</v>
      </c>
      <c r="AJ11" s="189" t="s">
        <v>223</v>
      </c>
      <c r="AK11" s="257">
        <v>1</v>
      </c>
      <c r="AL11" s="273"/>
      <c r="AM11" s="277">
        <f>X11*P1_Reinigen_daken_incl._extra_maatregelen_veilig_werken_volgens_VCA__eventuele_vergunningen_leges___voorrijkosten__adminstratieve_kosten__fotorapportage_en_kleine_reparaties_¹</f>
        <v>0</v>
      </c>
      <c r="AN11" s="279">
        <f>Y11*P1_Reinigen_goten_incl._extra_maatregelen_veilig_werken_volgens_VCA__eventuele_vergunningen_leges___voorrijkosten__adminstratieve_kosten__fotorapportage_en_kleine_reparaties_¹</f>
        <v>0</v>
      </c>
      <c r="AO11" s="279">
        <f>(AE11*P1_Reinigen_Lichtkoepel_50X50)+('Perceel 2'!AF11*P1_Reinigen_Lichtkoepel_60x200)+('Perceel 2'!AG11*P1_Reinigen_Lichtkoepel_180x180)+('Perceel 2'!AH11*P1_Reinigen_Lichtstraten_groter_dan_180x180)</f>
        <v>0</v>
      </c>
      <c r="AP11" s="279">
        <f>(X11+Y11)*P1_Inspecteren_daken_en_goten_1x_per_jaar_gelijktijdig_met_reiniging_inclusief_inspectierapport_en_een_managementrapport</f>
        <v>0</v>
      </c>
      <c r="AQ11" s="298"/>
      <c r="AR11" s="332">
        <f>AQ11*P1_keuren_dakveiligheid_per_man_uur</f>
        <v>0</v>
      </c>
      <c r="AS11" s="336">
        <f t="shared" si="2"/>
        <v>0</v>
      </c>
    </row>
    <row r="12" spans="1:45" s="7" customFormat="1" ht="51.75" hidden="1" thickTop="1" thickBot="1" x14ac:dyDescent="0.5">
      <c r="A12" s="155"/>
      <c r="B12" s="165">
        <v>1</v>
      </c>
      <c r="C12" s="156" t="s">
        <v>135</v>
      </c>
      <c r="D12" s="156" t="s">
        <v>136</v>
      </c>
      <c r="E12" s="156"/>
      <c r="F12" s="156"/>
      <c r="G12" s="156"/>
      <c r="H12" s="151" t="s">
        <v>224</v>
      </c>
      <c r="I12" s="151" t="s">
        <v>225</v>
      </c>
      <c r="J12" s="157"/>
      <c r="K12" s="163"/>
      <c r="L12" s="163" t="s">
        <v>154</v>
      </c>
      <c r="M12" s="166" t="s">
        <v>155</v>
      </c>
      <c r="N12" s="159" t="s">
        <v>226</v>
      </c>
      <c r="O12" s="159" t="s">
        <v>227</v>
      </c>
      <c r="P12" s="159" t="s">
        <v>228</v>
      </c>
      <c r="Q12" s="159" t="s">
        <v>229</v>
      </c>
      <c r="R12" s="42" t="s">
        <v>230</v>
      </c>
      <c r="S12" s="159" t="s">
        <v>189</v>
      </c>
      <c r="T12" s="159" t="s">
        <v>169</v>
      </c>
      <c r="U12" s="159" t="s">
        <v>170</v>
      </c>
      <c r="V12" s="176" t="s">
        <v>171</v>
      </c>
      <c r="W12" s="152">
        <v>1977</v>
      </c>
      <c r="X12" s="152">
        <v>485</v>
      </c>
      <c r="Y12" s="152"/>
      <c r="Z12" s="177"/>
      <c r="AA12" s="177" t="s">
        <v>231</v>
      </c>
      <c r="AB12" s="177">
        <v>12</v>
      </c>
      <c r="AC12" s="177">
        <v>85</v>
      </c>
      <c r="AD12" s="177"/>
      <c r="AE12" s="177"/>
      <c r="AF12" s="177"/>
      <c r="AG12" s="177"/>
      <c r="AH12" s="177"/>
      <c r="AI12" s="177"/>
      <c r="AJ12" s="177"/>
      <c r="AK12" s="257">
        <v>3</v>
      </c>
      <c r="AL12" s="273"/>
      <c r="AM12" s="277">
        <f>X12*P1_reinigen_daken_met_vaste_dakveiligheid</f>
        <v>0</v>
      </c>
      <c r="AN12" s="279">
        <f>Y12*P1_reinigen_goten_met_vaste_dakveiligheid</f>
        <v>0</v>
      </c>
      <c r="AO12" s="279">
        <f>(AE12*P1_Reinigen_Lichtkoepel_50X50)+('Perceel 2'!AF12*P1_Reinigen_Lichtkoepel_60x200)+('Perceel 2'!AG12*P1_Reinigen_Lichtkoepel_180x180)+('Perceel 2'!AH12*P1_Reinigen_Lichtstraten_groter_dan_180x180)</f>
        <v>0</v>
      </c>
      <c r="AP12" s="279">
        <f>(X12+Y12)*P1_Inspecteren_daken_en_goten_1x_per_jaar_gelijktijdig_met_reiniging_inclusief_inspectierapport_en_een_managementrapport</f>
        <v>0</v>
      </c>
      <c r="AQ12" s="289"/>
      <c r="AR12" s="332">
        <f>AQ12*P1_keuren_dakveiligheid_per_man_uur</f>
        <v>0</v>
      </c>
      <c r="AS12" s="336">
        <f t="shared" si="2"/>
        <v>0</v>
      </c>
    </row>
    <row r="13" spans="1:45" s="7" customFormat="1" ht="26.25" hidden="1" thickTop="1" thickBot="1" x14ac:dyDescent="0.5">
      <c r="A13" s="155"/>
      <c r="B13" s="152">
        <v>1</v>
      </c>
      <c r="C13" s="156" t="s">
        <v>135</v>
      </c>
      <c r="D13" s="156" t="s">
        <v>174</v>
      </c>
      <c r="E13" s="156"/>
      <c r="F13" s="156"/>
      <c r="G13" s="156"/>
      <c r="H13" s="151" t="s">
        <v>232</v>
      </c>
      <c r="I13" s="151" t="s">
        <v>233</v>
      </c>
      <c r="J13" s="157"/>
      <c r="K13" s="163"/>
      <c r="L13" s="151"/>
      <c r="M13" s="159" t="s">
        <v>176</v>
      </c>
      <c r="N13" s="159" t="s">
        <v>234</v>
      </c>
      <c r="O13" s="159" t="s">
        <v>235</v>
      </c>
      <c r="P13" s="159" t="s">
        <v>236</v>
      </c>
      <c r="Q13" s="159" t="s">
        <v>229</v>
      </c>
      <c r="R13" s="48" t="s">
        <v>230</v>
      </c>
      <c r="S13" s="159" t="s">
        <v>189</v>
      </c>
      <c r="T13" s="159" t="s">
        <v>237</v>
      </c>
      <c r="U13" s="159" t="s">
        <v>238</v>
      </c>
      <c r="V13" s="176" t="s">
        <v>239</v>
      </c>
      <c r="W13" s="152">
        <v>1978</v>
      </c>
      <c r="X13" s="152">
        <v>1542</v>
      </c>
      <c r="Y13" s="152"/>
      <c r="Z13" s="189"/>
      <c r="AA13" s="177"/>
      <c r="AB13" s="177"/>
      <c r="AC13" s="177"/>
      <c r="AD13" s="177"/>
      <c r="AE13" s="177"/>
      <c r="AF13" s="177"/>
      <c r="AG13" s="177"/>
      <c r="AH13" s="177"/>
      <c r="AI13" s="177"/>
      <c r="AJ13" s="177"/>
      <c r="AK13" s="177">
        <v>2</v>
      </c>
      <c r="AL13" s="271"/>
      <c r="AM13" s="277">
        <f>X13*P1_Reinigen_daken_incl._extra_maatregelen_veilig_werken_volgens_VCA__eventuele_vergunningen_leges___voorrijkosten__adminstratieve_kosten__fotorapportage_en_kleine_reparaties_¹</f>
        <v>0</v>
      </c>
      <c r="AN13" s="279">
        <f>Y13*P1_Reinigen_goten_incl._extra_maatregelen_veilig_werken_volgens_VCA__eventuele_vergunningen_leges___voorrijkosten__adminstratieve_kosten__fotorapportage_en_kleine_reparaties_¹</f>
        <v>0</v>
      </c>
      <c r="AO13" s="279">
        <f>(AE13*P1_Reinigen_Lichtkoepel_50X50)+('Perceel 2'!AF13*P1_Reinigen_Lichtkoepel_60x200)+('Perceel 2'!AG13*P1_Reinigen_Lichtkoepel_180x180)+('Perceel 2'!AH13*P1_Reinigen_Lichtstraten_groter_dan_180x180)</f>
        <v>0</v>
      </c>
      <c r="AP13" s="279">
        <f>(X13+Y13)*P1_Inspecteren_daken_en_goten_1x_per_jaar_gelijktijdig_met_reiniging_inclusief_inspectierapport_en_een_managementrapport</f>
        <v>0</v>
      </c>
      <c r="AQ13" s="298"/>
      <c r="AR13" s="332">
        <f>AQ13*P1_keuren_dakveiligheid_per_man_uur</f>
        <v>0</v>
      </c>
      <c r="AS13" s="336">
        <f t="shared" si="2"/>
        <v>0</v>
      </c>
    </row>
    <row r="14" spans="1:45" s="7" customFormat="1" ht="29.1" hidden="1" customHeight="1" x14ac:dyDescent="0.45">
      <c r="A14" s="183"/>
      <c r="B14" s="184">
        <v>1</v>
      </c>
      <c r="C14" s="171" t="s">
        <v>135</v>
      </c>
      <c r="D14" s="171" t="s">
        <v>136</v>
      </c>
      <c r="E14" s="171"/>
      <c r="F14" s="171"/>
      <c r="G14" s="171"/>
      <c r="H14" s="170" t="s">
        <v>240</v>
      </c>
      <c r="I14" s="170" t="s">
        <v>241</v>
      </c>
      <c r="J14" s="172"/>
      <c r="K14" s="173"/>
      <c r="L14" s="170" t="s">
        <v>139</v>
      </c>
      <c r="M14" s="169" t="s">
        <v>140</v>
      </c>
      <c r="N14" s="183" t="s">
        <v>242</v>
      </c>
      <c r="O14" s="169" t="s">
        <v>243</v>
      </c>
      <c r="P14" s="183" t="s">
        <v>244</v>
      </c>
      <c r="Q14" s="183" t="s">
        <v>245</v>
      </c>
      <c r="R14" s="49" t="s">
        <v>246</v>
      </c>
      <c r="S14" s="183" t="s">
        <v>189</v>
      </c>
      <c r="T14" s="169"/>
      <c r="U14" s="169"/>
      <c r="V14" s="169"/>
      <c r="W14" s="183" t="s">
        <v>247</v>
      </c>
      <c r="X14" s="259">
        <f>X15+X16+X17+X18</f>
        <v>5078</v>
      </c>
      <c r="Y14" s="183"/>
      <c r="Z14" s="169"/>
      <c r="AA14" s="169" t="s">
        <v>150</v>
      </c>
      <c r="AB14" s="169">
        <v>84</v>
      </c>
      <c r="AC14" s="169">
        <v>442</v>
      </c>
      <c r="AD14" s="169"/>
      <c r="AE14" s="169"/>
      <c r="AF14" s="169"/>
      <c r="AG14" s="169"/>
      <c r="AH14" s="169"/>
      <c r="AI14" s="169"/>
      <c r="AJ14" s="169"/>
      <c r="AK14" s="259"/>
      <c r="AL14" s="273"/>
      <c r="AM14" s="277">
        <f>X14*P1_reinigen_daken_met_vaste_dakveiligheid</f>
        <v>0</v>
      </c>
      <c r="AN14" s="279">
        <f>Y14*P1_reinigen_goten_met_vaste_dakveiligheid</f>
        <v>0</v>
      </c>
      <c r="AO14" s="279">
        <f>(AE14*P1_Reinigen_Lichtkoepel_50X50)+('Perceel 2'!AF14*P1_Reinigen_Lichtkoepel_60x200)+('Perceel 2'!AG14*P1_Reinigen_Lichtkoepel_180x180)+('Perceel 2'!AH14*P1_Reinigen_Lichtstraten_groter_dan_180x180)</f>
        <v>0</v>
      </c>
      <c r="AP14" s="279">
        <f>(X14+Y14)*P1_Inspecteren_daken_en_goten_1x_per_jaar_gelijktijdig_met_reiniging_inclusief_inspectierapport_en_een_managementrapport</f>
        <v>0</v>
      </c>
      <c r="AQ14" s="289"/>
      <c r="AR14" s="332">
        <f>AQ14*P1_keuren_dakveiligheid_per_man_uur</f>
        <v>0</v>
      </c>
      <c r="AS14" s="336">
        <f t="shared" si="2"/>
        <v>0</v>
      </c>
    </row>
    <row r="15" spans="1:45" s="7" customFormat="1" ht="15" hidden="1" thickTop="1" thickBot="1" x14ac:dyDescent="0.5">
      <c r="A15" s="182"/>
      <c r="B15" s="185">
        <v>1</v>
      </c>
      <c r="C15" s="175" t="s">
        <v>135</v>
      </c>
      <c r="D15" s="175" t="s">
        <v>136</v>
      </c>
      <c r="E15" s="175"/>
      <c r="F15" s="175"/>
      <c r="G15" s="175"/>
      <c r="H15" s="174" t="s">
        <v>240</v>
      </c>
      <c r="I15" s="174" t="s">
        <v>241</v>
      </c>
      <c r="J15" s="11"/>
      <c r="K15" s="11"/>
      <c r="L15" s="174"/>
      <c r="M15" s="175" t="s">
        <v>140</v>
      </c>
      <c r="N15" s="175" t="s">
        <v>248</v>
      </c>
      <c r="O15" s="175" t="s">
        <v>249</v>
      </c>
      <c r="P15" s="182" t="s">
        <v>250</v>
      </c>
      <c r="Q15" s="182" t="s">
        <v>245</v>
      </c>
      <c r="R15" s="50" t="s">
        <v>246</v>
      </c>
      <c r="S15" s="182" t="s">
        <v>189</v>
      </c>
      <c r="T15" s="182" t="s">
        <v>147</v>
      </c>
      <c r="U15" s="182" t="s">
        <v>148</v>
      </c>
      <c r="V15" s="182" t="s">
        <v>149</v>
      </c>
      <c r="W15" s="182">
        <v>1982</v>
      </c>
      <c r="X15" s="255">
        <v>720</v>
      </c>
      <c r="Y15" s="182"/>
      <c r="Z15" s="175"/>
      <c r="AA15" s="175" t="s">
        <v>150</v>
      </c>
      <c r="AB15" s="175"/>
      <c r="AC15" s="175"/>
      <c r="AD15" s="175"/>
      <c r="AE15" s="175"/>
      <c r="AF15" s="175"/>
      <c r="AG15" s="175"/>
      <c r="AH15" s="175"/>
      <c r="AI15" s="175"/>
      <c r="AJ15" s="175"/>
      <c r="AK15" s="255">
        <v>1</v>
      </c>
      <c r="AL15" s="274"/>
      <c r="AM15" s="299"/>
      <c r="AN15" s="298"/>
      <c r="AO15" s="298"/>
      <c r="AP15" s="298"/>
      <c r="AQ15" s="298"/>
      <c r="AR15" s="333"/>
      <c r="AS15" s="337"/>
    </row>
    <row r="16" spans="1:45" s="7" customFormat="1" ht="18" hidden="1" customHeight="1" x14ac:dyDescent="0.45">
      <c r="A16" s="182"/>
      <c r="B16" s="99"/>
      <c r="C16" s="99" t="s">
        <v>135</v>
      </c>
      <c r="D16" s="99" t="s">
        <v>136</v>
      </c>
      <c r="E16" s="99"/>
      <c r="F16" s="99"/>
      <c r="G16" s="99"/>
      <c r="H16" s="174" t="s">
        <v>240</v>
      </c>
      <c r="I16" s="174" t="s">
        <v>241</v>
      </c>
      <c r="J16" s="13"/>
      <c r="K16" s="13"/>
      <c r="L16" s="101"/>
      <c r="M16" s="102" t="s">
        <v>140</v>
      </c>
      <c r="N16" s="100" t="s">
        <v>251</v>
      </c>
      <c r="O16" s="100" t="s">
        <v>252</v>
      </c>
      <c r="P16" s="100" t="s">
        <v>250</v>
      </c>
      <c r="Q16" s="100" t="s">
        <v>245</v>
      </c>
      <c r="R16" s="182" t="s">
        <v>246</v>
      </c>
      <c r="S16" s="100" t="s">
        <v>189</v>
      </c>
      <c r="T16" s="92" t="s">
        <v>147</v>
      </c>
      <c r="U16" s="92" t="s">
        <v>148</v>
      </c>
      <c r="V16" s="103" t="s">
        <v>149</v>
      </c>
      <c r="W16" s="100">
        <v>2018</v>
      </c>
      <c r="X16" s="260">
        <f>667+1197</f>
        <v>1864</v>
      </c>
      <c r="Y16" s="100"/>
      <c r="Z16" s="99"/>
      <c r="AA16" s="99" t="s">
        <v>150</v>
      </c>
      <c r="AB16" s="99"/>
      <c r="AC16" s="99"/>
      <c r="AD16" s="99"/>
      <c r="AE16" s="99"/>
      <c r="AF16" s="99"/>
      <c r="AG16" s="99"/>
      <c r="AH16" s="99"/>
      <c r="AI16" s="99" t="s">
        <v>253</v>
      </c>
      <c r="AJ16" s="99"/>
      <c r="AK16" s="260">
        <v>1</v>
      </c>
      <c r="AL16" s="275"/>
      <c r="AM16" s="299"/>
      <c r="AN16" s="298"/>
      <c r="AO16" s="298"/>
      <c r="AP16" s="298"/>
      <c r="AQ16" s="298"/>
      <c r="AR16" s="333"/>
      <c r="AS16" s="337"/>
    </row>
    <row r="17" spans="1:45" s="7" customFormat="1" ht="15" hidden="1" thickTop="1" thickBot="1" x14ac:dyDescent="0.5">
      <c r="A17" s="182"/>
      <c r="B17" s="181">
        <v>1</v>
      </c>
      <c r="C17" s="175" t="s">
        <v>135</v>
      </c>
      <c r="D17" s="175" t="s">
        <v>136</v>
      </c>
      <c r="E17" s="175"/>
      <c r="F17" s="175"/>
      <c r="G17" s="175"/>
      <c r="H17" s="174" t="s">
        <v>240</v>
      </c>
      <c r="I17" s="174" t="s">
        <v>241</v>
      </c>
      <c r="J17" s="13"/>
      <c r="K17" s="13"/>
      <c r="L17" s="182"/>
      <c r="M17" s="175" t="s">
        <v>140</v>
      </c>
      <c r="N17" s="182" t="s">
        <v>254</v>
      </c>
      <c r="O17" s="175" t="s">
        <v>255</v>
      </c>
      <c r="P17" s="182" t="s">
        <v>256</v>
      </c>
      <c r="Q17" s="182" t="s">
        <v>245</v>
      </c>
      <c r="R17" s="50" t="s">
        <v>246</v>
      </c>
      <c r="S17" s="182" t="s">
        <v>189</v>
      </c>
      <c r="T17" s="182" t="s">
        <v>147</v>
      </c>
      <c r="U17" s="182" t="s">
        <v>148</v>
      </c>
      <c r="V17" s="182" t="s">
        <v>149</v>
      </c>
      <c r="W17" s="182">
        <v>1981</v>
      </c>
      <c r="X17" s="255">
        <f>2494-700</f>
        <v>1794</v>
      </c>
      <c r="Y17" s="182"/>
      <c r="Z17" s="175"/>
      <c r="AA17" s="175" t="s">
        <v>150</v>
      </c>
      <c r="AB17" s="175"/>
      <c r="AC17" s="175"/>
      <c r="AD17" s="175"/>
      <c r="AE17" s="175"/>
      <c r="AF17" s="175"/>
      <c r="AG17" s="175"/>
      <c r="AH17" s="175"/>
      <c r="AI17" s="175"/>
      <c r="AJ17" s="175"/>
      <c r="AK17" s="255">
        <v>1</v>
      </c>
      <c r="AL17" s="274"/>
      <c r="AM17" s="299"/>
      <c r="AN17" s="298"/>
      <c r="AO17" s="298"/>
      <c r="AP17" s="298"/>
      <c r="AQ17" s="298"/>
      <c r="AR17" s="333"/>
      <c r="AS17" s="337"/>
    </row>
    <row r="18" spans="1:45" s="7" customFormat="1" ht="102.75" hidden="1" thickTop="1" thickBot="1" x14ac:dyDescent="0.5">
      <c r="A18" s="182"/>
      <c r="B18" s="185">
        <v>1</v>
      </c>
      <c r="C18" s="175" t="s">
        <v>135</v>
      </c>
      <c r="D18" s="175" t="s">
        <v>136</v>
      </c>
      <c r="E18" s="175"/>
      <c r="F18" s="175"/>
      <c r="G18" s="175"/>
      <c r="H18" s="174" t="s">
        <v>240</v>
      </c>
      <c r="I18" s="174" t="s">
        <v>241</v>
      </c>
      <c r="J18" s="11"/>
      <c r="K18" s="11"/>
      <c r="L18" s="174"/>
      <c r="M18" s="175" t="s">
        <v>140</v>
      </c>
      <c r="N18" s="190" t="s">
        <v>257</v>
      </c>
      <c r="O18" s="191" t="s">
        <v>258</v>
      </c>
      <c r="P18" s="191" t="s">
        <v>259</v>
      </c>
      <c r="Q18" s="191" t="s">
        <v>245</v>
      </c>
      <c r="R18" s="51" t="s">
        <v>246</v>
      </c>
      <c r="S18" s="191" t="s">
        <v>189</v>
      </c>
      <c r="T18" s="191" t="s">
        <v>260</v>
      </c>
      <c r="U18" s="191" t="s">
        <v>261</v>
      </c>
      <c r="V18" s="191" t="s">
        <v>262</v>
      </c>
      <c r="W18" s="182">
        <v>1981</v>
      </c>
      <c r="X18" s="255">
        <v>700</v>
      </c>
      <c r="Y18" s="182"/>
      <c r="Z18" s="175"/>
      <c r="AA18" s="175" t="s">
        <v>150</v>
      </c>
      <c r="AB18" s="175"/>
      <c r="AC18" s="175"/>
      <c r="AD18" s="175"/>
      <c r="AE18" s="175"/>
      <c r="AF18" s="175"/>
      <c r="AG18" s="175"/>
      <c r="AH18" s="175"/>
      <c r="AI18" s="175"/>
      <c r="AJ18" s="175"/>
      <c r="AK18" s="255">
        <v>1</v>
      </c>
      <c r="AL18" s="274"/>
      <c r="AM18" s="299"/>
      <c r="AN18" s="298"/>
      <c r="AO18" s="298"/>
      <c r="AP18" s="298"/>
      <c r="AQ18" s="298"/>
      <c r="AR18" s="333"/>
      <c r="AS18" s="337"/>
    </row>
    <row r="19" spans="1:45" s="7" customFormat="1" ht="26.25" hidden="1" thickTop="1" thickBot="1" x14ac:dyDescent="0.5">
      <c r="A19" s="155"/>
      <c r="B19" s="165">
        <v>1</v>
      </c>
      <c r="C19" s="156" t="s">
        <v>135</v>
      </c>
      <c r="D19" s="156" t="s">
        <v>136</v>
      </c>
      <c r="E19" s="156"/>
      <c r="F19" s="156"/>
      <c r="G19" s="156"/>
      <c r="H19" s="151" t="s">
        <v>263</v>
      </c>
      <c r="I19" s="151" t="s">
        <v>264</v>
      </c>
      <c r="J19" s="157"/>
      <c r="K19" s="163"/>
      <c r="L19" s="151" t="s">
        <v>139</v>
      </c>
      <c r="M19" s="159" t="s">
        <v>140</v>
      </c>
      <c r="N19" s="192" t="s">
        <v>265</v>
      </c>
      <c r="O19" s="159" t="s">
        <v>266</v>
      </c>
      <c r="P19" s="159" t="s">
        <v>267</v>
      </c>
      <c r="Q19" s="159" t="s">
        <v>268</v>
      </c>
      <c r="R19" s="41" t="s">
        <v>246</v>
      </c>
      <c r="S19" s="159" t="s">
        <v>189</v>
      </c>
      <c r="T19" s="166" t="s">
        <v>269</v>
      </c>
      <c r="U19" s="166" t="s">
        <v>270</v>
      </c>
      <c r="V19" s="178" t="s">
        <v>271</v>
      </c>
      <c r="W19" s="152">
        <v>2017</v>
      </c>
      <c r="X19" s="152">
        <v>2580</v>
      </c>
      <c r="Y19" s="152">
        <v>200</v>
      </c>
      <c r="Z19" s="177"/>
      <c r="AA19" s="177"/>
      <c r="AB19" s="177">
        <f>11+3</f>
        <v>14</v>
      </c>
      <c r="AC19" s="177">
        <v>136</v>
      </c>
      <c r="AD19" s="177" t="s">
        <v>272</v>
      </c>
      <c r="AE19" s="177"/>
      <c r="AF19" s="177"/>
      <c r="AG19" s="177"/>
      <c r="AH19" s="177"/>
      <c r="AI19" s="177"/>
      <c r="AJ19" s="177"/>
      <c r="AK19" s="257">
        <v>1</v>
      </c>
      <c r="AL19" s="271"/>
      <c r="AM19" s="277">
        <f>X19*P1_reinigen_daken_met_vaste_dakveiligheid</f>
        <v>0</v>
      </c>
      <c r="AN19" s="279">
        <f>Y19*P1_reinigen_goten_met_vaste_dakveiligheid</f>
        <v>0</v>
      </c>
      <c r="AO19" s="279">
        <f>(AE19*P1_Reinigen_Lichtkoepel_50X50)+('Perceel 2'!AF19*P1_Reinigen_Lichtkoepel_60x200)+('Perceel 2'!AG19*P1_Reinigen_Lichtkoepel_180x180)+('Perceel 2'!AH19*P1_Reinigen_Lichtstraten_groter_dan_180x180)</f>
        <v>0</v>
      </c>
      <c r="AP19" s="279">
        <f>(X19+Y19)*P1_Inspecteren_daken_en_goten_1x_per_jaar_gelijktijdig_met_reiniging_inclusief_inspectierapport_en_een_managementrapport</f>
        <v>0</v>
      </c>
      <c r="AQ19" s="289"/>
      <c r="AR19" s="332">
        <f>AQ19*P1_keuren_dakveiligheid_per_man_uur</f>
        <v>0</v>
      </c>
      <c r="AS19" s="336">
        <f t="shared" si="2"/>
        <v>200</v>
      </c>
    </row>
    <row r="20" spans="1:45" s="7" customFormat="1" ht="64.5" hidden="1" thickTop="1" thickBot="1" x14ac:dyDescent="0.5">
      <c r="A20" s="193"/>
      <c r="B20" s="152">
        <v>1</v>
      </c>
      <c r="C20" s="156" t="s">
        <v>135</v>
      </c>
      <c r="D20" s="156" t="s">
        <v>136</v>
      </c>
      <c r="E20" s="156"/>
      <c r="F20" s="156"/>
      <c r="G20" s="156"/>
      <c r="H20" s="163" t="s">
        <v>273</v>
      </c>
      <c r="I20" s="151"/>
      <c r="J20" s="157"/>
      <c r="K20" s="163"/>
      <c r="L20" s="163" t="s">
        <v>139</v>
      </c>
      <c r="M20" s="166" t="s">
        <v>140</v>
      </c>
      <c r="N20" s="194" t="s">
        <v>274</v>
      </c>
      <c r="O20" s="166" t="s">
        <v>275</v>
      </c>
      <c r="P20" s="166" t="s">
        <v>276</v>
      </c>
      <c r="Q20" s="166" t="s">
        <v>268</v>
      </c>
      <c r="R20" s="52" t="s">
        <v>246</v>
      </c>
      <c r="S20" s="166" t="s">
        <v>189</v>
      </c>
      <c r="T20" s="166" t="s">
        <v>277</v>
      </c>
      <c r="U20" s="166" t="s">
        <v>170</v>
      </c>
      <c r="V20" s="178" t="s">
        <v>171</v>
      </c>
      <c r="W20" s="198">
        <v>1977</v>
      </c>
      <c r="X20" s="198">
        <v>810</v>
      </c>
      <c r="Y20" s="198"/>
      <c r="Z20" s="189"/>
      <c r="AA20" s="189"/>
      <c r="AB20" s="189"/>
      <c r="AC20" s="189"/>
      <c r="AD20" s="189"/>
      <c r="AE20" s="189"/>
      <c r="AF20" s="189"/>
      <c r="AG20" s="189"/>
      <c r="AH20" s="189"/>
      <c r="AI20" s="189"/>
      <c r="AJ20" s="189"/>
      <c r="AK20" s="189">
        <v>1</v>
      </c>
      <c r="AL20" s="273"/>
      <c r="AM20" s="277">
        <f>X20*P1_Reinigen_daken_incl._extra_maatregelen_veilig_werken_volgens_VCA__eventuele_vergunningen_leges___voorrijkosten__adminstratieve_kosten__fotorapportage_en_kleine_reparaties_¹</f>
        <v>0</v>
      </c>
      <c r="AN20" s="279">
        <f>Y20*P1_Reinigen_goten_incl._extra_maatregelen_veilig_werken_volgens_VCA__eventuele_vergunningen_leges___voorrijkosten__adminstratieve_kosten__fotorapportage_en_kleine_reparaties_¹</f>
        <v>0</v>
      </c>
      <c r="AO20" s="279">
        <f>(AE20*P1_Reinigen_Lichtkoepel_50X50)+('Perceel 2'!AF20*P1_Reinigen_Lichtkoepel_60x200)+('Perceel 2'!AG20*P1_Reinigen_Lichtkoepel_180x180)+('Perceel 2'!AH20*P1_Reinigen_Lichtstraten_groter_dan_180x180)</f>
        <v>0</v>
      </c>
      <c r="AP20" s="279">
        <f>(X20+Y20)*P1_Inspecteren_daken_en_goten_1x_per_jaar_gelijktijdig_met_reiniging_inclusief_inspectierapport_en_een_managementrapport</f>
        <v>0</v>
      </c>
      <c r="AQ20" s="298"/>
      <c r="AR20" s="332">
        <f>AQ20*P1_keuren_dakveiligheid_per_man_uur</f>
        <v>0</v>
      </c>
      <c r="AS20" s="336">
        <f t="shared" si="2"/>
        <v>0</v>
      </c>
    </row>
    <row r="21" spans="1:45" s="7" customFormat="1" ht="12.75" hidden="1" customHeight="1" x14ac:dyDescent="0.45">
      <c r="A21" s="155"/>
      <c r="B21" s="165">
        <v>1</v>
      </c>
      <c r="C21" s="156" t="s">
        <v>135</v>
      </c>
      <c r="D21" s="156" t="s">
        <v>136</v>
      </c>
      <c r="E21" s="156"/>
      <c r="F21" s="156"/>
      <c r="G21" s="156"/>
      <c r="H21" s="151" t="s">
        <v>278</v>
      </c>
      <c r="I21" s="151" t="s">
        <v>279</v>
      </c>
      <c r="J21" s="157"/>
      <c r="K21" s="163"/>
      <c r="L21" s="163" t="s">
        <v>280</v>
      </c>
      <c r="M21" s="166" t="s">
        <v>281</v>
      </c>
      <c r="N21" s="159" t="s">
        <v>282</v>
      </c>
      <c r="O21" s="159" t="s">
        <v>283</v>
      </c>
      <c r="P21" s="160" t="s">
        <v>284</v>
      </c>
      <c r="Q21" s="160" t="s">
        <v>285</v>
      </c>
      <c r="R21" s="53" t="s">
        <v>286</v>
      </c>
      <c r="S21" s="160" t="s">
        <v>189</v>
      </c>
      <c r="T21" s="159" t="s">
        <v>287</v>
      </c>
      <c r="U21" s="168" t="s">
        <v>288</v>
      </c>
      <c r="V21" s="176" t="s">
        <v>289</v>
      </c>
      <c r="W21" s="152">
        <v>1978</v>
      </c>
      <c r="X21" s="152">
        <v>398</v>
      </c>
      <c r="Y21" s="152"/>
      <c r="Z21" s="177"/>
      <c r="AA21" s="177"/>
      <c r="AB21" s="177"/>
      <c r="AC21" s="177"/>
      <c r="AD21" s="177"/>
      <c r="AE21" s="177"/>
      <c r="AF21" s="177"/>
      <c r="AG21" s="177"/>
      <c r="AH21" s="177"/>
      <c r="AI21" s="177"/>
      <c r="AJ21" s="177"/>
      <c r="AK21" s="257">
        <v>1</v>
      </c>
      <c r="AL21" s="271"/>
      <c r="AM21" s="277">
        <f>X21*P1_Reinigen_daken_incl._extra_maatregelen_veilig_werken_volgens_VCA__eventuele_vergunningen_leges___voorrijkosten__adminstratieve_kosten__fotorapportage_en_kleine_reparaties_¹</f>
        <v>0</v>
      </c>
      <c r="AN21" s="279">
        <f>Y21*P1_Reinigen_goten_incl._extra_maatregelen_veilig_werken_volgens_VCA__eventuele_vergunningen_leges___voorrijkosten__adminstratieve_kosten__fotorapportage_en_kleine_reparaties_¹</f>
        <v>0</v>
      </c>
      <c r="AO21" s="279">
        <f>(AE21*P1_Reinigen_Lichtkoepel_50X50)+('Perceel 2'!AF21*P1_Reinigen_Lichtkoepel_60x200)+('Perceel 2'!AG21*P1_Reinigen_Lichtkoepel_180x180)+('Perceel 2'!AH21*P1_Reinigen_Lichtstraten_groter_dan_180x180)</f>
        <v>0</v>
      </c>
      <c r="AP21" s="279">
        <f>(X21+Y21)*P1_Inspecteren_daken_en_goten_1x_per_jaar_gelijktijdig_met_reiniging_inclusief_inspectierapport_en_een_managementrapport</f>
        <v>0</v>
      </c>
      <c r="AQ21" s="298"/>
      <c r="AR21" s="332">
        <f>AQ21*P1_keuren_dakveiligheid_per_man_uur</f>
        <v>0</v>
      </c>
      <c r="AS21" s="336">
        <f t="shared" si="2"/>
        <v>0</v>
      </c>
    </row>
    <row r="22" spans="1:45" s="7" customFormat="1" ht="12.75" hidden="1" customHeight="1" x14ac:dyDescent="0.45">
      <c r="A22" s="155"/>
      <c r="B22" s="165">
        <v>1</v>
      </c>
      <c r="C22" s="156" t="s">
        <v>135</v>
      </c>
      <c r="D22" s="156" t="s">
        <v>136</v>
      </c>
      <c r="E22" s="156"/>
      <c r="F22" s="156"/>
      <c r="G22" s="156"/>
      <c r="H22" s="151" t="s">
        <v>290</v>
      </c>
      <c r="I22" s="151" t="s">
        <v>291</v>
      </c>
      <c r="J22" s="157"/>
      <c r="K22" s="163"/>
      <c r="L22" s="163" t="s">
        <v>280</v>
      </c>
      <c r="M22" s="166" t="s">
        <v>281</v>
      </c>
      <c r="N22" s="160" t="s">
        <v>292</v>
      </c>
      <c r="O22" s="159" t="s">
        <v>293</v>
      </c>
      <c r="P22" s="159" t="s">
        <v>294</v>
      </c>
      <c r="Q22" s="151" t="s">
        <v>285</v>
      </c>
      <c r="R22" s="42" t="s">
        <v>286</v>
      </c>
      <c r="S22" s="160" t="s">
        <v>189</v>
      </c>
      <c r="T22" s="159" t="s">
        <v>287</v>
      </c>
      <c r="U22" s="168" t="s">
        <v>288</v>
      </c>
      <c r="V22" s="176" t="s">
        <v>289</v>
      </c>
      <c r="W22" s="152">
        <v>2002</v>
      </c>
      <c r="X22" s="152">
        <v>165</v>
      </c>
      <c r="Y22" s="152"/>
      <c r="Z22" s="177"/>
      <c r="AA22" s="177"/>
      <c r="AB22" s="177"/>
      <c r="AC22" s="177"/>
      <c r="AD22" s="177"/>
      <c r="AE22" s="177"/>
      <c r="AF22" s="177"/>
      <c r="AG22" s="177"/>
      <c r="AH22" s="177"/>
      <c r="AI22" s="177"/>
      <c r="AJ22" s="177"/>
      <c r="AK22" s="257">
        <v>1</v>
      </c>
      <c r="AL22" s="271"/>
      <c r="AM22" s="277">
        <f>X22*P1_Reinigen_daken_incl._extra_maatregelen_veilig_werken_volgens_VCA__eventuele_vergunningen_leges___voorrijkosten__adminstratieve_kosten__fotorapportage_en_kleine_reparaties_¹</f>
        <v>0</v>
      </c>
      <c r="AN22" s="279">
        <f>Y22*P1_Reinigen_goten_incl._extra_maatregelen_veilig_werken_volgens_VCA__eventuele_vergunningen_leges___voorrijkosten__adminstratieve_kosten__fotorapportage_en_kleine_reparaties_¹</f>
        <v>0</v>
      </c>
      <c r="AO22" s="279">
        <f>(AE22*P1_Reinigen_Lichtkoepel_50X50)+('Perceel 2'!AF22*P1_Reinigen_Lichtkoepel_60x200)+('Perceel 2'!AG22*P1_Reinigen_Lichtkoepel_180x180)+('Perceel 2'!AH22*P1_Reinigen_Lichtstraten_groter_dan_180x180)</f>
        <v>0</v>
      </c>
      <c r="AP22" s="279">
        <f>(X22+Y22)*P1_Inspecteren_daken_en_goten_1x_per_jaar_gelijktijdig_met_reiniging_inclusief_inspectierapport_en_een_managementrapport</f>
        <v>0</v>
      </c>
      <c r="AQ22" s="298"/>
      <c r="AR22" s="332">
        <f>AQ22*P1_keuren_dakveiligheid_per_man_uur</f>
        <v>0</v>
      </c>
      <c r="AS22" s="336">
        <f t="shared" si="2"/>
        <v>0</v>
      </c>
    </row>
    <row r="23" spans="1:45" s="7" customFormat="1" ht="26.25" hidden="1" thickTop="1" thickBot="1" x14ac:dyDescent="0.5">
      <c r="A23" s="155"/>
      <c r="B23" s="152">
        <v>1</v>
      </c>
      <c r="C23" s="156" t="s">
        <v>135</v>
      </c>
      <c r="D23" s="156" t="s">
        <v>136</v>
      </c>
      <c r="E23" s="156"/>
      <c r="F23" s="156"/>
      <c r="G23" s="156"/>
      <c r="H23" s="151" t="s">
        <v>295</v>
      </c>
      <c r="I23" s="151" t="s">
        <v>296</v>
      </c>
      <c r="J23" s="157"/>
      <c r="K23" s="158"/>
      <c r="L23" s="151" t="s">
        <v>139</v>
      </c>
      <c r="M23" s="159" t="s">
        <v>297</v>
      </c>
      <c r="N23" s="159" t="s">
        <v>298</v>
      </c>
      <c r="O23" s="159" t="s">
        <v>299</v>
      </c>
      <c r="P23" s="159" t="s">
        <v>300</v>
      </c>
      <c r="Q23" s="159" t="s">
        <v>301</v>
      </c>
      <c r="R23" s="42" t="s">
        <v>302</v>
      </c>
      <c r="S23" s="160" t="s">
        <v>146</v>
      </c>
      <c r="T23" s="159" t="s">
        <v>303</v>
      </c>
      <c r="U23" s="159" t="s">
        <v>304</v>
      </c>
      <c r="V23" s="176" t="s">
        <v>305</v>
      </c>
      <c r="W23" s="152">
        <v>2009</v>
      </c>
      <c r="X23" s="152">
        <v>1157</v>
      </c>
      <c r="Y23" s="152"/>
      <c r="Z23" s="177"/>
      <c r="AA23" s="177" t="s">
        <v>150</v>
      </c>
      <c r="AB23" s="177">
        <v>18</v>
      </c>
      <c r="AC23" s="177"/>
      <c r="AD23" s="177"/>
      <c r="AE23" s="177"/>
      <c r="AF23" s="177"/>
      <c r="AG23" s="177"/>
      <c r="AH23" s="177"/>
      <c r="AI23" s="177"/>
      <c r="AJ23" s="177"/>
      <c r="AK23" s="257">
        <v>1</v>
      </c>
      <c r="AL23" s="271"/>
      <c r="AM23" s="277">
        <f>X23*P1_reinigen_daken_met_vaste_dakveiligheid</f>
        <v>0</v>
      </c>
      <c r="AN23" s="279">
        <f>Y23*P1_reinigen_goten_met_vaste_dakveiligheid</f>
        <v>0</v>
      </c>
      <c r="AO23" s="279">
        <f>(AE23*P1_Reinigen_Lichtkoepel_50X50)+('Perceel 2'!AF23*P1_Reinigen_Lichtkoepel_60x200)+('Perceel 2'!AG23*P1_Reinigen_Lichtkoepel_180x180)+('Perceel 2'!AH23*P1_Reinigen_Lichtstraten_groter_dan_180x180)</f>
        <v>0</v>
      </c>
      <c r="AP23" s="279">
        <f>(X23+Y23)*P1_Inspecteren_daken_en_goten_1x_per_jaar_gelijktijdig_met_reiniging_inclusief_inspectierapport_en_een_managementrapport</f>
        <v>0</v>
      </c>
      <c r="AQ23" s="289"/>
      <c r="AR23" s="332">
        <f>AQ23*P1_keuren_dakveiligheid_per_man_uur</f>
        <v>0</v>
      </c>
      <c r="AS23" s="336">
        <f t="shared" si="2"/>
        <v>0</v>
      </c>
    </row>
    <row r="24" spans="1:45" s="7" customFormat="1" ht="40.35" hidden="1" customHeight="1" x14ac:dyDescent="0.45">
      <c r="A24" s="169"/>
      <c r="B24" s="180">
        <v>1</v>
      </c>
      <c r="C24" s="169" t="s">
        <v>135</v>
      </c>
      <c r="D24" s="169" t="s">
        <v>136</v>
      </c>
      <c r="E24" s="169" t="s">
        <v>306</v>
      </c>
      <c r="F24" s="169"/>
      <c r="G24" s="169"/>
      <c r="H24" s="17"/>
      <c r="I24" s="17"/>
      <c r="J24" s="17"/>
      <c r="K24" s="17"/>
      <c r="L24" s="169" t="s">
        <v>154</v>
      </c>
      <c r="M24" s="169" t="s">
        <v>155</v>
      </c>
      <c r="N24" s="169" t="s">
        <v>307</v>
      </c>
      <c r="O24" s="169" t="s">
        <v>308</v>
      </c>
      <c r="P24" s="169" t="s">
        <v>309</v>
      </c>
      <c r="Q24" s="169" t="s">
        <v>310</v>
      </c>
      <c r="R24" s="169" t="s">
        <v>168</v>
      </c>
      <c r="S24" s="169" t="s">
        <v>146</v>
      </c>
      <c r="T24" s="169"/>
      <c r="U24" s="169"/>
      <c r="V24" s="169"/>
      <c r="W24" s="169">
        <v>2021</v>
      </c>
      <c r="X24" s="204">
        <v>945</v>
      </c>
      <c r="Y24" s="169"/>
      <c r="Z24" s="204" t="s">
        <v>311</v>
      </c>
      <c r="AA24" s="204" t="s">
        <v>311</v>
      </c>
      <c r="AB24" s="204">
        <v>13</v>
      </c>
      <c r="AC24" s="204">
        <v>30</v>
      </c>
      <c r="AD24" s="169" t="s">
        <v>312</v>
      </c>
      <c r="AE24" s="169"/>
      <c r="AF24" s="169"/>
      <c r="AG24" s="204">
        <v>6</v>
      </c>
      <c r="AH24" s="204"/>
      <c r="AI24" s="169" t="s">
        <v>163</v>
      </c>
      <c r="AJ24" s="169"/>
      <c r="AK24" s="204">
        <v>1</v>
      </c>
      <c r="AL24" s="274" t="s">
        <v>313</v>
      </c>
      <c r="AM24" s="299"/>
      <c r="AN24" s="298"/>
      <c r="AO24" s="298"/>
      <c r="AP24" s="298"/>
      <c r="AQ24" s="289"/>
      <c r="AR24" s="333"/>
      <c r="AS24" s="337"/>
    </row>
    <row r="25" spans="1:45" s="7" customFormat="1" ht="40.35" hidden="1" customHeight="1" x14ac:dyDescent="0.45">
      <c r="A25" s="182"/>
      <c r="B25" s="254">
        <v>1</v>
      </c>
      <c r="C25" s="182" t="s">
        <v>135</v>
      </c>
      <c r="D25" s="182" t="s">
        <v>306</v>
      </c>
      <c r="E25" s="182"/>
      <c r="F25" s="182"/>
      <c r="G25" s="182"/>
      <c r="H25" s="182"/>
      <c r="I25" s="182"/>
      <c r="J25" s="182"/>
      <c r="K25" s="182"/>
      <c r="L25" s="182" t="s">
        <v>154</v>
      </c>
      <c r="M25" s="182" t="s">
        <v>155</v>
      </c>
      <c r="N25" s="182" t="s">
        <v>314</v>
      </c>
      <c r="O25" s="182" t="s">
        <v>315</v>
      </c>
      <c r="P25" s="182" t="s">
        <v>316</v>
      </c>
      <c r="Q25" s="182" t="s">
        <v>310</v>
      </c>
      <c r="R25" s="182" t="s">
        <v>168</v>
      </c>
      <c r="S25" s="182" t="s">
        <v>146</v>
      </c>
      <c r="T25" s="182"/>
      <c r="U25" s="182"/>
      <c r="V25" s="182"/>
      <c r="W25" s="182">
        <v>2021</v>
      </c>
      <c r="X25" s="255">
        <f>X24*18%</f>
        <v>170.1</v>
      </c>
      <c r="Y25" s="182"/>
      <c r="Z25" s="255" t="s">
        <v>311</v>
      </c>
      <c r="AA25" s="255" t="s">
        <v>311</v>
      </c>
      <c r="AB25" s="255">
        <f>AB24*18%</f>
        <v>2.34</v>
      </c>
      <c r="AC25" s="182"/>
      <c r="AD25" s="182"/>
      <c r="AE25" s="182"/>
      <c r="AF25" s="182"/>
      <c r="AG25" s="255">
        <f>AG24*18%</f>
        <v>1.08</v>
      </c>
      <c r="AH25" s="255"/>
      <c r="AI25" s="182" t="s">
        <v>163</v>
      </c>
      <c r="AJ25" s="182"/>
      <c r="AK25" s="255">
        <v>1</v>
      </c>
      <c r="AL25" s="271"/>
      <c r="AM25" s="277">
        <f>X25*P1_reinigen_daken_met_vaste_dakveiligheid</f>
        <v>0</v>
      </c>
      <c r="AN25" s="279">
        <f>Y25*P1_reinigen_goten_met_vaste_dakveiligheid</f>
        <v>0</v>
      </c>
      <c r="AO25" s="279">
        <f>(AE25*P1_Reinigen_Lichtkoepel_50X50)+('Perceel 2'!AF25*P1_Reinigen_Lichtkoepel_60x200)+('Perceel 2'!AG25*P1_Reinigen_Lichtkoepel_180x180)+('Perceel 2'!AH25*P1_Reinigen_Lichtstraten_groter_dan_180x180)</f>
        <v>0</v>
      </c>
      <c r="AP25" s="279">
        <f>(X25+Y25)*P1_Inspecteren_daken_en_goten_1x_per_jaar_gelijktijdig_met_reiniging_inclusief_inspectierapport_en_een_managementrapport</f>
        <v>0</v>
      </c>
      <c r="AQ25" s="280">
        <f>AQ24*18%</f>
        <v>0</v>
      </c>
      <c r="AR25" s="332">
        <f>AQ25*P1_keuren_dakveiligheid_per_man_uur</f>
        <v>0</v>
      </c>
      <c r="AS25" s="336">
        <f t="shared" si="2"/>
        <v>0</v>
      </c>
    </row>
    <row r="26" spans="1:45" s="7" customFormat="1" ht="40.35" hidden="1" customHeight="1" x14ac:dyDescent="0.45">
      <c r="A26" s="182"/>
      <c r="B26" s="254">
        <v>1</v>
      </c>
      <c r="C26" s="182" t="s">
        <v>135</v>
      </c>
      <c r="D26" s="182" t="s">
        <v>136</v>
      </c>
      <c r="E26" s="182"/>
      <c r="F26" s="182"/>
      <c r="G26" s="182"/>
      <c r="H26" s="182"/>
      <c r="I26" s="182"/>
      <c r="J26" s="182"/>
      <c r="K26" s="182"/>
      <c r="L26" s="182" t="s">
        <v>154</v>
      </c>
      <c r="M26" s="182" t="s">
        <v>155</v>
      </c>
      <c r="N26" s="201">
        <v>1196</v>
      </c>
      <c r="O26" s="182" t="s">
        <v>317</v>
      </c>
      <c r="P26" s="182" t="s">
        <v>318</v>
      </c>
      <c r="Q26" s="182" t="s">
        <v>310</v>
      </c>
      <c r="R26" s="182" t="s">
        <v>168</v>
      </c>
      <c r="S26" s="182" t="s">
        <v>146</v>
      </c>
      <c r="T26" s="182"/>
      <c r="U26" s="182"/>
      <c r="V26" s="182"/>
      <c r="W26" s="182">
        <v>2021</v>
      </c>
      <c r="X26" s="255">
        <f>X24*82%</f>
        <v>774.9</v>
      </c>
      <c r="Y26" s="182"/>
      <c r="Z26" s="255" t="s">
        <v>311</v>
      </c>
      <c r="AA26" s="255" t="s">
        <v>311</v>
      </c>
      <c r="AB26" s="255">
        <f>AB24*82%</f>
        <v>10.66</v>
      </c>
      <c r="AC26" s="182"/>
      <c r="AD26" s="182"/>
      <c r="AE26" s="182"/>
      <c r="AF26" s="182"/>
      <c r="AG26" s="255">
        <f>AG24*82%</f>
        <v>4.92</v>
      </c>
      <c r="AH26" s="255"/>
      <c r="AI26" s="182" t="s">
        <v>163</v>
      </c>
      <c r="AJ26" s="182"/>
      <c r="AK26" s="255">
        <v>1</v>
      </c>
      <c r="AL26" s="271"/>
      <c r="AM26" s="277">
        <f>X26*P1_reinigen_daken_met_vaste_dakveiligheid</f>
        <v>0</v>
      </c>
      <c r="AN26" s="279">
        <f>Y26*P1_reinigen_goten_met_vaste_dakveiligheid</f>
        <v>0</v>
      </c>
      <c r="AO26" s="279">
        <f>(AE26*P1_Reinigen_Lichtkoepel_50X50)+('Perceel 2'!AF26*P1_Reinigen_Lichtkoepel_60x200)+('Perceel 2'!AG26*P1_Reinigen_Lichtkoepel_180x180)+('Perceel 2'!AH26*P1_Reinigen_Lichtstraten_groter_dan_180x180)</f>
        <v>0</v>
      </c>
      <c r="AP26" s="279">
        <f>(X26+Y26)*P1_Inspecteren_daken_en_goten_1x_per_jaar_gelijktijdig_met_reiniging_inclusief_inspectierapport_en_een_managementrapport</f>
        <v>0</v>
      </c>
      <c r="AQ26" s="280">
        <f>AQ24*72%</f>
        <v>0</v>
      </c>
      <c r="AR26" s="332">
        <f>AQ26*P1_keuren_dakveiligheid_per_man_uur</f>
        <v>0</v>
      </c>
      <c r="AS26" s="336">
        <f t="shared" si="2"/>
        <v>0</v>
      </c>
    </row>
    <row r="27" spans="1:45" s="7" customFormat="1" ht="72" hidden="1" thickTop="1" thickBot="1" x14ac:dyDescent="0.5">
      <c r="A27" s="160"/>
      <c r="B27" s="256">
        <v>1</v>
      </c>
      <c r="C27" s="160" t="s">
        <v>135</v>
      </c>
      <c r="D27" s="160" t="s">
        <v>136</v>
      </c>
      <c r="E27" s="160"/>
      <c r="F27" s="160"/>
      <c r="G27" s="160"/>
      <c r="H27" s="160"/>
      <c r="I27" s="160"/>
      <c r="J27" s="160"/>
      <c r="K27" s="160"/>
      <c r="L27" s="160"/>
      <c r="M27" s="160" t="s">
        <v>319</v>
      </c>
      <c r="N27" s="195">
        <v>1030</v>
      </c>
      <c r="O27" s="160" t="s">
        <v>320</v>
      </c>
      <c r="P27" s="160" t="s">
        <v>321</v>
      </c>
      <c r="Q27" s="160" t="s">
        <v>322</v>
      </c>
      <c r="R27" s="53" t="s">
        <v>168</v>
      </c>
      <c r="S27" s="160" t="s">
        <v>146</v>
      </c>
      <c r="T27" s="160"/>
      <c r="U27" s="160"/>
      <c r="V27" s="160"/>
      <c r="W27" s="160">
        <v>2020</v>
      </c>
      <c r="X27" s="257">
        <v>42</v>
      </c>
      <c r="Y27" s="160"/>
      <c r="Z27" s="257" t="s">
        <v>311</v>
      </c>
      <c r="AA27" s="257" t="s">
        <v>323</v>
      </c>
      <c r="AB27" s="160"/>
      <c r="AC27" s="160"/>
      <c r="AD27" s="257" t="s">
        <v>323</v>
      </c>
      <c r="AE27" s="257"/>
      <c r="AF27" s="257"/>
      <c r="AG27" s="257"/>
      <c r="AH27" s="160"/>
      <c r="AI27" s="160" t="s">
        <v>324</v>
      </c>
      <c r="AJ27" s="160"/>
      <c r="AK27" s="257">
        <v>1</v>
      </c>
      <c r="AL27" s="271"/>
      <c r="AM27" s="277">
        <f>X27*P1_Reinigen_daken_incl._extra_maatregelen_veilig_werken_volgens_VCA__eventuele_vergunningen_leges___voorrijkosten__adminstratieve_kosten__fotorapportage_en_kleine_reparaties_¹</f>
        <v>0</v>
      </c>
      <c r="AN27" s="279">
        <f>Y27*P1_Reinigen_goten_incl._extra_maatregelen_veilig_werken_volgens_VCA__eventuele_vergunningen_leges___voorrijkosten__adminstratieve_kosten__fotorapportage_en_kleine_reparaties_¹</f>
        <v>0</v>
      </c>
      <c r="AO27" s="279">
        <f>(AE27*P1_Reinigen_Lichtkoepel_50X50)+('Perceel 2'!AF27*P1_Reinigen_Lichtkoepel_60x200)+('Perceel 2'!AG27*P1_Reinigen_Lichtkoepel_180x180)+('Perceel 2'!AH27*P1_Reinigen_Lichtstraten_groter_dan_180x180)</f>
        <v>0</v>
      </c>
      <c r="AP27" s="279">
        <f>(X27+Y27)*P1_Inspecteren_daken_en_goten_1x_per_jaar_gelijktijdig_met_reiniging_inclusief_inspectierapport_en_een_managementrapport</f>
        <v>0</v>
      </c>
      <c r="AQ27" s="289"/>
      <c r="AR27" s="332">
        <f>AQ27*P1_keuren_dakveiligheid_per_man_uur</f>
        <v>0</v>
      </c>
      <c r="AS27" s="336">
        <f t="shared" si="2"/>
        <v>0</v>
      </c>
    </row>
    <row r="28" spans="1:45" s="7" customFormat="1" ht="39" hidden="1" thickTop="1" thickBot="1" x14ac:dyDescent="0.5">
      <c r="A28" s="155"/>
      <c r="B28" s="152">
        <v>1</v>
      </c>
      <c r="C28" s="156" t="s">
        <v>135</v>
      </c>
      <c r="D28" s="156" t="s">
        <v>136</v>
      </c>
      <c r="E28" s="156"/>
      <c r="F28" s="156"/>
      <c r="G28" s="156"/>
      <c r="H28" s="151" t="s">
        <v>325</v>
      </c>
      <c r="I28" s="151" t="s">
        <v>326</v>
      </c>
      <c r="J28" s="157"/>
      <c r="K28" s="158"/>
      <c r="L28" s="163" t="s">
        <v>154</v>
      </c>
      <c r="M28" s="166" t="s">
        <v>155</v>
      </c>
      <c r="N28" s="195" t="s">
        <v>327</v>
      </c>
      <c r="O28" s="159" t="s">
        <v>328</v>
      </c>
      <c r="P28" s="159" t="s">
        <v>329</v>
      </c>
      <c r="Q28" s="151" t="s">
        <v>213</v>
      </c>
      <c r="R28" s="54" t="s">
        <v>168</v>
      </c>
      <c r="S28" s="160" t="s">
        <v>146</v>
      </c>
      <c r="T28" s="159" t="s">
        <v>330</v>
      </c>
      <c r="U28" s="159" t="s">
        <v>331</v>
      </c>
      <c r="V28" s="176" t="s">
        <v>332</v>
      </c>
      <c r="W28" s="152">
        <v>2013</v>
      </c>
      <c r="X28" s="152">
        <v>48</v>
      </c>
      <c r="Y28" s="152"/>
      <c r="Z28" s="177"/>
      <c r="AA28" s="199"/>
      <c r="AB28" s="199"/>
      <c r="AC28" s="199"/>
      <c r="AD28" s="199"/>
      <c r="AE28" s="199"/>
      <c r="AF28" s="199"/>
      <c r="AG28" s="199"/>
      <c r="AH28" s="199"/>
      <c r="AI28" s="200"/>
      <c r="AJ28" s="199"/>
      <c r="AK28" s="257">
        <v>1</v>
      </c>
      <c r="AL28" s="271"/>
      <c r="AM28" s="277">
        <f>X28*P1_Reinigen_daken_incl._extra_maatregelen_veilig_werken_volgens_VCA__eventuele_vergunningen_leges___voorrijkosten__adminstratieve_kosten__fotorapportage_en_kleine_reparaties_¹</f>
        <v>0</v>
      </c>
      <c r="AN28" s="279">
        <f>Y28*P1_Reinigen_goten_incl._extra_maatregelen_veilig_werken_volgens_VCA__eventuele_vergunningen_leges___voorrijkosten__adminstratieve_kosten__fotorapportage_en_kleine_reparaties_¹</f>
        <v>0</v>
      </c>
      <c r="AO28" s="279">
        <f>(AE28*P1_Reinigen_Lichtkoepel_50X50)+('Perceel 2'!AF28*P1_Reinigen_Lichtkoepel_60x200)+('Perceel 2'!AG28*P1_Reinigen_Lichtkoepel_180x180)+('Perceel 2'!AH28*P1_Reinigen_Lichtstraten_groter_dan_180x180)</f>
        <v>0</v>
      </c>
      <c r="AP28" s="279">
        <f>(X28+Y28)*P1_Inspecteren_daken_en_goten_1x_per_jaar_gelijktijdig_met_reiniging_inclusief_inspectierapport_en_een_managementrapport</f>
        <v>0</v>
      </c>
      <c r="AQ28" s="298"/>
      <c r="AR28" s="332">
        <f>AQ28*P1_keuren_dakveiligheid_per_man_uur</f>
        <v>0</v>
      </c>
      <c r="AS28" s="336">
        <f t="shared" si="2"/>
        <v>0</v>
      </c>
    </row>
    <row r="29" spans="1:45" s="7" customFormat="1" ht="15" hidden="1" thickTop="1" thickBot="1" x14ac:dyDescent="0.5">
      <c r="A29" s="155"/>
      <c r="B29" s="165">
        <v>1</v>
      </c>
      <c r="C29" s="156" t="s">
        <v>135</v>
      </c>
      <c r="D29" s="156" t="s">
        <v>136</v>
      </c>
      <c r="E29" s="156"/>
      <c r="F29" s="156"/>
      <c r="G29" s="156"/>
      <c r="H29" s="151" t="s">
        <v>333</v>
      </c>
      <c r="I29" s="151" t="s">
        <v>334</v>
      </c>
      <c r="J29" s="157"/>
      <c r="K29" s="163"/>
      <c r="L29" s="163" t="s">
        <v>154</v>
      </c>
      <c r="M29" s="166" t="s">
        <v>155</v>
      </c>
      <c r="N29" s="160" t="s">
        <v>335</v>
      </c>
      <c r="O29" s="159" t="s">
        <v>336</v>
      </c>
      <c r="P29" s="160" t="s">
        <v>337</v>
      </c>
      <c r="Q29" s="160" t="s">
        <v>338</v>
      </c>
      <c r="R29" s="55" t="s">
        <v>339</v>
      </c>
      <c r="S29" s="160" t="s">
        <v>340</v>
      </c>
      <c r="T29" s="159" t="s">
        <v>341</v>
      </c>
      <c r="U29" s="159" t="s">
        <v>342</v>
      </c>
      <c r="V29" s="176" t="s">
        <v>343</v>
      </c>
      <c r="W29" s="152">
        <v>1984</v>
      </c>
      <c r="X29" s="152">
        <v>2826</v>
      </c>
      <c r="Y29" s="152"/>
      <c r="Z29" s="177" t="s">
        <v>311</v>
      </c>
      <c r="AA29" s="177" t="s">
        <v>150</v>
      </c>
      <c r="AB29" s="177">
        <v>37</v>
      </c>
      <c r="AC29" s="177">
        <v>265</v>
      </c>
      <c r="AD29" s="177" t="s">
        <v>344</v>
      </c>
      <c r="AE29" s="177"/>
      <c r="AF29" s="177"/>
      <c r="AG29" s="177"/>
      <c r="AH29" s="177"/>
      <c r="AI29" s="177" t="s">
        <v>345</v>
      </c>
      <c r="AJ29" s="177" t="s">
        <v>346</v>
      </c>
      <c r="AK29" s="257">
        <v>1</v>
      </c>
      <c r="AL29" s="271"/>
      <c r="AM29" s="277">
        <f>X29*P1_reinigen_daken_met_vaste_dakveiligheid</f>
        <v>0</v>
      </c>
      <c r="AN29" s="279">
        <f>Y29*P1_reinigen_goten_met_vaste_dakveiligheid</f>
        <v>0</v>
      </c>
      <c r="AO29" s="279">
        <f>(AE29*P1_Reinigen_Lichtkoepel_50X50)+('Perceel 2'!AF29*P1_Reinigen_Lichtkoepel_60x200)+('Perceel 2'!AG29*P1_Reinigen_Lichtkoepel_180x180)+('Perceel 2'!AH29*P1_Reinigen_Lichtstraten_groter_dan_180x180)</f>
        <v>0</v>
      </c>
      <c r="AP29" s="279">
        <f>(X29+Y29)*P1_Inspecteren_daken_en_goten_1x_per_jaar_gelijktijdig_met_reiniging_inclusief_inspectierapport_en_een_managementrapport</f>
        <v>0</v>
      </c>
      <c r="AQ29" s="289"/>
      <c r="AR29" s="332">
        <f>AQ29*P1_keuren_dakveiligheid_per_man_uur</f>
        <v>0</v>
      </c>
      <c r="AS29" s="336">
        <f t="shared" si="2"/>
        <v>0</v>
      </c>
    </row>
    <row r="30" spans="1:45" s="7" customFormat="1" ht="12.75" hidden="1" customHeight="1" x14ac:dyDescent="0.45">
      <c r="A30" s="169"/>
      <c r="B30" s="169">
        <v>1</v>
      </c>
      <c r="C30" s="169" t="s">
        <v>135</v>
      </c>
      <c r="D30" s="169" t="s">
        <v>347</v>
      </c>
      <c r="E30" s="169"/>
      <c r="F30" s="169"/>
      <c r="G30" s="169"/>
      <c r="H30" s="17"/>
      <c r="I30" s="17"/>
      <c r="J30" s="17"/>
      <c r="K30" s="17"/>
      <c r="L30" s="169" t="s">
        <v>348</v>
      </c>
      <c r="M30" s="169" t="s">
        <v>349</v>
      </c>
      <c r="N30" s="183" t="s">
        <v>350</v>
      </c>
      <c r="O30" s="169" t="s">
        <v>351</v>
      </c>
      <c r="P30" s="183" t="s">
        <v>352</v>
      </c>
      <c r="Q30" s="183" t="s">
        <v>338</v>
      </c>
      <c r="R30" s="49" t="s">
        <v>339</v>
      </c>
      <c r="S30" s="183" t="s">
        <v>340</v>
      </c>
      <c r="T30" s="169"/>
      <c r="U30" s="169"/>
      <c r="V30" s="169"/>
      <c r="W30" s="183">
        <v>1987</v>
      </c>
      <c r="X30" s="259">
        <v>2569</v>
      </c>
      <c r="Y30" s="183"/>
      <c r="Z30" s="169"/>
      <c r="AA30" s="169"/>
      <c r="AB30" s="169">
        <v>15</v>
      </c>
      <c r="AC30" s="169"/>
      <c r="AD30" s="169"/>
      <c r="AE30" s="169"/>
      <c r="AF30" s="169"/>
      <c r="AG30" s="169"/>
      <c r="AH30" s="169"/>
      <c r="AI30" s="169"/>
      <c r="AJ30" s="169"/>
      <c r="AK30" s="259">
        <v>1</v>
      </c>
      <c r="AL30" s="274"/>
      <c r="AM30" s="299"/>
      <c r="AN30" s="298"/>
      <c r="AO30" s="298"/>
      <c r="AP30" s="298"/>
      <c r="AQ30" s="298"/>
      <c r="AR30" s="333"/>
      <c r="AS30" s="337"/>
    </row>
    <row r="31" spans="1:45" s="7" customFormat="1" ht="12.75" hidden="1" customHeight="1" x14ac:dyDescent="0.45">
      <c r="A31" s="182"/>
      <c r="B31" s="185">
        <v>1</v>
      </c>
      <c r="C31" s="175" t="s">
        <v>135</v>
      </c>
      <c r="D31" s="175" t="s">
        <v>347</v>
      </c>
      <c r="E31" s="175"/>
      <c r="F31" s="175"/>
      <c r="G31" s="175"/>
      <c r="H31" s="174" t="s">
        <v>353</v>
      </c>
      <c r="I31" s="174" t="s">
        <v>354</v>
      </c>
      <c r="J31" s="197"/>
      <c r="K31" s="197"/>
      <c r="L31" s="174"/>
      <c r="M31" s="175" t="s">
        <v>349</v>
      </c>
      <c r="N31" s="182" t="s">
        <v>355</v>
      </c>
      <c r="O31" s="175" t="s">
        <v>356</v>
      </c>
      <c r="P31" s="182" t="s">
        <v>352</v>
      </c>
      <c r="Q31" s="182" t="s">
        <v>338</v>
      </c>
      <c r="R31" s="50" t="s">
        <v>339</v>
      </c>
      <c r="S31" s="182" t="s">
        <v>340</v>
      </c>
      <c r="T31" s="175" t="s">
        <v>357</v>
      </c>
      <c r="U31" s="175" t="s">
        <v>358</v>
      </c>
      <c r="V31" s="175" t="s">
        <v>359</v>
      </c>
      <c r="W31" s="182">
        <v>1988</v>
      </c>
      <c r="X31" s="255">
        <f>X30*14%</f>
        <v>359.66</v>
      </c>
      <c r="Y31" s="182"/>
      <c r="Z31" s="175"/>
      <c r="AA31" s="175"/>
      <c r="AB31" s="175"/>
      <c r="AC31" s="175"/>
      <c r="AD31" s="175"/>
      <c r="AE31" s="175"/>
      <c r="AF31" s="175"/>
      <c r="AG31" s="175"/>
      <c r="AH31" s="175"/>
      <c r="AI31" s="175"/>
      <c r="AJ31" s="175"/>
      <c r="AK31" s="255">
        <v>1</v>
      </c>
      <c r="AL31" s="274"/>
      <c r="AM31" s="277">
        <f>X31*P1_reinigen_daken_met_vaste_dakveiligheid</f>
        <v>0</v>
      </c>
      <c r="AN31" s="279">
        <f>Y31*P1_reinigen_goten_met_vaste_dakveiligheid</f>
        <v>0</v>
      </c>
      <c r="AO31" s="279">
        <f>(AE31*P1_Reinigen_Lichtkoepel_50X50)+('Perceel 2'!AF31*P1_Reinigen_Lichtkoepel_60x200)+('Perceel 2'!AG31*P1_Reinigen_Lichtkoepel_180x180)+('Perceel 2'!AH31*P1_Reinigen_Lichtstraten_groter_dan_180x180)</f>
        <v>0</v>
      </c>
      <c r="AP31" s="279">
        <f t="shared" ref="AP31:AP38" si="3">(X31+Y31)*P1_Inspecteren_daken_en_goten_1x_per_jaar_gelijktijdig_met_reiniging_inclusief_inspectierapport_en_een_managementrapport</f>
        <v>0</v>
      </c>
      <c r="AQ31" s="298"/>
      <c r="AR31" s="332">
        <f t="shared" ref="AR31:AR38" si="4">AQ31*P1_keuren_dakveiligheid_per_man_uur</f>
        <v>0</v>
      </c>
      <c r="AS31" s="336">
        <f t="shared" si="2"/>
        <v>0</v>
      </c>
    </row>
    <row r="32" spans="1:45" s="7" customFormat="1" ht="26.25" hidden="1" thickTop="1" thickBot="1" x14ac:dyDescent="0.5">
      <c r="A32" s="182"/>
      <c r="B32" s="185">
        <v>1</v>
      </c>
      <c r="C32" s="175" t="s">
        <v>135</v>
      </c>
      <c r="D32" s="175" t="s">
        <v>347</v>
      </c>
      <c r="E32" s="175"/>
      <c r="F32" s="175"/>
      <c r="G32" s="175"/>
      <c r="H32" s="174" t="s">
        <v>360</v>
      </c>
      <c r="I32" s="174" t="s">
        <v>361</v>
      </c>
      <c r="J32" s="197"/>
      <c r="K32" s="197"/>
      <c r="L32" s="174"/>
      <c r="M32" s="175" t="s">
        <v>349</v>
      </c>
      <c r="N32" s="182" t="s">
        <v>362</v>
      </c>
      <c r="O32" s="175" t="s">
        <v>363</v>
      </c>
      <c r="P32" s="182" t="s">
        <v>352</v>
      </c>
      <c r="Q32" s="182" t="s">
        <v>338</v>
      </c>
      <c r="R32" s="50" t="s">
        <v>339</v>
      </c>
      <c r="S32" s="182" t="s">
        <v>340</v>
      </c>
      <c r="T32" s="175" t="s">
        <v>364</v>
      </c>
      <c r="U32" s="175" t="s">
        <v>365</v>
      </c>
      <c r="V32" s="175" t="s">
        <v>359</v>
      </c>
      <c r="W32" s="182">
        <v>1987</v>
      </c>
      <c r="X32" s="255">
        <f>X30*86%</f>
        <v>2209.34</v>
      </c>
      <c r="Y32" s="182"/>
      <c r="Z32" s="175"/>
      <c r="AA32" s="175" t="s">
        <v>311</v>
      </c>
      <c r="AB32" s="175">
        <v>15</v>
      </c>
      <c r="AC32" s="175"/>
      <c r="AD32" s="175"/>
      <c r="AE32" s="175"/>
      <c r="AF32" s="175"/>
      <c r="AG32" s="175"/>
      <c r="AH32" s="175"/>
      <c r="AI32" s="175"/>
      <c r="AJ32" s="175"/>
      <c r="AK32" s="255">
        <v>1</v>
      </c>
      <c r="AL32" s="274"/>
      <c r="AM32" s="277">
        <f>X32*P1_reinigen_daken_met_vaste_dakveiligheid</f>
        <v>0</v>
      </c>
      <c r="AN32" s="279">
        <f>Y32*P1_reinigen_goten_met_vaste_dakveiligheid</f>
        <v>0</v>
      </c>
      <c r="AO32" s="279">
        <f>(AE32*P1_Reinigen_Lichtkoepel_50X50)+('Perceel 2'!AF32*P1_Reinigen_Lichtkoepel_60x200)+('Perceel 2'!AG32*P1_Reinigen_Lichtkoepel_180x180)+('Perceel 2'!AH32*P1_Reinigen_Lichtstraten_groter_dan_180x180)</f>
        <v>0</v>
      </c>
      <c r="AP32" s="279">
        <f t="shared" si="3"/>
        <v>0</v>
      </c>
      <c r="AQ32" s="289"/>
      <c r="AR32" s="332">
        <f t="shared" si="4"/>
        <v>0</v>
      </c>
      <c r="AS32" s="336">
        <f t="shared" si="2"/>
        <v>0</v>
      </c>
    </row>
    <row r="33" spans="1:45" s="7" customFormat="1" ht="51.75" hidden="1" thickTop="1" thickBot="1" x14ac:dyDescent="0.5">
      <c r="A33" s="155"/>
      <c r="B33" s="165">
        <v>1</v>
      </c>
      <c r="C33" s="156" t="s">
        <v>135</v>
      </c>
      <c r="D33" s="156" t="s">
        <v>136</v>
      </c>
      <c r="E33" s="156"/>
      <c r="F33" s="156"/>
      <c r="G33" s="156"/>
      <c r="H33" s="151" t="s">
        <v>366</v>
      </c>
      <c r="I33" s="151" t="s">
        <v>367</v>
      </c>
      <c r="J33" s="157"/>
      <c r="K33" s="163"/>
      <c r="L33" s="151" t="s">
        <v>139</v>
      </c>
      <c r="M33" s="159" t="s">
        <v>140</v>
      </c>
      <c r="N33" s="160" t="s">
        <v>368</v>
      </c>
      <c r="O33" s="159" t="s">
        <v>369</v>
      </c>
      <c r="P33" s="160" t="s">
        <v>370</v>
      </c>
      <c r="Q33" s="160" t="s">
        <v>371</v>
      </c>
      <c r="R33" s="56" t="s">
        <v>372</v>
      </c>
      <c r="S33" s="160" t="s">
        <v>189</v>
      </c>
      <c r="T33" s="159" t="s">
        <v>373</v>
      </c>
      <c r="U33" s="159" t="s">
        <v>374</v>
      </c>
      <c r="V33" s="176" t="s">
        <v>375</v>
      </c>
      <c r="W33" s="152">
        <v>1980</v>
      </c>
      <c r="X33" s="152">
        <v>486</v>
      </c>
      <c r="Y33" s="152">
        <v>28</v>
      </c>
      <c r="Z33" s="177" t="s">
        <v>311</v>
      </c>
      <c r="AA33" s="177" t="s">
        <v>311</v>
      </c>
      <c r="AB33" s="189">
        <v>8</v>
      </c>
      <c r="AC33" s="189">
        <v>35</v>
      </c>
      <c r="AD33" s="177"/>
      <c r="AE33" s="177"/>
      <c r="AF33" s="177"/>
      <c r="AG33" s="177"/>
      <c r="AH33" s="177"/>
      <c r="AI33" s="177" t="s">
        <v>376</v>
      </c>
      <c r="AJ33" s="177" t="s">
        <v>223</v>
      </c>
      <c r="AK33" s="257">
        <v>2</v>
      </c>
      <c r="AL33" s="273"/>
      <c r="AM33" s="277">
        <f>X33*P1_reinigen_daken_met_vaste_dakveiligheid</f>
        <v>0</v>
      </c>
      <c r="AN33" s="279">
        <f>Y33*P1_reinigen_goten_met_vaste_dakveiligheid</f>
        <v>0</v>
      </c>
      <c r="AO33" s="279">
        <f>(AE33*P1_Reinigen_Lichtkoepel_50X50)+('Perceel 2'!AF33*P1_Reinigen_Lichtkoepel_60x200)+('Perceel 2'!AG33*P1_Reinigen_Lichtkoepel_180x180)+('Perceel 2'!AH33*P1_Reinigen_Lichtstraten_groter_dan_180x180)</f>
        <v>0</v>
      </c>
      <c r="AP33" s="279">
        <f t="shared" si="3"/>
        <v>0</v>
      </c>
      <c r="AQ33" s="289"/>
      <c r="AR33" s="332">
        <f t="shared" si="4"/>
        <v>0</v>
      </c>
      <c r="AS33" s="336">
        <f t="shared" si="2"/>
        <v>56</v>
      </c>
    </row>
    <row r="34" spans="1:45" s="7" customFormat="1" ht="51.75" hidden="1" thickTop="1" thickBot="1" x14ac:dyDescent="0.5">
      <c r="A34" s="155"/>
      <c r="B34" s="165">
        <v>1</v>
      </c>
      <c r="C34" s="156" t="s">
        <v>135</v>
      </c>
      <c r="D34" s="156" t="s">
        <v>136</v>
      </c>
      <c r="E34" s="156"/>
      <c r="F34" s="156"/>
      <c r="G34" s="156"/>
      <c r="H34" s="151" t="s">
        <v>377</v>
      </c>
      <c r="I34" s="151" t="s">
        <v>378</v>
      </c>
      <c r="J34" s="157"/>
      <c r="K34" s="163"/>
      <c r="L34" s="163" t="s">
        <v>154</v>
      </c>
      <c r="M34" s="166" t="s">
        <v>155</v>
      </c>
      <c r="N34" s="160" t="s">
        <v>379</v>
      </c>
      <c r="O34" s="159" t="s">
        <v>380</v>
      </c>
      <c r="P34" s="160" t="s">
        <v>381</v>
      </c>
      <c r="Q34" s="160" t="s">
        <v>371</v>
      </c>
      <c r="R34" s="53" t="s">
        <v>372</v>
      </c>
      <c r="S34" s="160" t="s">
        <v>189</v>
      </c>
      <c r="T34" s="159" t="s">
        <v>169</v>
      </c>
      <c r="U34" s="159" t="s">
        <v>170</v>
      </c>
      <c r="V34" s="176" t="s">
        <v>171</v>
      </c>
      <c r="W34" s="152">
        <v>1980</v>
      </c>
      <c r="X34" s="152">
        <v>497</v>
      </c>
      <c r="Y34" s="152"/>
      <c r="Z34" s="177"/>
      <c r="AA34" s="177"/>
      <c r="AB34" s="177"/>
      <c r="AC34" s="177"/>
      <c r="AD34" s="177"/>
      <c r="AE34" s="177"/>
      <c r="AF34" s="177"/>
      <c r="AG34" s="177"/>
      <c r="AH34" s="177"/>
      <c r="AI34" s="177"/>
      <c r="AJ34" s="177"/>
      <c r="AK34" s="257">
        <v>1</v>
      </c>
      <c r="AL34" s="271"/>
      <c r="AM34" s="277">
        <f>X34*P1_Reinigen_daken_incl._extra_maatregelen_veilig_werken_volgens_VCA__eventuele_vergunningen_leges___voorrijkosten__adminstratieve_kosten__fotorapportage_en_kleine_reparaties_¹</f>
        <v>0</v>
      </c>
      <c r="AN34" s="279">
        <f>Y34*P1_Reinigen_goten_incl._extra_maatregelen_veilig_werken_volgens_VCA__eventuele_vergunningen_leges___voorrijkosten__adminstratieve_kosten__fotorapportage_en_kleine_reparaties_¹</f>
        <v>0</v>
      </c>
      <c r="AO34" s="279">
        <f>(AE34*P1_Reinigen_Lichtkoepel_50X50)+('Perceel 2'!AF34*P1_Reinigen_Lichtkoepel_60x200)+('Perceel 2'!AG34*P1_Reinigen_Lichtkoepel_180x180)+('Perceel 2'!AH34*P1_Reinigen_Lichtstraten_groter_dan_180x180)</f>
        <v>0</v>
      </c>
      <c r="AP34" s="279">
        <f t="shared" si="3"/>
        <v>0</v>
      </c>
      <c r="AQ34" s="298"/>
      <c r="AR34" s="332">
        <f t="shared" si="4"/>
        <v>0</v>
      </c>
      <c r="AS34" s="336">
        <f t="shared" si="2"/>
        <v>0</v>
      </c>
    </row>
    <row r="35" spans="1:45" s="7" customFormat="1" ht="64.5" hidden="1" thickTop="1" thickBot="1" x14ac:dyDescent="0.5">
      <c r="A35" s="155"/>
      <c r="B35" s="152">
        <v>1</v>
      </c>
      <c r="C35" s="156" t="s">
        <v>135</v>
      </c>
      <c r="D35" s="156" t="s">
        <v>136</v>
      </c>
      <c r="E35" s="156"/>
      <c r="F35" s="156"/>
      <c r="G35" s="156"/>
      <c r="H35" s="151" t="s">
        <v>382</v>
      </c>
      <c r="I35" s="151" t="s">
        <v>383</v>
      </c>
      <c r="J35" s="157"/>
      <c r="K35" s="163"/>
      <c r="L35" s="151" t="s">
        <v>139</v>
      </c>
      <c r="M35" s="159" t="s">
        <v>140</v>
      </c>
      <c r="N35" s="164">
        <v>9003</v>
      </c>
      <c r="O35" s="159" t="s">
        <v>384</v>
      </c>
      <c r="P35" s="159" t="s">
        <v>385</v>
      </c>
      <c r="Q35" s="159" t="s">
        <v>386</v>
      </c>
      <c r="R35" s="42" t="s">
        <v>387</v>
      </c>
      <c r="S35" s="159" t="s">
        <v>189</v>
      </c>
      <c r="T35" s="159" t="s">
        <v>388</v>
      </c>
      <c r="U35" s="159" t="s">
        <v>389</v>
      </c>
      <c r="V35" s="176" t="s">
        <v>390</v>
      </c>
      <c r="W35" s="152">
        <v>1989</v>
      </c>
      <c r="X35" s="152">
        <f>875-41</f>
        <v>834</v>
      </c>
      <c r="Y35" s="152"/>
      <c r="Z35" s="177"/>
      <c r="AA35" s="177"/>
      <c r="AB35" s="177">
        <v>20</v>
      </c>
      <c r="AC35" s="177"/>
      <c r="AD35" s="177" t="s">
        <v>391</v>
      </c>
      <c r="AE35" s="177"/>
      <c r="AF35" s="177"/>
      <c r="AG35" s="177"/>
      <c r="AH35" s="177"/>
      <c r="AI35" s="177"/>
      <c r="AJ35" s="177"/>
      <c r="AK35" s="177">
        <v>1</v>
      </c>
      <c r="AL35" s="273"/>
      <c r="AM35" s="277">
        <f>X35*P1_reinigen_daken_met_vaste_dakveiligheid</f>
        <v>0</v>
      </c>
      <c r="AN35" s="279">
        <f>Y35*P1_reinigen_goten_met_vaste_dakveiligheid</f>
        <v>0</v>
      </c>
      <c r="AO35" s="279">
        <f>(AE35*P1_Reinigen_Lichtkoepel_50X50)+('Perceel 2'!AF35*P1_Reinigen_Lichtkoepel_60x200)+('Perceel 2'!AG35*P1_Reinigen_Lichtkoepel_180x180)+('Perceel 2'!AH35*P1_Reinigen_Lichtstraten_groter_dan_180x180)</f>
        <v>0</v>
      </c>
      <c r="AP35" s="279">
        <f t="shared" si="3"/>
        <v>0</v>
      </c>
      <c r="AQ35" s="289"/>
      <c r="AR35" s="332">
        <f t="shared" si="4"/>
        <v>0</v>
      </c>
      <c r="AS35" s="336">
        <f>(AM35*AK35)+(Y35*AK35)+AO35+AP35+AR35</f>
        <v>0</v>
      </c>
    </row>
    <row r="36" spans="1:45" s="7" customFormat="1" ht="15" hidden="1" thickTop="1" thickBot="1" x14ac:dyDescent="0.5">
      <c r="A36" s="155"/>
      <c r="B36" s="165">
        <v>1</v>
      </c>
      <c r="C36" s="156" t="s">
        <v>135</v>
      </c>
      <c r="D36" s="156" t="s">
        <v>136</v>
      </c>
      <c r="E36" s="156"/>
      <c r="F36" s="156"/>
      <c r="G36" s="156"/>
      <c r="H36" s="151" t="s">
        <v>392</v>
      </c>
      <c r="I36" s="151" t="s">
        <v>393</v>
      </c>
      <c r="J36" s="157"/>
      <c r="K36" s="163"/>
      <c r="L36" s="151" t="s">
        <v>139</v>
      </c>
      <c r="M36" s="159" t="s">
        <v>140</v>
      </c>
      <c r="N36" s="160" t="s">
        <v>394</v>
      </c>
      <c r="O36" s="159" t="s">
        <v>395</v>
      </c>
      <c r="P36" s="160" t="s">
        <v>396</v>
      </c>
      <c r="Q36" s="160" t="s">
        <v>397</v>
      </c>
      <c r="R36" s="53" t="s">
        <v>197</v>
      </c>
      <c r="S36" s="160" t="s">
        <v>189</v>
      </c>
      <c r="T36" s="159" t="s">
        <v>398</v>
      </c>
      <c r="U36" s="159" t="s">
        <v>399</v>
      </c>
      <c r="V36" s="176" t="s">
        <v>400</v>
      </c>
      <c r="W36" s="152">
        <v>1976</v>
      </c>
      <c r="X36" s="152">
        <v>247</v>
      </c>
      <c r="Y36" s="152"/>
      <c r="Z36" s="177"/>
      <c r="AA36" s="177"/>
      <c r="AB36" s="177"/>
      <c r="AC36" s="177"/>
      <c r="AD36" s="177"/>
      <c r="AE36" s="177"/>
      <c r="AF36" s="177"/>
      <c r="AG36" s="177"/>
      <c r="AH36" s="177"/>
      <c r="AI36" s="177"/>
      <c r="AJ36" s="177"/>
      <c r="AK36" s="257">
        <v>1</v>
      </c>
      <c r="AL36" s="271"/>
      <c r="AM36" s="277">
        <f>X36*P1_Reinigen_daken_incl._extra_maatregelen_veilig_werken_volgens_VCA__eventuele_vergunningen_leges___voorrijkosten__adminstratieve_kosten__fotorapportage_en_kleine_reparaties_¹</f>
        <v>0</v>
      </c>
      <c r="AN36" s="279">
        <f>Y36*P1_Reinigen_goten_incl._extra_maatregelen_veilig_werken_volgens_VCA__eventuele_vergunningen_leges___voorrijkosten__adminstratieve_kosten__fotorapportage_en_kleine_reparaties_¹</f>
        <v>0</v>
      </c>
      <c r="AO36" s="279">
        <f>(AE36*P1_Reinigen_Lichtkoepel_50X50)+('Perceel 2'!AF36*P1_Reinigen_Lichtkoepel_60x200)+('Perceel 2'!AG36*P1_Reinigen_Lichtkoepel_180x180)+('Perceel 2'!AH36*P1_Reinigen_Lichtstraten_groter_dan_180x180)</f>
        <v>0</v>
      </c>
      <c r="AP36" s="279">
        <f t="shared" si="3"/>
        <v>0</v>
      </c>
      <c r="AQ36" s="298"/>
      <c r="AR36" s="332">
        <f t="shared" si="4"/>
        <v>0</v>
      </c>
      <c r="AS36" s="336">
        <f>(AM36*AK36)+(Y36*AK36)+AO36+AP36+AR36</f>
        <v>0</v>
      </c>
    </row>
    <row r="37" spans="1:45" s="7" customFormat="1" ht="15" hidden="1" thickTop="1" thickBot="1" x14ac:dyDescent="0.5">
      <c r="A37" s="155"/>
      <c r="B37" s="165">
        <v>1</v>
      </c>
      <c r="C37" s="156" t="s">
        <v>135</v>
      </c>
      <c r="D37" s="156" t="s">
        <v>136</v>
      </c>
      <c r="E37" s="156"/>
      <c r="F37" s="156"/>
      <c r="G37" s="156"/>
      <c r="H37" s="151" t="s">
        <v>401</v>
      </c>
      <c r="I37" s="151" t="s">
        <v>402</v>
      </c>
      <c r="J37" s="157"/>
      <c r="K37" s="163"/>
      <c r="L37" s="163" t="s">
        <v>154</v>
      </c>
      <c r="M37" s="166" t="s">
        <v>155</v>
      </c>
      <c r="N37" s="160" t="s">
        <v>403</v>
      </c>
      <c r="O37" s="159" t="s">
        <v>404</v>
      </c>
      <c r="P37" s="160" t="s">
        <v>405</v>
      </c>
      <c r="Q37" s="160" t="s">
        <v>406</v>
      </c>
      <c r="R37" s="53" t="s">
        <v>339</v>
      </c>
      <c r="S37" s="160" t="s">
        <v>340</v>
      </c>
      <c r="T37" s="159" t="s">
        <v>407</v>
      </c>
      <c r="U37" s="159" t="s">
        <v>408</v>
      </c>
      <c r="V37" s="176" t="s">
        <v>409</v>
      </c>
      <c r="W37" s="152">
        <v>1981</v>
      </c>
      <c r="X37" s="152">
        <v>382</v>
      </c>
      <c r="Y37" s="152"/>
      <c r="Z37" s="177"/>
      <c r="AA37" s="177"/>
      <c r="AB37" s="189">
        <v>12</v>
      </c>
      <c r="AC37" s="189">
        <v>36</v>
      </c>
      <c r="AD37" s="177"/>
      <c r="AE37" s="177"/>
      <c r="AF37" s="177"/>
      <c r="AG37" s="177"/>
      <c r="AH37" s="177"/>
      <c r="AI37" s="177"/>
      <c r="AJ37" s="177"/>
      <c r="AK37" s="257">
        <v>1</v>
      </c>
      <c r="AL37" s="273"/>
      <c r="AM37" s="277">
        <f>X37*P1_reinigen_daken_met_vaste_dakveiligheid</f>
        <v>0</v>
      </c>
      <c r="AN37" s="279">
        <f>Y37*P1_reinigen_goten_met_vaste_dakveiligheid</f>
        <v>0</v>
      </c>
      <c r="AO37" s="279">
        <f>(AE37*P1_Reinigen_Lichtkoepel_50X50)+('Perceel 2'!AF37*P1_Reinigen_Lichtkoepel_60x200)+('Perceel 2'!AG37*P1_Reinigen_Lichtkoepel_180x180)+('Perceel 2'!AH37*P1_Reinigen_Lichtstraten_groter_dan_180x180)</f>
        <v>0</v>
      </c>
      <c r="AP37" s="279">
        <f t="shared" si="3"/>
        <v>0</v>
      </c>
      <c r="AQ37" s="289"/>
      <c r="AR37" s="332">
        <f t="shared" si="4"/>
        <v>0</v>
      </c>
      <c r="AS37" s="336">
        <f t="shared" si="2"/>
        <v>0</v>
      </c>
    </row>
    <row r="38" spans="1:45" s="7" customFormat="1" ht="39" hidden="1" thickTop="1" thickBot="1" x14ac:dyDescent="0.5">
      <c r="A38" s="155"/>
      <c r="B38" s="152">
        <v>1</v>
      </c>
      <c r="C38" s="156" t="s">
        <v>135</v>
      </c>
      <c r="D38" s="156" t="s">
        <v>136</v>
      </c>
      <c r="E38" s="156"/>
      <c r="F38" s="156"/>
      <c r="G38" s="156"/>
      <c r="H38" s="151" t="s">
        <v>410</v>
      </c>
      <c r="I38" s="151" t="s">
        <v>411</v>
      </c>
      <c r="J38" s="157"/>
      <c r="K38" s="163"/>
      <c r="L38" s="151" t="s">
        <v>280</v>
      </c>
      <c r="M38" s="159" t="s">
        <v>281</v>
      </c>
      <c r="N38" s="160" t="s">
        <v>412</v>
      </c>
      <c r="O38" s="159" t="s">
        <v>413</v>
      </c>
      <c r="P38" s="160" t="s">
        <v>414</v>
      </c>
      <c r="Q38" s="160" t="s">
        <v>415</v>
      </c>
      <c r="R38" s="55" t="s">
        <v>416</v>
      </c>
      <c r="S38" s="160" t="s">
        <v>189</v>
      </c>
      <c r="T38" s="159" t="s">
        <v>417</v>
      </c>
      <c r="U38" s="159" t="s">
        <v>418</v>
      </c>
      <c r="V38" s="159" t="s">
        <v>419</v>
      </c>
      <c r="W38" s="152">
        <v>1980</v>
      </c>
      <c r="X38" s="152">
        <v>1291</v>
      </c>
      <c r="Y38" s="152"/>
      <c r="Z38" s="177"/>
      <c r="AA38" s="177"/>
      <c r="AB38" s="177"/>
      <c r="AC38" s="177"/>
      <c r="AD38" s="177"/>
      <c r="AE38" s="177"/>
      <c r="AF38" s="177"/>
      <c r="AG38" s="177"/>
      <c r="AH38" s="177"/>
      <c r="AI38" s="177"/>
      <c r="AJ38" s="177"/>
      <c r="AK38" s="257">
        <v>2</v>
      </c>
      <c r="AL38" s="271"/>
      <c r="AM38" s="277">
        <f>X38*P1_Reinigen_daken_incl._extra_maatregelen_veilig_werken_volgens_VCA__eventuele_vergunningen_leges___voorrijkosten__adminstratieve_kosten__fotorapportage_en_kleine_reparaties_¹</f>
        <v>0</v>
      </c>
      <c r="AN38" s="279">
        <f>Y38*P1_Reinigen_goten_incl._extra_maatregelen_veilig_werken_volgens_VCA__eventuele_vergunningen_leges___voorrijkosten__adminstratieve_kosten__fotorapportage_en_kleine_reparaties_¹</f>
        <v>0</v>
      </c>
      <c r="AO38" s="279">
        <f>(AE38*P1_Reinigen_Lichtkoepel_50X50)+('Perceel 2'!AF38*P1_Reinigen_Lichtkoepel_60x200)+('Perceel 2'!AG38*P1_Reinigen_Lichtkoepel_180x180)+('Perceel 2'!AH38*P1_Reinigen_Lichtstraten_groter_dan_180x180)</f>
        <v>0</v>
      </c>
      <c r="AP38" s="279">
        <f t="shared" si="3"/>
        <v>0</v>
      </c>
      <c r="AQ38" s="298"/>
      <c r="AR38" s="332">
        <f t="shared" si="4"/>
        <v>0</v>
      </c>
      <c r="AS38" s="336">
        <f t="shared" si="2"/>
        <v>0</v>
      </c>
    </row>
    <row r="39" spans="1:45" s="7" customFormat="1" ht="29.25" hidden="1" thickTop="1" thickBot="1" x14ac:dyDescent="0.5">
      <c r="A39" s="183"/>
      <c r="B39" s="184">
        <v>1</v>
      </c>
      <c r="C39" s="171" t="s">
        <v>135</v>
      </c>
      <c r="D39" s="171" t="s">
        <v>174</v>
      </c>
      <c r="E39" s="171" t="s">
        <v>136</v>
      </c>
      <c r="F39" s="171"/>
      <c r="G39" s="171"/>
      <c r="H39" s="17"/>
      <c r="I39" s="17"/>
      <c r="J39" s="17"/>
      <c r="K39" s="17"/>
      <c r="L39" s="196"/>
      <c r="M39" s="169"/>
      <c r="N39" s="183" t="s">
        <v>420</v>
      </c>
      <c r="O39" s="169" t="s">
        <v>421</v>
      </c>
      <c r="P39" s="183" t="s">
        <v>422</v>
      </c>
      <c r="Q39" s="183"/>
      <c r="R39" s="49"/>
      <c r="S39" s="183"/>
      <c r="T39" s="169"/>
      <c r="U39" s="169"/>
      <c r="V39" s="169"/>
      <c r="W39" s="183"/>
      <c r="X39" s="259">
        <v>2324</v>
      </c>
      <c r="Y39" s="183"/>
      <c r="Z39" s="169"/>
      <c r="AA39" s="169" t="s">
        <v>150</v>
      </c>
      <c r="AB39" s="169">
        <v>38</v>
      </c>
      <c r="AC39" s="169"/>
      <c r="AD39" s="169" t="s">
        <v>423</v>
      </c>
      <c r="AE39" s="169"/>
      <c r="AF39" s="169"/>
      <c r="AG39" s="169"/>
      <c r="AH39" s="169"/>
      <c r="AI39" s="169"/>
      <c r="AJ39" s="169"/>
      <c r="AK39" s="259">
        <v>2</v>
      </c>
      <c r="AL39" s="273"/>
      <c r="AM39" s="299"/>
      <c r="AN39" s="298"/>
      <c r="AO39" s="298"/>
      <c r="AP39" s="298"/>
      <c r="AQ39" s="289"/>
      <c r="AR39" s="333"/>
      <c r="AS39" s="337"/>
    </row>
    <row r="40" spans="1:45" s="7" customFormat="1" ht="39" hidden="1" thickTop="1" thickBot="1" x14ac:dyDescent="0.5">
      <c r="A40" s="182"/>
      <c r="B40" s="185">
        <v>1</v>
      </c>
      <c r="C40" s="175" t="s">
        <v>135</v>
      </c>
      <c r="D40" s="175" t="s">
        <v>174</v>
      </c>
      <c r="E40" s="175"/>
      <c r="F40" s="175"/>
      <c r="G40" s="175"/>
      <c r="H40" s="174" t="s">
        <v>424</v>
      </c>
      <c r="I40" s="174" t="s">
        <v>425</v>
      </c>
      <c r="J40" s="197"/>
      <c r="K40" s="197"/>
      <c r="L40" s="174"/>
      <c r="M40" s="175" t="s">
        <v>349</v>
      </c>
      <c r="N40" s="182" t="s">
        <v>426</v>
      </c>
      <c r="O40" s="175" t="s">
        <v>427</v>
      </c>
      <c r="P40" s="182" t="s">
        <v>428</v>
      </c>
      <c r="Q40" s="182" t="s">
        <v>429</v>
      </c>
      <c r="R40" s="50" t="s">
        <v>339</v>
      </c>
      <c r="S40" s="182" t="s">
        <v>340</v>
      </c>
      <c r="T40" s="175" t="s">
        <v>430</v>
      </c>
      <c r="U40" s="175" t="s">
        <v>431</v>
      </c>
      <c r="V40" s="175" t="s">
        <v>432</v>
      </c>
      <c r="W40" s="182">
        <v>1992</v>
      </c>
      <c r="X40" s="255">
        <f>X39*81%</f>
        <v>1882.44</v>
      </c>
      <c r="Y40" s="182"/>
      <c r="Z40" s="175"/>
      <c r="AA40" s="175" t="s">
        <v>150</v>
      </c>
      <c r="AB40" s="175"/>
      <c r="AC40" s="175"/>
      <c r="AD40" s="175"/>
      <c r="AE40" s="175"/>
      <c r="AF40" s="175"/>
      <c r="AG40" s="175"/>
      <c r="AH40" s="175"/>
      <c r="AI40" s="175"/>
      <c r="AJ40" s="175" t="s">
        <v>433</v>
      </c>
      <c r="AK40" s="255">
        <v>2</v>
      </c>
      <c r="AL40" s="273"/>
      <c r="AM40" s="277">
        <f>X40*P1_reinigen_daken_met_vaste_dakveiligheid</f>
        <v>0</v>
      </c>
      <c r="AN40" s="279">
        <f>Y40*P1_reinigen_goten_met_vaste_dakveiligheid</f>
        <v>0</v>
      </c>
      <c r="AO40" s="279">
        <f>(AE40*P1_Reinigen_Lichtkoepel_50X50)+('Perceel 2'!AF40*P1_Reinigen_Lichtkoepel_60x200)+('Perceel 2'!AG40*P1_Reinigen_Lichtkoepel_180x180)+('Perceel 2'!AH40*P1_Reinigen_Lichtstraten_groter_dan_180x180)</f>
        <v>0</v>
      </c>
      <c r="AP40" s="279">
        <f t="shared" ref="AP40:AP52" si="5">(X40+Y40)*P1_Inspecteren_daken_en_goten_1x_per_jaar_gelijktijdig_met_reiniging_inclusief_inspectierapport_en_een_managementrapport</f>
        <v>0</v>
      </c>
      <c r="AQ40" s="280">
        <f>AQ39*81%</f>
        <v>0</v>
      </c>
      <c r="AR40" s="332">
        <f t="shared" ref="AR40:AR52" si="6">AQ40*P1_keuren_dakveiligheid_per_man_uur</f>
        <v>0</v>
      </c>
      <c r="AS40" s="336">
        <f t="shared" si="2"/>
        <v>0</v>
      </c>
    </row>
    <row r="41" spans="1:45" s="7" customFormat="1" ht="15" hidden="1" thickTop="1" thickBot="1" x14ac:dyDescent="0.5">
      <c r="A41" s="182"/>
      <c r="B41" s="185">
        <v>1</v>
      </c>
      <c r="C41" s="175" t="s">
        <v>135</v>
      </c>
      <c r="D41" s="175" t="s">
        <v>136</v>
      </c>
      <c r="E41" s="175"/>
      <c r="F41" s="175"/>
      <c r="G41" s="175"/>
      <c r="H41" s="174"/>
      <c r="I41" s="174"/>
      <c r="J41" s="197"/>
      <c r="K41" s="197"/>
      <c r="L41" s="174"/>
      <c r="M41" s="175"/>
      <c r="N41" s="201">
        <v>2429</v>
      </c>
      <c r="O41" s="175" t="s">
        <v>434</v>
      </c>
      <c r="P41" s="175" t="s">
        <v>435</v>
      </c>
      <c r="Q41" s="182" t="s">
        <v>429</v>
      </c>
      <c r="R41" s="50" t="s">
        <v>340</v>
      </c>
      <c r="S41" s="182" t="s">
        <v>340</v>
      </c>
      <c r="T41" s="175"/>
      <c r="U41" s="175"/>
      <c r="V41" s="175"/>
      <c r="W41" s="182">
        <v>1992</v>
      </c>
      <c r="X41" s="255">
        <f>X39*4%</f>
        <v>92.960000000000008</v>
      </c>
      <c r="Y41" s="182"/>
      <c r="Z41" s="175"/>
      <c r="AA41" s="175" t="s">
        <v>150</v>
      </c>
      <c r="AB41" s="175"/>
      <c r="AC41" s="175"/>
      <c r="AD41" s="175"/>
      <c r="AE41" s="175"/>
      <c r="AF41" s="175"/>
      <c r="AG41" s="175"/>
      <c r="AH41" s="175"/>
      <c r="AI41" s="175"/>
      <c r="AJ41" s="175" t="s">
        <v>433</v>
      </c>
      <c r="AK41" s="255">
        <v>2</v>
      </c>
      <c r="AL41" s="273"/>
      <c r="AM41" s="277">
        <f>X41*P1_reinigen_daken_met_vaste_dakveiligheid</f>
        <v>0</v>
      </c>
      <c r="AN41" s="279">
        <f>Y41*P1_reinigen_goten_met_vaste_dakveiligheid</f>
        <v>0</v>
      </c>
      <c r="AO41" s="279">
        <f>(AE41*P1_Reinigen_Lichtkoepel_50X50)+('Perceel 2'!AF41*P1_Reinigen_Lichtkoepel_60x200)+('Perceel 2'!AG41*P1_Reinigen_Lichtkoepel_180x180)+('Perceel 2'!AH41*P1_Reinigen_Lichtstraten_groter_dan_180x180)</f>
        <v>0</v>
      </c>
      <c r="AP41" s="279">
        <f t="shared" si="5"/>
        <v>0</v>
      </c>
      <c r="AQ41" s="280">
        <f>AQ39*4%</f>
        <v>0</v>
      </c>
      <c r="AR41" s="332">
        <f t="shared" si="6"/>
        <v>0</v>
      </c>
      <c r="AS41" s="336">
        <f t="shared" si="2"/>
        <v>0</v>
      </c>
    </row>
    <row r="42" spans="1:45" s="7" customFormat="1" ht="51.75" hidden="1" thickTop="1" thickBot="1" x14ac:dyDescent="0.5">
      <c r="A42" s="182"/>
      <c r="B42" s="185">
        <v>1</v>
      </c>
      <c r="C42" s="175" t="s">
        <v>135</v>
      </c>
      <c r="D42" s="175" t="s">
        <v>136</v>
      </c>
      <c r="E42" s="175"/>
      <c r="F42" s="175"/>
      <c r="G42" s="175"/>
      <c r="H42" s="174" t="s">
        <v>436</v>
      </c>
      <c r="I42" s="174" t="s">
        <v>437</v>
      </c>
      <c r="J42" s="202"/>
      <c r="K42" s="197"/>
      <c r="L42" s="174"/>
      <c r="M42" s="191" t="s">
        <v>155</v>
      </c>
      <c r="N42" s="182" t="s">
        <v>438</v>
      </c>
      <c r="O42" s="175" t="s">
        <v>439</v>
      </c>
      <c r="P42" s="175" t="s">
        <v>435</v>
      </c>
      <c r="Q42" s="182" t="s">
        <v>429</v>
      </c>
      <c r="R42" s="50" t="s">
        <v>339</v>
      </c>
      <c r="S42" s="182" t="s">
        <v>340</v>
      </c>
      <c r="T42" s="175" t="s">
        <v>169</v>
      </c>
      <c r="U42" s="175" t="s">
        <v>170</v>
      </c>
      <c r="V42" s="175" t="s">
        <v>171</v>
      </c>
      <c r="W42" s="182">
        <v>1992</v>
      </c>
      <c r="X42" s="255">
        <f>X39*15%</f>
        <v>348.59999999999997</v>
      </c>
      <c r="Y42" s="182"/>
      <c r="Z42" s="175"/>
      <c r="AA42" s="175" t="s">
        <v>150</v>
      </c>
      <c r="AB42" s="175"/>
      <c r="AC42" s="175"/>
      <c r="AD42" s="175"/>
      <c r="AE42" s="175"/>
      <c r="AF42" s="175"/>
      <c r="AG42" s="175"/>
      <c r="AH42" s="175"/>
      <c r="AI42" s="175"/>
      <c r="AJ42" s="175" t="s">
        <v>433</v>
      </c>
      <c r="AK42" s="255">
        <v>2</v>
      </c>
      <c r="AL42" s="273"/>
      <c r="AM42" s="277">
        <f>X42*P1_reinigen_daken_met_vaste_dakveiligheid</f>
        <v>0</v>
      </c>
      <c r="AN42" s="279">
        <f>Y42*P1_reinigen_goten_met_vaste_dakveiligheid</f>
        <v>0</v>
      </c>
      <c r="AO42" s="279">
        <f>(AE42*P1_Reinigen_Lichtkoepel_50X50)+('Perceel 2'!AF42*P1_Reinigen_Lichtkoepel_60x200)+('Perceel 2'!AG42*P1_Reinigen_Lichtkoepel_180x180)+('Perceel 2'!AH42*P1_Reinigen_Lichtstraten_groter_dan_180x180)</f>
        <v>0</v>
      </c>
      <c r="AP42" s="279">
        <f t="shared" si="5"/>
        <v>0</v>
      </c>
      <c r="AQ42" s="280">
        <f>AQ39*15%</f>
        <v>0</v>
      </c>
      <c r="AR42" s="332">
        <f t="shared" si="6"/>
        <v>0</v>
      </c>
      <c r="AS42" s="336">
        <f t="shared" si="2"/>
        <v>0</v>
      </c>
    </row>
    <row r="43" spans="1:45" s="7" customFormat="1" ht="26.25" hidden="1" thickTop="1" thickBot="1" x14ac:dyDescent="0.5">
      <c r="A43" s="155"/>
      <c r="B43" s="152">
        <v>1</v>
      </c>
      <c r="C43" s="156" t="s">
        <v>135</v>
      </c>
      <c r="D43" s="156" t="s">
        <v>174</v>
      </c>
      <c r="E43" s="156"/>
      <c r="F43" s="156"/>
      <c r="G43" s="156"/>
      <c r="H43" s="151" t="s">
        <v>440</v>
      </c>
      <c r="I43" s="151" t="s">
        <v>441</v>
      </c>
      <c r="J43" s="157"/>
      <c r="K43" s="163"/>
      <c r="L43" s="151" t="s">
        <v>348</v>
      </c>
      <c r="M43" s="159" t="s">
        <v>442</v>
      </c>
      <c r="N43" s="159" t="s">
        <v>443</v>
      </c>
      <c r="O43" s="159" t="s">
        <v>444</v>
      </c>
      <c r="P43" s="159" t="s">
        <v>445</v>
      </c>
      <c r="Q43" s="159" t="s">
        <v>446</v>
      </c>
      <c r="R43" s="41" t="s">
        <v>339</v>
      </c>
      <c r="S43" s="159" t="s">
        <v>340</v>
      </c>
      <c r="T43" s="159" t="s">
        <v>447</v>
      </c>
      <c r="U43" s="159" t="s">
        <v>448</v>
      </c>
      <c r="V43" s="176" t="s">
        <v>449</v>
      </c>
      <c r="W43" s="152">
        <v>1988</v>
      </c>
      <c r="X43" s="152">
        <v>1082</v>
      </c>
      <c r="Y43" s="152"/>
      <c r="Z43" s="189"/>
      <c r="AA43" s="177"/>
      <c r="AB43" s="177"/>
      <c r="AC43" s="177"/>
      <c r="AD43" s="177"/>
      <c r="AE43" s="177"/>
      <c r="AF43" s="177"/>
      <c r="AG43" s="177"/>
      <c r="AH43" s="177"/>
      <c r="AI43" s="177"/>
      <c r="AJ43" s="177" t="s">
        <v>450</v>
      </c>
      <c r="AK43" s="257">
        <v>2</v>
      </c>
      <c r="AL43" s="273"/>
      <c r="AM43" s="277">
        <f>X43*P1_Reinigen_daken_incl._extra_maatregelen_veilig_werken_volgens_VCA__eventuele_vergunningen_leges___voorrijkosten__adminstratieve_kosten__fotorapportage_en_kleine_reparaties_¹</f>
        <v>0</v>
      </c>
      <c r="AN43" s="279">
        <f>Y43*P1_Reinigen_goten_incl._extra_maatregelen_veilig_werken_volgens_VCA__eventuele_vergunningen_leges___voorrijkosten__adminstratieve_kosten__fotorapportage_en_kleine_reparaties_¹</f>
        <v>0</v>
      </c>
      <c r="AO43" s="279">
        <f>(AE43*P1_Reinigen_Lichtkoepel_50X50)+('Perceel 2'!AF43*P1_Reinigen_Lichtkoepel_60x200)+('Perceel 2'!AG43*P1_Reinigen_Lichtkoepel_180x180)+('Perceel 2'!AH43*P1_Reinigen_Lichtstraten_groter_dan_180x180)</f>
        <v>0</v>
      </c>
      <c r="AP43" s="279">
        <f t="shared" si="5"/>
        <v>0</v>
      </c>
      <c r="AQ43" s="298"/>
      <c r="AR43" s="332">
        <f t="shared" si="6"/>
        <v>0</v>
      </c>
      <c r="AS43" s="336">
        <f t="shared" si="2"/>
        <v>0</v>
      </c>
    </row>
    <row r="44" spans="1:45" s="7" customFormat="1" ht="51.75" hidden="1" thickTop="1" thickBot="1" x14ac:dyDescent="0.5">
      <c r="A44" s="155"/>
      <c r="B44" s="165">
        <v>1</v>
      </c>
      <c r="C44" s="156" t="s">
        <v>135</v>
      </c>
      <c r="D44" s="156" t="s">
        <v>136</v>
      </c>
      <c r="E44" s="156"/>
      <c r="F44" s="156"/>
      <c r="G44" s="156"/>
      <c r="H44" s="151" t="s">
        <v>451</v>
      </c>
      <c r="I44" s="151" t="s">
        <v>452</v>
      </c>
      <c r="J44" s="157"/>
      <c r="K44" s="163"/>
      <c r="L44" s="163" t="s">
        <v>139</v>
      </c>
      <c r="M44" s="166" t="s">
        <v>140</v>
      </c>
      <c r="N44" s="160" t="s">
        <v>453</v>
      </c>
      <c r="O44" s="159" t="s">
        <v>454</v>
      </c>
      <c r="P44" s="159" t="s">
        <v>455</v>
      </c>
      <c r="Q44" s="160" t="s">
        <v>456</v>
      </c>
      <c r="R44" s="53" t="s">
        <v>457</v>
      </c>
      <c r="S44" s="160" t="s">
        <v>189</v>
      </c>
      <c r="T44" s="159" t="s">
        <v>458</v>
      </c>
      <c r="U44" s="159" t="s">
        <v>459</v>
      </c>
      <c r="V44" s="176" t="s">
        <v>460</v>
      </c>
      <c r="W44" s="152">
        <v>2003</v>
      </c>
      <c r="X44" s="152">
        <v>981</v>
      </c>
      <c r="Y44" s="152"/>
      <c r="Z44" s="177" t="s">
        <v>311</v>
      </c>
      <c r="AA44" s="177"/>
      <c r="AB44" s="177">
        <v>13</v>
      </c>
      <c r="AC44" s="177"/>
      <c r="AD44" s="177"/>
      <c r="AE44" s="177"/>
      <c r="AF44" s="177"/>
      <c r="AG44" s="177"/>
      <c r="AH44" s="177"/>
      <c r="AI44" s="177"/>
      <c r="AJ44" s="177"/>
      <c r="AK44" s="257">
        <v>1</v>
      </c>
      <c r="AL44" s="271"/>
      <c r="AM44" s="277">
        <f>X44*P1_reinigen_daken_met_vaste_dakveiligheid</f>
        <v>0</v>
      </c>
      <c r="AN44" s="279">
        <f>Y44*P1_reinigen_goten_met_vaste_dakveiligheid</f>
        <v>0</v>
      </c>
      <c r="AO44" s="279">
        <f>(AE44*P1_Reinigen_Lichtkoepel_50X50)+('Perceel 2'!AF44*P1_Reinigen_Lichtkoepel_60x200)+('Perceel 2'!AG44*P1_Reinigen_Lichtkoepel_180x180)+('Perceel 2'!AH44*P1_Reinigen_Lichtstraten_groter_dan_180x180)</f>
        <v>0</v>
      </c>
      <c r="AP44" s="279">
        <f t="shared" si="5"/>
        <v>0</v>
      </c>
      <c r="AQ44" s="289"/>
      <c r="AR44" s="332">
        <f t="shared" si="6"/>
        <v>0</v>
      </c>
      <c r="AS44" s="336">
        <f t="shared" si="2"/>
        <v>0</v>
      </c>
    </row>
    <row r="45" spans="1:45" s="7" customFormat="1" ht="51.75" hidden="1" thickTop="1" thickBot="1" x14ac:dyDescent="0.5">
      <c r="A45" s="155"/>
      <c r="B45" s="165">
        <v>1</v>
      </c>
      <c r="C45" s="156" t="s">
        <v>135</v>
      </c>
      <c r="D45" s="156" t="s">
        <v>136</v>
      </c>
      <c r="E45" s="156"/>
      <c r="F45" s="156"/>
      <c r="G45" s="156"/>
      <c r="H45" s="151" t="s">
        <v>461</v>
      </c>
      <c r="I45" s="151" t="s">
        <v>462</v>
      </c>
      <c r="J45" s="157"/>
      <c r="K45" s="163"/>
      <c r="L45" s="163" t="s">
        <v>139</v>
      </c>
      <c r="M45" s="166" t="s">
        <v>140</v>
      </c>
      <c r="N45" s="160" t="s">
        <v>463</v>
      </c>
      <c r="O45" s="159" t="s">
        <v>464</v>
      </c>
      <c r="P45" s="160" t="s">
        <v>465</v>
      </c>
      <c r="Q45" s="160" t="s">
        <v>466</v>
      </c>
      <c r="R45" s="53" t="s">
        <v>339</v>
      </c>
      <c r="S45" s="160" t="s">
        <v>340</v>
      </c>
      <c r="T45" s="159" t="s">
        <v>467</v>
      </c>
      <c r="U45" s="159" t="s">
        <v>468</v>
      </c>
      <c r="V45" s="176" t="s">
        <v>469</v>
      </c>
      <c r="W45" s="152">
        <v>1991</v>
      </c>
      <c r="X45" s="152">
        <v>808</v>
      </c>
      <c r="Y45" s="152"/>
      <c r="Z45" s="177"/>
      <c r="AA45" s="177" t="s">
        <v>150</v>
      </c>
      <c r="AB45" s="177">
        <v>12</v>
      </c>
      <c r="AC45" s="177"/>
      <c r="AD45" s="177"/>
      <c r="AE45" s="177"/>
      <c r="AF45" s="177"/>
      <c r="AG45" s="177"/>
      <c r="AH45" s="177"/>
      <c r="AI45" s="177"/>
      <c r="AJ45" s="177" t="s">
        <v>470</v>
      </c>
      <c r="AK45" s="257">
        <v>2</v>
      </c>
      <c r="AL45" s="271"/>
      <c r="AM45" s="277">
        <f>X45*P1_reinigen_daken_met_vaste_dakveiligheid</f>
        <v>0</v>
      </c>
      <c r="AN45" s="279">
        <f>Y45*P1_reinigen_goten_met_vaste_dakveiligheid</f>
        <v>0</v>
      </c>
      <c r="AO45" s="279">
        <f>(AE45*P1_Reinigen_Lichtkoepel_50X50)+('Perceel 2'!AF45*P1_Reinigen_Lichtkoepel_60x200)+('Perceel 2'!AG45*P1_Reinigen_Lichtkoepel_180x180)+('Perceel 2'!AH45*P1_Reinigen_Lichtstraten_groter_dan_180x180)</f>
        <v>0</v>
      </c>
      <c r="AP45" s="279">
        <f t="shared" si="5"/>
        <v>0</v>
      </c>
      <c r="AQ45" s="289"/>
      <c r="AR45" s="332">
        <f t="shared" si="6"/>
        <v>0</v>
      </c>
      <c r="AS45" s="336">
        <f t="shared" si="2"/>
        <v>0</v>
      </c>
    </row>
    <row r="46" spans="1:45" s="7" customFormat="1" ht="26.25" hidden="1" thickTop="1" thickBot="1" x14ac:dyDescent="0.5">
      <c r="A46" s="161"/>
      <c r="B46" s="152">
        <v>1</v>
      </c>
      <c r="C46" s="156" t="s">
        <v>135</v>
      </c>
      <c r="D46" s="156" t="s">
        <v>471</v>
      </c>
      <c r="E46" s="156"/>
      <c r="F46" s="156"/>
      <c r="G46" s="156"/>
      <c r="H46" s="203" t="s">
        <v>472</v>
      </c>
      <c r="I46" s="203" t="s">
        <v>473</v>
      </c>
      <c r="J46" s="157"/>
      <c r="K46" s="163"/>
      <c r="L46" s="163" t="s">
        <v>154</v>
      </c>
      <c r="M46" s="166" t="s">
        <v>155</v>
      </c>
      <c r="N46" s="192" t="s">
        <v>474</v>
      </c>
      <c r="O46" s="159" t="s">
        <v>475</v>
      </c>
      <c r="P46" s="159" t="s">
        <v>476</v>
      </c>
      <c r="Q46" s="159" t="s">
        <v>466</v>
      </c>
      <c r="R46" s="42" t="s">
        <v>339</v>
      </c>
      <c r="S46" s="159" t="s">
        <v>340</v>
      </c>
      <c r="T46" s="159" t="s">
        <v>477</v>
      </c>
      <c r="U46" s="159" t="s">
        <v>478</v>
      </c>
      <c r="V46" s="176" t="s">
        <v>479</v>
      </c>
      <c r="W46" s="152">
        <v>1983</v>
      </c>
      <c r="X46" s="152"/>
      <c r="Y46" s="152">
        <f>49+17+17+36+20</f>
        <v>139</v>
      </c>
      <c r="Z46" s="177"/>
      <c r="AA46" s="177"/>
      <c r="AB46" s="177"/>
      <c r="AC46" s="177"/>
      <c r="AD46" s="177"/>
      <c r="AE46" s="177"/>
      <c r="AF46" s="177"/>
      <c r="AG46" s="177"/>
      <c r="AH46" s="177"/>
      <c r="AI46" s="177"/>
      <c r="AJ46" s="177"/>
      <c r="AK46" s="177">
        <v>1</v>
      </c>
      <c r="AL46" s="272"/>
      <c r="AM46" s="277">
        <f>X46*P1_Reinigen_daken_incl._extra_maatregelen_veilig_werken_volgens_VCA__eventuele_vergunningen_leges___voorrijkosten__adminstratieve_kosten__fotorapportage_en_kleine_reparaties_¹</f>
        <v>0</v>
      </c>
      <c r="AN46" s="279">
        <f>Y46*P1_Reinigen_goten_incl._extra_maatregelen_veilig_werken_volgens_VCA__eventuele_vergunningen_leges___voorrijkosten__adminstratieve_kosten__fotorapportage_en_kleine_reparaties_¹</f>
        <v>0</v>
      </c>
      <c r="AO46" s="279">
        <f>(AE46*P1_Reinigen_Lichtkoepel_50X50)+('Perceel 2'!AF46*P1_Reinigen_Lichtkoepel_60x200)+('Perceel 2'!AG46*P1_Reinigen_Lichtkoepel_180x180)+('Perceel 2'!AH46*P1_Reinigen_Lichtstraten_groter_dan_180x180)</f>
        <v>0</v>
      </c>
      <c r="AP46" s="279">
        <f t="shared" si="5"/>
        <v>0</v>
      </c>
      <c r="AQ46" s="298"/>
      <c r="AR46" s="332">
        <f t="shared" si="6"/>
        <v>0</v>
      </c>
      <c r="AS46" s="336">
        <f t="shared" si="2"/>
        <v>139</v>
      </c>
    </row>
    <row r="47" spans="1:45" s="7" customFormat="1" ht="12.75" hidden="1" customHeight="1" x14ac:dyDescent="0.45">
      <c r="A47" s="155"/>
      <c r="B47" s="165">
        <v>1</v>
      </c>
      <c r="C47" s="156" t="s">
        <v>135</v>
      </c>
      <c r="D47" s="156" t="s">
        <v>136</v>
      </c>
      <c r="E47" s="156"/>
      <c r="F47" s="156"/>
      <c r="G47" s="156"/>
      <c r="H47" s="151" t="s">
        <v>480</v>
      </c>
      <c r="I47" s="151" t="s">
        <v>481</v>
      </c>
      <c r="J47" s="157"/>
      <c r="K47" s="163"/>
      <c r="L47" s="163" t="s">
        <v>280</v>
      </c>
      <c r="M47" s="166" t="s">
        <v>482</v>
      </c>
      <c r="N47" s="160" t="s">
        <v>483</v>
      </c>
      <c r="O47" s="159" t="s">
        <v>484</v>
      </c>
      <c r="P47" s="160" t="s">
        <v>485</v>
      </c>
      <c r="Q47" s="160" t="s">
        <v>466</v>
      </c>
      <c r="R47" s="53" t="s">
        <v>339</v>
      </c>
      <c r="S47" s="160" t="s">
        <v>340</v>
      </c>
      <c r="T47" s="159" t="s">
        <v>486</v>
      </c>
      <c r="U47" s="159" t="s">
        <v>487</v>
      </c>
      <c r="V47" s="176" t="s">
        <v>488</v>
      </c>
      <c r="W47" s="152">
        <v>1994</v>
      </c>
      <c r="X47" s="152">
        <v>522</v>
      </c>
      <c r="Y47" s="152"/>
      <c r="Z47" s="177"/>
      <c r="AA47" s="177" t="s">
        <v>150</v>
      </c>
      <c r="AB47" s="177">
        <v>15</v>
      </c>
      <c r="AC47" s="177">
        <v>96</v>
      </c>
      <c r="AD47" s="177" t="s">
        <v>489</v>
      </c>
      <c r="AE47" s="177"/>
      <c r="AF47" s="177"/>
      <c r="AG47" s="177"/>
      <c r="AH47" s="177"/>
      <c r="AI47" s="177"/>
      <c r="AJ47" s="177"/>
      <c r="AK47" s="257">
        <v>2</v>
      </c>
      <c r="AL47" s="271"/>
      <c r="AM47" s="277">
        <f>X47*P1_reinigen_daken_met_vaste_dakveiligheid</f>
        <v>0</v>
      </c>
      <c r="AN47" s="279">
        <f>Y47*P1_reinigen_goten_met_vaste_dakveiligheid</f>
        <v>0</v>
      </c>
      <c r="AO47" s="279">
        <f>(AE47*P1_Reinigen_Lichtkoepel_50X50)+('Perceel 2'!AF47*P1_Reinigen_Lichtkoepel_60x200)+('Perceel 2'!AG47*P1_Reinigen_Lichtkoepel_180x180)+('Perceel 2'!AH47*P1_Reinigen_Lichtstraten_groter_dan_180x180)</f>
        <v>0</v>
      </c>
      <c r="AP47" s="279">
        <f t="shared" si="5"/>
        <v>0</v>
      </c>
      <c r="AQ47" s="289"/>
      <c r="AR47" s="332">
        <f t="shared" si="6"/>
        <v>0</v>
      </c>
      <c r="AS47" s="336">
        <f t="shared" si="2"/>
        <v>0</v>
      </c>
    </row>
    <row r="48" spans="1:45" s="7" customFormat="1" ht="12.75" hidden="1" customHeight="1" x14ac:dyDescent="0.45">
      <c r="A48" s="155"/>
      <c r="B48" s="165">
        <v>1</v>
      </c>
      <c r="C48" s="156" t="s">
        <v>135</v>
      </c>
      <c r="D48" s="156" t="s">
        <v>490</v>
      </c>
      <c r="E48" s="156"/>
      <c r="F48" s="156"/>
      <c r="G48" s="156"/>
      <c r="H48" s="151" t="s">
        <v>491</v>
      </c>
      <c r="I48" s="151" t="s">
        <v>492</v>
      </c>
      <c r="J48" s="157"/>
      <c r="K48" s="163"/>
      <c r="L48" s="163" t="s">
        <v>154</v>
      </c>
      <c r="M48" s="166" t="s">
        <v>155</v>
      </c>
      <c r="N48" s="160" t="s">
        <v>493</v>
      </c>
      <c r="O48" s="159" t="s">
        <v>494</v>
      </c>
      <c r="P48" s="159" t="s">
        <v>495</v>
      </c>
      <c r="Q48" s="160" t="s">
        <v>466</v>
      </c>
      <c r="R48" s="53" t="s">
        <v>339</v>
      </c>
      <c r="S48" s="160" t="s">
        <v>340</v>
      </c>
      <c r="T48" s="159" t="s">
        <v>496</v>
      </c>
      <c r="U48" s="159" t="s">
        <v>497</v>
      </c>
      <c r="V48" s="176" t="s">
        <v>498</v>
      </c>
      <c r="W48" s="152">
        <v>2011</v>
      </c>
      <c r="X48" s="152">
        <v>1540</v>
      </c>
      <c r="Y48" s="152"/>
      <c r="Z48" s="177"/>
      <c r="AA48" s="177" t="s">
        <v>150</v>
      </c>
      <c r="AB48" s="177">
        <v>19</v>
      </c>
      <c r="AC48" s="177">
        <v>125</v>
      </c>
      <c r="AD48" s="177"/>
      <c r="AE48" s="177"/>
      <c r="AF48" s="177"/>
      <c r="AG48" s="177"/>
      <c r="AH48" s="177"/>
      <c r="AI48" s="177"/>
      <c r="AJ48" s="177"/>
      <c r="AK48" s="257">
        <v>1</v>
      </c>
      <c r="AL48" s="271"/>
      <c r="AM48" s="277">
        <f>X48*P1_reinigen_daken_met_vaste_dakveiligheid</f>
        <v>0</v>
      </c>
      <c r="AN48" s="279">
        <f>Y48*P1_reinigen_goten_met_vaste_dakveiligheid</f>
        <v>0</v>
      </c>
      <c r="AO48" s="279">
        <f>(AE48*P1_Reinigen_Lichtkoepel_50X50)+('Perceel 2'!AF48*P1_Reinigen_Lichtkoepel_60x200)+('Perceel 2'!AG48*P1_Reinigen_Lichtkoepel_180x180)+('Perceel 2'!AH48*P1_Reinigen_Lichtstraten_groter_dan_180x180)</f>
        <v>0</v>
      </c>
      <c r="AP48" s="279">
        <f t="shared" si="5"/>
        <v>0</v>
      </c>
      <c r="AQ48" s="289"/>
      <c r="AR48" s="332">
        <f t="shared" si="6"/>
        <v>0</v>
      </c>
      <c r="AS48" s="336">
        <f t="shared" si="2"/>
        <v>0</v>
      </c>
    </row>
    <row r="49" spans="1:45" s="7" customFormat="1" ht="25.5" hidden="1" customHeight="1" x14ac:dyDescent="0.45">
      <c r="A49" s="155"/>
      <c r="B49" s="165">
        <v>1</v>
      </c>
      <c r="C49" s="156" t="s">
        <v>135</v>
      </c>
      <c r="D49" s="156" t="s">
        <v>136</v>
      </c>
      <c r="E49" s="156"/>
      <c r="F49" s="156"/>
      <c r="G49" s="156"/>
      <c r="H49" s="151" t="s">
        <v>499</v>
      </c>
      <c r="I49" s="151" t="s">
        <v>500</v>
      </c>
      <c r="J49" s="157"/>
      <c r="K49" s="163"/>
      <c r="L49" s="151" t="s">
        <v>139</v>
      </c>
      <c r="M49" s="159" t="s">
        <v>140</v>
      </c>
      <c r="N49" s="160" t="s">
        <v>501</v>
      </c>
      <c r="O49" s="159" t="s">
        <v>502</v>
      </c>
      <c r="P49" s="160" t="s">
        <v>503</v>
      </c>
      <c r="Q49" s="160" t="s">
        <v>466</v>
      </c>
      <c r="R49" s="53" t="s">
        <v>339</v>
      </c>
      <c r="S49" s="160" t="s">
        <v>340</v>
      </c>
      <c r="T49" s="159" t="s">
        <v>504</v>
      </c>
      <c r="U49" s="159" t="s">
        <v>505</v>
      </c>
      <c r="V49" s="176" t="s">
        <v>506</v>
      </c>
      <c r="W49" s="152">
        <v>2003</v>
      </c>
      <c r="X49" s="152">
        <v>783</v>
      </c>
      <c r="Y49" s="152"/>
      <c r="Z49" s="177" t="s">
        <v>311</v>
      </c>
      <c r="AA49" s="177" t="s">
        <v>150</v>
      </c>
      <c r="AB49" s="177">
        <v>18</v>
      </c>
      <c r="AC49" s="177">
        <v>117</v>
      </c>
      <c r="AD49" s="177"/>
      <c r="AE49" s="177"/>
      <c r="AF49" s="177"/>
      <c r="AG49" s="177"/>
      <c r="AH49" s="177"/>
      <c r="AI49" s="177"/>
      <c r="AJ49" s="177"/>
      <c r="AK49" s="257">
        <v>1</v>
      </c>
      <c r="AL49" s="271"/>
      <c r="AM49" s="277">
        <f>X49*P1_reinigen_daken_met_vaste_dakveiligheid</f>
        <v>0</v>
      </c>
      <c r="AN49" s="279">
        <f>Y49*P1_reinigen_goten_met_vaste_dakveiligheid</f>
        <v>0</v>
      </c>
      <c r="AO49" s="279">
        <f>(AE49*P1_Reinigen_Lichtkoepel_50X50)+('Perceel 2'!AF49*P1_Reinigen_Lichtkoepel_60x200)+('Perceel 2'!AG49*P1_Reinigen_Lichtkoepel_180x180)+('Perceel 2'!AH49*P1_Reinigen_Lichtstraten_groter_dan_180x180)</f>
        <v>0</v>
      </c>
      <c r="AP49" s="279">
        <f t="shared" si="5"/>
        <v>0</v>
      </c>
      <c r="AQ49" s="289"/>
      <c r="AR49" s="332">
        <f t="shared" si="6"/>
        <v>0</v>
      </c>
      <c r="AS49" s="336">
        <f t="shared" si="2"/>
        <v>0</v>
      </c>
    </row>
    <row r="50" spans="1:45" s="7" customFormat="1" ht="39" hidden="1" thickTop="1" thickBot="1" x14ac:dyDescent="0.5">
      <c r="A50" s="155"/>
      <c r="B50" s="165">
        <v>1</v>
      </c>
      <c r="C50" s="156" t="s">
        <v>135</v>
      </c>
      <c r="D50" s="156" t="s">
        <v>136</v>
      </c>
      <c r="E50" s="156"/>
      <c r="F50" s="156"/>
      <c r="G50" s="156"/>
      <c r="H50" s="151" t="s">
        <v>507</v>
      </c>
      <c r="I50" s="151" t="s">
        <v>508</v>
      </c>
      <c r="J50" s="157"/>
      <c r="K50" s="163"/>
      <c r="L50" s="151" t="s">
        <v>139</v>
      </c>
      <c r="M50" s="159" t="s">
        <v>140</v>
      </c>
      <c r="N50" s="160" t="s">
        <v>509</v>
      </c>
      <c r="O50" s="159" t="s">
        <v>510</v>
      </c>
      <c r="P50" s="160" t="s">
        <v>511</v>
      </c>
      <c r="Q50" s="160" t="s">
        <v>512</v>
      </c>
      <c r="R50" s="53" t="s">
        <v>339</v>
      </c>
      <c r="S50" s="160" t="s">
        <v>340</v>
      </c>
      <c r="T50" s="159" t="s">
        <v>513</v>
      </c>
      <c r="U50" s="159" t="s">
        <v>514</v>
      </c>
      <c r="V50" s="176" t="s">
        <v>515</v>
      </c>
      <c r="W50" s="152">
        <v>1998</v>
      </c>
      <c r="X50" s="152">
        <v>353</v>
      </c>
      <c r="Y50" s="152"/>
      <c r="Z50" s="177"/>
      <c r="AA50" s="177"/>
      <c r="AB50" s="177"/>
      <c r="AC50" s="177"/>
      <c r="AD50" s="177"/>
      <c r="AE50" s="177"/>
      <c r="AF50" s="177"/>
      <c r="AG50" s="177"/>
      <c r="AH50" s="177"/>
      <c r="AI50" s="177"/>
      <c r="AJ50" s="177"/>
      <c r="AK50" s="257">
        <v>1</v>
      </c>
      <c r="AL50" s="271"/>
      <c r="AM50" s="277">
        <f>X50*P1_Reinigen_daken_incl._extra_maatregelen_veilig_werken_volgens_VCA__eventuele_vergunningen_leges___voorrijkosten__adminstratieve_kosten__fotorapportage_en_kleine_reparaties_¹</f>
        <v>0</v>
      </c>
      <c r="AN50" s="279">
        <f>Y50*P1_Reinigen_goten_incl._extra_maatregelen_veilig_werken_volgens_VCA__eventuele_vergunningen_leges___voorrijkosten__adminstratieve_kosten__fotorapportage_en_kleine_reparaties_¹</f>
        <v>0</v>
      </c>
      <c r="AO50" s="279">
        <f>(AE50*P1_Reinigen_Lichtkoepel_50X50)+('Perceel 2'!AF50*P1_Reinigen_Lichtkoepel_60x200)+('Perceel 2'!AG50*P1_Reinigen_Lichtkoepel_180x180)+('Perceel 2'!AH50*P1_Reinigen_Lichtstraten_groter_dan_180x180)</f>
        <v>0</v>
      </c>
      <c r="AP50" s="279">
        <f t="shared" si="5"/>
        <v>0</v>
      </c>
      <c r="AQ50" s="298"/>
      <c r="AR50" s="332">
        <f t="shared" si="6"/>
        <v>0</v>
      </c>
      <c r="AS50" s="336">
        <f t="shared" si="2"/>
        <v>0</v>
      </c>
    </row>
    <row r="51" spans="1:45" s="7" customFormat="1" ht="15" hidden="1" thickTop="1" thickBot="1" x14ac:dyDescent="0.5">
      <c r="A51" s="155"/>
      <c r="B51" s="165">
        <v>1</v>
      </c>
      <c r="C51" s="156" t="s">
        <v>135</v>
      </c>
      <c r="D51" s="156" t="s">
        <v>136</v>
      </c>
      <c r="E51" s="156"/>
      <c r="F51" s="156"/>
      <c r="G51" s="156"/>
      <c r="H51" s="151"/>
      <c r="I51" s="151"/>
      <c r="J51" s="157"/>
      <c r="K51" s="163"/>
      <c r="L51" s="151"/>
      <c r="M51" s="159"/>
      <c r="N51" s="195">
        <v>2467</v>
      </c>
      <c r="O51" s="166" t="s">
        <v>516</v>
      </c>
      <c r="P51" s="166" t="s">
        <v>517</v>
      </c>
      <c r="Q51" s="166" t="s">
        <v>518</v>
      </c>
      <c r="R51" s="42" t="s">
        <v>146</v>
      </c>
      <c r="S51" s="166" t="s">
        <v>146</v>
      </c>
      <c r="T51" s="159"/>
      <c r="U51" s="159"/>
      <c r="V51" s="176"/>
      <c r="W51" s="152">
        <v>2009</v>
      </c>
      <c r="X51" s="152">
        <v>139</v>
      </c>
      <c r="Y51" s="152"/>
      <c r="Z51" s="177"/>
      <c r="AA51" s="177" t="s">
        <v>231</v>
      </c>
      <c r="AB51" s="177">
        <v>2</v>
      </c>
      <c r="AC51" s="177"/>
      <c r="AD51" s="177"/>
      <c r="AE51" s="177"/>
      <c r="AF51" s="177"/>
      <c r="AG51" s="177"/>
      <c r="AH51" s="177"/>
      <c r="AI51" s="177"/>
      <c r="AJ51" s="177"/>
      <c r="AK51" s="257">
        <v>1</v>
      </c>
      <c r="AL51" s="271"/>
      <c r="AM51" s="277">
        <f>X51*P1_reinigen_daken_met_vaste_dakveiligheid</f>
        <v>0</v>
      </c>
      <c r="AN51" s="279">
        <f>Y51*P1_reinigen_goten_met_vaste_dakveiligheid</f>
        <v>0</v>
      </c>
      <c r="AO51" s="279">
        <f>(AE51*P1_Reinigen_Lichtkoepel_50X50)+('Perceel 2'!AF51*P1_Reinigen_Lichtkoepel_60x200)+('Perceel 2'!AG51*P1_Reinigen_Lichtkoepel_180x180)+('Perceel 2'!AH51*P1_Reinigen_Lichtstraten_groter_dan_180x180)</f>
        <v>0</v>
      </c>
      <c r="AP51" s="279">
        <f t="shared" si="5"/>
        <v>0</v>
      </c>
      <c r="AQ51" s="289"/>
      <c r="AR51" s="332">
        <f t="shared" si="6"/>
        <v>0</v>
      </c>
      <c r="AS51" s="336">
        <f t="shared" si="2"/>
        <v>0</v>
      </c>
    </row>
    <row r="52" spans="1:45" s="7" customFormat="1" ht="38.450000000000003" hidden="1" customHeight="1" x14ac:dyDescent="0.45">
      <c r="A52" s="155"/>
      <c r="B52" s="152">
        <v>1</v>
      </c>
      <c r="C52" s="156" t="s">
        <v>135</v>
      </c>
      <c r="D52" s="156" t="s">
        <v>174</v>
      </c>
      <c r="E52" s="156"/>
      <c r="F52" s="156"/>
      <c r="G52" s="156"/>
      <c r="H52" s="151" t="s">
        <v>519</v>
      </c>
      <c r="I52" s="151" t="s">
        <v>520</v>
      </c>
      <c r="J52" s="157"/>
      <c r="K52" s="158"/>
      <c r="L52" s="151" t="s">
        <v>348</v>
      </c>
      <c r="M52" s="159" t="s">
        <v>349</v>
      </c>
      <c r="N52" s="159" t="s">
        <v>521</v>
      </c>
      <c r="O52" s="159" t="s">
        <v>522</v>
      </c>
      <c r="P52" s="159" t="s">
        <v>523</v>
      </c>
      <c r="Q52" s="159" t="s">
        <v>518</v>
      </c>
      <c r="R52" s="42" t="s">
        <v>302</v>
      </c>
      <c r="S52" s="159" t="s">
        <v>146</v>
      </c>
      <c r="T52" s="159" t="s">
        <v>524</v>
      </c>
      <c r="U52" s="159" t="s">
        <v>525</v>
      </c>
      <c r="V52" s="176" t="s">
        <v>526</v>
      </c>
      <c r="W52" s="152">
        <v>2009</v>
      </c>
      <c r="X52" s="152">
        <v>1128</v>
      </c>
      <c r="Y52" s="152"/>
      <c r="Z52" s="189"/>
      <c r="AA52" s="177" t="s">
        <v>231</v>
      </c>
      <c r="AB52" s="177">
        <v>26</v>
      </c>
      <c r="AC52" s="177">
        <v>86</v>
      </c>
      <c r="AD52" s="177"/>
      <c r="AE52" s="177"/>
      <c r="AF52" s="177"/>
      <c r="AG52" s="177"/>
      <c r="AH52" s="177"/>
      <c r="AI52" s="177"/>
      <c r="AJ52" s="177"/>
      <c r="AK52" s="257">
        <v>1</v>
      </c>
      <c r="AL52" s="272"/>
      <c r="AM52" s="277">
        <f>X52*P1_reinigen_daken_met_vaste_dakveiligheid</f>
        <v>0</v>
      </c>
      <c r="AN52" s="279">
        <f>Y52*P1_reinigen_goten_met_vaste_dakveiligheid</f>
        <v>0</v>
      </c>
      <c r="AO52" s="279">
        <f>(AE52*P1_Reinigen_Lichtkoepel_50X50)+('Perceel 2'!AF52*P1_Reinigen_Lichtkoepel_60x200)+('Perceel 2'!AG52*P1_Reinigen_Lichtkoepel_180x180)+('Perceel 2'!AH52*P1_Reinigen_Lichtstraten_groter_dan_180x180)</f>
        <v>0</v>
      </c>
      <c r="AP52" s="279">
        <f t="shared" si="5"/>
        <v>0</v>
      </c>
      <c r="AQ52" s="289"/>
      <c r="AR52" s="332">
        <f t="shared" si="6"/>
        <v>0</v>
      </c>
      <c r="AS52" s="336">
        <f t="shared" si="2"/>
        <v>0</v>
      </c>
    </row>
    <row r="53" spans="1:45" s="7" customFormat="1" ht="38.85" hidden="1" customHeight="1" x14ac:dyDescent="0.45">
      <c r="A53" s="155"/>
      <c r="B53" s="180">
        <v>1</v>
      </c>
      <c r="C53" s="171" t="s">
        <v>135</v>
      </c>
      <c r="D53" s="171" t="s">
        <v>174</v>
      </c>
      <c r="E53" s="171" t="s">
        <v>136</v>
      </c>
      <c r="F53" s="171"/>
      <c r="G53" s="171"/>
      <c r="H53" s="22"/>
      <c r="I53" s="17"/>
      <c r="J53" s="17"/>
      <c r="K53" s="17"/>
      <c r="L53" s="196"/>
      <c r="M53" s="169"/>
      <c r="N53" s="183" t="s">
        <v>527</v>
      </c>
      <c r="O53" s="169" t="s">
        <v>528</v>
      </c>
      <c r="P53" s="169" t="s">
        <v>529</v>
      </c>
      <c r="Q53" s="169" t="s">
        <v>530</v>
      </c>
      <c r="R53" s="57" t="s">
        <v>457</v>
      </c>
      <c r="S53" s="169" t="s">
        <v>189</v>
      </c>
      <c r="T53" s="169"/>
      <c r="U53" s="169"/>
      <c r="V53" s="169"/>
      <c r="W53" s="180">
        <v>2016</v>
      </c>
      <c r="X53" s="180">
        <v>1498</v>
      </c>
      <c r="Y53" s="180"/>
      <c r="Z53" s="180"/>
      <c r="AA53" s="204" t="s">
        <v>150</v>
      </c>
      <c r="AB53" s="204">
        <f>7+18+4</f>
        <v>29</v>
      </c>
      <c r="AC53" s="204">
        <v>177</v>
      </c>
      <c r="AD53" s="204" t="s">
        <v>531</v>
      </c>
      <c r="AE53" s="204"/>
      <c r="AF53" s="204"/>
      <c r="AG53" s="204"/>
      <c r="AH53" s="204"/>
      <c r="AI53" s="205" t="s">
        <v>532</v>
      </c>
      <c r="AJ53" s="204" t="s">
        <v>533</v>
      </c>
      <c r="AK53" s="259">
        <v>1</v>
      </c>
      <c r="AL53" s="271"/>
      <c r="AM53" s="299"/>
      <c r="AN53" s="298"/>
      <c r="AO53" s="298"/>
      <c r="AP53" s="298"/>
      <c r="AQ53" s="289"/>
      <c r="AR53" s="333"/>
      <c r="AS53" s="337"/>
    </row>
    <row r="54" spans="1:45" s="7" customFormat="1" ht="29.25" hidden="1" thickTop="1" thickBot="1" x14ac:dyDescent="0.5">
      <c r="A54" s="155"/>
      <c r="B54" s="185">
        <v>1</v>
      </c>
      <c r="C54" s="175" t="s">
        <v>135</v>
      </c>
      <c r="D54" s="175" t="s">
        <v>174</v>
      </c>
      <c r="E54" s="175"/>
      <c r="F54" s="175"/>
      <c r="G54" s="175"/>
      <c r="H54" s="175" t="s">
        <v>534</v>
      </c>
      <c r="I54" s="182" t="s">
        <v>535</v>
      </c>
      <c r="J54" s="197"/>
      <c r="K54" s="197"/>
      <c r="L54" s="174"/>
      <c r="M54" s="175" t="s">
        <v>349</v>
      </c>
      <c r="N54" s="182">
        <v>1293</v>
      </c>
      <c r="O54" s="175" t="s">
        <v>536</v>
      </c>
      <c r="P54" s="182" t="s">
        <v>537</v>
      </c>
      <c r="Q54" s="182" t="s">
        <v>530</v>
      </c>
      <c r="R54" s="50" t="s">
        <v>457</v>
      </c>
      <c r="S54" s="182" t="s">
        <v>189</v>
      </c>
      <c r="T54" s="175" t="s">
        <v>538</v>
      </c>
      <c r="U54" s="175" t="s">
        <v>539</v>
      </c>
      <c r="V54" s="187" t="s">
        <v>540</v>
      </c>
      <c r="W54" s="182">
        <v>2016</v>
      </c>
      <c r="X54" s="255">
        <f>X53*84%</f>
        <v>1258.32</v>
      </c>
      <c r="Y54" s="182"/>
      <c r="Z54" s="182"/>
      <c r="AA54" s="182"/>
      <c r="AB54" s="255">
        <f t="shared" ref="AB54:AC54" si="7">AB53*84%</f>
        <v>24.36</v>
      </c>
      <c r="AC54" s="255">
        <f t="shared" si="7"/>
        <v>148.68</v>
      </c>
      <c r="AD54" s="182"/>
      <c r="AE54" s="182"/>
      <c r="AF54" s="182"/>
      <c r="AG54" s="182"/>
      <c r="AH54" s="182"/>
      <c r="AI54" s="206" t="s">
        <v>541</v>
      </c>
      <c r="AJ54" s="182" t="s">
        <v>533</v>
      </c>
      <c r="AK54" s="255">
        <v>1</v>
      </c>
      <c r="AL54" s="271"/>
      <c r="AM54" s="277">
        <f>X54*P1_reinigen_daken_met_vaste_dakveiligheid</f>
        <v>0</v>
      </c>
      <c r="AN54" s="279">
        <f>Y54*P1_reinigen_goten_met_vaste_dakveiligheid</f>
        <v>0</v>
      </c>
      <c r="AO54" s="279">
        <f>(AE54*P1_Reinigen_Lichtkoepel_50X50)+('Perceel 2'!AF54*P1_Reinigen_Lichtkoepel_60x200)+('Perceel 2'!AG54*P1_Reinigen_Lichtkoepel_180x180)+('Perceel 2'!AH54*P1_Reinigen_Lichtstraten_groter_dan_180x180)</f>
        <v>0</v>
      </c>
      <c r="AP54" s="279">
        <f t="shared" ref="AP54:AP73" si="8">(X54+Y54)*P1_Inspecteren_daken_en_goten_1x_per_jaar_gelijktijdig_met_reiniging_inclusief_inspectierapport_en_een_managementrapport</f>
        <v>0</v>
      </c>
      <c r="AQ54" s="280">
        <f>AQ53*84%</f>
        <v>0</v>
      </c>
      <c r="AR54" s="332">
        <f t="shared" ref="AR54:AR73" si="9">AQ54*P1_keuren_dakveiligheid_per_man_uur</f>
        <v>0</v>
      </c>
      <c r="AS54" s="336">
        <f t="shared" si="2"/>
        <v>0</v>
      </c>
    </row>
    <row r="55" spans="1:45" s="7" customFormat="1" ht="51.75" hidden="1" thickTop="1" thickBot="1" x14ac:dyDescent="0.5">
      <c r="A55" s="155"/>
      <c r="B55" s="185">
        <v>1</v>
      </c>
      <c r="C55" s="175" t="s">
        <v>135</v>
      </c>
      <c r="D55" s="175" t="s">
        <v>136</v>
      </c>
      <c r="E55" s="175"/>
      <c r="F55" s="175"/>
      <c r="G55" s="175"/>
      <c r="H55" s="175" t="s">
        <v>542</v>
      </c>
      <c r="I55" s="182" t="s">
        <v>543</v>
      </c>
      <c r="J55" s="197"/>
      <c r="K55" s="197"/>
      <c r="L55" s="174"/>
      <c r="M55" s="191" t="s">
        <v>544</v>
      </c>
      <c r="N55" s="182">
        <v>1195</v>
      </c>
      <c r="O55" s="175" t="s">
        <v>545</v>
      </c>
      <c r="P55" s="182" t="s">
        <v>546</v>
      </c>
      <c r="Q55" s="182" t="s">
        <v>530</v>
      </c>
      <c r="R55" s="50" t="s">
        <v>457</v>
      </c>
      <c r="S55" s="182" t="s">
        <v>189</v>
      </c>
      <c r="T55" s="175" t="s">
        <v>169</v>
      </c>
      <c r="U55" s="175" t="s">
        <v>170</v>
      </c>
      <c r="V55" s="175" t="s">
        <v>171</v>
      </c>
      <c r="W55" s="182">
        <v>2016</v>
      </c>
      <c r="X55" s="255">
        <f>X53*16%</f>
        <v>239.68</v>
      </c>
      <c r="Y55" s="182"/>
      <c r="Z55" s="182"/>
      <c r="AA55" s="182"/>
      <c r="AB55" s="255">
        <f t="shared" ref="AB55:AC55" si="10">AB53*16%</f>
        <v>4.6399999999999997</v>
      </c>
      <c r="AC55" s="255">
        <f t="shared" si="10"/>
        <v>28.32</v>
      </c>
      <c r="AD55" s="182"/>
      <c r="AE55" s="182"/>
      <c r="AF55" s="182"/>
      <c r="AG55" s="182"/>
      <c r="AH55" s="182"/>
      <c r="AI55" s="206" t="s">
        <v>541</v>
      </c>
      <c r="AJ55" s="182" t="s">
        <v>533</v>
      </c>
      <c r="AK55" s="255">
        <v>1</v>
      </c>
      <c r="AL55" s="271"/>
      <c r="AM55" s="277">
        <f>X55*P1_reinigen_daken_met_vaste_dakveiligheid</f>
        <v>0</v>
      </c>
      <c r="AN55" s="279">
        <f>Y55*P1_reinigen_goten_met_vaste_dakveiligheid</f>
        <v>0</v>
      </c>
      <c r="AO55" s="279">
        <f>(AE55*P1_Reinigen_Lichtkoepel_50X50)+('Perceel 2'!AF55*P1_Reinigen_Lichtkoepel_60x200)+('Perceel 2'!AG55*P1_Reinigen_Lichtkoepel_180x180)+('Perceel 2'!AH55*P1_Reinigen_Lichtstraten_groter_dan_180x180)</f>
        <v>0</v>
      </c>
      <c r="AP55" s="279">
        <f t="shared" si="8"/>
        <v>0</v>
      </c>
      <c r="AQ55" s="280">
        <f>AQ53*16%</f>
        <v>0</v>
      </c>
      <c r="AR55" s="332">
        <f t="shared" si="9"/>
        <v>0</v>
      </c>
      <c r="AS55" s="336">
        <f t="shared" si="2"/>
        <v>0</v>
      </c>
    </row>
    <row r="56" spans="1:45" s="7" customFormat="1" ht="22.5" hidden="1" customHeight="1" x14ac:dyDescent="0.45">
      <c r="A56" s="155"/>
      <c r="B56" s="165">
        <v>1</v>
      </c>
      <c r="C56" s="156" t="s">
        <v>135</v>
      </c>
      <c r="D56" s="156" t="s">
        <v>136</v>
      </c>
      <c r="E56" s="156"/>
      <c r="F56" s="156"/>
      <c r="G56" s="156"/>
      <c r="H56" s="151" t="s">
        <v>547</v>
      </c>
      <c r="I56" s="151" t="s">
        <v>548</v>
      </c>
      <c r="J56" s="157"/>
      <c r="K56" s="163"/>
      <c r="L56" s="163" t="s">
        <v>154</v>
      </c>
      <c r="M56" s="166" t="s">
        <v>544</v>
      </c>
      <c r="N56" s="159" t="s">
        <v>549</v>
      </c>
      <c r="O56" s="159" t="s">
        <v>550</v>
      </c>
      <c r="P56" s="160" t="s">
        <v>551</v>
      </c>
      <c r="Q56" s="160" t="s">
        <v>552</v>
      </c>
      <c r="R56" s="53" t="s">
        <v>457</v>
      </c>
      <c r="S56" s="160" t="s">
        <v>189</v>
      </c>
      <c r="T56" s="159" t="s">
        <v>553</v>
      </c>
      <c r="U56" s="207" t="s">
        <v>554</v>
      </c>
      <c r="V56" s="208" t="s">
        <v>555</v>
      </c>
      <c r="W56" s="152">
        <v>1982</v>
      </c>
      <c r="X56" s="152">
        <v>460</v>
      </c>
      <c r="Y56" s="152"/>
      <c r="Z56" s="177"/>
      <c r="AA56" s="177"/>
      <c r="AB56" s="177"/>
      <c r="AC56" s="177"/>
      <c r="AD56" s="177"/>
      <c r="AE56" s="177"/>
      <c r="AF56" s="177"/>
      <c r="AG56" s="177"/>
      <c r="AH56" s="177"/>
      <c r="AI56" s="177"/>
      <c r="AJ56" s="177"/>
      <c r="AK56" s="257">
        <v>1</v>
      </c>
      <c r="AL56" s="271"/>
      <c r="AM56" s="277">
        <f t="shared" ref="AM56:AM67" si="11">X56*P1_Reinigen_daken_incl._extra_maatregelen_veilig_werken_volgens_VCA__eventuele_vergunningen_leges___voorrijkosten__adminstratieve_kosten__fotorapportage_en_kleine_reparaties_¹</f>
        <v>0</v>
      </c>
      <c r="AN56" s="279">
        <f t="shared" ref="AN56:AN67" si="12">Y56*P1_Reinigen_goten_incl._extra_maatregelen_veilig_werken_volgens_VCA__eventuele_vergunningen_leges___voorrijkosten__adminstratieve_kosten__fotorapportage_en_kleine_reparaties_¹</f>
        <v>0</v>
      </c>
      <c r="AO56" s="279">
        <f>(AE56*P1_Reinigen_Lichtkoepel_50X50)+('Perceel 2'!AF56*P1_Reinigen_Lichtkoepel_60x200)+('Perceel 2'!AG56*P1_Reinigen_Lichtkoepel_180x180)+('Perceel 2'!AH56*P1_Reinigen_Lichtstraten_groter_dan_180x180)</f>
        <v>0</v>
      </c>
      <c r="AP56" s="279">
        <f t="shared" si="8"/>
        <v>0</v>
      </c>
      <c r="AQ56" s="298"/>
      <c r="AR56" s="332">
        <f t="shared" si="9"/>
        <v>0</v>
      </c>
      <c r="AS56" s="336">
        <f t="shared" si="2"/>
        <v>0</v>
      </c>
    </row>
    <row r="57" spans="1:45" s="7" customFormat="1" ht="39" hidden="1" thickTop="1" thickBot="1" x14ac:dyDescent="0.5">
      <c r="A57" s="161"/>
      <c r="B57" s="152">
        <v>1</v>
      </c>
      <c r="C57" s="156" t="s">
        <v>135</v>
      </c>
      <c r="D57" s="156" t="s">
        <v>136</v>
      </c>
      <c r="E57" s="156"/>
      <c r="F57" s="156"/>
      <c r="G57" s="156"/>
      <c r="H57" s="162" t="s">
        <v>556</v>
      </c>
      <c r="I57" s="162" t="s">
        <v>557</v>
      </c>
      <c r="J57" s="157"/>
      <c r="K57" s="163"/>
      <c r="L57" s="151" t="s">
        <v>139</v>
      </c>
      <c r="M57" s="159" t="s">
        <v>140</v>
      </c>
      <c r="N57" s="164">
        <v>2435</v>
      </c>
      <c r="O57" s="159" t="s">
        <v>558</v>
      </c>
      <c r="P57" s="159" t="s">
        <v>559</v>
      </c>
      <c r="Q57" s="159" t="s">
        <v>560</v>
      </c>
      <c r="R57" s="42" t="s">
        <v>230</v>
      </c>
      <c r="S57" s="159" t="s">
        <v>189</v>
      </c>
      <c r="T57" s="159" t="s">
        <v>561</v>
      </c>
      <c r="U57" s="159" t="s">
        <v>399</v>
      </c>
      <c r="V57" s="176" t="s">
        <v>400</v>
      </c>
      <c r="W57" s="152">
        <v>2020</v>
      </c>
      <c r="X57" s="152"/>
      <c r="Y57" s="152">
        <v>33</v>
      </c>
      <c r="Z57" s="177"/>
      <c r="AA57" s="177"/>
      <c r="AB57" s="177"/>
      <c r="AC57" s="177"/>
      <c r="AD57" s="177"/>
      <c r="AE57" s="177"/>
      <c r="AF57" s="177"/>
      <c r="AG57" s="177"/>
      <c r="AH57" s="177"/>
      <c r="AI57" s="177" t="s">
        <v>324</v>
      </c>
      <c r="AJ57" s="177" t="s">
        <v>562</v>
      </c>
      <c r="AK57" s="177">
        <v>1</v>
      </c>
      <c r="AL57" s="272"/>
      <c r="AM57" s="277">
        <f t="shared" si="11"/>
        <v>0</v>
      </c>
      <c r="AN57" s="279">
        <f t="shared" si="12"/>
        <v>0</v>
      </c>
      <c r="AO57" s="279">
        <f>(AE57*P1_Reinigen_Lichtkoepel_50X50)+('Perceel 2'!AF57*P1_Reinigen_Lichtkoepel_60x200)+('Perceel 2'!AG57*P1_Reinigen_Lichtkoepel_180x180)+('Perceel 2'!AH57*P1_Reinigen_Lichtstraten_groter_dan_180x180)</f>
        <v>0</v>
      </c>
      <c r="AP57" s="279">
        <f t="shared" si="8"/>
        <v>0</v>
      </c>
      <c r="AQ57" s="298"/>
      <c r="AR57" s="332">
        <f t="shared" si="9"/>
        <v>0</v>
      </c>
      <c r="AS57" s="336">
        <f t="shared" si="2"/>
        <v>33</v>
      </c>
    </row>
    <row r="58" spans="1:45" s="7" customFormat="1" ht="38.450000000000003" hidden="1" customHeight="1" x14ac:dyDescent="0.45">
      <c r="A58" s="161"/>
      <c r="B58" s="152">
        <v>1</v>
      </c>
      <c r="C58" s="156" t="s">
        <v>135</v>
      </c>
      <c r="D58" s="156" t="s">
        <v>471</v>
      </c>
      <c r="E58" s="156"/>
      <c r="F58" s="156"/>
      <c r="G58" s="156"/>
      <c r="H58" s="151" t="s">
        <v>563</v>
      </c>
      <c r="I58" s="151" t="s">
        <v>564</v>
      </c>
      <c r="J58" s="157"/>
      <c r="K58" s="163"/>
      <c r="L58" s="163" t="s">
        <v>154</v>
      </c>
      <c r="M58" s="166" t="s">
        <v>155</v>
      </c>
      <c r="N58" s="159" t="s">
        <v>565</v>
      </c>
      <c r="O58" s="159" t="s">
        <v>566</v>
      </c>
      <c r="P58" s="159" t="s">
        <v>567</v>
      </c>
      <c r="Q58" s="159" t="s">
        <v>568</v>
      </c>
      <c r="R58" s="42" t="s">
        <v>339</v>
      </c>
      <c r="S58" s="159" t="s">
        <v>340</v>
      </c>
      <c r="T58" s="159" t="s">
        <v>477</v>
      </c>
      <c r="U58" s="159" t="s">
        <v>478</v>
      </c>
      <c r="V58" s="176" t="s">
        <v>479</v>
      </c>
      <c r="W58" s="152">
        <v>1983</v>
      </c>
      <c r="X58" s="152">
        <v>1527</v>
      </c>
      <c r="Y58" s="152"/>
      <c r="Z58" s="177"/>
      <c r="AA58" s="177"/>
      <c r="AB58" s="177"/>
      <c r="AC58" s="177"/>
      <c r="AD58" s="177"/>
      <c r="AE58" s="177"/>
      <c r="AF58" s="177"/>
      <c r="AG58" s="177"/>
      <c r="AH58" s="177"/>
      <c r="AI58" s="177"/>
      <c r="AJ58" s="177"/>
      <c r="AK58" s="177">
        <v>1</v>
      </c>
      <c r="AL58" s="272"/>
      <c r="AM58" s="277">
        <f t="shared" si="11"/>
        <v>0</v>
      </c>
      <c r="AN58" s="279">
        <f t="shared" si="12"/>
        <v>0</v>
      </c>
      <c r="AO58" s="279">
        <f>(AE58*P1_Reinigen_Lichtkoepel_50X50)+('Perceel 2'!AF58*P1_Reinigen_Lichtkoepel_60x200)+('Perceel 2'!AG58*P1_Reinigen_Lichtkoepel_180x180)+('Perceel 2'!AH58*P1_Reinigen_Lichtstraten_groter_dan_180x180)</f>
        <v>0</v>
      </c>
      <c r="AP58" s="279">
        <f t="shared" si="8"/>
        <v>0</v>
      </c>
      <c r="AQ58" s="298"/>
      <c r="AR58" s="332">
        <f t="shared" si="9"/>
        <v>0</v>
      </c>
      <c r="AS58" s="336">
        <f t="shared" si="2"/>
        <v>0</v>
      </c>
    </row>
    <row r="59" spans="1:45" s="7" customFormat="1" ht="12.75" hidden="1" customHeight="1" x14ac:dyDescent="0.45">
      <c r="A59" s="155"/>
      <c r="B59" s="165">
        <v>1</v>
      </c>
      <c r="C59" s="156" t="s">
        <v>135</v>
      </c>
      <c r="D59" s="156" t="s">
        <v>136</v>
      </c>
      <c r="E59" s="156"/>
      <c r="F59" s="156"/>
      <c r="G59" s="156"/>
      <c r="H59" s="151" t="s">
        <v>569</v>
      </c>
      <c r="I59" s="151" t="s">
        <v>570</v>
      </c>
      <c r="J59" s="157"/>
      <c r="K59" s="163"/>
      <c r="L59" s="151" t="s">
        <v>139</v>
      </c>
      <c r="M59" s="159" t="s">
        <v>140</v>
      </c>
      <c r="N59" s="160" t="s">
        <v>571</v>
      </c>
      <c r="O59" s="159" t="s">
        <v>572</v>
      </c>
      <c r="P59" s="160" t="s">
        <v>573</v>
      </c>
      <c r="Q59" s="160" t="s">
        <v>574</v>
      </c>
      <c r="R59" s="53" t="s">
        <v>339</v>
      </c>
      <c r="S59" s="160" t="s">
        <v>340</v>
      </c>
      <c r="T59" s="159" t="s">
        <v>575</v>
      </c>
      <c r="U59" s="192" t="s">
        <v>576</v>
      </c>
      <c r="V59" s="176" t="s">
        <v>577</v>
      </c>
      <c r="W59" s="152">
        <v>2001</v>
      </c>
      <c r="X59" s="152">
        <v>288</v>
      </c>
      <c r="Y59" s="152"/>
      <c r="Z59" s="177"/>
      <c r="AA59" s="177"/>
      <c r="AB59" s="177"/>
      <c r="AC59" s="177"/>
      <c r="AD59" s="177"/>
      <c r="AE59" s="177"/>
      <c r="AF59" s="177"/>
      <c r="AG59" s="177"/>
      <c r="AH59" s="177"/>
      <c r="AI59" s="177"/>
      <c r="AJ59" s="177"/>
      <c r="AK59" s="257">
        <v>1</v>
      </c>
      <c r="AL59" s="271"/>
      <c r="AM59" s="277">
        <f t="shared" si="11"/>
        <v>0</v>
      </c>
      <c r="AN59" s="279">
        <f t="shared" si="12"/>
        <v>0</v>
      </c>
      <c r="AO59" s="279">
        <f>(AE59*P1_Reinigen_Lichtkoepel_50X50)+('Perceel 2'!AF59*P1_Reinigen_Lichtkoepel_60x200)+('Perceel 2'!AG59*P1_Reinigen_Lichtkoepel_180x180)+('Perceel 2'!AH59*P1_Reinigen_Lichtstraten_groter_dan_180x180)</f>
        <v>0</v>
      </c>
      <c r="AP59" s="279">
        <f t="shared" si="8"/>
        <v>0</v>
      </c>
      <c r="AQ59" s="298"/>
      <c r="AR59" s="332">
        <f t="shared" si="9"/>
        <v>0</v>
      </c>
      <c r="AS59" s="336">
        <f t="shared" si="2"/>
        <v>0</v>
      </c>
    </row>
    <row r="60" spans="1:45" s="7" customFormat="1" ht="26.25" hidden="1" thickTop="1" thickBot="1" x14ac:dyDescent="0.5">
      <c r="A60" s="155"/>
      <c r="B60" s="165">
        <v>1</v>
      </c>
      <c r="C60" s="156" t="s">
        <v>135</v>
      </c>
      <c r="D60" s="156" t="s">
        <v>136</v>
      </c>
      <c r="E60" s="156"/>
      <c r="F60" s="156"/>
      <c r="G60" s="156"/>
      <c r="H60" s="151" t="s">
        <v>578</v>
      </c>
      <c r="I60" s="151" t="s">
        <v>579</v>
      </c>
      <c r="J60" s="157"/>
      <c r="K60" s="163"/>
      <c r="L60" s="163" t="s">
        <v>154</v>
      </c>
      <c r="M60" s="166" t="s">
        <v>544</v>
      </c>
      <c r="N60" s="164">
        <v>2366</v>
      </c>
      <c r="O60" s="159" t="s">
        <v>580</v>
      </c>
      <c r="P60" s="159" t="s">
        <v>581</v>
      </c>
      <c r="Q60" s="159" t="s">
        <v>582</v>
      </c>
      <c r="R60" s="42" t="s">
        <v>583</v>
      </c>
      <c r="S60" s="159" t="s">
        <v>189</v>
      </c>
      <c r="T60" s="159" t="s">
        <v>584</v>
      </c>
      <c r="U60" s="192" t="s">
        <v>585</v>
      </c>
      <c r="V60" s="176" t="s">
        <v>586</v>
      </c>
      <c r="W60" s="152">
        <v>1980</v>
      </c>
      <c r="X60" s="152">
        <v>179</v>
      </c>
      <c r="Y60" s="152">
        <v>40</v>
      </c>
      <c r="Z60" s="177"/>
      <c r="AA60" s="177"/>
      <c r="AB60" s="177"/>
      <c r="AC60" s="177"/>
      <c r="AD60" s="177"/>
      <c r="AE60" s="177"/>
      <c r="AF60" s="177"/>
      <c r="AG60" s="177"/>
      <c r="AH60" s="177"/>
      <c r="AI60" s="177"/>
      <c r="AJ60" s="177"/>
      <c r="AK60" s="177">
        <v>2</v>
      </c>
      <c r="AL60" s="273"/>
      <c r="AM60" s="277">
        <f t="shared" si="11"/>
        <v>0</v>
      </c>
      <c r="AN60" s="279">
        <f t="shared" si="12"/>
        <v>0</v>
      </c>
      <c r="AO60" s="279">
        <f>(AE60*P1_Reinigen_Lichtkoepel_50X50)+('Perceel 2'!AF60*P1_Reinigen_Lichtkoepel_60x200)+('Perceel 2'!AG60*P1_Reinigen_Lichtkoepel_180x180)+('Perceel 2'!AH60*P1_Reinigen_Lichtstraten_groter_dan_180x180)</f>
        <v>0</v>
      </c>
      <c r="AP60" s="279">
        <f t="shared" si="8"/>
        <v>0</v>
      </c>
      <c r="AQ60" s="298"/>
      <c r="AR60" s="332">
        <f t="shared" si="9"/>
        <v>0</v>
      </c>
      <c r="AS60" s="336">
        <f t="shared" si="2"/>
        <v>80</v>
      </c>
    </row>
    <row r="61" spans="1:45" s="7" customFormat="1" ht="26.25" hidden="1" thickTop="1" thickBot="1" x14ac:dyDescent="0.5">
      <c r="A61" s="155"/>
      <c r="B61" s="165">
        <v>1</v>
      </c>
      <c r="C61" s="156" t="s">
        <v>135</v>
      </c>
      <c r="D61" s="156" t="s">
        <v>136</v>
      </c>
      <c r="E61" s="156"/>
      <c r="F61" s="156"/>
      <c r="G61" s="156"/>
      <c r="H61" s="151" t="s">
        <v>587</v>
      </c>
      <c r="I61" s="151" t="s">
        <v>588</v>
      </c>
      <c r="J61" s="157"/>
      <c r="K61" s="163"/>
      <c r="L61" s="163" t="s">
        <v>154</v>
      </c>
      <c r="M61" s="166" t="s">
        <v>544</v>
      </c>
      <c r="N61" s="160" t="s">
        <v>589</v>
      </c>
      <c r="O61" s="159" t="s">
        <v>590</v>
      </c>
      <c r="P61" s="160" t="s">
        <v>591</v>
      </c>
      <c r="Q61" s="160" t="s">
        <v>582</v>
      </c>
      <c r="R61" s="53" t="s">
        <v>583</v>
      </c>
      <c r="S61" s="160" t="s">
        <v>189</v>
      </c>
      <c r="T61" s="159" t="s">
        <v>592</v>
      </c>
      <c r="U61" s="159" t="s">
        <v>593</v>
      </c>
      <c r="V61" s="176" t="s">
        <v>594</v>
      </c>
      <c r="W61" s="152">
        <v>1982</v>
      </c>
      <c r="X61" s="152">
        <f>546+125+173+272+145+85+195</f>
        <v>1541</v>
      </c>
      <c r="Y61" s="152"/>
      <c r="Z61" s="177"/>
      <c r="AA61" s="177"/>
      <c r="AB61" s="177"/>
      <c r="AC61" s="177"/>
      <c r="AD61" s="177"/>
      <c r="AE61" s="177"/>
      <c r="AF61" s="177"/>
      <c r="AG61" s="177"/>
      <c r="AH61" s="177"/>
      <c r="AI61" s="177"/>
      <c r="AJ61" s="177"/>
      <c r="AK61" s="257">
        <v>1</v>
      </c>
      <c r="AL61" s="271"/>
      <c r="AM61" s="277">
        <f t="shared" si="11"/>
        <v>0</v>
      </c>
      <c r="AN61" s="279">
        <f t="shared" si="12"/>
        <v>0</v>
      </c>
      <c r="AO61" s="279">
        <f>(AE61*P1_Reinigen_Lichtkoepel_50X50)+('Perceel 2'!AF61*P1_Reinigen_Lichtkoepel_60x200)+('Perceel 2'!AG61*P1_Reinigen_Lichtkoepel_180x180)+('Perceel 2'!AH61*P1_Reinigen_Lichtstraten_groter_dan_180x180)</f>
        <v>0</v>
      </c>
      <c r="AP61" s="279">
        <f t="shared" si="8"/>
        <v>0</v>
      </c>
      <c r="AQ61" s="298"/>
      <c r="AR61" s="332">
        <f t="shared" si="9"/>
        <v>0</v>
      </c>
      <c r="AS61" s="336">
        <f t="shared" si="2"/>
        <v>0</v>
      </c>
    </row>
    <row r="62" spans="1:45" s="7" customFormat="1" ht="15" hidden="1" thickTop="1" thickBot="1" x14ac:dyDescent="0.5">
      <c r="A62" s="155"/>
      <c r="B62" s="165">
        <v>1</v>
      </c>
      <c r="C62" s="156" t="s">
        <v>135</v>
      </c>
      <c r="D62" s="156" t="s">
        <v>136</v>
      </c>
      <c r="E62" s="156"/>
      <c r="F62" s="156"/>
      <c r="G62" s="156"/>
      <c r="H62" s="151" t="s">
        <v>595</v>
      </c>
      <c r="I62" s="151" t="s">
        <v>596</v>
      </c>
      <c r="J62" s="157"/>
      <c r="K62" s="163"/>
      <c r="L62" s="151" t="s">
        <v>348</v>
      </c>
      <c r="M62" s="159" t="s">
        <v>349</v>
      </c>
      <c r="N62" s="160" t="s">
        <v>597</v>
      </c>
      <c r="O62" s="159" t="s">
        <v>598</v>
      </c>
      <c r="P62" s="160" t="s">
        <v>599</v>
      </c>
      <c r="Q62" s="160" t="s">
        <v>600</v>
      </c>
      <c r="R62" s="53" t="s">
        <v>339</v>
      </c>
      <c r="S62" s="160" t="s">
        <v>340</v>
      </c>
      <c r="T62" s="159" t="s">
        <v>601</v>
      </c>
      <c r="U62" s="159" t="s">
        <v>602</v>
      </c>
      <c r="V62" s="176" t="s">
        <v>603</v>
      </c>
      <c r="W62" s="152">
        <v>1997</v>
      </c>
      <c r="X62" s="152">
        <v>725</v>
      </c>
      <c r="Y62" s="152"/>
      <c r="Z62" s="177"/>
      <c r="AA62" s="177"/>
      <c r="AB62" s="177"/>
      <c r="AC62" s="177"/>
      <c r="AD62" s="177"/>
      <c r="AE62" s="177"/>
      <c r="AF62" s="177"/>
      <c r="AG62" s="177"/>
      <c r="AH62" s="177"/>
      <c r="AI62" s="177"/>
      <c r="AJ62" s="177"/>
      <c r="AK62" s="257">
        <v>1</v>
      </c>
      <c r="AL62" s="271"/>
      <c r="AM62" s="277">
        <f t="shared" si="11"/>
        <v>0</v>
      </c>
      <c r="AN62" s="279">
        <f t="shared" si="12"/>
        <v>0</v>
      </c>
      <c r="AO62" s="279">
        <f>(AE62*P1_Reinigen_Lichtkoepel_50X50)+('Perceel 2'!AF62*P1_Reinigen_Lichtkoepel_60x200)+('Perceel 2'!AG62*P1_Reinigen_Lichtkoepel_180x180)+('Perceel 2'!AH62*P1_Reinigen_Lichtstraten_groter_dan_180x180)</f>
        <v>0</v>
      </c>
      <c r="AP62" s="279">
        <f t="shared" si="8"/>
        <v>0</v>
      </c>
      <c r="AQ62" s="298"/>
      <c r="AR62" s="332">
        <f t="shared" si="9"/>
        <v>0</v>
      </c>
      <c r="AS62" s="336">
        <f t="shared" si="2"/>
        <v>0</v>
      </c>
    </row>
    <row r="63" spans="1:45" s="7" customFormat="1" ht="51.75" hidden="1" thickTop="1" thickBot="1" x14ac:dyDescent="0.5">
      <c r="A63" s="155"/>
      <c r="B63" s="165">
        <v>1</v>
      </c>
      <c r="C63" s="156" t="s">
        <v>135</v>
      </c>
      <c r="D63" s="156" t="s">
        <v>136</v>
      </c>
      <c r="E63" s="156"/>
      <c r="F63" s="156"/>
      <c r="G63" s="156"/>
      <c r="H63" s="151" t="s">
        <v>604</v>
      </c>
      <c r="I63" s="151" t="s">
        <v>605</v>
      </c>
      <c r="J63" s="157"/>
      <c r="K63" s="163"/>
      <c r="L63" s="163" t="s">
        <v>154</v>
      </c>
      <c r="M63" s="166" t="s">
        <v>544</v>
      </c>
      <c r="N63" s="160" t="s">
        <v>606</v>
      </c>
      <c r="O63" s="159" t="s">
        <v>607</v>
      </c>
      <c r="P63" s="160" t="s">
        <v>608</v>
      </c>
      <c r="Q63" s="160" t="s">
        <v>446</v>
      </c>
      <c r="R63" s="53" t="s">
        <v>339</v>
      </c>
      <c r="S63" s="160" t="s">
        <v>340</v>
      </c>
      <c r="T63" s="159" t="s">
        <v>169</v>
      </c>
      <c r="U63" s="159" t="s">
        <v>170</v>
      </c>
      <c r="V63" s="176" t="s">
        <v>171</v>
      </c>
      <c r="W63" s="152">
        <v>1988</v>
      </c>
      <c r="X63" s="152">
        <v>454</v>
      </c>
      <c r="Y63" s="152"/>
      <c r="Z63" s="177"/>
      <c r="AA63" s="177"/>
      <c r="AB63" s="177"/>
      <c r="AC63" s="177"/>
      <c r="AD63" s="177"/>
      <c r="AE63" s="177"/>
      <c r="AF63" s="177"/>
      <c r="AG63" s="177"/>
      <c r="AH63" s="177"/>
      <c r="AI63" s="177"/>
      <c r="AJ63" s="177"/>
      <c r="AK63" s="257">
        <v>2</v>
      </c>
      <c r="AL63" s="271"/>
      <c r="AM63" s="277">
        <f t="shared" si="11"/>
        <v>0</v>
      </c>
      <c r="AN63" s="279">
        <f t="shared" si="12"/>
        <v>0</v>
      </c>
      <c r="AO63" s="279">
        <f>(AE63*P1_Reinigen_Lichtkoepel_50X50)+('Perceel 2'!AF63*P1_Reinigen_Lichtkoepel_60x200)+('Perceel 2'!AG63*P1_Reinigen_Lichtkoepel_180x180)+('Perceel 2'!AH63*P1_Reinigen_Lichtstraten_groter_dan_180x180)</f>
        <v>0</v>
      </c>
      <c r="AP63" s="279">
        <f t="shared" si="8"/>
        <v>0</v>
      </c>
      <c r="AQ63" s="298"/>
      <c r="AR63" s="332">
        <f t="shared" si="9"/>
        <v>0</v>
      </c>
      <c r="AS63" s="336">
        <f t="shared" si="2"/>
        <v>0</v>
      </c>
    </row>
    <row r="64" spans="1:45" s="7" customFormat="1" ht="27.75" hidden="1" customHeight="1" x14ac:dyDescent="0.45">
      <c r="A64" s="155"/>
      <c r="B64" s="165">
        <v>1</v>
      </c>
      <c r="C64" s="156" t="s">
        <v>135</v>
      </c>
      <c r="D64" s="156" t="s">
        <v>136</v>
      </c>
      <c r="E64" s="156"/>
      <c r="F64" s="156"/>
      <c r="G64" s="156"/>
      <c r="H64" s="151" t="s">
        <v>609</v>
      </c>
      <c r="I64" s="151" t="s">
        <v>610</v>
      </c>
      <c r="J64" s="157"/>
      <c r="K64" s="163"/>
      <c r="L64" s="151" t="s">
        <v>139</v>
      </c>
      <c r="M64" s="159" t="s">
        <v>140</v>
      </c>
      <c r="N64" s="160" t="s">
        <v>611</v>
      </c>
      <c r="O64" s="159" t="s">
        <v>612</v>
      </c>
      <c r="P64" s="159" t="s">
        <v>613</v>
      </c>
      <c r="Q64" s="160" t="s">
        <v>614</v>
      </c>
      <c r="R64" s="53" t="s">
        <v>286</v>
      </c>
      <c r="S64" s="160" t="s">
        <v>189</v>
      </c>
      <c r="T64" s="159" t="s">
        <v>615</v>
      </c>
      <c r="U64" s="159" t="s">
        <v>616</v>
      </c>
      <c r="V64" s="176" t="s">
        <v>400</v>
      </c>
      <c r="W64" s="152">
        <v>2002</v>
      </c>
      <c r="X64" s="152">
        <v>12</v>
      </c>
      <c r="Y64" s="152">
        <v>20</v>
      </c>
      <c r="Z64" s="177"/>
      <c r="AA64" s="177"/>
      <c r="AB64" s="177"/>
      <c r="AC64" s="177"/>
      <c r="AD64" s="177"/>
      <c r="AE64" s="177"/>
      <c r="AF64" s="177"/>
      <c r="AG64" s="177"/>
      <c r="AH64" s="177"/>
      <c r="AI64" s="177"/>
      <c r="AJ64" s="177"/>
      <c r="AK64" s="257">
        <v>2</v>
      </c>
      <c r="AL64" s="272"/>
      <c r="AM64" s="277">
        <f t="shared" si="11"/>
        <v>0</v>
      </c>
      <c r="AN64" s="279">
        <f t="shared" si="12"/>
        <v>0</v>
      </c>
      <c r="AO64" s="279">
        <f>(AE64*P1_Reinigen_Lichtkoepel_50X50)+('Perceel 2'!AF64*P1_Reinigen_Lichtkoepel_60x200)+('Perceel 2'!AG64*P1_Reinigen_Lichtkoepel_180x180)+('Perceel 2'!AH64*P1_Reinigen_Lichtstraten_groter_dan_180x180)</f>
        <v>0</v>
      </c>
      <c r="AP64" s="279">
        <f t="shared" si="8"/>
        <v>0</v>
      </c>
      <c r="AQ64" s="298"/>
      <c r="AR64" s="332">
        <f t="shared" si="9"/>
        <v>0</v>
      </c>
      <c r="AS64" s="336">
        <f t="shared" si="2"/>
        <v>40</v>
      </c>
    </row>
    <row r="65" spans="1:45" s="7" customFormat="1" ht="32.25" hidden="1" customHeight="1" x14ac:dyDescent="0.45">
      <c r="A65" s="155"/>
      <c r="B65" s="165">
        <v>1</v>
      </c>
      <c r="C65" s="156" t="s">
        <v>135</v>
      </c>
      <c r="D65" s="156" t="s">
        <v>136</v>
      </c>
      <c r="E65" s="156"/>
      <c r="F65" s="156"/>
      <c r="G65" s="156"/>
      <c r="H65" s="151" t="s">
        <v>617</v>
      </c>
      <c r="I65" s="151" t="s">
        <v>618</v>
      </c>
      <c r="J65" s="157"/>
      <c r="K65" s="163"/>
      <c r="L65" s="151" t="s">
        <v>139</v>
      </c>
      <c r="M65" s="159" t="s">
        <v>140</v>
      </c>
      <c r="N65" s="160" t="s">
        <v>619</v>
      </c>
      <c r="O65" s="159" t="s">
        <v>620</v>
      </c>
      <c r="P65" s="160" t="s">
        <v>621</v>
      </c>
      <c r="Q65" s="160" t="s">
        <v>196</v>
      </c>
      <c r="R65" s="53" t="s">
        <v>197</v>
      </c>
      <c r="S65" s="160" t="s">
        <v>189</v>
      </c>
      <c r="T65" s="166" t="s">
        <v>622</v>
      </c>
      <c r="U65" s="166" t="s">
        <v>623</v>
      </c>
      <c r="V65" s="176"/>
      <c r="W65" s="152">
        <v>1991</v>
      </c>
      <c r="X65" s="152">
        <f>45+8+75+43</f>
        <v>171</v>
      </c>
      <c r="Y65" s="152"/>
      <c r="Z65" s="177"/>
      <c r="AA65" s="177"/>
      <c r="AB65" s="177"/>
      <c r="AC65" s="177"/>
      <c r="AD65" s="177"/>
      <c r="AE65" s="177"/>
      <c r="AF65" s="177"/>
      <c r="AG65" s="177"/>
      <c r="AH65" s="177"/>
      <c r="AI65" s="177"/>
      <c r="AJ65" s="177"/>
      <c r="AK65" s="257">
        <v>1</v>
      </c>
      <c r="AL65" s="271"/>
      <c r="AM65" s="277">
        <f t="shared" si="11"/>
        <v>0</v>
      </c>
      <c r="AN65" s="279">
        <f t="shared" si="12"/>
        <v>0</v>
      </c>
      <c r="AO65" s="279">
        <f>(AE65*P1_Reinigen_Lichtkoepel_50X50)+('Perceel 2'!AF65*P1_Reinigen_Lichtkoepel_60x200)+('Perceel 2'!AG65*P1_Reinigen_Lichtkoepel_180x180)+('Perceel 2'!AH65*P1_Reinigen_Lichtstraten_groter_dan_180x180)</f>
        <v>0</v>
      </c>
      <c r="AP65" s="279">
        <f t="shared" si="8"/>
        <v>0</v>
      </c>
      <c r="AQ65" s="298"/>
      <c r="AR65" s="332">
        <f t="shared" si="9"/>
        <v>0</v>
      </c>
      <c r="AS65" s="336">
        <f t="shared" si="2"/>
        <v>0</v>
      </c>
    </row>
    <row r="66" spans="1:45" s="7" customFormat="1" ht="51.75" hidden="1" thickTop="1" thickBot="1" x14ac:dyDescent="0.5">
      <c r="A66" s="161"/>
      <c r="B66" s="152">
        <v>1</v>
      </c>
      <c r="C66" s="156" t="s">
        <v>135</v>
      </c>
      <c r="D66" s="156" t="s">
        <v>136</v>
      </c>
      <c r="E66" s="156"/>
      <c r="F66" s="156"/>
      <c r="G66" s="156"/>
      <c r="H66" s="203" t="s">
        <v>624</v>
      </c>
      <c r="I66" s="203" t="s">
        <v>625</v>
      </c>
      <c r="J66" s="157"/>
      <c r="K66" s="163"/>
      <c r="L66" s="151" t="s">
        <v>139</v>
      </c>
      <c r="M66" s="159" t="s">
        <v>140</v>
      </c>
      <c r="N66" s="192" t="s">
        <v>626</v>
      </c>
      <c r="O66" s="159" t="s">
        <v>627</v>
      </c>
      <c r="P66" s="159" t="s">
        <v>628</v>
      </c>
      <c r="Q66" s="159" t="s">
        <v>196</v>
      </c>
      <c r="R66" s="42" t="s">
        <v>197</v>
      </c>
      <c r="S66" s="159" t="s">
        <v>189</v>
      </c>
      <c r="T66" s="159" t="s">
        <v>169</v>
      </c>
      <c r="U66" s="159" t="s">
        <v>170</v>
      </c>
      <c r="V66" s="176" t="s">
        <v>171</v>
      </c>
      <c r="W66" s="152">
        <v>2020</v>
      </c>
      <c r="X66" s="152">
        <v>52</v>
      </c>
      <c r="Y66" s="152"/>
      <c r="Z66" s="177"/>
      <c r="AA66" s="177"/>
      <c r="AB66" s="177"/>
      <c r="AC66" s="177"/>
      <c r="AD66" s="177"/>
      <c r="AE66" s="177"/>
      <c r="AF66" s="177"/>
      <c r="AG66" s="177"/>
      <c r="AH66" s="177"/>
      <c r="AI66" s="177" t="s">
        <v>324</v>
      </c>
      <c r="AJ66" s="177"/>
      <c r="AK66" s="177">
        <v>1</v>
      </c>
      <c r="AL66" s="272"/>
      <c r="AM66" s="277">
        <f t="shared" si="11"/>
        <v>0</v>
      </c>
      <c r="AN66" s="279">
        <f t="shared" si="12"/>
        <v>0</v>
      </c>
      <c r="AO66" s="279">
        <f>(AE66*P1_Reinigen_Lichtkoepel_50X50)+('Perceel 2'!AF66*P1_Reinigen_Lichtkoepel_60x200)+('Perceel 2'!AG66*P1_Reinigen_Lichtkoepel_180x180)+('Perceel 2'!AH66*P1_Reinigen_Lichtstraten_groter_dan_180x180)</f>
        <v>0</v>
      </c>
      <c r="AP66" s="279">
        <f t="shared" si="8"/>
        <v>0</v>
      </c>
      <c r="AQ66" s="298"/>
      <c r="AR66" s="332">
        <f t="shared" si="9"/>
        <v>0</v>
      </c>
      <c r="AS66" s="336">
        <f t="shared" si="2"/>
        <v>0</v>
      </c>
    </row>
    <row r="67" spans="1:45" s="7" customFormat="1" ht="39" hidden="1" thickTop="1" thickBot="1" x14ac:dyDescent="0.5">
      <c r="A67" s="155"/>
      <c r="B67" s="165">
        <v>1</v>
      </c>
      <c r="C67" s="156" t="s">
        <v>135</v>
      </c>
      <c r="D67" s="156" t="s">
        <v>136</v>
      </c>
      <c r="E67" s="156"/>
      <c r="F67" s="156"/>
      <c r="G67" s="156"/>
      <c r="H67" s="151" t="s">
        <v>325</v>
      </c>
      <c r="I67" s="151" t="s">
        <v>326</v>
      </c>
      <c r="J67" s="157"/>
      <c r="K67" s="163"/>
      <c r="L67" s="163" t="s">
        <v>154</v>
      </c>
      <c r="M67" s="166" t="s">
        <v>544</v>
      </c>
      <c r="N67" s="164">
        <v>4141</v>
      </c>
      <c r="O67" s="159" t="s">
        <v>629</v>
      </c>
      <c r="P67" s="159" t="s">
        <v>630</v>
      </c>
      <c r="Q67" s="159"/>
      <c r="R67" s="42" t="s">
        <v>197</v>
      </c>
      <c r="S67" s="159" t="s">
        <v>189</v>
      </c>
      <c r="T67" s="159" t="s">
        <v>330</v>
      </c>
      <c r="U67" s="159" t="s">
        <v>331</v>
      </c>
      <c r="V67" s="209" t="s">
        <v>332</v>
      </c>
      <c r="W67" s="152">
        <v>2013</v>
      </c>
      <c r="X67" s="152">
        <v>48</v>
      </c>
      <c r="Y67" s="152"/>
      <c r="Z67" s="152"/>
      <c r="AA67" s="210"/>
      <c r="AB67" s="210"/>
      <c r="AC67" s="210"/>
      <c r="AD67" s="210"/>
      <c r="AE67" s="210"/>
      <c r="AF67" s="210"/>
      <c r="AG67" s="210"/>
      <c r="AH67" s="210"/>
      <c r="AI67" s="210"/>
      <c r="AJ67" s="210"/>
      <c r="AK67" s="177">
        <v>1</v>
      </c>
      <c r="AL67" s="272"/>
      <c r="AM67" s="277">
        <f t="shared" si="11"/>
        <v>0</v>
      </c>
      <c r="AN67" s="279">
        <f t="shared" si="12"/>
        <v>0</v>
      </c>
      <c r="AO67" s="279">
        <f>(AE67*P1_Reinigen_Lichtkoepel_50X50)+('Perceel 2'!AF67*P1_Reinigen_Lichtkoepel_60x200)+('Perceel 2'!AG67*P1_Reinigen_Lichtkoepel_180x180)+('Perceel 2'!AH67*P1_Reinigen_Lichtstraten_groter_dan_180x180)</f>
        <v>0</v>
      </c>
      <c r="AP67" s="279">
        <f t="shared" si="8"/>
        <v>0</v>
      </c>
      <c r="AQ67" s="298"/>
      <c r="AR67" s="332">
        <f t="shared" si="9"/>
        <v>0</v>
      </c>
      <c r="AS67" s="336">
        <f t="shared" ref="AS67:AS96" si="13">(AM67*AK67)+(Y67*AK67)+AO67+AP67+AR67</f>
        <v>0</v>
      </c>
    </row>
    <row r="68" spans="1:45" s="7" customFormat="1" ht="51.75" hidden="1" thickTop="1" thickBot="1" x14ac:dyDescent="0.5">
      <c r="A68" s="155"/>
      <c r="B68" s="165">
        <v>1</v>
      </c>
      <c r="C68" s="156" t="s">
        <v>135</v>
      </c>
      <c r="D68" s="156" t="s">
        <v>136</v>
      </c>
      <c r="E68" s="156"/>
      <c r="F68" s="156"/>
      <c r="G68" s="156"/>
      <c r="H68" s="151" t="s">
        <v>631</v>
      </c>
      <c r="I68" s="151" t="s">
        <v>632</v>
      </c>
      <c r="J68" s="157"/>
      <c r="K68" s="163"/>
      <c r="L68" s="163" t="s">
        <v>154</v>
      </c>
      <c r="M68" s="166" t="s">
        <v>544</v>
      </c>
      <c r="N68" s="160" t="s">
        <v>633</v>
      </c>
      <c r="O68" s="159" t="s">
        <v>634</v>
      </c>
      <c r="P68" s="160" t="s">
        <v>635</v>
      </c>
      <c r="Q68" s="160" t="s">
        <v>636</v>
      </c>
      <c r="R68" s="53" t="s">
        <v>637</v>
      </c>
      <c r="S68" s="160" t="s">
        <v>189</v>
      </c>
      <c r="T68" s="159" t="s">
        <v>169</v>
      </c>
      <c r="U68" s="159" t="s">
        <v>170</v>
      </c>
      <c r="V68" s="176" t="s">
        <v>171</v>
      </c>
      <c r="W68" s="152">
        <v>1980</v>
      </c>
      <c r="X68" s="152">
        <v>441</v>
      </c>
      <c r="Y68" s="152"/>
      <c r="Z68" s="177" t="s">
        <v>311</v>
      </c>
      <c r="AA68" s="177" t="s">
        <v>231</v>
      </c>
      <c r="AB68" s="177">
        <v>15</v>
      </c>
      <c r="AC68" s="177">
        <f>85+18</f>
        <v>103</v>
      </c>
      <c r="AD68" s="177"/>
      <c r="AE68" s="177"/>
      <c r="AF68" s="177"/>
      <c r="AG68" s="177"/>
      <c r="AH68" s="177"/>
      <c r="AI68" s="177" t="s">
        <v>638</v>
      </c>
      <c r="AJ68" s="177" t="s">
        <v>639</v>
      </c>
      <c r="AK68" s="177">
        <v>3</v>
      </c>
      <c r="AL68" s="273"/>
      <c r="AM68" s="277">
        <f>X68*P1_reinigen_daken_met_vaste_dakveiligheid</f>
        <v>0</v>
      </c>
      <c r="AN68" s="279">
        <f>Y68*P1_reinigen_goten_met_vaste_dakveiligheid</f>
        <v>0</v>
      </c>
      <c r="AO68" s="279">
        <f>(AE68*P1_Reinigen_Lichtkoepel_50X50)+('Perceel 2'!AF68*P1_Reinigen_Lichtkoepel_60x200)+('Perceel 2'!AG68*P1_Reinigen_Lichtkoepel_180x180)+('Perceel 2'!AH68*P1_Reinigen_Lichtstraten_groter_dan_180x180)</f>
        <v>0</v>
      </c>
      <c r="AP68" s="279">
        <f t="shared" si="8"/>
        <v>0</v>
      </c>
      <c r="AQ68" s="289"/>
      <c r="AR68" s="332">
        <f t="shared" si="9"/>
        <v>0</v>
      </c>
      <c r="AS68" s="336">
        <f t="shared" si="13"/>
        <v>0</v>
      </c>
    </row>
    <row r="69" spans="1:45" s="7" customFormat="1" ht="32.25" hidden="1" customHeight="1" x14ac:dyDescent="0.45">
      <c r="A69" s="155"/>
      <c r="B69" s="165">
        <v>1</v>
      </c>
      <c r="C69" s="156" t="s">
        <v>135</v>
      </c>
      <c r="D69" s="156" t="s">
        <v>136</v>
      </c>
      <c r="E69" s="156"/>
      <c r="F69" s="156"/>
      <c r="G69" s="156"/>
      <c r="H69" s="151" t="s">
        <v>640</v>
      </c>
      <c r="I69" s="151" t="s">
        <v>641</v>
      </c>
      <c r="J69" s="157"/>
      <c r="K69" s="163"/>
      <c r="L69" s="151" t="s">
        <v>139</v>
      </c>
      <c r="M69" s="159" t="s">
        <v>140</v>
      </c>
      <c r="N69" s="160" t="s">
        <v>642</v>
      </c>
      <c r="O69" s="159" t="s">
        <v>643</v>
      </c>
      <c r="P69" s="160" t="s">
        <v>644</v>
      </c>
      <c r="Q69" s="160" t="s">
        <v>645</v>
      </c>
      <c r="R69" s="53" t="s">
        <v>637</v>
      </c>
      <c r="S69" s="160" t="s">
        <v>189</v>
      </c>
      <c r="T69" s="159" t="s">
        <v>646</v>
      </c>
      <c r="U69" s="159" t="s">
        <v>647</v>
      </c>
      <c r="V69" s="159" t="s">
        <v>648</v>
      </c>
      <c r="W69" s="152">
        <v>1978</v>
      </c>
      <c r="X69" s="152">
        <v>360</v>
      </c>
      <c r="Y69" s="152"/>
      <c r="Z69" s="177"/>
      <c r="AA69" s="177"/>
      <c r="AB69" s="177"/>
      <c r="AC69" s="177"/>
      <c r="AD69" s="177"/>
      <c r="AE69" s="177"/>
      <c r="AF69" s="177"/>
      <c r="AG69" s="177"/>
      <c r="AH69" s="177"/>
      <c r="AI69" s="177"/>
      <c r="AJ69" s="177"/>
      <c r="AK69" s="257">
        <v>1</v>
      </c>
      <c r="AL69" s="271"/>
      <c r="AM69" s="277">
        <f>X69*P1_Reinigen_daken_incl._extra_maatregelen_veilig_werken_volgens_VCA__eventuele_vergunningen_leges___voorrijkosten__adminstratieve_kosten__fotorapportage_en_kleine_reparaties_¹</f>
        <v>0</v>
      </c>
      <c r="AN69" s="279">
        <f>Y69*P1_Reinigen_goten_incl._extra_maatregelen_veilig_werken_volgens_VCA__eventuele_vergunningen_leges___voorrijkosten__adminstratieve_kosten__fotorapportage_en_kleine_reparaties_¹</f>
        <v>0</v>
      </c>
      <c r="AO69" s="279">
        <f>(AE69*P1_Reinigen_Lichtkoepel_50X50)+('Perceel 2'!AF69*P1_Reinigen_Lichtkoepel_60x200)+('Perceel 2'!AG69*P1_Reinigen_Lichtkoepel_180x180)+('Perceel 2'!AH69*P1_Reinigen_Lichtstraten_groter_dan_180x180)</f>
        <v>0</v>
      </c>
      <c r="AP69" s="279">
        <f t="shared" si="8"/>
        <v>0</v>
      </c>
      <c r="AQ69" s="298"/>
      <c r="AR69" s="332">
        <f t="shared" si="9"/>
        <v>0</v>
      </c>
      <c r="AS69" s="336">
        <f t="shared" si="13"/>
        <v>0</v>
      </c>
    </row>
    <row r="70" spans="1:45" s="7" customFormat="1" ht="41.25" hidden="1" customHeight="1" x14ac:dyDescent="0.45">
      <c r="A70" s="155"/>
      <c r="B70" s="152">
        <v>1</v>
      </c>
      <c r="C70" s="156" t="s">
        <v>135</v>
      </c>
      <c r="D70" s="156" t="s">
        <v>174</v>
      </c>
      <c r="E70" s="156"/>
      <c r="F70" s="156"/>
      <c r="G70" s="156"/>
      <c r="H70" s="151" t="s">
        <v>649</v>
      </c>
      <c r="I70" s="151" t="s">
        <v>650</v>
      </c>
      <c r="J70" s="157"/>
      <c r="K70" s="163"/>
      <c r="L70" s="151" t="s">
        <v>348</v>
      </c>
      <c r="M70" s="159" t="s">
        <v>349</v>
      </c>
      <c r="N70" s="159" t="s">
        <v>651</v>
      </c>
      <c r="O70" s="159" t="s">
        <v>652</v>
      </c>
      <c r="P70" s="159" t="s">
        <v>653</v>
      </c>
      <c r="Q70" s="159" t="s">
        <v>654</v>
      </c>
      <c r="R70" s="42" t="s">
        <v>230</v>
      </c>
      <c r="S70" s="159" t="s">
        <v>189</v>
      </c>
      <c r="T70" s="159" t="s">
        <v>655</v>
      </c>
      <c r="U70" s="159" t="s">
        <v>656</v>
      </c>
      <c r="V70" s="176" t="s">
        <v>221</v>
      </c>
      <c r="W70" s="152">
        <v>1979</v>
      </c>
      <c r="X70" s="152">
        <v>1100</v>
      </c>
      <c r="Y70" s="152"/>
      <c r="Z70" s="189"/>
      <c r="AA70" s="177" t="s">
        <v>657</v>
      </c>
      <c r="AB70" s="177">
        <v>33</v>
      </c>
      <c r="AC70" s="177">
        <v>121</v>
      </c>
      <c r="AD70" s="177"/>
      <c r="AE70" s="177"/>
      <c r="AF70" s="177"/>
      <c r="AG70" s="177"/>
      <c r="AH70" s="177"/>
      <c r="AI70" s="177"/>
      <c r="AJ70" s="177"/>
      <c r="AK70" s="177">
        <v>3</v>
      </c>
      <c r="AL70" s="273"/>
      <c r="AM70" s="277">
        <f>X70*P1_reinigen_daken_met_vaste_dakveiligheid</f>
        <v>0</v>
      </c>
      <c r="AN70" s="279">
        <f>Y70*P1_reinigen_goten_met_vaste_dakveiligheid</f>
        <v>0</v>
      </c>
      <c r="AO70" s="279">
        <f>(AE70*P1_Reinigen_Lichtkoepel_50X50)+('Perceel 2'!AF70*P1_Reinigen_Lichtkoepel_60x200)+('Perceel 2'!AG70*P1_Reinigen_Lichtkoepel_180x180)+('Perceel 2'!AH70*P1_Reinigen_Lichtstraten_groter_dan_180x180)</f>
        <v>0</v>
      </c>
      <c r="AP70" s="279">
        <f t="shared" si="8"/>
        <v>0</v>
      </c>
      <c r="AQ70" s="289"/>
      <c r="AR70" s="332">
        <f t="shared" si="9"/>
        <v>0</v>
      </c>
      <c r="AS70" s="336">
        <f t="shared" si="13"/>
        <v>0</v>
      </c>
    </row>
    <row r="71" spans="1:45" s="7" customFormat="1" ht="26.25" hidden="1" thickTop="1" thickBot="1" x14ac:dyDescent="0.5">
      <c r="A71" s="155"/>
      <c r="B71" s="152">
        <v>1</v>
      </c>
      <c r="C71" s="156" t="s">
        <v>135</v>
      </c>
      <c r="D71" s="156" t="s">
        <v>174</v>
      </c>
      <c r="E71" s="156"/>
      <c r="F71" s="156"/>
      <c r="G71" s="156"/>
      <c r="H71" s="151" t="s">
        <v>658</v>
      </c>
      <c r="I71" s="151" t="s">
        <v>659</v>
      </c>
      <c r="J71" s="157"/>
      <c r="K71" s="163"/>
      <c r="L71" s="151" t="s">
        <v>348</v>
      </c>
      <c r="M71" s="159" t="s">
        <v>349</v>
      </c>
      <c r="N71" s="159" t="s">
        <v>660</v>
      </c>
      <c r="O71" s="159" t="s">
        <v>661</v>
      </c>
      <c r="P71" s="159" t="s">
        <v>662</v>
      </c>
      <c r="Q71" s="159" t="s">
        <v>663</v>
      </c>
      <c r="R71" s="42" t="s">
        <v>372</v>
      </c>
      <c r="S71" s="159" t="s">
        <v>189</v>
      </c>
      <c r="T71" s="159" t="s">
        <v>664</v>
      </c>
      <c r="U71" s="159" t="s">
        <v>665</v>
      </c>
      <c r="V71" s="176" t="s">
        <v>666</v>
      </c>
      <c r="W71" s="152">
        <v>1980</v>
      </c>
      <c r="X71" s="152">
        <v>2239</v>
      </c>
      <c r="Y71" s="152"/>
      <c r="Z71" s="189"/>
      <c r="AA71" s="177"/>
      <c r="AB71" s="177"/>
      <c r="AC71" s="177"/>
      <c r="AD71" s="177"/>
      <c r="AE71" s="177"/>
      <c r="AF71" s="177"/>
      <c r="AG71" s="177"/>
      <c r="AH71" s="177"/>
      <c r="AI71" s="177"/>
      <c r="AJ71" s="177"/>
      <c r="AK71" s="257">
        <v>1</v>
      </c>
      <c r="AL71" s="271"/>
      <c r="AM71" s="277">
        <f>X71*P1_Reinigen_daken_incl._extra_maatregelen_veilig_werken_volgens_VCA__eventuele_vergunningen_leges___voorrijkosten__adminstratieve_kosten__fotorapportage_en_kleine_reparaties_¹</f>
        <v>0</v>
      </c>
      <c r="AN71" s="279">
        <f>Y71*P1_Reinigen_goten_incl._extra_maatregelen_veilig_werken_volgens_VCA__eventuele_vergunningen_leges___voorrijkosten__adminstratieve_kosten__fotorapportage_en_kleine_reparaties_¹</f>
        <v>0</v>
      </c>
      <c r="AO71" s="279">
        <f>(AE71*P1_Reinigen_Lichtkoepel_50X50)+('Perceel 2'!AF71*P1_Reinigen_Lichtkoepel_60x200)+('Perceel 2'!AG71*P1_Reinigen_Lichtkoepel_180x180)+('Perceel 2'!AH71*P1_Reinigen_Lichtstraten_groter_dan_180x180)</f>
        <v>0</v>
      </c>
      <c r="AP71" s="279">
        <f t="shared" si="8"/>
        <v>0</v>
      </c>
      <c r="AQ71" s="298"/>
      <c r="AR71" s="332">
        <f t="shared" si="9"/>
        <v>0</v>
      </c>
      <c r="AS71" s="336">
        <f t="shared" si="13"/>
        <v>0</v>
      </c>
    </row>
    <row r="72" spans="1:45" s="7" customFormat="1" ht="26.25" hidden="1" thickTop="1" thickBot="1" x14ac:dyDescent="0.5">
      <c r="A72" s="155"/>
      <c r="B72" s="152">
        <v>1</v>
      </c>
      <c r="C72" s="156" t="s">
        <v>135</v>
      </c>
      <c r="D72" s="156" t="s">
        <v>174</v>
      </c>
      <c r="E72" s="156"/>
      <c r="F72" s="156"/>
      <c r="G72" s="156"/>
      <c r="H72" s="151" t="s">
        <v>667</v>
      </c>
      <c r="I72" s="151" t="s">
        <v>668</v>
      </c>
      <c r="J72" s="157"/>
      <c r="K72" s="158"/>
      <c r="L72" s="151" t="s">
        <v>280</v>
      </c>
      <c r="M72" s="159" t="s">
        <v>669</v>
      </c>
      <c r="N72" s="159" t="s">
        <v>670</v>
      </c>
      <c r="O72" s="159" t="s">
        <v>671</v>
      </c>
      <c r="P72" s="159" t="s">
        <v>672</v>
      </c>
      <c r="Q72" s="159" t="s">
        <v>673</v>
      </c>
      <c r="R72" s="42" t="s">
        <v>302</v>
      </c>
      <c r="S72" s="159" t="s">
        <v>146</v>
      </c>
      <c r="T72" s="159" t="s">
        <v>674</v>
      </c>
      <c r="U72" s="159" t="s">
        <v>675</v>
      </c>
      <c r="V72" s="176" t="s">
        <v>676</v>
      </c>
      <c r="W72" s="152">
        <v>2011</v>
      </c>
      <c r="X72" s="152">
        <f>25+41</f>
        <v>66</v>
      </c>
      <c r="Y72" s="152">
        <v>29</v>
      </c>
      <c r="Z72" s="177"/>
      <c r="AA72" s="177"/>
      <c r="AB72" s="177"/>
      <c r="AC72" s="177"/>
      <c r="AD72" s="177"/>
      <c r="AE72" s="177"/>
      <c r="AF72" s="177"/>
      <c r="AG72" s="177"/>
      <c r="AH72" s="177"/>
      <c r="AI72" s="177"/>
      <c r="AJ72" s="177"/>
      <c r="AK72" s="177">
        <v>1</v>
      </c>
      <c r="AL72" s="276"/>
      <c r="AM72" s="277">
        <f>X72*P1_Reinigen_daken_incl._extra_maatregelen_veilig_werken_volgens_VCA__eventuele_vergunningen_leges___voorrijkosten__adminstratieve_kosten__fotorapportage_en_kleine_reparaties_¹</f>
        <v>0</v>
      </c>
      <c r="AN72" s="279">
        <f>Y72*P1_Reinigen_goten_incl._extra_maatregelen_veilig_werken_volgens_VCA__eventuele_vergunningen_leges___voorrijkosten__adminstratieve_kosten__fotorapportage_en_kleine_reparaties_¹</f>
        <v>0</v>
      </c>
      <c r="AO72" s="279">
        <f>(AE72*P1_Reinigen_Lichtkoepel_50X50)+('Perceel 2'!AF72*P1_Reinigen_Lichtkoepel_60x200)+('Perceel 2'!AG72*P1_Reinigen_Lichtkoepel_180x180)+('Perceel 2'!AH72*P1_Reinigen_Lichtstraten_groter_dan_180x180)</f>
        <v>0</v>
      </c>
      <c r="AP72" s="279">
        <f t="shared" si="8"/>
        <v>0</v>
      </c>
      <c r="AQ72" s="298"/>
      <c r="AR72" s="332">
        <f t="shared" si="9"/>
        <v>0</v>
      </c>
      <c r="AS72" s="336">
        <f t="shared" si="13"/>
        <v>29</v>
      </c>
    </row>
    <row r="73" spans="1:45" s="7" customFormat="1" ht="26.25" hidden="1" thickTop="1" thickBot="1" x14ac:dyDescent="0.5">
      <c r="A73" s="155"/>
      <c r="B73" s="152">
        <v>1</v>
      </c>
      <c r="C73" s="156" t="s">
        <v>135</v>
      </c>
      <c r="D73" s="156" t="s">
        <v>174</v>
      </c>
      <c r="E73" s="156"/>
      <c r="F73" s="156"/>
      <c r="G73" s="156"/>
      <c r="H73" s="151" t="s">
        <v>677</v>
      </c>
      <c r="I73" s="151" t="s">
        <v>678</v>
      </c>
      <c r="J73" s="157"/>
      <c r="K73" s="158"/>
      <c r="L73" s="151" t="s">
        <v>348</v>
      </c>
      <c r="M73" s="159" t="s">
        <v>349</v>
      </c>
      <c r="N73" s="164">
        <v>1486</v>
      </c>
      <c r="O73" s="159" t="s">
        <v>679</v>
      </c>
      <c r="P73" s="159" t="s">
        <v>680</v>
      </c>
      <c r="Q73" s="159" t="s">
        <v>681</v>
      </c>
      <c r="R73" s="42" t="s">
        <v>302</v>
      </c>
      <c r="S73" s="159" t="s">
        <v>146</v>
      </c>
      <c r="T73" s="159" t="s">
        <v>682</v>
      </c>
      <c r="U73" s="159" t="s">
        <v>683</v>
      </c>
      <c r="V73" s="176" t="s">
        <v>684</v>
      </c>
      <c r="W73" s="152">
        <v>2016</v>
      </c>
      <c r="X73" s="152">
        <v>1116</v>
      </c>
      <c r="Y73" s="152"/>
      <c r="Z73" s="177"/>
      <c r="AA73" s="177"/>
      <c r="AB73" s="177"/>
      <c r="AC73" s="177"/>
      <c r="AD73" s="177"/>
      <c r="AE73" s="177"/>
      <c r="AF73" s="177"/>
      <c r="AG73" s="177"/>
      <c r="AH73" s="177"/>
      <c r="AI73" s="221"/>
      <c r="AJ73" s="177"/>
      <c r="AK73" s="257">
        <v>1</v>
      </c>
      <c r="AL73" s="271"/>
      <c r="AM73" s="277">
        <f>X73*P1_Reinigen_daken_incl._extra_maatregelen_veilig_werken_volgens_VCA__eventuele_vergunningen_leges___voorrijkosten__adminstratieve_kosten__fotorapportage_en_kleine_reparaties_¹</f>
        <v>0</v>
      </c>
      <c r="AN73" s="279">
        <f>Y73*P1_Reinigen_goten_incl._extra_maatregelen_veilig_werken_volgens_VCA__eventuele_vergunningen_leges___voorrijkosten__adminstratieve_kosten__fotorapportage_en_kleine_reparaties_¹</f>
        <v>0</v>
      </c>
      <c r="AO73" s="279">
        <f>(AE73*P1_Reinigen_Lichtkoepel_50X50)+('Perceel 2'!AF73*P1_Reinigen_Lichtkoepel_60x200)+('Perceel 2'!AG73*P1_Reinigen_Lichtkoepel_180x180)+('Perceel 2'!AH73*P1_Reinigen_Lichtstraten_groter_dan_180x180)</f>
        <v>0</v>
      </c>
      <c r="AP73" s="279">
        <f t="shared" si="8"/>
        <v>0</v>
      </c>
      <c r="AQ73" s="298"/>
      <c r="AR73" s="332">
        <f t="shared" si="9"/>
        <v>0</v>
      </c>
      <c r="AS73" s="336">
        <f t="shared" si="13"/>
        <v>0</v>
      </c>
    </row>
    <row r="74" spans="1:45" s="7" customFormat="1" ht="26.25" hidden="1" thickTop="1" thickBot="1" x14ac:dyDescent="0.5">
      <c r="A74" s="211"/>
      <c r="B74" s="212">
        <v>1</v>
      </c>
      <c r="C74" s="171" t="s">
        <v>135</v>
      </c>
      <c r="D74" s="171" t="s">
        <v>174</v>
      </c>
      <c r="E74" s="171" t="s">
        <v>136</v>
      </c>
      <c r="F74" s="171"/>
      <c r="G74" s="171"/>
      <c r="H74" s="15"/>
      <c r="I74" s="15"/>
      <c r="J74" s="15"/>
      <c r="K74" s="15"/>
      <c r="L74" s="196"/>
      <c r="M74" s="171"/>
      <c r="N74" s="171">
        <v>1288.1184000000001</v>
      </c>
      <c r="O74" s="171" t="s">
        <v>685</v>
      </c>
      <c r="P74" s="171" t="s">
        <v>686</v>
      </c>
      <c r="Q74" s="211"/>
      <c r="R74" s="58"/>
      <c r="S74" s="211"/>
      <c r="T74" s="171"/>
      <c r="U74" s="171"/>
      <c r="V74" s="171"/>
      <c r="W74" s="211"/>
      <c r="X74" s="261">
        <v>2010</v>
      </c>
      <c r="Y74" s="211"/>
      <c r="Z74" s="171"/>
      <c r="AA74" s="171" t="s">
        <v>150</v>
      </c>
      <c r="AB74" s="171">
        <v>16</v>
      </c>
      <c r="AC74" s="171">
        <v>180</v>
      </c>
      <c r="AD74" s="171"/>
      <c r="AE74" s="171"/>
      <c r="AF74" s="171"/>
      <c r="AG74" s="171"/>
      <c r="AH74" s="171"/>
      <c r="AI74" s="171"/>
      <c r="AJ74" s="171"/>
      <c r="AK74" s="261">
        <v>1</v>
      </c>
      <c r="AL74" s="271"/>
      <c r="AM74" s="299"/>
      <c r="AN74" s="298"/>
      <c r="AO74" s="298"/>
      <c r="AP74" s="298"/>
      <c r="AQ74" s="298"/>
      <c r="AR74" s="333"/>
      <c r="AS74" s="337"/>
    </row>
    <row r="75" spans="1:45" s="7" customFormat="1" ht="25.5" hidden="1" customHeight="1" x14ac:dyDescent="0.45">
      <c r="A75" s="213"/>
      <c r="B75" s="214">
        <v>1</v>
      </c>
      <c r="C75" s="175" t="s">
        <v>135</v>
      </c>
      <c r="D75" s="175" t="s">
        <v>174</v>
      </c>
      <c r="E75" s="175"/>
      <c r="F75" s="175"/>
      <c r="G75" s="175"/>
      <c r="H75" s="215" t="s">
        <v>687</v>
      </c>
      <c r="I75" s="215" t="s">
        <v>688</v>
      </c>
      <c r="J75" s="216"/>
      <c r="K75" s="216"/>
      <c r="L75" s="215"/>
      <c r="M75" s="213" t="s">
        <v>349</v>
      </c>
      <c r="N75" s="213" t="s">
        <v>689</v>
      </c>
      <c r="O75" s="213" t="s">
        <v>690</v>
      </c>
      <c r="P75" s="213" t="s">
        <v>691</v>
      </c>
      <c r="Q75" s="213" t="s">
        <v>692</v>
      </c>
      <c r="R75" s="59" t="s">
        <v>693</v>
      </c>
      <c r="S75" s="213" t="s">
        <v>146</v>
      </c>
      <c r="T75" s="213" t="s">
        <v>524</v>
      </c>
      <c r="U75" s="213" t="s">
        <v>525</v>
      </c>
      <c r="V75" s="213" t="s">
        <v>526</v>
      </c>
      <c r="W75" s="213">
        <v>2010</v>
      </c>
      <c r="X75" s="262">
        <f>X74*50%</f>
        <v>1005</v>
      </c>
      <c r="Y75" s="213"/>
      <c r="Z75" s="213"/>
      <c r="AA75" s="213" t="s">
        <v>150</v>
      </c>
      <c r="AB75" s="213">
        <v>16</v>
      </c>
      <c r="AC75" s="213">
        <v>180</v>
      </c>
      <c r="AD75" s="213"/>
      <c r="AE75" s="213"/>
      <c r="AF75" s="213"/>
      <c r="AG75" s="213"/>
      <c r="AH75" s="213"/>
      <c r="AI75" s="213"/>
      <c r="AJ75" s="213"/>
      <c r="AK75" s="262">
        <v>1</v>
      </c>
      <c r="AL75" s="271"/>
      <c r="AM75" s="277">
        <f>X75*P1_reinigen_daken_met_vaste_dakveiligheid</f>
        <v>0</v>
      </c>
      <c r="AN75" s="279">
        <f>Y75*P1_reinigen_goten_met_vaste_dakveiligheid</f>
        <v>0</v>
      </c>
      <c r="AO75" s="279">
        <f>(AE75*P1_Reinigen_Lichtkoepel_50X50)+('Perceel 2'!AF75*P1_Reinigen_Lichtkoepel_60x200)+('Perceel 2'!AG75*P1_Reinigen_Lichtkoepel_180x180)+('Perceel 2'!AH75*P1_Reinigen_Lichtstraten_groter_dan_180x180)</f>
        <v>0</v>
      </c>
      <c r="AP75" s="279">
        <f t="shared" ref="AP75:AP81" si="14">(X75+Y75)*P1_Inspecteren_daken_en_goten_1x_per_jaar_gelijktijdig_met_reiniging_inclusief_inspectierapport_en_een_managementrapport</f>
        <v>0</v>
      </c>
      <c r="AQ75" s="289"/>
      <c r="AR75" s="332">
        <f t="shared" ref="AR75:AR81" si="15">AQ75*P1_keuren_dakveiligheid_per_man_uur</f>
        <v>0</v>
      </c>
      <c r="AS75" s="336">
        <f t="shared" si="13"/>
        <v>0</v>
      </c>
    </row>
    <row r="76" spans="1:45" s="7" customFormat="1" ht="51.75" hidden="1" thickTop="1" thickBot="1" x14ac:dyDescent="0.5">
      <c r="A76" s="213"/>
      <c r="B76" s="214">
        <v>1</v>
      </c>
      <c r="C76" s="175" t="s">
        <v>135</v>
      </c>
      <c r="D76" s="175" t="s">
        <v>136</v>
      </c>
      <c r="E76" s="175"/>
      <c r="F76" s="175"/>
      <c r="G76" s="175"/>
      <c r="H76" s="215" t="s">
        <v>694</v>
      </c>
      <c r="I76" s="215" t="s">
        <v>695</v>
      </c>
      <c r="J76" s="216"/>
      <c r="K76" s="216"/>
      <c r="L76" s="215"/>
      <c r="M76" s="190" t="s">
        <v>544</v>
      </c>
      <c r="N76" s="213" t="s">
        <v>696</v>
      </c>
      <c r="O76" s="213" t="s">
        <v>697</v>
      </c>
      <c r="P76" s="213" t="s">
        <v>698</v>
      </c>
      <c r="Q76" s="213" t="s">
        <v>699</v>
      </c>
      <c r="R76" s="59" t="s">
        <v>693</v>
      </c>
      <c r="S76" s="213" t="s">
        <v>146</v>
      </c>
      <c r="T76" s="213" t="s">
        <v>169</v>
      </c>
      <c r="U76" s="213" t="s">
        <v>170</v>
      </c>
      <c r="V76" s="213" t="s">
        <v>171</v>
      </c>
      <c r="W76" s="213">
        <v>2010</v>
      </c>
      <c r="X76" s="262">
        <f>X74*50%</f>
        <v>1005</v>
      </c>
      <c r="Y76" s="213"/>
      <c r="Z76" s="213"/>
      <c r="AA76" s="213" t="s">
        <v>150</v>
      </c>
      <c r="AB76" s="213"/>
      <c r="AC76" s="213"/>
      <c r="AD76" s="213"/>
      <c r="AE76" s="213"/>
      <c r="AF76" s="213"/>
      <c r="AG76" s="213"/>
      <c r="AH76" s="213"/>
      <c r="AI76" s="213"/>
      <c r="AJ76" s="213"/>
      <c r="AK76" s="262">
        <v>1</v>
      </c>
      <c r="AL76" s="271"/>
      <c r="AM76" s="277">
        <f>X76*P1_reinigen_daken_met_vaste_dakveiligheid</f>
        <v>0</v>
      </c>
      <c r="AN76" s="279">
        <f>Y76*P1_reinigen_goten_met_vaste_dakveiligheid</f>
        <v>0</v>
      </c>
      <c r="AO76" s="279">
        <f>(AE76*P1_Reinigen_Lichtkoepel_50X50)+('Perceel 2'!AF76*P1_Reinigen_Lichtkoepel_60x200)+('Perceel 2'!AG76*P1_Reinigen_Lichtkoepel_180x180)+('Perceel 2'!AH76*P1_Reinigen_Lichtstraten_groter_dan_180x180)</f>
        <v>0</v>
      </c>
      <c r="AP76" s="279">
        <f t="shared" si="14"/>
        <v>0</v>
      </c>
      <c r="AQ76" s="298"/>
      <c r="AR76" s="332">
        <f t="shared" si="15"/>
        <v>0</v>
      </c>
      <c r="AS76" s="336">
        <f t="shared" si="13"/>
        <v>0</v>
      </c>
    </row>
    <row r="77" spans="1:45" s="7" customFormat="1" ht="27" hidden="1" thickTop="1" thickBot="1" x14ac:dyDescent="0.5">
      <c r="A77" s="194"/>
      <c r="B77" s="217">
        <v>1</v>
      </c>
      <c r="C77" s="156" t="s">
        <v>135</v>
      </c>
      <c r="D77" s="156" t="s">
        <v>174</v>
      </c>
      <c r="E77" s="156"/>
      <c r="F77" s="156"/>
      <c r="G77" s="156"/>
      <c r="H77" s="218" t="s">
        <v>700</v>
      </c>
      <c r="I77" s="203" t="s">
        <v>701</v>
      </c>
      <c r="J77" s="218"/>
      <c r="K77" s="218"/>
      <c r="L77" s="151" t="s">
        <v>280</v>
      </c>
      <c r="M77" s="192" t="s">
        <v>669</v>
      </c>
      <c r="N77" s="194" t="s">
        <v>702</v>
      </c>
      <c r="O77" s="194" t="s">
        <v>703</v>
      </c>
      <c r="P77" s="194" t="s">
        <v>704</v>
      </c>
      <c r="Q77" s="194" t="s">
        <v>692</v>
      </c>
      <c r="R77" s="60" t="s">
        <v>693</v>
      </c>
      <c r="S77" s="194" t="s">
        <v>146</v>
      </c>
      <c r="T77" s="192" t="s">
        <v>524</v>
      </c>
      <c r="U77" s="192" t="s">
        <v>525</v>
      </c>
      <c r="V77" s="222" t="s">
        <v>526</v>
      </c>
      <c r="W77" s="194">
        <v>2009</v>
      </c>
      <c r="X77" s="263">
        <v>881</v>
      </c>
      <c r="Y77" s="194"/>
      <c r="Z77" s="194"/>
      <c r="AA77" s="194" t="s">
        <v>150</v>
      </c>
      <c r="AB77" s="194">
        <v>22</v>
      </c>
      <c r="AC77" s="194">
        <v>5</v>
      </c>
      <c r="AD77" s="194"/>
      <c r="AE77" s="194"/>
      <c r="AF77" s="194"/>
      <c r="AG77" s="194"/>
      <c r="AH77" s="194"/>
      <c r="AI77" s="194"/>
      <c r="AJ77" s="194"/>
      <c r="AK77" s="263">
        <v>1</v>
      </c>
      <c r="AL77" s="273"/>
      <c r="AM77" s="277">
        <f>X77*P1_reinigen_daken_met_vaste_dakveiligheid</f>
        <v>0</v>
      </c>
      <c r="AN77" s="279">
        <f>Y77*P1_reinigen_goten_met_vaste_dakveiligheid</f>
        <v>0</v>
      </c>
      <c r="AO77" s="279">
        <f>(AE77*P1_Reinigen_Lichtkoepel_50X50)+('Perceel 2'!AF77*P1_Reinigen_Lichtkoepel_60x200)+('Perceel 2'!AG77*P1_Reinigen_Lichtkoepel_180x180)+('Perceel 2'!AH77*P1_Reinigen_Lichtstraten_groter_dan_180x180)</f>
        <v>0</v>
      </c>
      <c r="AP77" s="279">
        <f t="shared" si="14"/>
        <v>0</v>
      </c>
      <c r="AQ77" s="289"/>
      <c r="AR77" s="332">
        <f t="shared" si="15"/>
        <v>0</v>
      </c>
      <c r="AS77" s="336">
        <f t="shared" si="13"/>
        <v>0</v>
      </c>
    </row>
    <row r="78" spans="1:45" s="7" customFormat="1" ht="141" hidden="1" thickTop="1" thickBot="1" x14ac:dyDescent="0.5">
      <c r="A78" s="192"/>
      <c r="B78" s="152">
        <v>1</v>
      </c>
      <c r="C78" s="156" t="s">
        <v>135</v>
      </c>
      <c r="D78" s="156" t="s">
        <v>136</v>
      </c>
      <c r="E78" s="156"/>
      <c r="F78" s="156"/>
      <c r="G78" s="156"/>
      <c r="H78" s="203" t="s">
        <v>705</v>
      </c>
      <c r="I78" s="203" t="s">
        <v>706</v>
      </c>
      <c r="J78" s="219"/>
      <c r="K78" s="218"/>
      <c r="L78" s="151" t="s">
        <v>348</v>
      </c>
      <c r="M78" s="192" t="s">
        <v>349</v>
      </c>
      <c r="N78" s="220">
        <v>1491</v>
      </c>
      <c r="O78" s="192" t="s">
        <v>707</v>
      </c>
      <c r="P78" s="192" t="s">
        <v>708</v>
      </c>
      <c r="Q78" s="192" t="s">
        <v>709</v>
      </c>
      <c r="R78" s="42" t="s">
        <v>710</v>
      </c>
      <c r="S78" s="159" t="s">
        <v>146</v>
      </c>
      <c r="T78" s="192" t="s">
        <v>711</v>
      </c>
      <c r="U78" s="192" t="s">
        <v>712</v>
      </c>
      <c r="V78" s="222" t="s">
        <v>713</v>
      </c>
      <c r="W78" s="203">
        <v>2020</v>
      </c>
      <c r="X78" s="217">
        <v>1100</v>
      </c>
      <c r="Y78" s="192"/>
      <c r="Z78" s="192"/>
      <c r="AA78" s="192"/>
      <c r="AB78" s="192"/>
      <c r="AC78" s="192"/>
      <c r="AD78" s="192"/>
      <c r="AE78" s="192"/>
      <c r="AF78" s="192"/>
      <c r="AG78" s="192"/>
      <c r="AH78" s="192"/>
      <c r="AI78" s="192" t="s">
        <v>714</v>
      </c>
      <c r="AJ78" s="192" t="s">
        <v>715</v>
      </c>
      <c r="AK78" s="281">
        <v>1</v>
      </c>
      <c r="AL78" s="273"/>
      <c r="AM78" s="277">
        <f>X78*P1_Reinigen_daken_incl._extra_maatregelen_veilig_werken_volgens_VCA__eventuele_vergunningen_leges___voorrijkosten__adminstratieve_kosten__fotorapportage_en_kleine_reparaties_¹</f>
        <v>0</v>
      </c>
      <c r="AN78" s="279">
        <f>Y78*P1_Reinigen_goten_incl._extra_maatregelen_veilig_werken_volgens_VCA__eventuele_vergunningen_leges___voorrijkosten__adminstratieve_kosten__fotorapportage_en_kleine_reparaties_¹</f>
        <v>0</v>
      </c>
      <c r="AO78" s="279">
        <f>(AE78*P1_Reinigen_Lichtkoepel_50X50)+('Perceel 2'!AF78*P1_Reinigen_Lichtkoepel_60x200)+('Perceel 2'!AG78*P1_Reinigen_Lichtkoepel_180x180)+('Perceel 2'!AH78*P1_Reinigen_Lichtstraten_groter_dan_180x180)</f>
        <v>0</v>
      </c>
      <c r="AP78" s="279">
        <f t="shared" si="14"/>
        <v>0</v>
      </c>
      <c r="AQ78" s="298"/>
      <c r="AR78" s="332">
        <f t="shared" si="15"/>
        <v>0</v>
      </c>
      <c r="AS78" s="336">
        <f t="shared" si="13"/>
        <v>0</v>
      </c>
    </row>
    <row r="79" spans="1:45" s="7" customFormat="1" ht="39" hidden="1" thickTop="1" thickBot="1" x14ac:dyDescent="0.5">
      <c r="A79" s="155"/>
      <c r="B79" s="152">
        <v>1</v>
      </c>
      <c r="C79" s="156" t="s">
        <v>135</v>
      </c>
      <c r="D79" s="156" t="s">
        <v>136</v>
      </c>
      <c r="E79" s="156"/>
      <c r="F79" s="156"/>
      <c r="G79" s="156"/>
      <c r="H79" s="151" t="s">
        <v>716</v>
      </c>
      <c r="I79" s="151" t="s">
        <v>717</v>
      </c>
      <c r="J79" s="163"/>
      <c r="K79" s="163"/>
      <c r="L79" s="163" t="s">
        <v>154</v>
      </c>
      <c r="M79" s="166" t="s">
        <v>544</v>
      </c>
      <c r="N79" s="159" t="s">
        <v>718</v>
      </c>
      <c r="O79" s="159" t="s">
        <v>719</v>
      </c>
      <c r="P79" s="160" t="s">
        <v>720</v>
      </c>
      <c r="Q79" s="160" t="s">
        <v>721</v>
      </c>
      <c r="R79" s="53" t="s">
        <v>710</v>
      </c>
      <c r="S79" s="160" t="s">
        <v>146</v>
      </c>
      <c r="T79" s="159" t="s">
        <v>722</v>
      </c>
      <c r="U79" s="168" t="s">
        <v>723</v>
      </c>
      <c r="V79" s="209" t="s">
        <v>724</v>
      </c>
      <c r="W79" s="152">
        <v>2007</v>
      </c>
      <c r="X79" s="152">
        <v>7396</v>
      </c>
      <c r="Y79" s="152"/>
      <c r="Z79" s="177" t="s">
        <v>311</v>
      </c>
      <c r="AA79" s="177" t="s">
        <v>150</v>
      </c>
      <c r="AB79" s="177">
        <v>45</v>
      </c>
      <c r="AC79" s="177">
        <v>207</v>
      </c>
      <c r="AD79" s="177"/>
      <c r="AE79" s="177"/>
      <c r="AF79" s="177"/>
      <c r="AG79" s="177"/>
      <c r="AH79" s="177"/>
      <c r="AI79" s="177"/>
      <c r="AJ79" s="177"/>
      <c r="AK79" s="257">
        <v>1</v>
      </c>
      <c r="AL79" s="271"/>
      <c r="AM79" s="277">
        <f>X79*P1_reinigen_daken_met_vaste_dakveiligheid</f>
        <v>0</v>
      </c>
      <c r="AN79" s="279">
        <f>Y79*P1_reinigen_goten_met_vaste_dakveiligheid</f>
        <v>0</v>
      </c>
      <c r="AO79" s="279">
        <f>(AE79*P1_Reinigen_Lichtkoepel_50X50)+('Perceel 2'!AF79*P1_Reinigen_Lichtkoepel_60x200)+('Perceel 2'!AG79*P1_Reinigen_Lichtkoepel_180x180)+('Perceel 2'!AH79*P1_Reinigen_Lichtstraten_groter_dan_180x180)</f>
        <v>0</v>
      </c>
      <c r="AP79" s="279">
        <f t="shared" si="14"/>
        <v>0</v>
      </c>
      <c r="AQ79" s="289"/>
      <c r="AR79" s="332">
        <f t="shared" si="15"/>
        <v>0</v>
      </c>
      <c r="AS79" s="336">
        <f t="shared" si="13"/>
        <v>0</v>
      </c>
    </row>
    <row r="80" spans="1:45" s="7" customFormat="1" ht="38.450000000000003" hidden="1" customHeight="1" x14ac:dyDescent="0.45">
      <c r="A80" s="155"/>
      <c r="B80" s="152">
        <v>1</v>
      </c>
      <c r="C80" s="156" t="s">
        <v>135</v>
      </c>
      <c r="D80" s="156" t="s">
        <v>136</v>
      </c>
      <c r="E80" s="156"/>
      <c r="F80" s="156"/>
      <c r="G80" s="156"/>
      <c r="H80" s="151" t="s">
        <v>725</v>
      </c>
      <c r="I80" s="151" t="s">
        <v>726</v>
      </c>
      <c r="J80" s="157"/>
      <c r="K80" s="163"/>
      <c r="L80" s="163" t="s">
        <v>154</v>
      </c>
      <c r="M80" s="166" t="s">
        <v>544</v>
      </c>
      <c r="N80" s="164">
        <v>2104</v>
      </c>
      <c r="O80" s="159" t="s">
        <v>727</v>
      </c>
      <c r="P80" s="159" t="s">
        <v>728</v>
      </c>
      <c r="Q80" s="160" t="s">
        <v>721</v>
      </c>
      <c r="R80" s="53" t="s">
        <v>710</v>
      </c>
      <c r="S80" s="160" t="s">
        <v>146</v>
      </c>
      <c r="T80" s="159" t="s">
        <v>722</v>
      </c>
      <c r="U80" s="168" t="s">
        <v>723</v>
      </c>
      <c r="V80" s="209" t="s">
        <v>724</v>
      </c>
      <c r="W80" s="152">
        <v>2016</v>
      </c>
      <c r="X80" s="152">
        <v>1701</v>
      </c>
      <c r="Y80" s="152"/>
      <c r="Z80" s="177" t="s">
        <v>311</v>
      </c>
      <c r="AA80" s="177" t="s">
        <v>150</v>
      </c>
      <c r="AB80" s="177">
        <v>22</v>
      </c>
      <c r="AC80" s="177">
        <v>186</v>
      </c>
      <c r="AD80" s="177"/>
      <c r="AE80" s="177"/>
      <c r="AF80" s="177"/>
      <c r="AG80" s="177"/>
      <c r="AH80" s="177"/>
      <c r="AI80" s="177" t="s">
        <v>345</v>
      </c>
      <c r="AJ80" s="177"/>
      <c r="AK80" s="257">
        <v>1</v>
      </c>
      <c r="AL80" s="271"/>
      <c r="AM80" s="277">
        <f>X80*P1_reinigen_daken_met_vaste_dakveiligheid</f>
        <v>0</v>
      </c>
      <c r="AN80" s="279">
        <f>Y80*P1_reinigen_goten_met_vaste_dakveiligheid</f>
        <v>0</v>
      </c>
      <c r="AO80" s="279">
        <f>(AE80*P1_Reinigen_Lichtkoepel_50X50)+('Perceel 2'!AF80*P1_Reinigen_Lichtkoepel_60x200)+('Perceel 2'!AG80*P1_Reinigen_Lichtkoepel_180x180)+('Perceel 2'!AH80*P1_Reinigen_Lichtstraten_groter_dan_180x180)</f>
        <v>0</v>
      </c>
      <c r="AP80" s="279">
        <f t="shared" si="14"/>
        <v>0</v>
      </c>
      <c r="AQ80" s="289"/>
      <c r="AR80" s="332">
        <f t="shared" si="15"/>
        <v>0</v>
      </c>
      <c r="AS80" s="336">
        <f t="shared" si="13"/>
        <v>0</v>
      </c>
    </row>
    <row r="81" spans="1:45" s="7" customFormat="1" ht="26.25" hidden="1" thickTop="1" thickBot="1" x14ac:dyDescent="0.5">
      <c r="A81" s="155"/>
      <c r="B81" s="165">
        <v>1</v>
      </c>
      <c r="C81" s="156" t="s">
        <v>135</v>
      </c>
      <c r="D81" s="156" t="s">
        <v>136</v>
      </c>
      <c r="E81" s="156"/>
      <c r="F81" s="156"/>
      <c r="G81" s="156"/>
      <c r="H81" s="151" t="s">
        <v>729</v>
      </c>
      <c r="I81" s="151" t="s">
        <v>730</v>
      </c>
      <c r="J81" s="157"/>
      <c r="K81" s="163"/>
      <c r="L81" s="163" t="s">
        <v>154</v>
      </c>
      <c r="M81" s="163" t="s">
        <v>155</v>
      </c>
      <c r="N81" s="159" t="s">
        <v>731</v>
      </c>
      <c r="O81" s="164" t="s">
        <v>732</v>
      </c>
      <c r="P81" s="159" t="s">
        <v>733</v>
      </c>
      <c r="Q81" s="159" t="s">
        <v>734</v>
      </c>
      <c r="R81" s="42" t="s">
        <v>339</v>
      </c>
      <c r="S81" s="159" t="s">
        <v>340</v>
      </c>
      <c r="T81" s="159" t="s">
        <v>735</v>
      </c>
      <c r="U81" s="159" t="s">
        <v>736</v>
      </c>
      <c r="V81" s="176" t="s">
        <v>737</v>
      </c>
      <c r="W81" s="152">
        <v>1990</v>
      </c>
      <c r="X81" s="152">
        <v>1008</v>
      </c>
      <c r="Y81" s="152"/>
      <c r="Z81" s="189"/>
      <c r="AA81" s="177"/>
      <c r="AB81" s="177"/>
      <c r="AC81" s="177"/>
      <c r="AD81" s="177"/>
      <c r="AE81" s="177"/>
      <c r="AF81" s="177"/>
      <c r="AG81" s="177"/>
      <c r="AH81" s="177"/>
      <c r="AI81" s="177"/>
      <c r="AJ81" s="177"/>
      <c r="AK81" s="177">
        <v>2</v>
      </c>
      <c r="AL81" s="273"/>
      <c r="AM81" s="277">
        <f>X81*P1_Reinigen_daken_incl._extra_maatregelen_veilig_werken_volgens_VCA__eventuele_vergunningen_leges___voorrijkosten__adminstratieve_kosten__fotorapportage_en_kleine_reparaties_¹</f>
        <v>0</v>
      </c>
      <c r="AN81" s="279">
        <f>Y81*P1_Reinigen_goten_incl._extra_maatregelen_veilig_werken_volgens_VCA__eventuele_vergunningen_leges___voorrijkosten__adminstratieve_kosten__fotorapportage_en_kleine_reparaties_¹</f>
        <v>0</v>
      </c>
      <c r="AO81" s="279">
        <f>(AE81*P1_Reinigen_Lichtkoepel_50X50)+('Perceel 2'!AF81*P1_Reinigen_Lichtkoepel_60x200)+('Perceel 2'!AG81*P1_Reinigen_Lichtkoepel_180x180)+('Perceel 2'!AH81*P1_Reinigen_Lichtstraten_groter_dan_180x180)</f>
        <v>0</v>
      </c>
      <c r="AP81" s="279">
        <f t="shared" si="14"/>
        <v>0</v>
      </c>
      <c r="AQ81" s="298"/>
      <c r="AR81" s="332">
        <f t="shared" si="15"/>
        <v>0</v>
      </c>
      <c r="AS81" s="336">
        <f t="shared" si="13"/>
        <v>0</v>
      </c>
    </row>
    <row r="82" spans="1:45" s="7" customFormat="1" ht="38.450000000000003" hidden="1" customHeight="1" x14ac:dyDescent="0.45">
      <c r="A82" s="238"/>
      <c r="B82" s="212">
        <v>1</v>
      </c>
      <c r="C82" s="156" t="s">
        <v>135</v>
      </c>
      <c r="D82" s="156" t="s">
        <v>136</v>
      </c>
      <c r="E82" s="156" t="s">
        <v>174</v>
      </c>
      <c r="F82" s="156"/>
      <c r="G82" s="156"/>
      <c r="H82" s="15"/>
      <c r="I82" s="15"/>
      <c r="J82" s="15"/>
      <c r="K82" s="16"/>
      <c r="L82" s="196"/>
      <c r="M82" s="171"/>
      <c r="N82" s="211" t="s">
        <v>738</v>
      </c>
      <c r="O82" s="171" t="s">
        <v>739</v>
      </c>
      <c r="P82" s="211" t="s">
        <v>740</v>
      </c>
      <c r="Q82" s="211" t="s">
        <v>741</v>
      </c>
      <c r="R82" s="58" t="s">
        <v>339</v>
      </c>
      <c r="S82" s="211" t="s">
        <v>340</v>
      </c>
      <c r="T82" s="171"/>
      <c r="U82" s="171"/>
      <c r="V82" s="171"/>
      <c r="W82" s="211">
        <v>1990</v>
      </c>
      <c r="X82" s="261">
        <v>2316</v>
      </c>
      <c r="Y82" s="211"/>
      <c r="Z82" s="171"/>
      <c r="AA82" s="171"/>
      <c r="AB82" s="171"/>
      <c r="AC82" s="171"/>
      <c r="AD82" s="171"/>
      <c r="AE82" s="171"/>
      <c r="AF82" s="171"/>
      <c r="AG82" s="171"/>
      <c r="AH82" s="171"/>
      <c r="AI82" s="171"/>
      <c r="AJ82" s="171"/>
      <c r="AK82" s="282">
        <v>3</v>
      </c>
      <c r="AL82" s="273"/>
      <c r="AM82" s="299"/>
      <c r="AN82" s="298"/>
      <c r="AO82" s="298"/>
      <c r="AP82" s="298"/>
      <c r="AQ82" s="298"/>
      <c r="AR82" s="333"/>
      <c r="AS82" s="337"/>
    </row>
    <row r="83" spans="1:45" s="7" customFormat="1" ht="38.450000000000003" hidden="1" customHeight="1" x14ac:dyDescent="0.45">
      <c r="A83" s="182"/>
      <c r="B83" s="185">
        <v>1</v>
      </c>
      <c r="C83" s="156" t="s">
        <v>135</v>
      </c>
      <c r="D83" s="156" t="s">
        <v>174</v>
      </c>
      <c r="E83" s="156"/>
      <c r="F83" s="156"/>
      <c r="G83" s="156"/>
      <c r="H83" s="174" t="s">
        <v>742</v>
      </c>
      <c r="I83" s="174" t="s">
        <v>743</v>
      </c>
      <c r="J83" s="197"/>
      <c r="K83" s="197"/>
      <c r="L83" s="174"/>
      <c r="M83" s="175" t="s">
        <v>349</v>
      </c>
      <c r="N83" s="182" t="s">
        <v>744</v>
      </c>
      <c r="O83" s="175" t="s">
        <v>745</v>
      </c>
      <c r="P83" s="182" t="s">
        <v>746</v>
      </c>
      <c r="Q83" s="182" t="s">
        <v>747</v>
      </c>
      <c r="R83" s="50" t="s">
        <v>339</v>
      </c>
      <c r="S83" s="182" t="s">
        <v>340</v>
      </c>
      <c r="T83" s="175" t="s">
        <v>748</v>
      </c>
      <c r="U83" s="175" t="s">
        <v>749</v>
      </c>
      <c r="V83" s="187" t="s">
        <v>750</v>
      </c>
      <c r="W83" s="182">
        <v>1990</v>
      </c>
      <c r="X83" s="255">
        <f>X82*59%</f>
        <v>1366.4399999999998</v>
      </c>
      <c r="Y83" s="182"/>
      <c r="Z83" s="175"/>
      <c r="AA83" s="175"/>
      <c r="AB83" s="175"/>
      <c r="AC83" s="175"/>
      <c r="AD83" s="175"/>
      <c r="AE83" s="175"/>
      <c r="AF83" s="175"/>
      <c r="AG83" s="175"/>
      <c r="AH83" s="175"/>
      <c r="AI83" s="175"/>
      <c r="AJ83" s="175"/>
      <c r="AK83" s="255">
        <v>3</v>
      </c>
      <c r="AL83" s="273"/>
      <c r="AM83" s="277">
        <f>X83*P1_Reinigen_daken_incl._extra_maatregelen_veilig_werken_volgens_VCA__eventuele_vergunningen_leges___voorrijkosten__adminstratieve_kosten__fotorapportage_en_kleine_reparaties_¹</f>
        <v>0</v>
      </c>
      <c r="AN83" s="279">
        <f>Y83*P1_Reinigen_goten_incl._extra_maatregelen_veilig_werken_volgens_VCA__eventuele_vergunningen_leges___voorrijkosten__adminstratieve_kosten__fotorapportage_en_kleine_reparaties_¹</f>
        <v>0</v>
      </c>
      <c r="AO83" s="279">
        <f>(AE83*P1_Reinigen_Lichtkoepel_50X50)+('Perceel 2'!AF83*P1_Reinigen_Lichtkoepel_60x200)+('Perceel 2'!AG83*P1_Reinigen_Lichtkoepel_180x180)+('Perceel 2'!AH83*P1_Reinigen_Lichtstraten_groter_dan_180x180)</f>
        <v>0</v>
      </c>
      <c r="AP83" s="279">
        <f>(X83+Y83)*P1_Inspecteren_daken_en_goten_1x_per_jaar_gelijktijdig_met_reiniging_inclusief_inspectierapport_en_een_managementrapport</f>
        <v>0</v>
      </c>
      <c r="AQ83" s="298"/>
      <c r="AR83" s="332">
        <f>AQ83*P1_keuren_dakveiligheid_per_man_uur</f>
        <v>0</v>
      </c>
      <c r="AS83" s="336">
        <f t="shared" si="13"/>
        <v>0</v>
      </c>
    </row>
    <row r="84" spans="1:45" s="7" customFormat="1" ht="12.75" hidden="1" customHeight="1" x14ac:dyDescent="0.45">
      <c r="A84" s="182"/>
      <c r="B84" s="185">
        <v>1</v>
      </c>
      <c r="C84" s="156" t="s">
        <v>135</v>
      </c>
      <c r="D84" s="156" t="s">
        <v>136</v>
      </c>
      <c r="E84" s="156"/>
      <c r="F84" s="156"/>
      <c r="G84" s="156"/>
      <c r="H84" s="174" t="s">
        <v>751</v>
      </c>
      <c r="I84" s="174" t="s">
        <v>752</v>
      </c>
      <c r="J84" s="197"/>
      <c r="K84" s="197"/>
      <c r="L84" s="174"/>
      <c r="M84" s="175" t="s">
        <v>140</v>
      </c>
      <c r="N84" s="182" t="s">
        <v>753</v>
      </c>
      <c r="O84" s="175" t="s">
        <v>754</v>
      </c>
      <c r="P84" s="182" t="s">
        <v>755</v>
      </c>
      <c r="Q84" s="182" t="s">
        <v>741</v>
      </c>
      <c r="R84" s="50" t="s">
        <v>339</v>
      </c>
      <c r="S84" s="182" t="s">
        <v>340</v>
      </c>
      <c r="T84" s="175" t="s">
        <v>756</v>
      </c>
      <c r="U84" s="175" t="s">
        <v>757</v>
      </c>
      <c r="V84" s="175" t="s">
        <v>758</v>
      </c>
      <c r="W84" s="182">
        <v>1990</v>
      </c>
      <c r="X84" s="255">
        <f>X82*21%</f>
        <v>486.35999999999996</v>
      </c>
      <c r="Y84" s="182"/>
      <c r="Z84" s="175"/>
      <c r="AA84" s="175"/>
      <c r="AB84" s="175"/>
      <c r="AC84" s="175"/>
      <c r="AD84" s="175"/>
      <c r="AE84" s="175"/>
      <c r="AF84" s="175"/>
      <c r="AG84" s="175"/>
      <c r="AH84" s="175"/>
      <c r="AI84" s="175"/>
      <c r="AJ84" s="175"/>
      <c r="AK84" s="255">
        <v>3</v>
      </c>
      <c r="AL84" s="273"/>
      <c r="AM84" s="277">
        <f>X84*P1_Reinigen_daken_incl._extra_maatregelen_veilig_werken_volgens_VCA__eventuele_vergunningen_leges___voorrijkosten__adminstratieve_kosten__fotorapportage_en_kleine_reparaties_¹</f>
        <v>0</v>
      </c>
      <c r="AN84" s="279">
        <f>Y84*P1_Reinigen_goten_incl._extra_maatregelen_veilig_werken_volgens_VCA__eventuele_vergunningen_leges___voorrijkosten__adminstratieve_kosten__fotorapportage_en_kleine_reparaties_¹</f>
        <v>0</v>
      </c>
      <c r="AO84" s="279">
        <f>(AE84*P1_Reinigen_Lichtkoepel_50X50)+('Perceel 2'!AF84*P1_Reinigen_Lichtkoepel_60x200)+('Perceel 2'!AG84*P1_Reinigen_Lichtkoepel_180x180)+('Perceel 2'!AH84*P1_Reinigen_Lichtstraten_groter_dan_180x180)</f>
        <v>0</v>
      </c>
      <c r="AP84" s="279">
        <f>(X84+Y84)*P1_Inspecteren_daken_en_goten_1x_per_jaar_gelijktijdig_met_reiniging_inclusief_inspectierapport_en_een_managementrapport</f>
        <v>0</v>
      </c>
      <c r="AQ84" s="298"/>
      <c r="AR84" s="332">
        <f>AQ84*P1_keuren_dakveiligheid_per_man_uur</f>
        <v>0</v>
      </c>
      <c r="AS84" s="336">
        <f t="shared" si="13"/>
        <v>0</v>
      </c>
    </row>
    <row r="85" spans="1:45" s="7" customFormat="1" ht="51.75" hidden="1" thickTop="1" thickBot="1" x14ac:dyDescent="0.5">
      <c r="A85" s="182"/>
      <c r="B85" s="185">
        <v>1</v>
      </c>
      <c r="C85" s="156" t="s">
        <v>135</v>
      </c>
      <c r="D85" s="156" t="s">
        <v>136</v>
      </c>
      <c r="E85" s="156"/>
      <c r="F85" s="156"/>
      <c r="G85" s="156"/>
      <c r="H85" s="174" t="s">
        <v>759</v>
      </c>
      <c r="I85" s="174" t="s">
        <v>760</v>
      </c>
      <c r="J85" s="202"/>
      <c r="K85" s="197"/>
      <c r="L85" s="174"/>
      <c r="M85" s="191" t="s">
        <v>544</v>
      </c>
      <c r="N85" s="182" t="s">
        <v>761</v>
      </c>
      <c r="O85" s="175" t="s">
        <v>762</v>
      </c>
      <c r="P85" s="182" t="s">
        <v>763</v>
      </c>
      <c r="Q85" s="182" t="s">
        <v>741</v>
      </c>
      <c r="R85" s="50" t="s">
        <v>339</v>
      </c>
      <c r="S85" s="182" t="s">
        <v>340</v>
      </c>
      <c r="T85" s="175" t="s">
        <v>169</v>
      </c>
      <c r="U85" s="175" t="s">
        <v>170</v>
      </c>
      <c r="V85" s="175" t="s">
        <v>171</v>
      </c>
      <c r="W85" s="182">
        <v>1990</v>
      </c>
      <c r="X85" s="255">
        <f>X82*20%</f>
        <v>463.20000000000005</v>
      </c>
      <c r="Y85" s="182"/>
      <c r="Z85" s="175"/>
      <c r="AA85" s="175"/>
      <c r="AB85" s="175"/>
      <c r="AC85" s="175"/>
      <c r="AD85" s="175"/>
      <c r="AE85" s="175"/>
      <c r="AF85" s="175"/>
      <c r="AG85" s="175"/>
      <c r="AH85" s="175"/>
      <c r="AI85" s="175"/>
      <c r="AJ85" s="175"/>
      <c r="AK85" s="255">
        <v>3</v>
      </c>
      <c r="AL85" s="273"/>
      <c r="AM85" s="277">
        <f>X85*P1_Reinigen_daken_incl._extra_maatregelen_veilig_werken_volgens_VCA__eventuele_vergunningen_leges___voorrijkosten__adminstratieve_kosten__fotorapportage_en_kleine_reparaties_¹</f>
        <v>0</v>
      </c>
      <c r="AN85" s="279">
        <f>Y85*P1_Reinigen_goten_incl._extra_maatregelen_veilig_werken_volgens_VCA__eventuele_vergunningen_leges___voorrijkosten__adminstratieve_kosten__fotorapportage_en_kleine_reparaties_¹</f>
        <v>0</v>
      </c>
      <c r="AO85" s="279">
        <f>(AE85*P1_Reinigen_Lichtkoepel_50X50)+('Perceel 2'!AF85*P1_Reinigen_Lichtkoepel_60x200)+('Perceel 2'!AG85*P1_Reinigen_Lichtkoepel_180x180)+('Perceel 2'!AH85*P1_Reinigen_Lichtstraten_groter_dan_180x180)</f>
        <v>0</v>
      </c>
      <c r="AP85" s="279">
        <f>(X85+Y85)*P1_Inspecteren_daken_en_goten_1x_per_jaar_gelijktijdig_met_reiniging_inclusief_inspectierapport_en_een_managementrapport</f>
        <v>0</v>
      </c>
      <c r="AQ85" s="298"/>
      <c r="AR85" s="332">
        <f>AQ85*P1_keuren_dakveiligheid_per_man_uur</f>
        <v>0</v>
      </c>
      <c r="AS85" s="336">
        <f t="shared" si="13"/>
        <v>0</v>
      </c>
    </row>
    <row r="86" spans="1:45" s="7" customFormat="1" ht="30" hidden="1" customHeight="1" x14ac:dyDescent="0.45">
      <c r="A86" s="211"/>
      <c r="B86" s="225">
        <v>1</v>
      </c>
      <c r="C86" s="156" t="s">
        <v>135</v>
      </c>
      <c r="D86" s="156" t="s">
        <v>136</v>
      </c>
      <c r="E86" s="156"/>
      <c r="F86" s="156"/>
      <c r="G86" s="156"/>
      <c r="H86" s="15"/>
      <c r="I86" s="15"/>
      <c r="J86" s="16"/>
      <c r="K86" s="16"/>
      <c r="L86" s="196"/>
      <c r="M86" s="196"/>
      <c r="N86" s="211" t="s">
        <v>764</v>
      </c>
      <c r="O86" s="171" t="s">
        <v>765</v>
      </c>
      <c r="P86" s="211" t="s">
        <v>766</v>
      </c>
      <c r="Q86" s="211" t="s">
        <v>767</v>
      </c>
      <c r="R86" s="58" t="s">
        <v>768</v>
      </c>
      <c r="S86" s="211" t="s">
        <v>340</v>
      </c>
      <c r="T86" s="171"/>
      <c r="U86" s="171"/>
      <c r="V86" s="171"/>
      <c r="W86" s="211">
        <v>2001</v>
      </c>
      <c r="X86" s="261">
        <v>1636</v>
      </c>
      <c r="Y86" s="211"/>
      <c r="Z86" s="171"/>
      <c r="AA86" s="171"/>
      <c r="AB86" s="171"/>
      <c r="AC86" s="171"/>
      <c r="AD86" s="171"/>
      <c r="AE86" s="171"/>
      <c r="AF86" s="171"/>
      <c r="AG86" s="171"/>
      <c r="AH86" s="171"/>
      <c r="AI86" s="171"/>
      <c r="AJ86" s="171"/>
      <c r="AK86" s="261">
        <v>1</v>
      </c>
      <c r="AL86" s="274"/>
      <c r="AM86" s="299"/>
      <c r="AN86" s="298"/>
      <c r="AO86" s="298"/>
      <c r="AP86" s="298"/>
      <c r="AQ86" s="298"/>
      <c r="AR86" s="333"/>
      <c r="AS86" s="337"/>
    </row>
    <row r="87" spans="1:45" s="7" customFormat="1" ht="30" hidden="1" customHeight="1" x14ac:dyDescent="0.45">
      <c r="A87" s="182"/>
      <c r="B87" s="185">
        <v>1</v>
      </c>
      <c r="C87" s="156" t="s">
        <v>135</v>
      </c>
      <c r="D87" s="156" t="s">
        <v>136</v>
      </c>
      <c r="E87" s="156"/>
      <c r="F87" s="156"/>
      <c r="G87" s="156"/>
      <c r="H87" s="174" t="s">
        <v>769</v>
      </c>
      <c r="I87" s="174" t="s">
        <v>770</v>
      </c>
      <c r="J87" s="197"/>
      <c r="K87" s="197"/>
      <c r="L87" s="174"/>
      <c r="M87" s="175" t="s">
        <v>140</v>
      </c>
      <c r="N87" s="182" t="s">
        <v>771</v>
      </c>
      <c r="O87" s="175" t="s">
        <v>772</v>
      </c>
      <c r="P87" s="182" t="s">
        <v>773</v>
      </c>
      <c r="Q87" s="182" t="s">
        <v>767</v>
      </c>
      <c r="R87" s="50" t="s">
        <v>768</v>
      </c>
      <c r="S87" s="182" t="s">
        <v>340</v>
      </c>
      <c r="T87" s="175" t="s">
        <v>774</v>
      </c>
      <c r="U87" s="175" t="s">
        <v>775</v>
      </c>
      <c r="V87" s="175" t="s">
        <v>776</v>
      </c>
      <c r="W87" s="182">
        <v>2001</v>
      </c>
      <c r="X87" s="255">
        <f>X86*31%</f>
        <v>507.15999999999997</v>
      </c>
      <c r="Y87" s="182"/>
      <c r="Z87" s="175" t="s">
        <v>311</v>
      </c>
      <c r="AA87" s="175"/>
      <c r="AB87" s="175"/>
      <c r="AC87" s="175"/>
      <c r="AD87" s="175"/>
      <c r="AE87" s="175"/>
      <c r="AF87" s="175"/>
      <c r="AG87" s="175"/>
      <c r="AH87" s="175"/>
      <c r="AI87" s="175"/>
      <c r="AJ87" s="175"/>
      <c r="AK87" s="255">
        <v>1</v>
      </c>
      <c r="AL87" s="274"/>
      <c r="AM87" s="277">
        <f>X87*P1_Reinigen_daken_incl._extra_maatregelen_veilig_werken_volgens_VCA__eventuele_vergunningen_leges___voorrijkosten__adminstratieve_kosten__fotorapportage_en_kleine_reparaties_¹</f>
        <v>0</v>
      </c>
      <c r="AN87" s="279">
        <f>Y87*P1_Reinigen_goten_incl._extra_maatregelen_veilig_werken_volgens_VCA__eventuele_vergunningen_leges___voorrijkosten__adminstratieve_kosten__fotorapportage_en_kleine_reparaties_¹</f>
        <v>0</v>
      </c>
      <c r="AO87" s="279">
        <f>(AE87*P1_Reinigen_Lichtkoepel_50X50)+('Perceel 2'!AF87*P1_Reinigen_Lichtkoepel_60x200)+('Perceel 2'!AG87*P1_Reinigen_Lichtkoepel_180x180)+('Perceel 2'!AH87*P1_Reinigen_Lichtstraten_groter_dan_180x180)</f>
        <v>0</v>
      </c>
      <c r="AP87" s="279">
        <f>(X87+Y87)*P1_Inspecteren_daken_en_goten_1x_per_jaar_gelijktijdig_met_reiniging_inclusief_inspectierapport_en_een_managementrapport</f>
        <v>0</v>
      </c>
      <c r="AQ87" s="298"/>
      <c r="AR87" s="332">
        <f>AQ87*P1_keuren_dakveiligheid_per_man_uur</f>
        <v>0</v>
      </c>
      <c r="AS87" s="336">
        <f t="shared" si="13"/>
        <v>0</v>
      </c>
    </row>
    <row r="88" spans="1:45" s="7" customFormat="1" ht="51.75" hidden="1" thickTop="1" thickBot="1" x14ac:dyDescent="0.5">
      <c r="A88" s="182"/>
      <c r="B88" s="185">
        <v>1</v>
      </c>
      <c r="C88" s="156" t="s">
        <v>135</v>
      </c>
      <c r="D88" s="156" t="s">
        <v>136</v>
      </c>
      <c r="E88" s="156"/>
      <c r="F88" s="156"/>
      <c r="G88" s="156"/>
      <c r="H88" s="174" t="s">
        <v>777</v>
      </c>
      <c r="I88" s="174" t="s">
        <v>778</v>
      </c>
      <c r="J88" s="197"/>
      <c r="K88" s="197"/>
      <c r="L88" s="197"/>
      <c r="M88" s="197" t="s">
        <v>349</v>
      </c>
      <c r="N88" s="182" t="s">
        <v>779</v>
      </c>
      <c r="O88" s="175" t="s">
        <v>780</v>
      </c>
      <c r="P88" s="182" t="s">
        <v>781</v>
      </c>
      <c r="Q88" s="182" t="s">
        <v>767</v>
      </c>
      <c r="R88" s="50" t="s">
        <v>768</v>
      </c>
      <c r="S88" s="182" t="s">
        <v>340</v>
      </c>
      <c r="T88" s="175" t="s">
        <v>782</v>
      </c>
      <c r="U88" s="175" t="s">
        <v>783</v>
      </c>
      <c r="V88" s="175" t="s">
        <v>784</v>
      </c>
      <c r="W88" s="182">
        <v>2001</v>
      </c>
      <c r="X88" s="255">
        <f>X86*15%</f>
        <v>245.39999999999998</v>
      </c>
      <c r="Y88" s="182"/>
      <c r="Z88" s="175"/>
      <c r="AA88" s="175"/>
      <c r="AB88" s="175"/>
      <c r="AC88" s="175"/>
      <c r="AD88" s="175"/>
      <c r="AE88" s="175"/>
      <c r="AF88" s="175"/>
      <c r="AG88" s="175"/>
      <c r="AH88" s="175"/>
      <c r="AI88" s="175"/>
      <c r="AJ88" s="175"/>
      <c r="AK88" s="255">
        <v>1</v>
      </c>
      <c r="AL88" s="272" t="s">
        <v>785</v>
      </c>
      <c r="AM88" s="277">
        <f>X88*P1_Reinigen_daken_incl._extra_maatregelen_veilig_werken_volgens_VCA__eventuele_vergunningen_leges___voorrijkosten__adminstratieve_kosten__fotorapportage_en_kleine_reparaties_¹</f>
        <v>0</v>
      </c>
      <c r="AN88" s="279">
        <f>Y88*P1_Reinigen_goten_incl._extra_maatregelen_veilig_werken_volgens_VCA__eventuele_vergunningen_leges___voorrijkosten__adminstratieve_kosten__fotorapportage_en_kleine_reparaties_¹</f>
        <v>0</v>
      </c>
      <c r="AO88" s="279">
        <f>(AE88*P1_Reinigen_Lichtkoepel_50X50)+('Perceel 2'!AF88*P1_Reinigen_Lichtkoepel_60x200)+('Perceel 2'!AG88*P1_Reinigen_Lichtkoepel_180x180)+('Perceel 2'!AH88*P1_Reinigen_Lichtstraten_groter_dan_180x180)</f>
        <v>0</v>
      </c>
      <c r="AP88" s="279">
        <f>(X88+Y88)*P1_Inspecteren_daken_en_goten_1x_per_jaar_gelijktijdig_met_reiniging_inclusief_inspectierapport_en_een_managementrapport</f>
        <v>0</v>
      </c>
      <c r="AQ88" s="298"/>
      <c r="AR88" s="332">
        <f>AQ88*P1_keuren_dakveiligheid_per_man_uur</f>
        <v>0</v>
      </c>
      <c r="AS88" s="336">
        <f t="shared" si="13"/>
        <v>0</v>
      </c>
    </row>
    <row r="89" spans="1:45" s="7" customFormat="1" ht="51.75" hidden="1" thickTop="1" thickBot="1" x14ac:dyDescent="0.5">
      <c r="A89" s="182"/>
      <c r="B89" s="185">
        <v>1</v>
      </c>
      <c r="C89" s="156" t="s">
        <v>135</v>
      </c>
      <c r="D89" s="156" t="s">
        <v>136</v>
      </c>
      <c r="E89" s="156"/>
      <c r="F89" s="156"/>
      <c r="G89" s="156"/>
      <c r="H89" s="174" t="s">
        <v>786</v>
      </c>
      <c r="I89" s="174" t="s">
        <v>787</v>
      </c>
      <c r="J89" s="202"/>
      <c r="K89" s="197"/>
      <c r="L89" s="174"/>
      <c r="M89" s="191" t="s">
        <v>544</v>
      </c>
      <c r="N89" s="182" t="s">
        <v>788</v>
      </c>
      <c r="O89" s="175" t="s">
        <v>789</v>
      </c>
      <c r="P89" s="182" t="s">
        <v>790</v>
      </c>
      <c r="Q89" s="182" t="s">
        <v>767</v>
      </c>
      <c r="R89" s="50" t="s">
        <v>768</v>
      </c>
      <c r="S89" s="182" t="s">
        <v>340</v>
      </c>
      <c r="T89" s="175" t="s">
        <v>169</v>
      </c>
      <c r="U89" s="175" t="s">
        <v>170</v>
      </c>
      <c r="V89" s="175" t="s">
        <v>171</v>
      </c>
      <c r="W89" s="182">
        <v>2001</v>
      </c>
      <c r="X89" s="255">
        <f>X86*54%</f>
        <v>883.44</v>
      </c>
      <c r="Y89" s="182"/>
      <c r="Z89" s="175" t="s">
        <v>311</v>
      </c>
      <c r="AA89" s="175"/>
      <c r="AB89" s="175"/>
      <c r="AC89" s="175"/>
      <c r="AD89" s="175"/>
      <c r="AE89" s="175"/>
      <c r="AF89" s="175"/>
      <c r="AG89" s="175"/>
      <c r="AH89" s="175"/>
      <c r="AI89" s="175"/>
      <c r="AJ89" s="175"/>
      <c r="AK89" s="255">
        <v>1</v>
      </c>
      <c r="AL89" s="274"/>
      <c r="AM89" s="277">
        <f>X89*P1_Reinigen_daken_incl._extra_maatregelen_veilig_werken_volgens_VCA__eventuele_vergunningen_leges___voorrijkosten__adminstratieve_kosten__fotorapportage_en_kleine_reparaties_¹</f>
        <v>0</v>
      </c>
      <c r="AN89" s="279">
        <f>Y89*P1_Reinigen_goten_incl._extra_maatregelen_veilig_werken_volgens_VCA__eventuele_vergunningen_leges___voorrijkosten__adminstratieve_kosten__fotorapportage_en_kleine_reparaties_¹</f>
        <v>0</v>
      </c>
      <c r="AO89" s="279">
        <f>(AE89*P1_Reinigen_Lichtkoepel_50X50)+('Perceel 2'!AF89*P1_Reinigen_Lichtkoepel_60x200)+('Perceel 2'!AG89*P1_Reinigen_Lichtkoepel_180x180)+('Perceel 2'!AH89*P1_Reinigen_Lichtstraten_groter_dan_180x180)</f>
        <v>0</v>
      </c>
      <c r="AP89" s="279">
        <f>(X89+Y89)*P1_Inspecteren_daken_en_goten_1x_per_jaar_gelijktijdig_met_reiniging_inclusief_inspectierapport_en_een_managementrapport</f>
        <v>0</v>
      </c>
      <c r="AQ89" s="298"/>
      <c r="AR89" s="332">
        <f>AQ89*P1_keuren_dakveiligheid_per_man_uur</f>
        <v>0</v>
      </c>
      <c r="AS89" s="336">
        <f t="shared" si="13"/>
        <v>0</v>
      </c>
    </row>
    <row r="90" spans="1:45" s="7" customFormat="1" ht="15.75" hidden="1" thickTop="1" thickBot="1" x14ac:dyDescent="0.5">
      <c r="A90" s="155"/>
      <c r="B90" s="165">
        <v>1</v>
      </c>
      <c r="C90" s="156" t="s">
        <v>135</v>
      </c>
      <c r="D90" s="156" t="s">
        <v>136</v>
      </c>
      <c r="E90" s="156"/>
      <c r="F90" s="156"/>
      <c r="G90" s="156"/>
      <c r="H90" s="151" t="s">
        <v>791</v>
      </c>
      <c r="I90" s="151" t="s">
        <v>792</v>
      </c>
      <c r="J90" s="157"/>
      <c r="K90" s="163"/>
      <c r="L90" s="151" t="s">
        <v>348</v>
      </c>
      <c r="M90" s="159" t="s">
        <v>349</v>
      </c>
      <c r="N90" s="160" t="s">
        <v>793</v>
      </c>
      <c r="O90" s="159" t="s">
        <v>794</v>
      </c>
      <c r="P90" s="160" t="s">
        <v>795</v>
      </c>
      <c r="Q90" s="160" t="s">
        <v>796</v>
      </c>
      <c r="R90" s="53" t="s">
        <v>768</v>
      </c>
      <c r="S90" s="160" t="s">
        <v>340</v>
      </c>
      <c r="T90" s="159" t="s">
        <v>797</v>
      </c>
      <c r="U90" s="230" t="s">
        <v>798</v>
      </c>
      <c r="V90" s="176" t="s">
        <v>799</v>
      </c>
      <c r="W90" s="152">
        <v>2007</v>
      </c>
      <c r="X90" s="152">
        <v>314</v>
      </c>
      <c r="Y90" s="152"/>
      <c r="Z90" s="177"/>
      <c r="AA90" s="177"/>
      <c r="AB90" s="177"/>
      <c r="AC90" s="177"/>
      <c r="AD90" s="177"/>
      <c r="AE90" s="177"/>
      <c r="AF90" s="177"/>
      <c r="AG90" s="177"/>
      <c r="AH90" s="177"/>
      <c r="AI90" s="177"/>
      <c r="AJ90" s="177"/>
      <c r="AK90" s="257">
        <v>1</v>
      </c>
      <c r="AL90" s="271"/>
      <c r="AM90" s="277">
        <f>X90*P1_Reinigen_daken_incl._extra_maatregelen_veilig_werken_volgens_VCA__eventuele_vergunningen_leges___voorrijkosten__adminstratieve_kosten__fotorapportage_en_kleine_reparaties_¹</f>
        <v>0</v>
      </c>
      <c r="AN90" s="279">
        <f>Y90*P1_Reinigen_goten_incl._extra_maatregelen_veilig_werken_volgens_VCA__eventuele_vergunningen_leges___voorrijkosten__adminstratieve_kosten__fotorapportage_en_kleine_reparaties_¹</f>
        <v>0</v>
      </c>
      <c r="AO90" s="279">
        <f>(AE90*P1_Reinigen_Lichtkoepel_50X50)+('Perceel 2'!AF90*P1_Reinigen_Lichtkoepel_60x200)+('Perceel 2'!AG90*P1_Reinigen_Lichtkoepel_180x180)+('Perceel 2'!AH90*P1_Reinigen_Lichtstraten_groter_dan_180x180)</f>
        <v>0</v>
      </c>
      <c r="AP90" s="279">
        <f>(X90+Y90)*P1_Inspecteren_daken_en_goten_1x_per_jaar_gelijktijdig_met_reiniging_inclusief_inspectierapport_en_een_managementrapport</f>
        <v>0</v>
      </c>
      <c r="AQ90" s="298"/>
      <c r="AR90" s="332">
        <f>AQ90*P1_keuren_dakveiligheid_per_man_uur</f>
        <v>0</v>
      </c>
      <c r="AS90" s="336">
        <f t="shared" si="13"/>
        <v>0</v>
      </c>
    </row>
    <row r="91" spans="1:45" s="7" customFormat="1" ht="26.25" hidden="1" thickTop="1" thickBot="1" x14ac:dyDescent="0.5">
      <c r="A91" s="155"/>
      <c r="B91" s="165">
        <v>1</v>
      </c>
      <c r="C91" s="156" t="s">
        <v>135</v>
      </c>
      <c r="D91" s="156" t="s">
        <v>136</v>
      </c>
      <c r="E91" s="156"/>
      <c r="F91" s="156"/>
      <c r="G91" s="156"/>
      <c r="H91" s="151" t="s">
        <v>800</v>
      </c>
      <c r="I91" s="151" t="s">
        <v>801</v>
      </c>
      <c r="J91" s="157"/>
      <c r="K91" s="163"/>
      <c r="L91" s="151" t="s">
        <v>348</v>
      </c>
      <c r="M91" s="159" t="s">
        <v>349</v>
      </c>
      <c r="N91" s="160" t="s">
        <v>802</v>
      </c>
      <c r="O91" s="159" t="s">
        <v>803</v>
      </c>
      <c r="P91" s="159" t="s">
        <v>804</v>
      </c>
      <c r="Q91" s="160" t="s">
        <v>805</v>
      </c>
      <c r="R91" s="55" t="s">
        <v>768</v>
      </c>
      <c r="S91" s="160" t="s">
        <v>340</v>
      </c>
      <c r="T91" s="227" t="s">
        <v>806</v>
      </c>
      <c r="U91" s="227" t="s">
        <v>807</v>
      </c>
      <c r="V91" s="228" t="s">
        <v>808</v>
      </c>
      <c r="W91" s="152">
        <v>2003</v>
      </c>
      <c r="X91" s="152">
        <v>504</v>
      </c>
      <c r="Y91" s="152"/>
      <c r="Z91" s="177"/>
      <c r="AA91" s="177"/>
      <c r="AB91" s="177"/>
      <c r="AC91" s="177"/>
      <c r="AD91" s="177"/>
      <c r="AE91" s="177"/>
      <c r="AF91" s="177"/>
      <c r="AG91" s="177"/>
      <c r="AH91" s="177"/>
      <c r="AI91" s="177"/>
      <c r="AJ91" s="177"/>
      <c r="AK91" s="257">
        <v>1</v>
      </c>
      <c r="AL91" s="271"/>
      <c r="AM91" s="277">
        <f>X91*P1_Reinigen_daken_incl._extra_maatregelen_veilig_werken_volgens_VCA__eventuele_vergunningen_leges___voorrijkosten__adminstratieve_kosten__fotorapportage_en_kleine_reparaties_¹</f>
        <v>0</v>
      </c>
      <c r="AN91" s="279">
        <f>Y91*P1_Reinigen_goten_incl._extra_maatregelen_veilig_werken_volgens_VCA__eventuele_vergunningen_leges___voorrijkosten__adminstratieve_kosten__fotorapportage_en_kleine_reparaties_¹</f>
        <v>0</v>
      </c>
      <c r="AO91" s="279">
        <f>(AE91*P1_Reinigen_Lichtkoepel_50X50)+('Perceel 2'!AF91*P1_Reinigen_Lichtkoepel_60x200)+('Perceel 2'!AG91*P1_Reinigen_Lichtkoepel_180x180)+('Perceel 2'!AH91*P1_Reinigen_Lichtstraten_groter_dan_180x180)</f>
        <v>0</v>
      </c>
      <c r="AP91" s="279">
        <f>(X91+Y91)*P1_Inspecteren_daken_en_goten_1x_per_jaar_gelijktijdig_met_reiniging_inclusief_inspectierapport_en_een_managementrapport</f>
        <v>0</v>
      </c>
      <c r="AQ91" s="298"/>
      <c r="AR91" s="332">
        <f>AQ91*P1_keuren_dakveiligheid_per_man_uur</f>
        <v>0</v>
      </c>
      <c r="AS91" s="336">
        <f t="shared" si="13"/>
        <v>0</v>
      </c>
    </row>
    <row r="92" spans="1:45" s="7" customFormat="1" ht="15" hidden="1" thickTop="1" thickBot="1" x14ac:dyDescent="0.5">
      <c r="A92" s="211"/>
      <c r="B92" s="212">
        <v>1</v>
      </c>
      <c r="C92" s="156" t="s">
        <v>135</v>
      </c>
      <c r="D92" s="156" t="s">
        <v>136</v>
      </c>
      <c r="E92" s="156" t="s">
        <v>174</v>
      </c>
      <c r="F92" s="156"/>
      <c r="G92" s="156"/>
      <c r="H92" s="15"/>
      <c r="I92" s="15"/>
      <c r="J92" s="16"/>
      <c r="K92" s="16"/>
      <c r="L92" s="196"/>
      <c r="M92" s="196"/>
      <c r="N92" s="211" t="s">
        <v>809</v>
      </c>
      <c r="O92" s="171" t="s">
        <v>810</v>
      </c>
      <c r="P92" s="211" t="s">
        <v>811</v>
      </c>
      <c r="Q92" s="211" t="s">
        <v>805</v>
      </c>
      <c r="R92" s="58" t="s">
        <v>768</v>
      </c>
      <c r="S92" s="211"/>
      <c r="T92" s="171"/>
      <c r="U92" s="171"/>
      <c r="V92" s="171"/>
      <c r="W92" s="211">
        <v>2001</v>
      </c>
      <c r="X92" s="261">
        <v>1814</v>
      </c>
      <c r="Y92" s="211"/>
      <c r="Z92" s="171"/>
      <c r="AA92" s="171"/>
      <c r="AB92" s="171"/>
      <c r="AC92" s="171"/>
      <c r="AD92" s="171"/>
      <c r="AE92" s="171"/>
      <c r="AF92" s="171"/>
      <c r="AG92" s="171"/>
      <c r="AH92" s="171"/>
      <c r="AI92" s="171"/>
      <c r="AJ92" s="171"/>
      <c r="AK92" s="261">
        <v>1</v>
      </c>
      <c r="AL92" s="274"/>
      <c r="AM92" s="299"/>
      <c r="AN92" s="298"/>
      <c r="AO92" s="298"/>
      <c r="AP92" s="298"/>
      <c r="AQ92" s="298"/>
      <c r="AR92" s="333"/>
      <c r="AS92" s="337"/>
    </row>
    <row r="93" spans="1:45" s="7" customFormat="1" ht="26.25" hidden="1" thickTop="1" thickBot="1" x14ac:dyDescent="0.5">
      <c r="A93" s="182"/>
      <c r="B93" s="185">
        <v>1</v>
      </c>
      <c r="C93" s="156" t="s">
        <v>135</v>
      </c>
      <c r="D93" s="156" t="s">
        <v>136</v>
      </c>
      <c r="E93" s="156"/>
      <c r="F93" s="156"/>
      <c r="G93" s="156"/>
      <c r="H93" s="174" t="s">
        <v>812</v>
      </c>
      <c r="I93" s="174" t="s">
        <v>813</v>
      </c>
      <c r="J93" s="197"/>
      <c r="K93" s="197"/>
      <c r="L93" s="174"/>
      <c r="M93" s="174" t="s">
        <v>349</v>
      </c>
      <c r="N93" s="182" t="s">
        <v>814</v>
      </c>
      <c r="O93" s="175" t="s">
        <v>815</v>
      </c>
      <c r="P93" s="182" t="s">
        <v>811</v>
      </c>
      <c r="Q93" s="182" t="s">
        <v>805</v>
      </c>
      <c r="R93" s="50" t="s">
        <v>768</v>
      </c>
      <c r="S93" s="182" t="s">
        <v>340</v>
      </c>
      <c r="T93" s="175" t="s">
        <v>816</v>
      </c>
      <c r="U93" s="175" t="s">
        <v>817</v>
      </c>
      <c r="V93" s="175" t="s">
        <v>818</v>
      </c>
      <c r="W93" s="182">
        <v>2001</v>
      </c>
      <c r="X93" s="255">
        <f>X92*9%</f>
        <v>163.26</v>
      </c>
      <c r="Y93" s="182"/>
      <c r="Z93" s="175"/>
      <c r="AA93" s="175"/>
      <c r="AB93" s="175"/>
      <c r="AC93" s="175"/>
      <c r="AD93" s="175"/>
      <c r="AE93" s="175"/>
      <c r="AF93" s="175"/>
      <c r="AG93" s="175"/>
      <c r="AH93" s="175"/>
      <c r="AI93" s="175"/>
      <c r="AJ93" s="175"/>
      <c r="AK93" s="255">
        <v>1</v>
      </c>
      <c r="AL93" s="274"/>
      <c r="AM93" s="277">
        <f>X93*P1_Reinigen_daken_incl._extra_maatregelen_veilig_werken_volgens_VCA__eventuele_vergunningen_leges___voorrijkosten__adminstratieve_kosten__fotorapportage_en_kleine_reparaties_¹</f>
        <v>0</v>
      </c>
      <c r="AN93" s="279">
        <f>Y93*P1_Reinigen_goten_incl._extra_maatregelen_veilig_werken_volgens_VCA__eventuele_vergunningen_leges___voorrijkosten__adminstratieve_kosten__fotorapportage_en_kleine_reparaties_¹</f>
        <v>0</v>
      </c>
      <c r="AO93" s="279">
        <f>(AE93*P1_Reinigen_Lichtkoepel_50X50)+('Perceel 2'!AF93*P1_Reinigen_Lichtkoepel_60x200)+('Perceel 2'!AG93*P1_Reinigen_Lichtkoepel_180x180)+('Perceel 2'!AH93*P1_Reinigen_Lichtstraten_groter_dan_180x180)</f>
        <v>0</v>
      </c>
      <c r="AP93" s="279">
        <f>(X93+Y93)*P1_Inspecteren_daken_en_goten_1x_per_jaar_gelijktijdig_met_reiniging_inclusief_inspectierapport_en_een_managementrapport</f>
        <v>0</v>
      </c>
      <c r="AQ93" s="298"/>
      <c r="AR93" s="332">
        <f>AQ93*P1_keuren_dakveiligheid_per_man_uur</f>
        <v>0</v>
      </c>
      <c r="AS93" s="336">
        <f t="shared" si="13"/>
        <v>0</v>
      </c>
    </row>
    <row r="94" spans="1:45" s="7" customFormat="1" ht="26.25" hidden="1" thickTop="1" thickBot="1" x14ac:dyDescent="0.5">
      <c r="A94" s="182"/>
      <c r="B94" s="185">
        <v>1</v>
      </c>
      <c r="C94" s="156" t="s">
        <v>135</v>
      </c>
      <c r="D94" s="156" t="s">
        <v>174</v>
      </c>
      <c r="E94" s="156"/>
      <c r="F94" s="156"/>
      <c r="G94" s="156"/>
      <c r="H94" s="174" t="s">
        <v>819</v>
      </c>
      <c r="I94" s="174" t="s">
        <v>820</v>
      </c>
      <c r="J94" s="197"/>
      <c r="K94" s="197"/>
      <c r="L94" s="174"/>
      <c r="M94" s="174" t="s">
        <v>349</v>
      </c>
      <c r="N94" s="182" t="s">
        <v>821</v>
      </c>
      <c r="O94" s="175" t="s">
        <v>822</v>
      </c>
      <c r="P94" s="182" t="s">
        <v>811</v>
      </c>
      <c r="Q94" s="182" t="s">
        <v>805</v>
      </c>
      <c r="R94" s="50" t="s">
        <v>768</v>
      </c>
      <c r="S94" s="182" t="s">
        <v>340</v>
      </c>
      <c r="T94" s="175" t="s">
        <v>806</v>
      </c>
      <c r="U94" s="175" t="s">
        <v>807</v>
      </c>
      <c r="V94" s="187" t="s">
        <v>808</v>
      </c>
      <c r="W94" s="182">
        <v>2001</v>
      </c>
      <c r="X94" s="255">
        <f>X92*91%</f>
        <v>1650.74</v>
      </c>
      <c r="Y94" s="182"/>
      <c r="Z94" s="175"/>
      <c r="AA94" s="175"/>
      <c r="AB94" s="175"/>
      <c r="AC94" s="175"/>
      <c r="AD94" s="175"/>
      <c r="AE94" s="175"/>
      <c r="AF94" s="175"/>
      <c r="AG94" s="175"/>
      <c r="AH94" s="175"/>
      <c r="AI94" s="175"/>
      <c r="AJ94" s="175"/>
      <c r="AK94" s="255">
        <v>1</v>
      </c>
      <c r="AL94" s="274"/>
      <c r="AM94" s="277">
        <f>X94*P1_Reinigen_daken_incl._extra_maatregelen_veilig_werken_volgens_VCA__eventuele_vergunningen_leges___voorrijkosten__adminstratieve_kosten__fotorapportage_en_kleine_reparaties_¹</f>
        <v>0</v>
      </c>
      <c r="AN94" s="279">
        <f>Y94*P1_Reinigen_goten_incl._extra_maatregelen_veilig_werken_volgens_VCA__eventuele_vergunningen_leges___voorrijkosten__adminstratieve_kosten__fotorapportage_en_kleine_reparaties_¹</f>
        <v>0</v>
      </c>
      <c r="AO94" s="279">
        <f>(AE94*P1_Reinigen_Lichtkoepel_50X50)+('Perceel 2'!AF94*P1_Reinigen_Lichtkoepel_60x200)+('Perceel 2'!AG94*P1_Reinigen_Lichtkoepel_180x180)+('Perceel 2'!AH94*P1_Reinigen_Lichtstraten_groter_dan_180x180)</f>
        <v>0</v>
      </c>
      <c r="AP94" s="279">
        <f>(X94+Y94)*P1_Inspecteren_daken_en_goten_1x_per_jaar_gelijktijdig_met_reiniging_inclusief_inspectierapport_en_een_managementrapport</f>
        <v>0</v>
      </c>
      <c r="AQ94" s="298"/>
      <c r="AR94" s="332">
        <f>AQ94*P1_keuren_dakveiligheid_per_man_uur</f>
        <v>0</v>
      </c>
      <c r="AS94" s="336">
        <f t="shared" si="13"/>
        <v>0</v>
      </c>
    </row>
    <row r="95" spans="1:45" s="7" customFormat="1" ht="77.25" hidden="1" thickTop="1" thickBot="1" x14ac:dyDescent="0.5">
      <c r="A95" s="161"/>
      <c r="B95" s="152">
        <v>1</v>
      </c>
      <c r="C95" s="156" t="s">
        <v>135</v>
      </c>
      <c r="D95" s="156" t="s">
        <v>136</v>
      </c>
      <c r="E95" s="156"/>
      <c r="F95" s="156"/>
      <c r="G95" s="156"/>
      <c r="H95" s="151" t="s">
        <v>823</v>
      </c>
      <c r="I95" s="151"/>
      <c r="J95" s="163"/>
      <c r="K95" s="163"/>
      <c r="L95" s="151" t="s">
        <v>348</v>
      </c>
      <c r="M95" s="151" t="s">
        <v>349</v>
      </c>
      <c r="N95" s="164">
        <v>1294</v>
      </c>
      <c r="O95" s="166" t="s">
        <v>824</v>
      </c>
      <c r="P95" s="159" t="s">
        <v>825</v>
      </c>
      <c r="Q95" s="159" t="s">
        <v>826</v>
      </c>
      <c r="R95" s="42" t="s">
        <v>827</v>
      </c>
      <c r="S95" s="159" t="s">
        <v>146</v>
      </c>
      <c r="T95" s="159" t="s">
        <v>828</v>
      </c>
      <c r="U95" s="159" t="s">
        <v>829</v>
      </c>
      <c r="V95" s="176" t="s">
        <v>830</v>
      </c>
      <c r="W95" s="152">
        <v>2020</v>
      </c>
      <c r="X95" s="152">
        <v>1677</v>
      </c>
      <c r="Y95" s="152"/>
      <c r="Z95" s="177"/>
      <c r="AA95" s="177" t="s">
        <v>150</v>
      </c>
      <c r="AB95" s="177">
        <v>19</v>
      </c>
      <c r="AC95" s="177">
        <v>61</v>
      </c>
      <c r="AD95" s="177"/>
      <c r="AE95" s="177"/>
      <c r="AF95" s="177"/>
      <c r="AG95" s="177"/>
      <c r="AH95" s="177"/>
      <c r="AI95" s="177" t="s">
        <v>324</v>
      </c>
      <c r="AJ95" s="177" t="s">
        <v>831</v>
      </c>
      <c r="AK95" s="177">
        <v>1</v>
      </c>
      <c r="AL95" s="272"/>
      <c r="AM95" s="277">
        <f>X95*P1_reinigen_daken_met_vaste_dakveiligheid</f>
        <v>0</v>
      </c>
      <c r="AN95" s="279">
        <f>Y95*P1_reinigen_goten_met_vaste_dakveiligheid</f>
        <v>0</v>
      </c>
      <c r="AO95" s="279">
        <f>(AE95*P1_Reinigen_Lichtkoepel_50X50)+('Perceel 2'!AF95*P1_Reinigen_Lichtkoepel_60x200)+('Perceel 2'!AG95*P1_Reinigen_Lichtkoepel_180x180)+('Perceel 2'!AH95*P1_Reinigen_Lichtstraten_groter_dan_180x180)</f>
        <v>0</v>
      </c>
      <c r="AP95" s="279">
        <f>(X95+Y95)*P1_Inspecteren_daken_en_goten_1x_per_jaar_gelijktijdig_met_reiniging_inclusief_inspectierapport_en_een_managementrapport</f>
        <v>0</v>
      </c>
      <c r="AQ95" s="289"/>
      <c r="AR95" s="332">
        <f>AQ95*P1_keuren_dakveiligheid_per_man_uur</f>
        <v>0</v>
      </c>
      <c r="AS95" s="336">
        <f t="shared" si="13"/>
        <v>0</v>
      </c>
    </row>
    <row r="96" spans="1:45" s="7" customFormat="1" ht="102.75" hidden="1" thickTop="1" thickBot="1" x14ac:dyDescent="0.5">
      <c r="A96" s="155"/>
      <c r="B96" s="152">
        <v>1</v>
      </c>
      <c r="C96" s="156" t="s">
        <v>135</v>
      </c>
      <c r="D96" s="156" t="s">
        <v>136</v>
      </c>
      <c r="E96" s="156" t="s">
        <v>832</v>
      </c>
      <c r="F96" s="156"/>
      <c r="G96" s="156" t="s">
        <v>833</v>
      </c>
      <c r="H96" s="151" t="s">
        <v>834</v>
      </c>
      <c r="I96" s="151" t="s">
        <v>835</v>
      </c>
      <c r="J96" s="157"/>
      <c r="K96" s="163"/>
      <c r="L96" s="151" t="s">
        <v>280</v>
      </c>
      <c r="M96" s="159" t="s">
        <v>669</v>
      </c>
      <c r="N96" s="168" t="s">
        <v>836</v>
      </c>
      <c r="O96" s="159" t="s">
        <v>837</v>
      </c>
      <c r="P96" s="159" t="s">
        <v>838</v>
      </c>
      <c r="Q96" s="159" t="s">
        <v>839</v>
      </c>
      <c r="R96" s="42" t="s">
        <v>827</v>
      </c>
      <c r="S96" s="159" t="s">
        <v>146</v>
      </c>
      <c r="T96" s="159" t="s">
        <v>840</v>
      </c>
      <c r="U96" s="159" t="s">
        <v>841</v>
      </c>
      <c r="V96" s="176" t="s">
        <v>842</v>
      </c>
      <c r="W96" s="152">
        <v>2015</v>
      </c>
      <c r="X96" s="152">
        <v>1836</v>
      </c>
      <c r="Y96" s="152"/>
      <c r="Z96" s="177" t="s">
        <v>311</v>
      </c>
      <c r="AA96" s="177" t="s">
        <v>150</v>
      </c>
      <c r="AB96" s="177">
        <v>30</v>
      </c>
      <c r="AC96" s="177">
        <v>176</v>
      </c>
      <c r="AD96" s="177"/>
      <c r="AE96" s="177"/>
      <c r="AF96" s="177"/>
      <c r="AG96" s="177"/>
      <c r="AH96" s="177"/>
      <c r="AI96" s="177"/>
      <c r="AJ96" s="177"/>
      <c r="AK96" s="257">
        <v>1</v>
      </c>
      <c r="AL96" s="271"/>
      <c r="AM96" s="300">
        <f>X96*P1_reinigen_daken_met_vaste_dakveiligheid</f>
        <v>0</v>
      </c>
      <c r="AN96" s="301">
        <f>Y96*P1_reinigen_goten_met_vaste_dakveiligheid</f>
        <v>0</v>
      </c>
      <c r="AO96" s="301">
        <f>(AE96*P1_Reinigen_Lichtkoepel_50X50)+('Perceel 2'!AF96*P1_Reinigen_Lichtkoepel_60x200)+('Perceel 2'!AG96*P1_Reinigen_Lichtkoepel_180x180)+('Perceel 2'!AH96*P1_Reinigen_Lichtstraten_groter_dan_180x180)</f>
        <v>0</v>
      </c>
      <c r="AP96" s="301">
        <f>(X96+Y96)*P1_Inspecteren_daken_en_goten_1x_per_jaar_gelijktijdig_met_reiniging_inclusief_inspectierapport_en_een_managementrapport</f>
        <v>0</v>
      </c>
      <c r="AQ96" s="290"/>
      <c r="AR96" s="334">
        <f>AQ96*P1_keuren_dakveiligheid_per_man_uur</f>
        <v>0</v>
      </c>
      <c r="AS96" s="338">
        <f t="shared" si="13"/>
        <v>0</v>
      </c>
    </row>
    <row r="97" spans="1:46" s="7" customFormat="1" ht="15" hidden="1" thickTop="1" thickBot="1" x14ac:dyDescent="0.5">
      <c r="A97" s="8"/>
      <c r="B97" s="40">
        <v>1</v>
      </c>
      <c r="C97" s="2" t="s">
        <v>135</v>
      </c>
      <c r="D97" s="2"/>
      <c r="E97" s="2"/>
      <c r="F97" s="2"/>
      <c r="G97" s="2"/>
      <c r="H97" s="38"/>
      <c r="I97" s="38"/>
      <c r="J97" s="244"/>
      <c r="K97" s="245"/>
      <c r="L97" s="245"/>
      <c r="M97" s="245"/>
      <c r="N97" s="19" t="s">
        <v>843</v>
      </c>
      <c r="O97" s="291" t="s">
        <v>844</v>
      </c>
      <c r="P97" s="19"/>
      <c r="Q97" s="19"/>
      <c r="R97" s="19"/>
      <c r="S97" s="19"/>
      <c r="T97" s="19"/>
      <c r="U97" s="19"/>
      <c r="V97" s="20"/>
      <c r="W97" s="30"/>
      <c r="X97" s="30">
        <f>X2+X3+X4+X5+X6+X7+X8+X11+X12+X13+X14+X19+X20+X21+X22+X23+X25+X26+X27+X28+X29+X31+X32+X33+X34+X35+X36+X37+X38+X40+X41+X42+X43+X44+X45+X46+X47+X48+X49+X50+X51+X52+X54+X55+X56+X57+X58+X59+X60+X61+X62+X63+X64+X65+X66+X67+X68+X69+X70+X71+X72+X73+X75+X76+X77+X78+X79+X80+X81+X83+X84+X85+X87+X88+X89+X90+X91+X93+X94+X95+X96</f>
        <v>73772</v>
      </c>
      <c r="Y97" s="30">
        <f>Y2+Y3+Y4+Y5+Y6+Y7+Y8+Y11+Y12+Y13+Y14+Y19+Y20+Y21+Y22+Y23+Y25+Y26+Y27+Y28+Y29+Y31+Y32+Y33+Y34+Y35+Y36+Y37+Y38+Y40+Y41+Y42+Y43+Y44+Y45+Y46+Y47+Y48+Y49+Y50+Y51+Y52+Y54+Y55+Y56+Y57+Y58+Y59+Y60+Y61+Y62+Y63+Y64+Y65+Y66+Y67+Y68+Y69+Y70+Y71+Y72+Y73+Y75+Y76+Y77+Y78+Y79+Y80+Y81+Y83+Y84+Y85+Y87+Y88+Y89+Y90+Y91+Y93+Y94+Y95+Y96</f>
        <v>624</v>
      </c>
      <c r="Z97" s="250"/>
      <c r="AA97" s="39"/>
      <c r="AB97" s="30">
        <f t="shared" ref="AB97:AC97" si="16">AB2+AB3+AB4+AB5+AB6+AB7+AB8+AB11+AB12+AB13+AB14+AB19+AB20+AB21+AB22+AB23+AB25+AB26+AB27+AB28+AB29+AB31+AB32+AB33+AB34+AB35+AB36+AB37+AB38+AB40+AB41+AB42+AB43+AB44+AB45+AB46+AB47+AB48+AB49+AB50+AB51+AB52+AB54+AB55+AB56+AB57+AB58+AB59+AB60+AB61+AB62+AB63+AB64+AB65+AB66+AB67+AB68+AB69+AB70+AB71+AB72+AB73+AB75+AB76+AB77+AB78+AB79+AB80+AB81+AB83+AB84+AB85+AB87+AB88+AB89+AB90+AB91+AB93+AB94+AB95+AB96</f>
        <v>603</v>
      </c>
      <c r="AC97" s="30">
        <f t="shared" si="16"/>
        <v>2863</v>
      </c>
      <c r="AD97" s="39"/>
      <c r="AE97" s="39"/>
      <c r="AF97" s="39"/>
      <c r="AG97" s="39"/>
      <c r="AH97" s="39"/>
      <c r="AI97" s="39"/>
      <c r="AJ97" s="39"/>
      <c r="AK97" s="39"/>
      <c r="AL97" s="246"/>
      <c r="AM97" s="293">
        <f>AM2+AM3+AM4+AM5+AM6+AM7+AM8+AM11+AM12+AM13+AM14+AM19+AM20+AM21+AM22+AM23+AM25+AM26+AM27+AM28+AM29+AM31+AM32+AM33+AM34+AM35+AM36+AM37+AM38+AM40+AM41+AM42+AM43+AM44+AM45+AM46+AM47+AM48+AM49+AM50+AM51+AM52+AM54+AM55+AM56+AM57+AM58+AM59+AM60+AM61+AM61+AM62+AM63+AM64+AM65+AM66+AM67+AM68+AM69+AM70+AM71+AM72+AM73+AM75+AM76+AM77+AM78+AM79+AM80+AM81+AM83+AM84+AM85+AM87+AM88+AM89+AM90+AM91+AM93+AM94+AM95+AM96</f>
        <v>0</v>
      </c>
      <c r="AN97" s="293">
        <f>AN2+AN3+AN4+AN5+AN6+AN7+AN8+AN11+AN12+AN13+AN14+AN19+AN20+AN21+AN22+AN23+AN25+AN26+AN27+AN28+AN29+AN31+AN32+AN33+AN34+AN35+AN36+AN37+AN38+AN40+AN41+AN42+AN43+AN44+AN45+AN46+AN47+AN48+AN49+AN50+AN51+AN52+AN54+AN55+AN56+AN57+AN58+AN59+AN60+AN61+AN61+AN62+AN63+AN64+AN65+AN66+AN67+AN68+AN69+AN70+AN71+AN72+AN73+AN75+AN76+AN77+AN78+AN79+AN80+AN81+AN83+AN84+AN85+AN87+AN88+AN89+AN90+AN91+AN93+AN94+AN95+AN96</f>
        <v>0</v>
      </c>
      <c r="AO97" s="293">
        <f t="shared" ref="AO97:AS97" si="17">AO2+AO3+AO4+AO5+AO6+AO7+AO8+AO11+AO12+AO13+AO14+AO19+AO20+AO21+AO22+AO23+AO25+AO26+AO27+AO28+AO29+AO31+AO32+AO33+AO34+AO35+AO36+AO37+AO38+AO40+AO41+AO42+AO43+AO44+AO45+AO46+AO47+AO48+AO49+AO50+AO51+AO52+AO54+AO55+AO56+AO57+AO58+AO59+AO60+AO61+AO61+AO62+AO63+AO64+AO65+AO66+AO67+AO68+AO69+AO70+AO71+AO72+AO73+AO75+AO76+AO77+AO78+AO79+AO80+AO81+AO83+AO84+AO85+AO87+AO88+AO89+AO90+AO91+AO93+AO94+AO95+AO96</f>
        <v>0</v>
      </c>
      <c r="AP97" s="293">
        <f t="shared" si="17"/>
        <v>0</v>
      </c>
      <c r="AQ97" s="292">
        <f t="shared" si="17"/>
        <v>0</v>
      </c>
      <c r="AR97" s="293">
        <f t="shared" si="17"/>
        <v>0</v>
      </c>
      <c r="AS97" s="293">
        <f t="shared" si="17"/>
        <v>847</v>
      </c>
      <c r="AT97" s="293"/>
    </row>
    <row r="98" spans="1:46" s="7" customFormat="1" ht="15" hidden="1" thickTop="1" thickBot="1" x14ac:dyDescent="0.5">
      <c r="A98" s="8"/>
      <c r="B98" s="40"/>
      <c r="C98" s="2"/>
      <c r="D98" s="2"/>
      <c r="E98" s="2"/>
      <c r="F98" s="2"/>
      <c r="G98" s="2"/>
      <c r="H98" s="38"/>
      <c r="I98" s="38"/>
      <c r="J98" s="244"/>
      <c r="K98" s="245"/>
      <c r="L98" s="245"/>
      <c r="M98" s="245"/>
      <c r="N98" s="19"/>
      <c r="O98" s="247"/>
      <c r="P98" s="19"/>
      <c r="Q98" s="19"/>
      <c r="R98" s="19"/>
      <c r="S98" s="19"/>
      <c r="T98" s="19"/>
      <c r="U98" s="19"/>
      <c r="V98" s="20"/>
      <c r="W98" s="30"/>
      <c r="X98" s="30"/>
      <c r="Y98" s="30"/>
      <c r="Z98" s="250"/>
      <c r="AA98" s="39"/>
      <c r="AB98" s="39"/>
      <c r="AC98" s="39"/>
      <c r="AD98" s="39"/>
      <c r="AE98" s="39"/>
      <c r="AF98" s="39"/>
      <c r="AG98" s="39"/>
      <c r="AH98" s="39"/>
      <c r="AI98" s="39"/>
      <c r="AJ98" s="39"/>
      <c r="AK98" s="39"/>
      <c r="AL98" s="246"/>
      <c r="AM98" s="278"/>
      <c r="AN98" s="278"/>
      <c r="AO98" s="278"/>
      <c r="AP98" s="278"/>
      <c r="AR98" s="278"/>
      <c r="AS98" s="278"/>
    </row>
    <row r="99" spans="1:46" s="7" customFormat="1" ht="15" hidden="1" thickTop="1" thickBot="1" x14ac:dyDescent="0.5">
      <c r="A99" s="8"/>
      <c r="B99" s="40"/>
      <c r="C99" s="2"/>
      <c r="D99" s="2"/>
      <c r="E99" s="2"/>
      <c r="F99" s="2"/>
      <c r="G99" s="2"/>
      <c r="H99" s="38"/>
      <c r="I99" s="38"/>
      <c r="J99" s="244"/>
      <c r="K99" s="245"/>
      <c r="L99" s="245"/>
      <c r="M99" s="245"/>
      <c r="N99" s="19"/>
      <c r="O99" s="247"/>
      <c r="P99" s="19"/>
      <c r="Q99" s="19"/>
      <c r="R99" s="19"/>
      <c r="S99" s="19"/>
      <c r="T99" s="19"/>
      <c r="U99" s="19"/>
      <c r="V99" s="20"/>
      <c r="W99" s="30"/>
      <c r="X99" s="30"/>
      <c r="Y99" s="30"/>
      <c r="Z99" s="250"/>
      <c r="AA99" s="39"/>
      <c r="AB99" s="39"/>
      <c r="AC99" s="39"/>
      <c r="AD99" s="39"/>
      <c r="AE99" s="39"/>
      <c r="AF99" s="39"/>
      <c r="AG99" s="39"/>
      <c r="AH99" s="39"/>
      <c r="AI99" s="39"/>
      <c r="AJ99" s="39"/>
      <c r="AK99" s="39"/>
      <c r="AL99" s="246"/>
      <c r="AM99" s="278"/>
      <c r="AN99" s="278"/>
      <c r="AO99" s="278"/>
      <c r="AP99" s="278"/>
      <c r="AR99" s="278"/>
      <c r="AS99" s="278"/>
    </row>
    <row r="100" spans="1:46" s="7" customFormat="1" ht="38.450000000000003" hidden="1" customHeight="1" x14ac:dyDescent="0.45">
      <c r="A100" s="8"/>
      <c r="B100" s="30"/>
      <c r="C100" s="2"/>
      <c r="D100" s="2"/>
      <c r="E100" s="2"/>
      <c r="F100" s="2"/>
      <c r="G100" s="2"/>
      <c r="H100" s="38"/>
      <c r="I100" s="38"/>
      <c r="J100" s="244"/>
      <c r="K100" s="245"/>
      <c r="L100" s="245"/>
      <c r="M100" s="246"/>
      <c r="N100" s="247"/>
      <c r="O100" s="19"/>
      <c r="P100" s="19"/>
      <c r="Q100" s="1"/>
      <c r="R100" s="1"/>
      <c r="S100" s="1"/>
      <c r="T100" s="19"/>
      <c r="U100" s="248"/>
      <c r="V100" s="249"/>
      <c r="W100" s="30"/>
      <c r="X100" s="30"/>
      <c r="Y100" s="30"/>
      <c r="Z100" s="39"/>
      <c r="AA100" s="39"/>
      <c r="AB100" s="39"/>
      <c r="AC100" s="39"/>
      <c r="AD100" s="39"/>
      <c r="AE100" s="39"/>
      <c r="AF100" s="39"/>
      <c r="AG100" s="39"/>
      <c r="AH100" s="39"/>
      <c r="AI100" s="39"/>
      <c r="AJ100" s="39"/>
      <c r="AK100" s="283"/>
      <c r="AM100" s="278"/>
      <c r="AN100" s="278"/>
      <c r="AO100" s="278"/>
      <c r="AP100" s="278"/>
      <c r="AR100" s="278"/>
      <c r="AS100" s="278"/>
    </row>
    <row r="101" spans="1:46" s="7" customFormat="1" ht="15" hidden="1" thickTop="1" thickBot="1" x14ac:dyDescent="0.5">
      <c r="A101" s="8"/>
      <c r="B101" s="40"/>
      <c r="C101" s="1"/>
      <c r="D101" s="1"/>
      <c r="E101" s="1"/>
      <c r="F101" s="1"/>
      <c r="G101" s="1"/>
      <c r="H101" s="38"/>
      <c r="I101" s="38"/>
      <c r="J101" s="38"/>
      <c r="K101" s="38"/>
      <c r="L101" s="38"/>
      <c r="M101" s="19"/>
      <c r="N101" s="1"/>
      <c r="O101" s="1"/>
      <c r="P101" s="1"/>
      <c r="Q101" s="1"/>
      <c r="R101" s="1"/>
      <c r="S101" s="1"/>
      <c r="T101" s="19"/>
      <c r="U101" s="19"/>
      <c r="V101" s="19"/>
      <c r="W101" s="30"/>
      <c r="X101" s="30"/>
      <c r="Y101" s="30"/>
      <c r="Z101" s="39"/>
      <c r="AA101" s="39"/>
      <c r="AB101" s="39"/>
      <c r="AC101" s="39"/>
      <c r="AD101" s="39"/>
      <c r="AE101" s="39"/>
      <c r="AF101" s="39"/>
      <c r="AG101" s="39"/>
      <c r="AH101" s="39"/>
      <c r="AI101" s="39"/>
      <c r="AJ101" s="39"/>
      <c r="AK101" s="283"/>
      <c r="AM101" s="278"/>
      <c r="AN101" s="278"/>
      <c r="AO101" s="278"/>
      <c r="AP101" s="278"/>
      <c r="AR101" s="278"/>
      <c r="AS101" s="278"/>
    </row>
    <row r="102" spans="1:46" ht="45" customHeight="1" thickTop="1" x14ac:dyDescent="0.4">
      <c r="A102" s="169"/>
      <c r="B102" s="349">
        <v>2</v>
      </c>
      <c r="C102" s="171" t="s">
        <v>135</v>
      </c>
      <c r="D102" s="171" t="s">
        <v>136</v>
      </c>
      <c r="E102" s="171"/>
      <c r="F102" s="171"/>
      <c r="G102" s="171"/>
      <c r="H102" s="170" t="s">
        <v>202</v>
      </c>
      <c r="I102" s="170" t="s">
        <v>203</v>
      </c>
      <c r="J102" s="172"/>
      <c r="K102" s="173"/>
      <c r="L102" s="170" t="s">
        <v>139</v>
      </c>
      <c r="M102" s="169" t="s">
        <v>140</v>
      </c>
      <c r="N102" s="357" t="s">
        <v>845</v>
      </c>
      <c r="O102" s="357" t="s">
        <v>205</v>
      </c>
      <c r="P102" s="357"/>
      <c r="Q102" s="357"/>
      <c r="R102" s="407"/>
      <c r="S102" s="357"/>
      <c r="T102" s="169"/>
      <c r="U102" s="169"/>
      <c r="V102" s="169"/>
      <c r="W102" s="357"/>
      <c r="X102" s="387">
        <f>X103+X104+X105+X106</f>
        <v>92</v>
      </c>
      <c r="Y102" s="357"/>
      <c r="Z102" s="357"/>
      <c r="AA102" s="357"/>
      <c r="AB102" s="357"/>
      <c r="AC102" s="357"/>
      <c r="AD102" s="357"/>
      <c r="AE102" s="357"/>
      <c r="AF102" s="357"/>
      <c r="AG102" s="357"/>
      <c r="AH102" s="357"/>
      <c r="AI102" s="528"/>
      <c r="AJ102" s="186"/>
      <c r="AK102" s="361">
        <v>2</v>
      </c>
      <c r="AL102" s="369"/>
      <c r="AM102" s="364">
        <f>X102*P2_Reinigen_daken_incl._extra_maatregelen_veilig_werken_volgens_VCA__eventuele_vergunningen_leges___voorrijkosten__adminstratieve_kosten__fotorapportage_en_kleine_reparaties</f>
        <v>0</v>
      </c>
      <c r="AN102" s="365">
        <f>Y102*P2_Reinigen_goten_incl._extra_maatregelen_veilig_werken_volgens_VCA__eventuele_vergunningen_leges___voorrijkosten__adminstratieve_kosten__fotorapportage_en_kleine_reparaties</f>
        <v>0</v>
      </c>
      <c r="AO102" s="365">
        <f>(AE102*P2_Reinigen_Lichtkoepel_50X50)+('Perceel 2'!AF102*P2_Reinigen_Lichtkoepel_60x200)+('Perceel 2'!AG102*P2_Reinigen_Lichtkoepel_180x180)+('Perceel 2'!AH102*P2_Reinigen_Lichtstraten_groter_dan_180x180)</f>
        <v>0</v>
      </c>
      <c r="AP102" s="365">
        <f>('Perceel 2'!X102+'Perceel 2'!Y102)*P2_Inspecteren_daken_en_goten_1x_per_jaar_gelijktijdig_met_reiniging_inclusief_inspectierapport_en_een_managementrapport</f>
        <v>0</v>
      </c>
      <c r="AQ102" s="413"/>
      <c r="AR102" s="366">
        <f>AQ102*P2_keuren_dakveiligheid_per_man_uur</f>
        <v>0</v>
      </c>
      <c r="AS102" s="367">
        <f t="shared" ref="AS102" si="18">(AM102*AK102)+(Y102*AK102)+AO102+AP102+AR102</f>
        <v>0</v>
      </c>
    </row>
    <row r="103" spans="1:46" ht="51" x14ac:dyDescent="0.4">
      <c r="A103" s="174"/>
      <c r="B103" s="350">
        <v>2</v>
      </c>
      <c r="C103" s="175" t="s">
        <v>135</v>
      </c>
      <c r="D103" s="175" t="s">
        <v>136</v>
      </c>
      <c r="E103" s="175"/>
      <c r="F103" s="175"/>
      <c r="G103" s="175"/>
      <c r="H103" s="174" t="s">
        <v>202</v>
      </c>
      <c r="I103" s="174" t="s">
        <v>203</v>
      </c>
      <c r="J103" s="10"/>
      <c r="K103" s="10"/>
      <c r="L103" s="175"/>
      <c r="M103" s="175" t="s">
        <v>140</v>
      </c>
      <c r="N103" s="358" t="s">
        <v>846</v>
      </c>
      <c r="O103" s="358" t="s">
        <v>847</v>
      </c>
      <c r="P103" s="358" t="s">
        <v>848</v>
      </c>
      <c r="Q103" s="358"/>
      <c r="R103" s="408" t="s">
        <v>849</v>
      </c>
      <c r="S103" s="358" t="s">
        <v>340</v>
      </c>
      <c r="T103" s="175" t="s">
        <v>169</v>
      </c>
      <c r="U103" s="175" t="s">
        <v>170</v>
      </c>
      <c r="V103" s="187" t="s">
        <v>171</v>
      </c>
      <c r="W103" s="358">
        <v>1995</v>
      </c>
      <c r="X103" s="362">
        <v>38</v>
      </c>
      <c r="Y103" s="358"/>
      <c r="Z103" s="358"/>
      <c r="AA103" s="358"/>
      <c r="AB103" s="358"/>
      <c r="AC103" s="411"/>
      <c r="AD103" s="411"/>
      <c r="AE103" s="411"/>
      <c r="AF103" s="411"/>
      <c r="AG103" s="411"/>
      <c r="AH103" s="411"/>
      <c r="AI103" s="411"/>
      <c r="AJ103" s="188"/>
      <c r="AK103" s="361">
        <v>2</v>
      </c>
      <c r="AL103" s="369"/>
      <c r="AM103" s="414"/>
      <c r="AN103" s="415"/>
      <c r="AO103" s="415"/>
      <c r="AP103" s="415"/>
      <c r="AQ103" s="416"/>
      <c r="AR103" s="417"/>
      <c r="AS103" s="418"/>
    </row>
    <row r="104" spans="1:46" ht="51" x14ac:dyDescent="0.4">
      <c r="A104" s="182"/>
      <c r="B104" s="350">
        <v>2</v>
      </c>
      <c r="C104" s="175" t="s">
        <v>135</v>
      </c>
      <c r="D104" s="175" t="s">
        <v>136</v>
      </c>
      <c r="E104" s="175"/>
      <c r="F104" s="175"/>
      <c r="G104" s="175"/>
      <c r="H104" s="174" t="s">
        <v>202</v>
      </c>
      <c r="I104" s="174" t="s">
        <v>203</v>
      </c>
      <c r="J104" s="10"/>
      <c r="K104" s="10"/>
      <c r="L104" s="175"/>
      <c r="M104" s="175" t="s">
        <v>140</v>
      </c>
      <c r="N104" s="358" t="s">
        <v>850</v>
      </c>
      <c r="O104" s="358" t="s">
        <v>851</v>
      </c>
      <c r="P104" s="358" t="s">
        <v>852</v>
      </c>
      <c r="Q104" s="358"/>
      <c r="R104" s="408" t="s">
        <v>853</v>
      </c>
      <c r="S104" s="358" t="s">
        <v>340</v>
      </c>
      <c r="T104" s="175" t="s">
        <v>169</v>
      </c>
      <c r="U104" s="175" t="s">
        <v>170</v>
      </c>
      <c r="V104" s="187" t="s">
        <v>171</v>
      </c>
      <c r="W104" s="358">
        <v>1989</v>
      </c>
      <c r="X104" s="362">
        <v>18</v>
      </c>
      <c r="Y104" s="358"/>
      <c r="Z104" s="358"/>
      <c r="AA104" s="358"/>
      <c r="AB104" s="358"/>
      <c r="AC104" s="358"/>
      <c r="AD104" s="358"/>
      <c r="AE104" s="358"/>
      <c r="AF104" s="358"/>
      <c r="AG104" s="358"/>
      <c r="AH104" s="358"/>
      <c r="AI104" s="411"/>
      <c r="AJ104" s="188"/>
      <c r="AK104" s="361">
        <v>2</v>
      </c>
      <c r="AL104" s="369"/>
      <c r="AM104" s="414"/>
      <c r="AN104" s="415"/>
      <c r="AO104" s="415"/>
      <c r="AP104" s="415"/>
      <c r="AQ104" s="416"/>
      <c r="AR104" s="417"/>
      <c r="AS104" s="418"/>
    </row>
    <row r="105" spans="1:46" ht="51" x14ac:dyDescent="0.4">
      <c r="A105" s="174"/>
      <c r="B105" s="350">
        <v>2</v>
      </c>
      <c r="C105" s="175" t="s">
        <v>135</v>
      </c>
      <c r="D105" s="175" t="s">
        <v>136</v>
      </c>
      <c r="E105" s="175"/>
      <c r="F105" s="175"/>
      <c r="G105" s="175"/>
      <c r="H105" s="174" t="s">
        <v>202</v>
      </c>
      <c r="I105" s="174" t="s">
        <v>203</v>
      </c>
      <c r="J105" s="10"/>
      <c r="K105" s="10"/>
      <c r="L105" s="175"/>
      <c r="M105" s="175" t="s">
        <v>140</v>
      </c>
      <c r="N105" s="358" t="s">
        <v>854</v>
      </c>
      <c r="O105" s="358" t="s">
        <v>855</v>
      </c>
      <c r="P105" s="358" t="s">
        <v>856</v>
      </c>
      <c r="Q105" s="358"/>
      <c r="R105" s="408" t="s">
        <v>856</v>
      </c>
      <c r="S105" s="358" t="s">
        <v>340</v>
      </c>
      <c r="T105" s="175" t="s">
        <v>169</v>
      </c>
      <c r="U105" s="175" t="s">
        <v>170</v>
      </c>
      <c r="V105" s="187" t="s">
        <v>171</v>
      </c>
      <c r="W105" s="358">
        <v>1998</v>
      </c>
      <c r="X105" s="362">
        <v>18</v>
      </c>
      <c r="Y105" s="358"/>
      <c r="Z105" s="358"/>
      <c r="AA105" s="358"/>
      <c r="AB105" s="358"/>
      <c r="AC105" s="411"/>
      <c r="AD105" s="411"/>
      <c r="AE105" s="411"/>
      <c r="AF105" s="411"/>
      <c r="AG105" s="411"/>
      <c r="AH105" s="411"/>
      <c r="AI105" s="411"/>
      <c r="AJ105" s="188"/>
      <c r="AK105" s="361">
        <v>2</v>
      </c>
      <c r="AL105" s="369"/>
      <c r="AM105" s="414"/>
      <c r="AN105" s="415"/>
      <c r="AO105" s="415"/>
      <c r="AP105" s="415"/>
      <c r="AQ105" s="416"/>
      <c r="AR105" s="417"/>
      <c r="AS105" s="418"/>
    </row>
    <row r="106" spans="1:46" ht="51" x14ac:dyDescent="0.4">
      <c r="A106" s="174"/>
      <c r="B106" s="350">
        <v>2</v>
      </c>
      <c r="C106" s="175" t="s">
        <v>135</v>
      </c>
      <c r="D106" s="175" t="s">
        <v>136</v>
      </c>
      <c r="E106" s="175"/>
      <c r="F106" s="175"/>
      <c r="G106" s="175"/>
      <c r="H106" s="174" t="s">
        <v>202</v>
      </c>
      <c r="I106" s="174" t="s">
        <v>203</v>
      </c>
      <c r="J106" s="10"/>
      <c r="K106" s="10"/>
      <c r="L106" s="175"/>
      <c r="M106" s="175" t="s">
        <v>140</v>
      </c>
      <c r="N106" s="358" t="s">
        <v>858</v>
      </c>
      <c r="O106" s="358" t="s">
        <v>859</v>
      </c>
      <c r="P106" s="358" t="s">
        <v>860</v>
      </c>
      <c r="Q106" s="358"/>
      <c r="R106" s="408" t="s">
        <v>856</v>
      </c>
      <c r="S106" s="358" t="s">
        <v>340</v>
      </c>
      <c r="T106" s="175" t="s">
        <v>169</v>
      </c>
      <c r="U106" s="175" t="s">
        <v>170</v>
      </c>
      <c r="V106" s="187" t="s">
        <v>171</v>
      </c>
      <c r="W106" s="358">
        <v>1985</v>
      </c>
      <c r="X106" s="362">
        <v>18</v>
      </c>
      <c r="Y106" s="358"/>
      <c r="Z106" s="358"/>
      <c r="AA106" s="358"/>
      <c r="AB106" s="358"/>
      <c r="AC106" s="411"/>
      <c r="AD106" s="411"/>
      <c r="AE106" s="411"/>
      <c r="AF106" s="411"/>
      <c r="AG106" s="411"/>
      <c r="AH106" s="411"/>
      <c r="AI106" s="411"/>
      <c r="AJ106" s="188"/>
      <c r="AK106" s="361">
        <v>2</v>
      </c>
      <c r="AL106" s="369"/>
      <c r="AM106" s="414"/>
      <c r="AN106" s="415"/>
      <c r="AO106" s="415"/>
      <c r="AP106" s="415"/>
      <c r="AQ106" s="416"/>
      <c r="AR106" s="417"/>
      <c r="AS106" s="418"/>
    </row>
    <row r="107" spans="1:46" ht="25.5" x14ac:dyDescent="0.45">
      <c r="A107" s="155"/>
      <c r="B107" s="348">
        <v>2</v>
      </c>
      <c r="C107" s="156" t="s">
        <v>135</v>
      </c>
      <c r="D107" s="156" t="s">
        <v>861</v>
      </c>
      <c r="E107" s="156"/>
      <c r="F107" s="156"/>
      <c r="G107" s="156"/>
      <c r="H107" s="151" t="s">
        <v>862</v>
      </c>
      <c r="I107" s="151" t="s">
        <v>863</v>
      </c>
      <c r="J107" s="157"/>
      <c r="K107" s="163"/>
      <c r="L107" s="151" t="s">
        <v>280</v>
      </c>
      <c r="M107" s="159" t="s">
        <v>669</v>
      </c>
      <c r="N107" s="435" t="s">
        <v>864</v>
      </c>
      <c r="O107" s="353" t="s">
        <v>865</v>
      </c>
      <c r="P107" s="353" t="s">
        <v>866</v>
      </c>
      <c r="Q107" s="435" t="s">
        <v>867</v>
      </c>
      <c r="R107" s="461" t="s">
        <v>868</v>
      </c>
      <c r="S107" s="435" t="s">
        <v>869</v>
      </c>
      <c r="T107" s="159" t="s">
        <v>870</v>
      </c>
      <c r="U107" s="159" t="s">
        <v>871</v>
      </c>
      <c r="V107" s="176" t="s">
        <v>872</v>
      </c>
      <c r="W107" s="361">
        <v>2001</v>
      </c>
      <c r="X107" s="361">
        <v>1102</v>
      </c>
      <c r="Y107" s="361"/>
      <c r="Z107" s="361" t="s">
        <v>311</v>
      </c>
      <c r="AA107" s="361"/>
      <c r="AB107" s="361"/>
      <c r="AC107" s="361"/>
      <c r="AD107" s="361"/>
      <c r="AE107" s="361"/>
      <c r="AF107" s="361"/>
      <c r="AG107" s="361"/>
      <c r="AH107" s="361"/>
      <c r="AI107" s="361"/>
      <c r="AJ107" s="177"/>
      <c r="AK107" s="443">
        <v>1</v>
      </c>
      <c r="AL107" s="444"/>
      <c r="AM107" s="370">
        <f t="shared" ref="AM107:AM117" si="19">X107*P2_Reinigen_daken_incl._extra_maatregelen_veilig_werken_volgens_VCA__eventuele_vergunningen_leges___voorrijkosten__adminstratieve_kosten__fotorapportage_en_kleine_reparaties</f>
        <v>0</v>
      </c>
      <c r="AN107" s="371">
        <f t="shared" ref="AN107:AN115" si="20">Y107*P2_Reinigen_goten_incl._extra_maatregelen_veilig_werken_volgens_VCA__eventuele_vergunningen_leges___voorrijkosten__adminstratieve_kosten__fotorapportage_en_kleine_reparaties</f>
        <v>0</v>
      </c>
      <c r="AO107" s="371">
        <f>(AE107*P2_Reinigen_Lichtkoepel_50X50)+('Perceel 2'!AF107*P2_Reinigen_Lichtkoepel_60x200)+('Perceel 2'!AG107*P2_Reinigen_Lichtkoepel_180x180)+('Perceel 2'!AH107*P2_Reinigen_Lichtstraten_groter_dan_180x180)</f>
        <v>0</v>
      </c>
      <c r="AP107" s="371">
        <f>('Perceel 2'!X107+'Perceel 2'!Y107)*P2_Inspecteren_daken_en_goten_1x_per_jaar_gelijktijdig_met_reiniging_inclusief_inspectierapport_en_een_managementrapport</f>
        <v>0</v>
      </c>
      <c r="AQ107" s="416"/>
      <c r="AR107" s="372">
        <f t="shared" ref="AR107:AR135" si="21">AQ107*P2_keuren_dakveiligheid_per_man_uur</f>
        <v>0</v>
      </c>
      <c r="AS107" s="373">
        <f t="shared" ref="AS107:AS135" si="22">(AM107*AK107)+(Y107*AK107)+AO107+AP107+AR107</f>
        <v>0</v>
      </c>
    </row>
    <row r="108" spans="1:46" ht="63.75" x14ac:dyDescent="0.45">
      <c r="A108" s="155"/>
      <c r="B108" s="348">
        <v>2</v>
      </c>
      <c r="C108" s="156" t="s">
        <v>135</v>
      </c>
      <c r="D108" s="156" t="s">
        <v>861</v>
      </c>
      <c r="E108" s="156"/>
      <c r="F108" s="156"/>
      <c r="G108" s="156"/>
      <c r="H108" s="151" t="s">
        <v>873</v>
      </c>
      <c r="I108" s="151" t="s">
        <v>874</v>
      </c>
      <c r="J108" s="157"/>
      <c r="K108" s="163"/>
      <c r="L108" s="151" t="s">
        <v>280</v>
      </c>
      <c r="M108" s="159" t="s">
        <v>669</v>
      </c>
      <c r="N108" s="435" t="s">
        <v>875</v>
      </c>
      <c r="O108" s="353" t="s">
        <v>876</v>
      </c>
      <c r="P108" s="435" t="s">
        <v>877</v>
      </c>
      <c r="Q108" s="435" t="s">
        <v>878</v>
      </c>
      <c r="R108" s="461" t="s">
        <v>868</v>
      </c>
      <c r="S108" s="435" t="s">
        <v>869</v>
      </c>
      <c r="T108" s="159" t="s">
        <v>879</v>
      </c>
      <c r="U108" s="159" t="s">
        <v>880</v>
      </c>
      <c r="V108" s="176" t="s">
        <v>881</v>
      </c>
      <c r="W108" s="361">
        <v>2002</v>
      </c>
      <c r="X108" s="361">
        <v>465</v>
      </c>
      <c r="Y108" s="361"/>
      <c r="Z108" s="361"/>
      <c r="AA108" s="361"/>
      <c r="AB108" s="361"/>
      <c r="AC108" s="361"/>
      <c r="AD108" s="361"/>
      <c r="AE108" s="361"/>
      <c r="AF108" s="361"/>
      <c r="AG108" s="361"/>
      <c r="AH108" s="361"/>
      <c r="AI108" s="361"/>
      <c r="AJ108" s="177"/>
      <c r="AK108" s="443">
        <v>1</v>
      </c>
      <c r="AL108" s="444"/>
      <c r="AM108" s="370">
        <f t="shared" si="19"/>
        <v>0</v>
      </c>
      <c r="AN108" s="371">
        <f t="shared" si="20"/>
        <v>0</v>
      </c>
      <c r="AO108" s="371">
        <f>(AE108*P2_Reinigen_Lichtkoepel_50X50)+('Perceel 2'!AF108*P2_Reinigen_Lichtkoepel_60x200)+('Perceel 2'!AG108*P2_Reinigen_Lichtkoepel_180x180)+('Perceel 2'!AH108*P2_Reinigen_Lichtstraten_groter_dan_180x180)</f>
        <v>0</v>
      </c>
      <c r="AP108" s="371">
        <f>('Perceel 2'!X108+'Perceel 2'!Y108)*P2_Inspecteren_daken_en_goten_1x_per_jaar_gelijktijdig_met_reiniging_inclusief_inspectierapport_en_een_managementrapport</f>
        <v>0</v>
      </c>
      <c r="AQ108" s="416"/>
      <c r="AR108" s="372">
        <f t="shared" si="21"/>
        <v>0</v>
      </c>
      <c r="AS108" s="373">
        <f t="shared" si="22"/>
        <v>0</v>
      </c>
    </row>
    <row r="109" spans="1:46" ht="25.5" x14ac:dyDescent="0.45">
      <c r="A109" s="155"/>
      <c r="B109" s="347">
        <v>2</v>
      </c>
      <c r="C109" s="156" t="s">
        <v>135</v>
      </c>
      <c r="D109" s="156" t="s">
        <v>136</v>
      </c>
      <c r="E109" s="156"/>
      <c r="F109" s="156"/>
      <c r="G109" s="156"/>
      <c r="H109" s="167" t="s">
        <v>882</v>
      </c>
      <c r="I109" s="151"/>
      <c r="J109" s="157"/>
      <c r="K109" s="163"/>
      <c r="L109" s="151"/>
      <c r="M109" s="151" t="s">
        <v>176</v>
      </c>
      <c r="N109" s="304">
        <v>1011</v>
      </c>
      <c r="O109" s="353" t="s">
        <v>883</v>
      </c>
      <c r="P109" s="353" t="s">
        <v>884</v>
      </c>
      <c r="Q109" s="353" t="s">
        <v>885</v>
      </c>
      <c r="R109" s="355" t="s">
        <v>849</v>
      </c>
      <c r="S109" s="353" t="s">
        <v>340</v>
      </c>
      <c r="T109" s="159" t="s">
        <v>886</v>
      </c>
      <c r="U109" s="159">
        <v>627961026</v>
      </c>
      <c r="V109" s="179" t="s">
        <v>887</v>
      </c>
      <c r="W109" s="361">
        <v>2000</v>
      </c>
      <c r="X109" s="361">
        <f>560+113</f>
        <v>673</v>
      </c>
      <c r="Y109" s="361">
        <v>130</v>
      </c>
      <c r="Z109" s="361"/>
      <c r="AA109" s="361"/>
      <c r="AB109" s="361"/>
      <c r="AC109" s="361"/>
      <c r="AD109" s="361"/>
      <c r="AE109" s="361"/>
      <c r="AF109" s="361"/>
      <c r="AG109" s="361"/>
      <c r="AH109" s="361"/>
      <c r="AI109" s="361"/>
      <c r="AJ109" s="177"/>
      <c r="AK109" s="361">
        <v>2</v>
      </c>
      <c r="AL109" s="369"/>
      <c r="AM109" s="370">
        <f t="shared" si="19"/>
        <v>0</v>
      </c>
      <c r="AN109" s="371">
        <f t="shared" si="20"/>
        <v>0</v>
      </c>
      <c r="AO109" s="371">
        <f>(AE109*P2_Reinigen_Lichtkoepel_50X50)+('Perceel 2'!AF109*P2_Reinigen_Lichtkoepel_60x200)+('Perceel 2'!AG109*P2_Reinigen_Lichtkoepel_180x180)+('Perceel 2'!AH109*P2_Reinigen_Lichtstraten_groter_dan_180x180)</f>
        <v>0</v>
      </c>
      <c r="AP109" s="371">
        <f>('Perceel 2'!X109+'Perceel 2'!Y109)*P2_Inspecteren_daken_en_goten_1x_per_jaar_gelijktijdig_met_reiniging_inclusief_inspectierapport_en_een_managementrapport</f>
        <v>0</v>
      </c>
      <c r="AQ109" s="416"/>
      <c r="AR109" s="372">
        <f t="shared" si="21"/>
        <v>0</v>
      </c>
      <c r="AS109" s="373">
        <f>(AM109*AK109)+(AN109*AK109)+AO109+AP109+AR109</f>
        <v>0</v>
      </c>
    </row>
    <row r="110" spans="1:46" ht="38.25" x14ac:dyDescent="0.45">
      <c r="A110" s="155"/>
      <c r="B110" s="347">
        <v>2</v>
      </c>
      <c r="C110" s="156" t="s">
        <v>135</v>
      </c>
      <c r="D110" s="156" t="s">
        <v>136</v>
      </c>
      <c r="E110" s="156"/>
      <c r="F110" s="156"/>
      <c r="G110" s="156"/>
      <c r="H110" s="162" t="s">
        <v>888</v>
      </c>
      <c r="I110" s="162" t="s">
        <v>889</v>
      </c>
      <c r="J110" s="157"/>
      <c r="K110" s="163"/>
      <c r="L110" s="163" t="s">
        <v>191</v>
      </c>
      <c r="M110" s="166" t="s">
        <v>890</v>
      </c>
      <c r="N110" s="409" t="s">
        <v>891</v>
      </c>
      <c r="O110" s="353" t="s">
        <v>892</v>
      </c>
      <c r="P110" s="353" t="s">
        <v>893</v>
      </c>
      <c r="Q110" s="353" t="s">
        <v>894</v>
      </c>
      <c r="R110" s="355" t="s">
        <v>895</v>
      </c>
      <c r="S110" s="353" t="s">
        <v>340</v>
      </c>
      <c r="T110" s="159" t="s">
        <v>198</v>
      </c>
      <c r="U110" s="159" t="s">
        <v>896</v>
      </c>
      <c r="V110" s="209" t="s">
        <v>200</v>
      </c>
      <c r="W110" s="361">
        <v>1986</v>
      </c>
      <c r="X110" s="361">
        <f>40+13+343</f>
        <v>396</v>
      </c>
      <c r="Y110" s="361"/>
      <c r="Z110" s="361"/>
      <c r="AA110" s="361"/>
      <c r="AB110" s="361"/>
      <c r="AC110" s="361"/>
      <c r="AD110" s="361"/>
      <c r="AE110" s="361"/>
      <c r="AF110" s="361"/>
      <c r="AG110" s="361"/>
      <c r="AH110" s="361"/>
      <c r="AI110" s="361"/>
      <c r="AJ110" s="177"/>
      <c r="AK110" s="361">
        <v>1</v>
      </c>
      <c r="AL110" s="369" t="s">
        <v>201</v>
      </c>
      <c r="AM110" s="370">
        <f t="shared" si="19"/>
        <v>0</v>
      </c>
      <c r="AN110" s="371">
        <f t="shared" si="20"/>
        <v>0</v>
      </c>
      <c r="AO110" s="371">
        <f>(AE110*P2_Reinigen_Lichtkoepel_50X50)+('Perceel 2'!AF110*P2_Reinigen_Lichtkoepel_60x200)+('Perceel 2'!AG110*P2_Reinigen_Lichtkoepel_180x180)+('Perceel 2'!AH110*P2_Reinigen_Lichtstraten_groter_dan_180x180)</f>
        <v>0</v>
      </c>
      <c r="AP110" s="371">
        <f>('Perceel 2'!X110+'Perceel 2'!Y110)*P2_Inspecteren_daken_en_goten_1x_per_jaar_gelijktijdig_met_reiniging_inclusief_inspectierapport_en_een_managementrapport</f>
        <v>0</v>
      </c>
      <c r="AQ110" s="416"/>
      <c r="AR110" s="372">
        <f t="shared" si="21"/>
        <v>0</v>
      </c>
      <c r="AS110" s="373">
        <f t="shared" si="22"/>
        <v>0</v>
      </c>
    </row>
    <row r="111" spans="1:46" ht="38.25" x14ac:dyDescent="0.45">
      <c r="A111" s="155"/>
      <c r="B111" s="347">
        <v>2</v>
      </c>
      <c r="C111" s="156" t="s">
        <v>135</v>
      </c>
      <c r="D111" s="156" t="s">
        <v>136</v>
      </c>
      <c r="E111" s="156"/>
      <c r="F111" s="156"/>
      <c r="G111" s="156"/>
      <c r="H111" s="162" t="s">
        <v>897</v>
      </c>
      <c r="I111" s="162" t="s">
        <v>898</v>
      </c>
      <c r="J111" s="157"/>
      <c r="K111" s="163"/>
      <c r="L111" s="163" t="s">
        <v>191</v>
      </c>
      <c r="M111" s="166" t="s">
        <v>890</v>
      </c>
      <c r="N111" s="409" t="s">
        <v>899</v>
      </c>
      <c r="O111" s="353" t="s">
        <v>900</v>
      </c>
      <c r="P111" s="353" t="s">
        <v>901</v>
      </c>
      <c r="Q111" s="353" t="s">
        <v>902</v>
      </c>
      <c r="R111" s="355" t="s">
        <v>895</v>
      </c>
      <c r="S111" s="353" t="s">
        <v>340</v>
      </c>
      <c r="T111" s="159" t="s">
        <v>198</v>
      </c>
      <c r="U111" s="159" t="s">
        <v>896</v>
      </c>
      <c r="V111" s="209" t="s">
        <v>200</v>
      </c>
      <c r="W111" s="361">
        <v>1988</v>
      </c>
      <c r="X111" s="361">
        <f>11+145+50+55+79</f>
        <v>340</v>
      </c>
      <c r="Y111" s="361">
        <f>11+17.5+5.5+80</f>
        <v>114</v>
      </c>
      <c r="Z111" s="361" t="s">
        <v>311</v>
      </c>
      <c r="AA111" s="361"/>
      <c r="AB111" s="361"/>
      <c r="AC111" s="361"/>
      <c r="AD111" s="361"/>
      <c r="AE111" s="361"/>
      <c r="AF111" s="361"/>
      <c r="AG111" s="361"/>
      <c r="AH111" s="361"/>
      <c r="AI111" s="361"/>
      <c r="AJ111" s="177"/>
      <c r="AK111" s="361">
        <v>1</v>
      </c>
      <c r="AL111" s="369" t="s">
        <v>201</v>
      </c>
      <c r="AM111" s="370">
        <f t="shared" si="19"/>
        <v>0</v>
      </c>
      <c r="AN111" s="371">
        <f t="shared" si="20"/>
        <v>0</v>
      </c>
      <c r="AO111" s="371">
        <f>(AE111*P2_Reinigen_Lichtkoepel_50X50)+('Perceel 2'!AF111*P2_Reinigen_Lichtkoepel_60x200)+('Perceel 2'!AG111*P2_Reinigen_Lichtkoepel_180x180)+('Perceel 2'!AH111*P2_Reinigen_Lichtstraten_groter_dan_180x180)</f>
        <v>0</v>
      </c>
      <c r="AP111" s="371">
        <f>('Perceel 2'!X111+'Perceel 2'!Y111)*P2_Inspecteren_daken_en_goten_1x_per_jaar_gelijktijdig_met_reiniging_inclusief_inspectierapport_en_een_managementrapport</f>
        <v>0</v>
      </c>
      <c r="AQ111" s="416"/>
      <c r="AR111" s="372">
        <f t="shared" si="21"/>
        <v>0</v>
      </c>
      <c r="AS111" s="373">
        <f>(AM111*AK111)+(AN111*AK111)+AO111+AP111+AR111</f>
        <v>0</v>
      </c>
    </row>
    <row r="112" spans="1:46" ht="38.25" x14ac:dyDescent="0.45">
      <c r="A112" s="155"/>
      <c r="B112" s="347">
        <v>2</v>
      </c>
      <c r="C112" s="156" t="s">
        <v>135</v>
      </c>
      <c r="D112" s="156" t="s">
        <v>136</v>
      </c>
      <c r="E112" s="156"/>
      <c r="F112" s="156"/>
      <c r="G112" s="156"/>
      <c r="H112" s="162" t="s">
        <v>903</v>
      </c>
      <c r="I112" s="162" t="s">
        <v>904</v>
      </c>
      <c r="J112" s="157"/>
      <c r="K112" s="163"/>
      <c r="L112" s="163" t="s">
        <v>191</v>
      </c>
      <c r="M112" s="166" t="s">
        <v>890</v>
      </c>
      <c r="N112" s="409" t="s">
        <v>905</v>
      </c>
      <c r="O112" s="353" t="s">
        <v>906</v>
      </c>
      <c r="P112" s="353" t="s">
        <v>907</v>
      </c>
      <c r="Q112" s="353" t="s">
        <v>902</v>
      </c>
      <c r="R112" s="355" t="s">
        <v>895</v>
      </c>
      <c r="S112" s="353" t="s">
        <v>340</v>
      </c>
      <c r="T112" s="159" t="s">
        <v>198</v>
      </c>
      <c r="U112" s="159" t="s">
        <v>896</v>
      </c>
      <c r="V112" s="209" t="s">
        <v>200</v>
      </c>
      <c r="W112" s="361">
        <v>1993</v>
      </c>
      <c r="X112" s="361">
        <f>10+25+19.5+27.5</f>
        <v>82</v>
      </c>
      <c r="Y112" s="361">
        <v>1</v>
      </c>
      <c r="Z112" s="361" t="s">
        <v>311</v>
      </c>
      <c r="AA112" s="361"/>
      <c r="AB112" s="361"/>
      <c r="AC112" s="361"/>
      <c r="AD112" s="361"/>
      <c r="AE112" s="361"/>
      <c r="AF112" s="361"/>
      <c r="AG112" s="361"/>
      <c r="AH112" s="361"/>
      <c r="AI112" s="361"/>
      <c r="AJ112" s="177"/>
      <c r="AK112" s="361">
        <v>1</v>
      </c>
      <c r="AL112" s="369" t="s">
        <v>201</v>
      </c>
      <c r="AM112" s="370">
        <f t="shared" si="19"/>
        <v>0</v>
      </c>
      <c r="AN112" s="371">
        <f t="shared" si="20"/>
        <v>0</v>
      </c>
      <c r="AO112" s="371">
        <f>(AE112*P2_Reinigen_Lichtkoepel_50X50)+('Perceel 2'!AF112*P2_Reinigen_Lichtkoepel_60x200)+('Perceel 2'!AG112*P2_Reinigen_Lichtkoepel_180x180)+('Perceel 2'!AH112*P2_Reinigen_Lichtstraten_groter_dan_180x180)</f>
        <v>0</v>
      </c>
      <c r="AP112" s="371">
        <f>('Perceel 2'!X112+'Perceel 2'!Y112)*P2_Inspecteren_daken_en_goten_1x_per_jaar_gelijktijdig_met_reiniging_inclusief_inspectierapport_en_een_managementrapport</f>
        <v>0</v>
      </c>
      <c r="AQ112" s="416"/>
      <c r="AR112" s="372">
        <f t="shared" si="21"/>
        <v>0</v>
      </c>
      <c r="AS112" s="373">
        <f>(AM112*AK112)+(AN112*AK112)+AO112+AP112+AR112</f>
        <v>0</v>
      </c>
    </row>
    <row r="113" spans="1:45" ht="38.25" x14ac:dyDescent="0.45">
      <c r="A113" s="155"/>
      <c r="B113" s="347">
        <v>2</v>
      </c>
      <c r="C113" s="156" t="s">
        <v>135</v>
      </c>
      <c r="D113" s="156" t="s">
        <v>136</v>
      </c>
      <c r="E113" s="156"/>
      <c r="F113" s="156"/>
      <c r="G113" s="156"/>
      <c r="H113" s="162" t="s">
        <v>908</v>
      </c>
      <c r="I113" s="162" t="s">
        <v>909</v>
      </c>
      <c r="J113" s="157"/>
      <c r="K113" s="163"/>
      <c r="L113" s="163" t="s">
        <v>191</v>
      </c>
      <c r="M113" s="166" t="s">
        <v>890</v>
      </c>
      <c r="N113" s="409" t="s">
        <v>910</v>
      </c>
      <c r="O113" s="353" t="s">
        <v>911</v>
      </c>
      <c r="P113" s="353" t="s">
        <v>912</v>
      </c>
      <c r="Q113" s="353" t="s">
        <v>913</v>
      </c>
      <c r="R113" s="355" t="s">
        <v>895</v>
      </c>
      <c r="S113" s="353" t="s">
        <v>340</v>
      </c>
      <c r="T113" s="159" t="s">
        <v>198</v>
      </c>
      <c r="U113" s="159" t="s">
        <v>896</v>
      </c>
      <c r="V113" s="209" t="s">
        <v>200</v>
      </c>
      <c r="W113" s="361">
        <v>1992</v>
      </c>
      <c r="X113" s="361">
        <f>11+184</f>
        <v>195</v>
      </c>
      <c r="Y113" s="361">
        <v>42</v>
      </c>
      <c r="Z113" s="361"/>
      <c r="AA113" s="361"/>
      <c r="AB113" s="361"/>
      <c r="AC113" s="361"/>
      <c r="AD113" s="361"/>
      <c r="AE113" s="361"/>
      <c r="AF113" s="361"/>
      <c r="AG113" s="361"/>
      <c r="AH113" s="361"/>
      <c r="AI113" s="361"/>
      <c r="AJ113" s="177"/>
      <c r="AK113" s="361">
        <v>1</v>
      </c>
      <c r="AL113" s="369" t="s">
        <v>201</v>
      </c>
      <c r="AM113" s="370">
        <f t="shared" si="19"/>
        <v>0</v>
      </c>
      <c r="AN113" s="371">
        <f t="shared" si="20"/>
        <v>0</v>
      </c>
      <c r="AO113" s="371">
        <f>(AE113*P2_Reinigen_Lichtkoepel_50X50)+('Perceel 2'!AF113*P2_Reinigen_Lichtkoepel_60x200)+('Perceel 2'!AG113*P2_Reinigen_Lichtkoepel_180x180)+('Perceel 2'!AH113*P2_Reinigen_Lichtstraten_groter_dan_180x180)</f>
        <v>0</v>
      </c>
      <c r="AP113" s="371">
        <f>('Perceel 2'!X113+'Perceel 2'!Y113)*P2_Inspecteren_daken_en_goten_1x_per_jaar_gelijktijdig_met_reiniging_inclusief_inspectierapport_en_een_managementrapport</f>
        <v>0</v>
      </c>
      <c r="AQ113" s="416"/>
      <c r="AR113" s="372">
        <f t="shared" si="21"/>
        <v>0</v>
      </c>
      <c r="AS113" s="373">
        <f>(AM113*AK113)+(AN113*AK113)+AO113+AP113+AR113</f>
        <v>0</v>
      </c>
    </row>
    <row r="114" spans="1:45" ht="126" customHeight="1" x14ac:dyDescent="0.45">
      <c r="A114" s="155"/>
      <c r="B114" s="347">
        <v>2</v>
      </c>
      <c r="C114" s="156" t="s">
        <v>135</v>
      </c>
      <c r="D114" s="156" t="s">
        <v>136</v>
      </c>
      <c r="E114" s="156"/>
      <c r="F114" s="156"/>
      <c r="G114" s="156"/>
      <c r="H114" s="203" t="s">
        <v>914</v>
      </c>
      <c r="I114" s="151" t="s">
        <v>915</v>
      </c>
      <c r="J114" s="157"/>
      <c r="K114" s="163"/>
      <c r="L114" s="163" t="s">
        <v>191</v>
      </c>
      <c r="M114" s="166" t="s">
        <v>890</v>
      </c>
      <c r="N114" s="379" t="s">
        <v>916</v>
      </c>
      <c r="O114" s="353" t="s">
        <v>917</v>
      </c>
      <c r="P114" s="353" t="s">
        <v>918</v>
      </c>
      <c r="Q114" s="353" t="s">
        <v>919</v>
      </c>
      <c r="R114" s="355" t="s">
        <v>895</v>
      </c>
      <c r="S114" s="353" t="s">
        <v>340</v>
      </c>
      <c r="T114" s="159" t="s">
        <v>198</v>
      </c>
      <c r="U114" s="159" t="s">
        <v>896</v>
      </c>
      <c r="V114" s="209" t="s">
        <v>200</v>
      </c>
      <c r="W114" s="361">
        <v>1980</v>
      </c>
      <c r="X114" s="361">
        <f>19+52+7+52+19</f>
        <v>149</v>
      </c>
      <c r="Y114" s="361"/>
      <c r="Z114" s="361"/>
      <c r="AA114" s="361"/>
      <c r="AB114" s="361"/>
      <c r="AC114" s="361"/>
      <c r="AD114" s="361"/>
      <c r="AE114" s="361"/>
      <c r="AF114" s="361"/>
      <c r="AG114" s="361"/>
      <c r="AH114" s="361"/>
      <c r="AI114" s="361"/>
      <c r="AJ114" s="177"/>
      <c r="AK114" s="361">
        <v>1</v>
      </c>
      <c r="AL114" s="369" t="s">
        <v>920</v>
      </c>
      <c r="AM114" s="370">
        <f t="shared" si="19"/>
        <v>0</v>
      </c>
      <c r="AN114" s="371">
        <f t="shared" si="20"/>
        <v>0</v>
      </c>
      <c r="AO114" s="371">
        <f>(AE114*P2_Reinigen_Lichtkoepel_50X50)+('Perceel 2'!AF114*P2_Reinigen_Lichtkoepel_60x200)+('Perceel 2'!AG114*P2_Reinigen_Lichtkoepel_180x180)+('Perceel 2'!AH114*P2_Reinigen_Lichtstraten_groter_dan_180x180)</f>
        <v>0</v>
      </c>
      <c r="AP114" s="371">
        <f>('Perceel 2'!X114+'Perceel 2'!Y114)*P2_Inspecteren_daken_en_goten_1x_per_jaar_gelijktijdig_met_reiniging_inclusief_inspectierapport_en_een_managementrapport</f>
        <v>0</v>
      </c>
      <c r="AQ114" s="416"/>
      <c r="AR114" s="372">
        <f t="shared" si="21"/>
        <v>0</v>
      </c>
      <c r="AS114" s="373">
        <f t="shared" si="22"/>
        <v>0</v>
      </c>
    </row>
    <row r="115" spans="1:45" x14ac:dyDescent="0.45">
      <c r="A115" s="155"/>
      <c r="B115" s="347">
        <v>2</v>
      </c>
      <c r="C115" s="156" t="s">
        <v>135</v>
      </c>
      <c r="D115" s="156" t="s">
        <v>136</v>
      </c>
      <c r="E115" s="156"/>
      <c r="F115" s="156"/>
      <c r="G115" s="156"/>
      <c r="H115" s="203" t="s">
        <v>921</v>
      </c>
      <c r="I115" s="203" t="s">
        <v>922</v>
      </c>
      <c r="J115" s="157"/>
      <c r="K115" s="163"/>
      <c r="L115" s="163" t="s">
        <v>191</v>
      </c>
      <c r="M115" s="166" t="s">
        <v>890</v>
      </c>
      <c r="N115" s="410" t="s">
        <v>923</v>
      </c>
      <c r="O115" s="353" t="s">
        <v>924</v>
      </c>
      <c r="P115" s="353" t="s">
        <v>925</v>
      </c>
      <c r="Q115" s="353" t="s">
        <v>926</v>
      </c>
      <c r="R115" s="355" t="s">
        <v>895</v>
      </c>
      <c r="S115" s="353" t="s">
        <v>340</v>
      </c>
      <c r="T115" s="159" t="s">
        <v>198</v>
      </c>
      <c r="U115" s="159" t="s">
        <v>896</v>
      </c>
      <c r="V115" s="209" t="s">
        <v>200</v>
      </c>
      <c r="W115" s="361">
        <v>2004</v>
      </c>
      <c r="X115" s="361">
        <v>74</v>
      </c>
      <c r="Y115" s="361">
        <f>22+22+22+22+22+20</f>
        <v>130</v>
      </c>
      <c r="Z115" s="361"/>
      <c r="AA115" s="361"/>
      <c r="AB115" s="361"/>
      <c r="AC115" s="361"/>
      <c r="AD115" s="361"/>
      <c r="AE115" s="361"/>
      <c r="AF115" s="361"/>
      <c r="AG115" s="361"/>
      <c r="AH115" s="361"/>
      <c r="AI115" s="361"/>
      <c r="AJ115" s="177"/>
      <c r="AK115" s="361">
        <v>1</v>
      </c>
      <c r="AL115" s="369"/>
      <c r="AM115" s="370">
        <f t="shared" si="19"/>
        <v>0</v>
      </c>
      <c r="AN115" s="371">
        <f t="shared" si="20"/>
        <v>0</v>
      </c>
      <c r="AO115" s="371">
        <f>(AE115*P2_Reinigen_Lichtkoepel_50X50)+('Perceel 2'!AF115*P2_Reinigen_Lichtkoepel_60x200)+('Perceel 2'!AG115*P2_Reinigen_Lichtkoepel_180x180)+('Perceel 2'!AH115*P2_Reinigen_Lichtstraten_groter_dan_180x180)</f>
        <v>0</v>
      </c>
      <c r="AP115" s="371">
        <f>('Perceel 2'!X115+'Perceel 2'!Y115)*P2_Inspecteren_daken_en_goten_1x_per_jaar_gelijktijdig_met_reiniging_inclusief_inspectierapport_en_een_managementrapport</f>
        <v>0</v>
      </c>
      <c r="AQ115" s="416"/>
      <c r="AR115" s="372">
        <f t="shared" si="21"/>
        <v>0</v>
      </c>
      <c r="AS115" s="373">
        <f>+(AM115*AK115)+(AN115*AK115)+AO115+AP115+AR115</f>
        <v>0</v>
      </c>
    </row>
    <row r="116" spans="1:45" ht="67.5" customHeight="1" x14ac:dyDescent="0.45">
      <c r="A116" s="155"/>
      <c r="B116" s="347">
        <v>2</v>
      </c>
      <c r="C116" s="156" t="s">
        <v>135</v>
      </c>
      <c r="D116" s="156" t="s">
        <v>136</v>
      </c>
      <c r="E116" s="156"/>
      <c r="F116" s="156"/>
      <c r="G116" s="156"/>
      <c r="H116" s="151" t="s">
        <v>927</v>
      </c>
      <c r="I116" s="151" t="s">
        <v>928</v>
      </c>
      <c r="J116" s="157"/>
      <c r="K116" s="163"/>
      <c r="L116" s="151" t="s">
        <v>191</v>
      </c>
      <c r="M116" s="159" t="s">
        <v>890</v>
      </c>
      <c r="N116" s="353" t="s">
        <v>929</v>
      </c>
      <c r="O116" s="353" t="s">
        <v>930</v>
      </c>
      <c r="P116" s="435" t="s">
        <v>931</v>
      </c>
      <c r="Q116" s="435" t="s">
        <v>932</v>
      </c>
      <c r="R116" s="461" t="s">
        <v>895</v>
      </c>
      <c r="S116" s="435" t="s">
        <v>340</v>
      </c>
      <c r="T116" s="159" t="s">
        <v>933</v>
      </c>
      <c r="U116" s="159" t="s">
        <v>934</v>
      </c>
      <c r="V116" s="176" t="s">
        <v>935</v>
      </c>
      <c r="W116" s="361">
        <v>2006</v>
      </c>
      <c r="X116" s="361">
        <v>9436</v>
      </c>
      <c r="Y116" s="361"/>
      <c r="Z116" s="361" t="s">
        <v>311</v>
      </c>
      <c r="AA116" s="361"/>
      <c r="AB116" s="361">
        <f>29+43</f>
        <v>72</v>
      </c>
      <c r="AC116" s="361">
        <f>150+12+48+68+77+80+52+43</f>
        <v>530</v>
      </c>
      <c r="AD116" s="361"/>
      <c r="AE116" s="361"/>
      <c r="AF116" s="361"/>
      <c r="AG116" s="361"/>
      <c r="AH116" s="361"/>
      <c r="AI116" s="361"/>
      <c r="AJ116" s="177"/>
      <c r="AK116" s="443">
        <v>1</v>
      </c>
      <c r="AL116" s="444"/>
      <c r="AM116" s="370">
        <f>X116*P2_reinigen_daken_met_vaste_dakveiligheid</f>
        <v>0</v>
      </c>
      <c r="AN116" s="371">
        <f>Y116*P2_reinigen_goten_met_vaste_dakveiligheid</f>
        <v>0</v>
      </c>
      <c r="AO116" s="371">
        <f>(AE116*P2_Reinigen_Lichtkoepel_50X50)+('Perceel 2'!AF116*P2_Reinigen_Lichtkoepel_60x200)+('Perceel 2'!AG116*P2_Reinigen_Lichtkoepel_180x180)+('Perceel 2'!AH116*P2_Reinigen_Lichtstraten_groter_dan_180x180)</f>
        <v>0</v>
      </c>
      <c r="AP116" s="371">
        <f>('Perceel 2'!X116+'Perceel 2'!Y116)*P2_Inspecteren_daken_en_goten_1x_per_jaar_gelijktijdig_met_reiniging_inclusief_inspectierapport_en_een_managementrapport</f>
        <v>0</v>
      </c>
      <c r="AQ116" s="419"/>
      <c r="AR116" s="372">
        <f t="shared" si="21"/>
        <v>0</v>
      </c>
      <c r="AS116" s="373">
        <f t="shared" si="22"/>
        <v>0</v>
      </c>
    </row>
    <row r="117" spans="1:45" ht="25.5" x14ac:dyDescent="0.45">
      <c r="A117" s="155"/>
      <c r="B117" s="347">
        <v>2</v>
      </c>
      <c r="C117" s="156" t="s">
        <v>135</v>
      </c>
      <c r="D117" s="156" t="s">
        <v>136</v>
      </c>
      <c r="E117" s="156"/>
      <c r="F117" s="156"/>
      <c r="G117" s="156"/>
      <c r="H117" s="151" t="s">
        <v>936</v>
      </c>
      <c r="I117" s="151" t="s">
        <v>937</v>
      </c>
      <c r="J117" s="157"/>
      <c r="K117" s="163"/>
      <c r="L117" s="163" t="s">
        <v>154</v>
      </c>
      <c r="M117" s="166" t="s">
        <v>544</v>
      </c>
      <c r="N117" s="353" t="s">
        <v>938</v>
      </c>
      <c r="O117" s="353" t="s">
        <v>939</v>
      </c>
      <c r="P117" s="353" t="s">
        <v>940</v>
      </c>
      <c r="Q117" s="435" t="s">
        <v>941</v>
      </c>
      <c r="R117" s="461" t="s">
        <v>942</v>
      </c>
      <c r="S117" s="435" t="s">
        <v>340</v>
      </c>
      <c r="T117" s="159" t="s">
        <v>943</v>
      </c>
      <c r="U117" s="159" t="s">
        <v>944</v>
      </c>
      <c r="V117" s="176" t="s">
        <v>945</v>
      </c>
      <c r="W117" s="361">
        <v>1989</v>
      </c>
      <c r="X117" s="361">
        <v>412</v>
      </c>
      <c r="Y117" s="361"/>
      <c r="Z117" s="361"/>
      <c r="AA117" s="361"/>
      <c r="AB117" s="361"/>
      <c r="AC117" s="361"/>
      <c r="AD117" s="361"/>
      <c r="AE117" s="361"/>
      <c r="AF117" s="361"/>
      <c r="AG117" s="361"/>
      <c r="AH117" s="361"/>
      <c r="AI117" s="361"/>
      <c r="AJ117" s="177"/>
      <c r="AK117" s="443">
        <v>1</v>
      </c>
      <c r="AL117" s="444"/>
      <c r="AM117" s="370">
        <f t="shared" si="19"/>
        <v>0</v>
      </c>
      <c r="AN117" s="371">
        <f>Y117*P2_Reinigen_goten_incl._extra_maatregelen_veilig_werken_volgens_VCA__eventuele_vergunningen_leges___voorrijkosten__adminstratieve_kosten__fotorapportage_en_kleine_reparaties</f>
        <v>0</v>
      </c>
      <c r="AO117" s="371">
        <f>(AE117*P2_Reinigen_Lichtkoepel_50X50)+('Perceel 2'!AF117*P2_Reinigen_Lichtkoepel_60x200)+('Perceel 2'!AG117*P2_Reinigen_Lichtkoepel_180x180)+('Perceel 2'!AH117*P2_Reinigen_Lichtstraten_groter_dan_180x180)</f>
        <v>0</v>
      </c>
      <c r="AP117" s="371">
        <f>('Perceel 2'!X117+'Perceel 2'!Y117)*P2_Inspecteren_daken_en_goten_1x_per_jaar_gelijktijdig_met_reiniging_inclusief_inspectierapport_en_een_managementrapport</f>
        <v>0</v>
      </c>
      <c r="AQ117" s="416"/>
      <c r="AR117" s="372">
        <f>AQ117*P2_keuren_dakveiligheid_per_man_uur</f>
        <v>0</v>
      </c>
      <c r="AS117" s="373">
        <f t="shared" si="22"/>
        <v>0</v>
      </c>
    </row>
    <row r="118" spans="1:45" ht="25.5" customHeight="1" x14ac:dyDescent="0.4">
      <c r="A118" s="211"/>
      <c r="B118" s="374">
        <v>2</v>
      </c>
      <c r="C118" s="171" t="s">
        <v>135</v>
      </c>
      <c r="D118" s="171" t="s">
        <v>174</v>
      </c>
      <c r="E118" s="171"/>
      <c r="F118" s="171"/>
      <c r="G118" s="171"/>
      <c r="H118" s="15"/>
      <c r="I118" s="196"/>
      <c r="J118" s="15"/>
      <c r="K118" s="15"/>
      <c r="L118" s="196"/>
      <c r="M118" s="196"/>
      <c r="N118" s="466" t="s">
        <v>946</v>
      </c>
      <c r="O118" s="381" t="s">
        <v>947</v>
      </c>
      <c r="P118" s="466" t="s">
        <v>948</v>
      </c>
      <c r="Q118" s="466" t="s">
        <v>949</v>
      </c>
      <c r="R118" s="467" t="s">
        <v>853</v>
      </c>
      <c r="S118" s="466" t="s">
        <v>340</v>
      </c>
      <c r="T118" s="171"/>
      <c r="U118" s="171"/>
      <c r="V118" s="171"/>
      <c r="W118" s="466">
        <v>1992</v>
      </c>
      <c r="X118" s="471">
        <v>1530</v>
      </c>
      <c r="Y118" s="466"/>
      <c r="Z118" s="381"/>
      <c r="AA118" s="381" t="s">
        <v>150</v>
      </c>
      <c r="AB118" s="381">
        <v>39</v>
      </c>
      <c r="AC118" s="381">
        <v>121</v>
      </c>
      <c r="AD118" s="381"/>
      <c r="AE118" s="381"/>
      <c r="AF118" s="381"/>
      <c r="AG118" s="381"/>
      <c r="AH118" s="381"/>
      <c r="AI118" s="381"/>
      <c r="AJ118" s="171"/>
      <c r="AK118" s="397">
        <v>1</v>
      </c>
      <c r="AL118" s="444"/>
      <c r="AM118" s="420"/>
      <c r="AN118" s="421"/>
      <c r="AO118" s="421"/>
      <c r="AP118" s="421"/>
      <c r="AQ118" s="419"/>
      <c r="AR118" s="422"/>
      <c r="AS118" s="423"/>
    </row>
    <row r="119" spans="1:45" ht="25.5" customHeight="1" x14ac:dyDescent="0.4">
      <c r="A119" s="182"/>
      <c r="B119" s="350">
        <v>2</v>
      </c>
      <c r="C119" s="175" t="s">
        <v>135</v>
      </c>
      <c r="D119" s="175" t="s">
        <v>174</v>
      </c>
      <c r="E119" s="175"/>
      <c r="F119" s="175"/>
      <c r="G119" s="175"/>
      <c r="H119" s="174" t="s">
        <v>950</v>
      </c>
      <c r="I119" s="174" t="s">
        <v>951</v>
      </c>
      <c r="J119" s="197"/>
      <c r="K119" s="197"/>
      <c r="L119" s="174"/>
      <c r="M119" s="175" t="s">
        <v>349</v>
      </c>
      <c r="N119" s="438" t="s">
        <v>952</v>
      </c>
      <c r="O119" s="358" t="s">
        <v>953</v>
      </c>
      <c r="P119" s="438" t="s">
        <v>954</v>
      </c>
      <c r="Q119" s="438" t="s">
        <v>949</v>
      </c>
      <c r="R119" s="439" t="s">
        <v>853</v>
      </c>
      <c r="S119" s="438" t="s">
        <v>340</v>
      </c>
      <c r="T119" s="175" t="s">
        <v>955</v>
      </c>
      <c r="U119" s="175" t="s">
        <v>956</v>
      </c>
      <c r="V119" s="175" t="s">
        <v>957</v>
      </c>
      <c r="W119" s="438">
        <v>1992</v>
      </c>
      <c r="X119" s="525">
        <f>X118*21%</f>
        <v>321.3</v>
      </c>
      <c r="Y119" s="438"/>
      <c r="Z119" s="358"/>
      <c r="AA119" s="358" t="s">
        <v>150</v>
      </c>
      <c r="AB119" s="525"/>
      <c r="AC119" s="525"/>
      <c r="AD119" s="358"/>
      <c r="AE119" s="358"/>
      <c r="AF119" s="358"/>
      <c r="AG119" s="358"/>
      <c r="AH119" s="358"/>
      <c r="AI119" s="358"/>
      <c r="AJ119" s="175"/>
      <c r="AK119" s="441">
        <v>1</v>
      </c>
      <c r="AL119" s="444"/>
      <c r="AM119" s="370">
        <f>X119*P2_reinigen_daken_met_vaste_dakveiligheid</f>
        <v>0</v>
      </c>
      <c r="AN119" s="371">
        <f>Y119*P2_reinigen_goten_met_vaste_dakveiligheid</f>
        <v>0</v>
      </c>
      <c r="AO119" s="371">
        <f>(AE119*P2_Reinigen_Lichtkoepel_50X50)+('Perceel 2'!AF119*P2_Reinigen_Lichtkoepel_60x200)+('Perceel 2'!AG119*P2_Reinigen_Lichtkoepel_180x180)+('Perceel 2'!AH119*P2_Reinigen_Lichtstraten_groter_dan_180x180)</f>
        <v>0</v>
      </c>
      <c r="AP119" s="371">
        <f>('Perceel 2'!X119+'Perceel 2'!Y119)*P2_Inspecteren_daken_en_goten_1x_per_jaar_gelijktijdig_met_reiniging_inclusief_inspectierapport_en_een_managementrapport</f>
        <v>0</v>
      </c>
      <c r="AQ119" s="424">
        <f>AQ118*21%</f>
        <v>0</v>
      </c>
      <c r="AR119" s="372">
        <f t="shared" si="21"/>
        <v>0</v>
      </c>
      <c r="AS119" s="373">
        <f t="shared" si="22"/>
        <v>0</v>
      </c>
    </row>
    <row r="120" spans="1:45" ht="25.5" x14ac:dyDescent="0.4">
      <c r="A120" s="182"/>
      <c r="B120" s="350">
        <v>2</v>
      </c>
      <c r="C120" s="175" t="s">
        <v>135</v>
      </c>
      <c r="D120" s="175" t="s">
        <v>174</v>
      </c>
      <c r="E120" s="175"/>
      <c r="F120" s="175"/>
      <c r="G120" s="175"/>
      <c r="H120" s="174" t="s">
        <v>958</v>
      </c>
      <c r="I120" s="174" t="s">
        <v>959</v>
      </c>
      <c r="J120" s="197"/>
      <c r="K120" s="197"/>
      <c r="L120" s="174"/>
      <c r="M120" s="175" t="s">
        <v>349</v>
      </c>
      <c r="N120" s="438" t="s">
        <v>960</v>
      </c>
      <c r="O120" s="358" t="s">
        <v>961</v>
      </c>
      <c r="P120" s="438" t="s">
        <v>962</v>
      </c>
      <c r="Q120" s="438" t="s">
        <v>949</v>
      </c>
      <c r="R120" s="439" t="s">
        <v>853</v>
      </c>
      <c r="S120" s="438" t="s">
        <v>340</v>
      </c>
      <c r="T120" s="175" t="s">
        <v>955</v>
      </c>
      <c r="U120" s="175" t="s">
        <v>956</v>
      </c>
      <c r="V120" s="175" t="s">
        <v>957</v>
      </c>
      <c r="W120" s="438">
        <v>1992</v>
      </c>
      <c r="X120" s="525">
        <f>X118*79%</f>
        <v>1208.7</v>
      </c>
      <c r="Y120" s="438"/>
      <c r="Z120" s="358"/>
      <c r="AA120" s="358" t="s">
        <v>150</v>
      </c>
      <c r="AB120" s="525"/>
      <c r="AC120" s="525"/>
      <c r="AD120" s="358"/>
      <c r="AE120" s="358"/>
      <c r="AF120" s="358"/>
      <c r="AG120" s="358"/>
      <c r="AH120" s="358"/>
      <c r="AI120" s="358"/>
      <c r="AJ120" s="175"/>
      <c r="AK120" s="441">
        <v>1</v>
      </c>
      <c r="AL120" s="444"/>
      <c r="AM120" s="370">
        <f>X120*P2_reinigen_daken_met_vaste_dakveiligheid</f>
        <v>0</v>
      </c>
      <c r="AN120" s="371">
        <f>Y120*P2_reinigen_goten_met_vaste_dakveiligheid</f>
        <v>0</v>
      </c>
      <c r="AO120" s="371">
        <f>(AE120*P2_Reinigen_Lichtkoepel_50X50)+('Perceel 2'!AF120*P2_Reinigen_Lichtkoepel_60x200)+('Perceel 2'!AG120*P2_Reinigen_Lichtkoepel_180x180)+('Perceel 2'!AH120*P2_Reinigen_Lichtstraten_groter_dan_180x180)</f>
        <v>0</v>
      </c>
      <c r="AP120" s="371">
        <f>('Perceel 2'!X120+'Perceel 2'!Y120)*P2_Inspecteren_daken_en_goten_1x_per_jaar_gelijktijdig_met_reiniging_inclusief_inspectierapport_en_een_managementrapport</f>
        <v>0</v>
      </c>
      <c r="AQ120" s="424">
        <f>AQ118*79%</f>
        <v>0</v>
      </c>
      <c r="AR120" s="372">
        <f t="shared" si="21"/>
        <v>0</v>
      </c>
      <c r="AS120" s="373">
        <f t="shared" si="22"/>
        <v>0</v>
      </c>
    </row>
    <row r="121" spans="1:45" ht="63.75" x14ac:dyDescent="0.45">
      <c r="A121" s="155"/>
      <c r="B121" s="347">
        <v>2</v>
      </c>
      <c r="C121" s="156" t="s">
        <v>135</v>
      </c>
      <c r="D121" s="156" t="s">
        <v>136</v>
      </c>
      <c r="E121" s="156"/>
      <c r="F121" s="156"/>
      <c r="G121" s="156"/>
      <c r="H121" s="151" t="s">
        <v>963</v>
      </c>
      <c r="I121" s="151" t="s">
        <v>964</v>
      </c>
      <c r="J121" s="157"/>
      <c r="K121" s="163"/>
      <c r="L121" s="163" t="s">
        <v>139</v>
      </c>
      <c r="M121" s="166" t="s">
        <v>140</v>
      </c>
      <c r="N121" s="435" t="s">
        <v>965</v>
      </c>
      <c r="O121" s="353" t="s">
        <v>966</v>
      </c>
      <c r="P121" s="435" t="s">
        <v>967</v>
      </c>
      <c r="Q121" s="435" t="s">
        <v>949</v>
      </c>
      <c r="R121" s="461" t="s">
        <v>853</v>
      </c>
      <c r="S121" s="435" t="s">
        <v>340</v>
      </c>
      <c r="T121" s="159" t="s">
        <v>968</v>
      </c>
      <c r="U121" s="159" t="s">
        <v>969</v>
      </c>
      <c r="V121" s="159" t="s">
        <v>970</v>
      </c>
      <c r="W121" s="361">
        <v>1995</v>
      </c>
      <c r="X121" s="361">
        <v>621</v>
      </c>
      <c r="Y121" s="361"/>
      <c r="Z121" s="361"/>
      <c r="AA121" s="361" t="s">
        <v>150</v>
      </c>
      <c r="AB121" s="361">
        <v>10</v>
      </c>
      <c r="AC121" s="361"/>
      <c r="AD121" s="361"/>
      <c r="AE121" s="361"/>
      <c r="AF121" s="361"/>
      <c r="AG121" s="361"/>
      <c r="AH121" s="361"/>
      <c r="AI121" s="361"/>
      <c r="AJ121" s="177"/>
      <c r="AK121" s="443">
        <v>1</v>
      </c>
      <c r="AL121" s="444"/>
      <c r="AM121" s="370">
        <f>X121*P2_reinigen_daken_met_vaste_dakveiligheid</f>
        <v>0</v>
      </c>
      <c r="AN121" s="371">
        <f>Y121*P2_reinigen_goten_met_vaste_dakveiligheid</f>
        <v>0</v>
      </c>
      <c r="AO121" s="371">
        <f>(AE121*P2_Reinigen_Lichtkoepel_50X50)+('Perceel 2'!AF121*P2_Reinigen_Lichtkoepel_60x200)+('Perceel 2'!AG121*P2_Reinigen_Lichtkoepel_180x180)+('Perceel 2'!AH121*P2_Reinigen_Lichtstraten_groter_dan_180x180)</f>
        <v>0</v>
      </c>
      <c r="AP121" s="371">
        <f>('Perceel 2'!X121+'Perceel 2'!Y121)*P2_Inspecteren_daken_en_goten_1x_per_jaar_gelijktijdig_met_reiniging_inclusief_inspectierapport_en_een_managementrapport</f>
        <v>0</v>
      </c>
      <c r="AQ121" s="419"/>
      <c r="AR121" s="372">
        <f t="shared" si="21"/>
        <v>0</v>
      </c>
      <c r="AS121" s="373">
        <f t="shared" si="22"/>
        <v>0</v>
      </c>
    </row>
    <row r="122" spans="1:45" ht="54" customHeight="1" x14ac:dyDescent="0.45">
      <c r="A122" s="155"/>
      <c r="B122" s="347">
        <v>2</v>
      </c>
      <c r="C122" s="156" t="s">
        <v>135</v>
      </c>
      <c r="D122" s="156" t="s">
        <v>136</v>
      </c>
      <c r="E122" s="156"/>
      <c r="F122" s="156"/>
      <c r="G122" s="156"/>
      <c r="H122" s="151" t="s">
        <v>971</v>
      </c>
      <c r="I122" s="151" t="s">
        <v>972</v>
      </c>
      <c r="J122" s="157"/>
      <c r="K122" s="163"/>
      <c r="L122" s="151" t="s">
        <v>348</v>
      </c>
      <c r="M122" s="159" t="s">
        <v>349</v>
      </c>
      <c r="N122" s="435" t="s">
        <v>973</v>
      </c>
      <c r="O122" s="353" t="s">
        <v>974</v>
      </c>
      <c r="P122" s="435" t="s">
        <v>975</v>
      </c>
      <c r="Q122" s="435" t="s">
        <v>976</v>
      </c>
      <c r="R122" s="461" t="s">
        <v>942</v>
      </c>
      <c r="S122" s="435" t="s">
        <v>340</v>
      </c>
      <c r="T122" s="159" t="s">
        <v>977</v>
      </c>
      <c r="U122" s="159" t="s">
        <v>978</v>
      </c>
      <c r="V122" s="176" t="s">
        <v>979</v>
      </c>
      <c r="W122" s="361">
        <v>2000</v>
      </c>
      <c r="X122" s="361">
        <v>1350</v>
      </c>
      <c r="Y122" s="361"/>
      <c r="Z122" s="361"/>
      <c r="AA122" s="361"/>
      <c r="AB122" s="361"/>
      <c r="AC122" s="361"/>
      <c r="AD122" s="361"/>
      <c r="AE122" s="361"/>
      <c r="AF122" s="361"/>
      <c r="AG122" s="361"/>
      <c r="AH122" s="361"/>
      <c r="AI122" s="361"/>
      <c r="AJ122" s="177"/>
      <c r="AK122" s="443">
        <v>1</v>
      </c>
      <c r="AL122" s="444"/>
      <c r="AM122" s="370">
        <f>X122*P2_Reinigen_daken_incl._extra_maatregelen_veilig_werken_volgens_VCA__eventuele_vergunningen_leges___voorrijkosten__adminstratieve_kosten__fotorapportage_en_kleine_reparaties</f>
        <v>0</v>
      </c>
      <c r="AN122" s="371">
        <f>Y122*P2_Reinigen_goten_incl._extra_maatregelen_veilig_werken_volgens_VCA__eventuele_vergunningen_leges___voorrijkosten__adminstratieve_kosten__fotorapportage_en_kleine_reparaties</f>
        <v>0</v>
      </c>
      <c r="AO122" s="371">
        <f>(AE122*P2_Reinigen_Lichtkoepel_50X50)+('Perceel 2'!AF122*P2_Reinigen_Lichtkoepel_60x200)+('Perceel 2'!AG122*P2_Reinigen_Lichtkoepel_180x180)+('Perceel 2'!AH122*P2_Reinigen_Lichtstraten_groter_dan_180x180)</f>
        <v>0</v>
      </c>
      <c r="AP122" s="371">
        <f>('Perceel 2'!X122+'Perceel 2'!Y122)*P2_Inspecteren_daken_en_goten_1x_per_jaar_gelijktijdig_met_reiniging_inclusief_inspectierapport_en_een_managementrapport</f>
        <v>0</v>
      </c>
      <c r="AQ122" s="416"/>
      <c r="AR122" s="372">
        <f>AQ122*P2_keuren_dakveiligheid_per_man_uur</f>
        <v>0</v>
      </c>
      <c r="AS122" s="373">
        <f t="shared" si="22"/>
        <v>0</v>
      </c>
    </row>
    <row r="123" spans="1:45" ht="38.25" x14ac:dyDescent="0.45">
      <c r="A123" s="155"/>
      <c r="B123" s="347">
        <v>2</v>
      </c>
      <c r="C123" s="156" t="s">
        <v>135</v>
      </c>
      <c r="D123" s="156" t="s">
        <v>136</v>
      </c>
      <c r="E123" s="156"/>
      <c r="F123" s="156"/>
      <c r="G123" s="156"/>
      <c r="H123" s="151" t="s">
        <v>980</v>
      </c>
      <c r="I123" s="151" t="s">
        <v>981</v>
      </c>
      <c r="J123" s="157"/>
      <c r="K123" s="163"/>
      <c r="L123" s="163" t="s">
        <v>154</v>
      </c>
      <c r="M123" s="166" t="s">
        <v>544</v>
      </c>
      <c r="N123" s="435" t="s">
        <v>982</v>
      </c>
      <c r="O123" s="353" t="s">
        <v>983</v>
      </c>
      <c r="P123" s="435" t="s">
        <v>984</v>
      </c>
      <c r="Q123" s="435" t="s">
        <v>985</v>
      </c>
      <c r="R123" s="461" t="s">
        <v>942</v>
      </c>
      <c r="S123" s="435" t="s">
        <v>340</v>
      </c>
      <c r="T123" s="159" t="s">
        <v>722</v>
      </c>
      <c r="U123" s="168" t="s">
        <v>723</v>
      </c>
      <c r="V123" s="209" t="s">
        <v>724</v>
      </c>
      <c r="W123" s="361">
        <v>2000</v>
      </c>
      <c r="X123" s="361">
        <v>1791</v>
      </c>
      <c r="Y123" s="361"/>
      <c r="Z123" s="361"/>
      <c r="AA123" s="361" t="s">
        <v>150</v>
      </c>
      <c r="AB123" s="361">
        <v>26</v>
      </c>
      <c r="AC123" s="361">
        <v>218</v>
      </c>
      <c r="AD123" s="361" t="s">
        <v>986</v>
      </c>
      <c r="AE123" s="361"/>
      <c r="AF123" s="361"/>
      <c r="AG123" s="361"/>
      <c r="AH123" s="361"/>
      <c r="AI123" s="361"/>
      <c r="AJ123" s="177"/>
      <c r="AK123" s="443">
        <v>1</v>
      </c>
      <c r="AL123" s="444"/>
      <c r="AM123" s="370">
        <f>X123*P2_reinigen_daken_met_vaste_dakveiligheid</f>
        <v>0</v>
      </c>
      <c r="AN123" s="371">
        <f>Y123*P2_reinigen_goten_met_vaste_dakveiligheid</f>
        <v>0</v>
      </c>
      <c r="AO123" s="371">
        <f>(AE123*P2_Reinigen_Lichtkoepel_50X50)+('Perceel 2'!AF123*P2_Reinigen_Lichtkoepel_60x200)+('Perceel 2'!AG123*P2_Reinigen_Lichtkoepel_180x180)+('Perceel 2'!AH123*P2_Reinigen_Lichtstraten_groter_dan_180x180)</f>
        <v>0</v>
      </c>
      <c r="AP123" s="371">
        <f>('Perceel 2'!X123+'Perceel 2'!Y123)*P2_Inspecteren_daken_en_goten_1x_per_jaar_gelijktijdig_met_reiniging_inclusief_inspectierapport_en_een_managementrapport</f>
        <v>0</v>
      </c>
      <c r="AQ123" s="419"/>
      <c r="AR123" s="372">
        <f t="shared" si="21"/>
        <v>0</v>
      </c>
      <c r="AS123" s="373">
        <f t="shared" si="22"/>
        <v>0</v>
      </c>
    </row>
    <row r="124" spans="1:45" ht="43.35" customHeight="1" x14ac:dyDescent="0.45">
      <c r="A124" s="155"/>
      <c r="B124" s="347">
        <v>2</v>
      </c>
      <c r="C124" s="156" t="s">
        <v>135</v>
      </c>
      <c r="D124" s="156" t="s">
        <v>136</v>
      </c>
      <c r="E124" s="156"/>
      <c r="F124" s="156"/>
      <c r="G124" s="156"/>
      <c r="H124" s="151" t="s">
        <v>987</v>
      </c>
      <c r="I124" s="151" t="s">
        <v>988</v>
      </c>
      <c r="J124" s="157"/>
      <c r="K124" s="163"/>
      <c r="L124" s="151" t="s">
        <v>348</v>
      </c>
      <c r="M124" s="151" t="s">
        <v>349</v>
      </c>
      <c r="N124" s="304">
        <v>2483</v>
      </c>
      <c r="O124" s="353" t="s">
        <v>989</v>
      </c>
      <c r="P124" s="353" t="s">
        <v>990</v>
      </c>
      <c r="Q124" s="353" t="s">
        <v>976</v>
      </c>
      <c r="R124" s="355" t="s">
        <v>942</v>
      </c>
      <c r="S124" s="353" t="s">
        <v>340</v>
      </c>
      <c r="T124" s="159" t="s">
        <v>991</v>
      </c>
      <c r="U124" s="159" t="s">
        <v>992</v>
      </c>
      <c r="V124" s="176" t="s">
        <v>993</v>
      </c>
      <c r="W124" s="361">
        <v>2014</v>
      </c>
      <c r="X124" s="361">
        <v>291</v>
      </c>
      <c r="Y124" s="361"/>
      <c r="Z124" s="361"/>
      <c r="AA124" s="361" t="s">
        <v>150</v>
      </c>
      <c r="AB124" s="361">
        <v>10</v>
      </c>
      <c r="AC124" s="361">
        <v>54</v>
      </c>
      <c r="AD124" s="361" t="s">
        <v>423</v>
      </c>
      <c r="AE124" s="361"/>
      <c r="AF124" s="361"/>
      <c r="AG124" s="361"/>
      <c r="AH124" s="361"/>
      <c r="AI124" s="361"/>
      <c r="AJ124" s="177"/>
      <c r="AK124" s="443">
        <v>1</v>
      </c>
      <c r="AL124" s="444"/>
      <c r="AM124" s="370">
        <f>X124*P2_reinigen_daken_met_vaste_dakveiligheid</f>
        <v>0</v>
      </c>
      <c r="AN124" s="371">
        <f>Y124*P2_reinigen_goten_met_vaste_dakveiligheid</f>
        <v>0</v>
      </c>
      <c r="AO124" s="371">
        <f>(AE124*P2_Reinigen_Lichtkoepel_50X50)+('Perceel 2'!AF124*P2_Reinigen_Lichtkoepel_60x200)+('Perceel 2'!AG124*P2_Reinigen_Lichtkoepel_180x180)+('Perceel 2'!AH124*P2_Reinigen_Lichtstraten_groter_dan_180x180)</f>
        <v>0</v>
      </c>
      <c r="AP124" s="371">
        <f>('Perceel 2'!X124+'Perceel 2'!Y124)*P2_Inspecteren_daken_en_goten_1x_per_jaar_gelijktijdig_met_reiniging_inclusief_inspectierapport_en_een_managementrapport</f>
        <v>0</v>
      </c>
      <c r="AQ124" s="419"/>
      <c r="AR124" s="372">
        <f t="shared" si="21"/>
        <v>0</v>
      </c>
      <c r="AS124" s="373">
        <f t="shared" si="22"/>
        <v>0</v>
      </c>
    </row>
    <row r="125" spans="1:45" ht="71.25" customHeight="1" x14ac:dyDescent="0.45">
      <c r="A125" s="155"/>
      <c r="B125" s="347">
        <v>2</v>
      </c>
      <c r="C125" s="156" t="s">
        <v>135</v>
      </c>
      <c r="D125" s="156" t="s">
        <v>136</v>
      </c>
      <c r="E125" s="156"/>
      <c r="F125" s="156"/>
      <c r="G125" s="156" t="s">
        <v>833</v>
      </c>
      <c r="H125" s="151" t="s">
        <v>994</v>
      </c>
      <c r="I125" s="151" t="s">
        <v>995</v>
      </c>
      <c r="J125" s="157"/>
      <c r="K125" s="163"/>
      <c r="L125" s="151" t="s">
        <v>139</v>
      </c>
      <c r="M125" s="159" t="s">
        <v>140</v>
      </c>
      <c r="N125" s="435" t="s">
        <v>996</v>
      </c>
      <c r="O125" s="353" t="s">
        <v>997</v>
      </c>
      <c r="P125" s="353" t="s">
        <v>998</v>
      </c>
      <c r="Q125" s="353" t="s">
        <v>999</v>
      </c>
      <c r="R125" s="355" t="s">
        <v>895</v>
      </c>
      <c r="S125" s="353" t="s">
        <v>340</v>
      </c>
      <c r="T125" s="159" t="s">
        <v>756</v>
      </c>
      <c r="U125" s="159" t="s">
        <v>1000</v>
      </c>
      <c r="V125" s="176" t="s">
        <v>1001</v>
      </c>
      <c r="W125" s="361">
        <v>1993</v>
      </c>
      <c r="X125" s="361">
        <v>769</v>
      </c>
      <c r="Y125" s="361"/>
      <c r="Z125" s="361"/>
      <c r="AA125" s="361" t="s">
        <v>311</v>
      </c>
      <c r="AB125" s="361">
        <v>12</v>
      </c>
      <c r="AC125" s="361">
        <v>32</v>
      </c>
      <c r="AD125" s="361" t="s">
        <v>1002</v>
      </c>
      <c r="AE125" s="361"/>
      <c r="AF125" s="361"/>
      <c r="AG125" s="361"/>
      <c r="AH125" s="361"/>
      <c r="AI125" s="361"/>
      <c r="AJ125" s="177"/>
      <c r="AK125" s="361">
        <v>1</v>
      </c>
      <c r="AL125" s="369"/>
      <c r="AM125" s="370">
        <f>X125*P2_reinigen_daken_met_vaste_dakveiligheid</f>
        <v>0</v>
      </c>
      <c r="AN125" s="371">
        <f>Y125*P2_reinigen_goten_met_vaste_dakveiligheid</f>
        <v>0</v>
      </c>
      <c r="AO125" s="371">
        <f>(AE125*P2_Reinigen_Lichtkoepel_50X50)+('Perceel 2'!AF125*P2_Reinigen_Lichtkoepel_60x200)+('Perceel 2'!AG125*P2_Reinigen_Lichtkoepel_180x180)+('Perceel 2'!AH125*P2_Reinigen_Lichtstraten_groter_dan_180x180)</f>
        <v>0</v>
      </c>
      <c r="AP125" s="371">
        <f>('Perceel 2'!X125+'Perceel 2'!Y125)*P2_Inspecteren_daken_en_goten_1x_per_jaar_gelijktijdig_met_reiniging_inclusief_inspectierapport_en_een_managementrapport</f>
        <v>0</v>
      </c>
      <c r="AQ125" s="419"/>
      <c r="AR125" s="372">
        <f t="shared" si="21"/>
        <v>0</v>
      </c>
      <c r="AS125" s="373">
        <f t="shared" si="22"/>
        <v>0</v>
      </c>
    </row>
    <row r="126" spans="1:45" ht="38.450000000000003" customHeight="1" x14ac:dyDescent="0.45">
      <c r="A126" s="155"/>
      <c r="B126" s="347">
        <v>2</v>
      </c>
      <c r="C126" s="156" t="s">
        <v>135</v>
      </c>
      <c r="D126" s="156" t="s">
        <v>136</v>
      </c>
      <c r="E126" s="156"/>
      <c r="F126" s="156"/>
      <c r="G126" s="156"/>
      <c r="H126" s="151" t="s">
        <v>1003</v>
      </c>
      <c r="I126" s="151" t="s">
        <v>1004</v>
      </c>
      <c r="J126" s="157"/>
      <c r="K126" s="163"/>
      <c r="L126" s="151" t="s">
        <v>139</v>
      </c>
      <c r="M126" s="159" t="s">
        <v>140</v>
      </c>
      <c r="N126" s="435" t="s">
        <v>1005</v>
      </c>
      <c r="O126" s="353" t="s">
        <v>1006</v>
      </c>
      <c r="P126" s="435" t="s">
        <v>1007</v>
      </c>
      <c r="Q126" s="435" t="s">
        <v>1008</v>
      </c>
      <c r="R126" s="461" t="s">
        <v>895</v>
      </c>
      <c r="S126" s="435" t="s">
        <v>340</v>
      </c>
      <c r="T126" s="159" t="s">
        <v>1009</v>
      </c>
      <c r="U126" s="159" t="s">
        <v>1010</v>
      </c>
      <c r="V126" s="176" t="s">
        <v>1011</v>
      </c>
      <c r="W126" s="361">
        <v>1991</v>
      </c>
      <c r="X126" s="361">
        <v>207</v>
      </c>
      <c r="Y126" s="361"/>
      <c r="Z126" s="361"/>
      <c r="AA126" s="361"/>
      <c r="AB126" s="361"/>
      <c r="AC126" s="361"/>
      <c r="AD126" s="361"/>
      <c r="AE126" s="361"/>
      <c r="AF126" s="361"/>
      <c r="AG126" s="361"/>
      <c r="AH126" s="361"/>
      <c r="AI126" s="361"/>
      <c r="AJ126" s="177"/>
      <c r="AK126" s="443">
        <v>1</v>
      </c>
      <c r="AL126" s="444"/>
      <c r="AM126" s="370">
        <f>X126*P2_Reinigen_daken_incl._extra_maatregelen_veilig_werken_volgens_VCA__eventuele_vergunningen_leges___voorrijkosten__adminstratieve_kosten__fotorapportage_en_kleine_reparaties</f>
        <v>0</v>
      </c>
      <c r="AN126" s="371">
        <f>Y126*P2_Reinigen_goten_incl._extra_maatregelen_veilig_werken_volgens_VCA__eventuele_vergunningen_leges___voorrijkosten__adminstratieve_kosten__fotorapportage_en_kleine_reparaties</f>
        <v>0</v>
      </c>
      <c r="AO126" s="371">
        <f>(AE126*P2_Reinigen_Lichtkoepel_50X50)+('Perceel 2'!AF126*P2_Reinigen_Lichtkoepel_60x200)+('Perceel 2'!AG126*P2_Reinigen_Lichtkoepel_180x180)+('Perceel 2'!AH126*P2_Reinigen_Lichtstraten_groter_dan_180x180)</f>
        <v>0</v>
      </c>
      <c r="AP126" s="371">
        <f>('Perceel 2'!X126+'Perceel 2'!Y126)*P2_Inspecteren_daken_en_goten_1x_per_jaar_gelijktijdig_met_reiniging_inclusief_inspectierapport_en_een_managementrapport</f>
        <v>0</v>
      </c>
      <c r="AQ126" s="416"/>
      <c r="AR126" s="372">
        <f>AQ126*P2_keuren_dakveiligheid_per_man_uur</f>
        <v>0</v>
      </c>
      <c r="AS126" s="373">
        <f t="shared" si="22"/>
        <v>0</v>
      </c>
    </row>
    <row r="127" spans="1:45" ht="38.450000000000003" customHeight="1" x14ac:dyDescent="0.4">
      <c r="A127" s="211"/>
      <c r="B127" s="377">
        <v>2</v>
      </c>
      <c r="C127" s="171" t="s">
        <v>135</v>
      </c>
      <c r="D127" s="171" t="s">
        <v>174</v>
      </c>
      <c r="E127" s="171"/>
      <c r="F127" s="171"/>
      <c r="G127" s="171"/>
      <c r="H127" s="15"/>
      <c r="I127" s="196"/>
      <c r="J127" s="15"/>
      <c r="K127" s="15"/>
      <c r="L127" s="196"/>
      <c r="M127" s="171"/>
      <c r="N127" s="466" t="s">
        <v>1012</v>
      </c>
      <c r="O127" s="381" t="s">
        <v>1013</v>
      </c>
      <c r="P127" s="466" t="s">
        <v>1014</v>
      </c>
      <c r="Q127" s="466" t="s">
        <v>1015</v>
      </c>
      <c r="R127" s="467" t="s">
        <v>853</v>
      </c>
      <c r="S127" s="466" t="s">
        <v>340</v>
      </c>
      <c r="T127" s="171"/>
      <c r="U127" s="171"/>
      <c r="V127" s="171"/>
      <c r="W127" s="466">
        <v>1995</v>
      </c>
      <c r="X127" s="471">
        <v>1236</v>
      </c>
      <c r="Y127" s="466"/>
      <c r="Z127" s="381"/>
      <c r="AA127" s="381" t="s">
        <v>150</v>
      </c>
      <c r="AB127" s="381">
        <v>20</v>
      </c>
      <c r="AC127" s="381"/>
      <c r="AD127" s="381" t="s">
        <v>1016</v>
      </c>
      <c r="AE127" s="381"/>
      <c r="AF127" s="381"/>
      <c r="AG127" s="381"/>
      <c r="AH127" s="381"/>
      <c r="AI127" s="381" t="s">
        <v>1017</v>
      </c>
      <c r="AJ127" s="171" t="s">
        <v>1018</v>
      </c>
      <c r="AK127" s="471">
        <v>1</v>
      </c>
      <c r="AL127" s="444"/>
      <c r="AM127" s="414"/>
      <c r="AN127" s="415"/>
      <c r="AO127" s="415"/>
      <c r="AP127" s="415"/>
      <c r="AQ127" s="419"/>
      <c r="AR127" s="417"/>
      <c r="AS127" s="418"/>
    </row>
    <row r="128" spans="1:45" ht="55.5" customHeight="1" x14ac:dyDescent="0.4">
      <c r="A128" s="182"/>
      <c r="B128" s="350">
        <v>2</v>
      </c>
      <c r="C128" s="175" t="s">
        <v>135</v>
      </c>
      <c r="D128" s="175" t="s">
        <v>174</v>
      </c>
      <c r="E128" s="175"/>
      <c r="F128" s="175"/>
      <c r="G128" s="175"/>
      <c r="H128" s="174" t="s">
        <v>1019</v>
      </c>
      <c r="I128" s="174" t="s">
        <v>1020</v>
      </c>
      <c r="J128" s="197"/>
      <c r="K128" s="197"/>
      <c r="L128" s="174"/>
      <c r="M128" s="175" t="s">
        <v>349</v>
      </c>
      <c r="N128" s="438" t="s">
        <v>1021</v>
      </c>
      <c r="O128" s="358" t="s">
        <v>1022</v>
      </c>
      <c r="P128" s="438" t="s">
        <v>1014</v>
      </c>
      <c r="Q128" s="438" t="s">
        <v>1015</v>
      </c>
      <c r="R128" s="439" t="s">
        <v>853</v>
      </c>
      <c r="S128" s="438" t="s">
        <v>340</v>
      </c>
      <c r="T128" s="175" t="s">
        <v>169</v>
      </c>
      <c r="U128" s="175" t="s">
        <v>170</v>
      </c>
      <c r="V128" s="175" t="s">
        <v>171</v>
      </c>
      <c r="W128" s="438">
        <v>1995</v>
      </c>
      <c r="X128" s="525">
        <f>X127*4.25%</f>
        <v>52.53</v>
      </c>
      <c r="Y128" s="438"/>
      <c r="Z128" s="358"/>
      <c r="AA128" s="358" t="s">
        <v>150</v>
      </c>
      <c r="AB128" s="358"/>
      <c r="AC128" s="358"/>
      <c r="AD128" s="358"/>
      <c r="AE128" s="358"/>
      <c r="AF128" s="358"/>
      <c r="AG128" s="358"/>
      <c r="AH128" s="358"/>
      <c r="AI128" s="358" t="s">
        <v>345</v>
      </c>
      <c r="AJ128" s="175" t="s">
        <v>1018</v>
      </c>
      <c r="AK128" s="441">
        <v>1</v>
      </c>
      <c r="AL128" s="444"/>
      <c r="AM128" s="370">
        <f>X128*P2_reinigen_daken_met_vaste_dakveiligheid</f>
        <v>0</v>
      </c>
      <c r="AN128" s="371">
        <f>Y128*P2_reinigen_goten_met_vaste_dakveiligheid</f>
        <v>0</v>
      </c>
      <c r="AO128" s="371">
        <f>(AE128*P2_Reinigen_Lichtkoepel_50X50)+('Perceel 2'!AF128*P2_Reinigen_Lichtkoepel_60x200)+('Perceel 2'!AG128*P2_Reinigen_Lichtkoepel_180x180)+('Perceel 2'!AH128*P2_Reinigen_Lichtstraten_groter_dan_180x180)</f>
        <v>0</v>
      </c>
      <c r="AP128" s="371">
        <f>('Perceel 2'!X128+'Perceel 2'!Y128)*P2_Inspecteren_daken_en_goten_1x_per_jaar_gelijktijdig_met_reiniging_inclusief_inspectierapport_en_een_managementrapport</f>
        <v>0</v>
      </c>
      <c r="AQ128" s="424">
        <f>AQ127*4.25%</f>
        <v>0</v>
      </c>
      <c r="AR128" s="372">
        <f t="shared" si="21"/>
        <v>0</v>
      </c>
      <c r="AS128" s="373">
        <f t="shared" si="22"/>
        <v>0</v>
      </c>
    </row>
    <row r="129" spans="1:45" ht="54" customHeight="1" x14ac:dyDescent="0.4">
      <c r="A129" s="182"/>
      <c r="B129" s="350">
        <v>2</v>
      </c>
      <c r="C129" s="175" t="s">
        <v>135</v>
      </c>
      <c r="D129" s="175" t="s">
        <v>174</v>
      </c>
      <c r="E129" s="175"/>
      <c r="F129" s="175"/>
      <c r="G129" s="175"/>
      <c r="H129" s="174" t="s">
        <v>1023</v>
      </c>
      <c r="I129" s="174" t="s">
        <v>1024</v>
      </c>
      <c r="J129" s="197"/>
      <c r="K129" s="197"/>
      <c r="L129" s="174"/>
      <c r="M129" s="175" t="s">
        <v>349</v>
      </c>
      <c r="N129" s="438" t="s">
        <v>1025</v>
      </c>
      <c r="O129" s="358" t="s">
        <v>1026</v>
      </c>
      <c r="P129" s="438" t="s">
        <v>1014</v>
      </c>
      <c r="Q129" s="438" t="s">
        <v>1015</v>
      </c>
      <c r="R129" s="439" t="s">
        <v>853</v>
      </c>
      <c r="S129" s="438" t="s">
        <v>340</v>
      </c>
      <c r="T129" s="175" t="s">
        <v>1027</v>
      </c>
      <c r="U129" s="175" t="s">
        <v>1028</v>
      </c>
      <c r="V129" s="175" t="s">
        <v>1029</v>
      </c>
      <c r="W129" s="438">
        <v>1995</v>
      </c>
      <c r="X129" s="525">
        <f>X127*95.75%</f>
        <v>1183.47</v>
      </c>
      <c r="Y129" s="438"/>
      <c r="Z129" s="358"/>
      <c r="AA129" s="358" t="s">
        <v>150</v>
      </c>
      <c r="AB129" s="358"/>
      <c r="AC129" s="358"/>
      <c r="AD129" s="358"/>
      <c r="AE129" s="358"/>
      <c r="AF129" s="358"/>
      <c r="AG129" s="358"/>
      <c r="AH129" s="358"/>
      <c r="AI129" s="358" t="s">
        <v>1017</v>
      </c>
      <c r="AJ129" s="175" t="s">
        <v>1018</v>
      </c>
      <c r="AK129" s="441">
        <v>1</v>
      </c>
      <c r="AL129" s="444"/>
      <c r="AM129" s="370">
        <f>X129*P2_reinigen_daken_met_vaste_dakveiligheid</f>
        <v>0</v>
      </c>
      <c r="AN129" s="371">
        <f>Y129*P2_reinigen_goten_met_vaste_dakveiligheid</f>
        <v>0</v>
      </c>
      <c r="AO129" s="371">
        <f>(AE129*P2_Reinigen_Lichtkoepel_50X50)+('Perceel 2'!AF129*P2_Reinigen_Lichtkoepel_60x200)+('Perceel 2'!AG129*P2_Reinigen_Lichtkoepel_180x180)+('Perceel 2'!AH129*P2_Reinigen_Lichtstraten_groter_dan_180x180)</f>
        <v>0</v>
      </c>
      <c r="AP129" s="371">
        <f>('Perceel 2'!X129+'Perceel 2'!Y129)*P2_Inspecteren_daken_en_goten_1x_per_jaar_gelijktijdig_met_reiniging_inclusief_inspectierapport_en_een_managementrapport</f>
        <v>0</v>
      </c>
      <c r="AQ129" s="424">
        <f>AQ127*95.75%</f>
        <v>0</v>
      </c>
      <c r="AR129" s="372">
        <f t="shared" si="21"/>
        <v>0</v>
      </c>
      <c r="AS129" s="373">
        <f t="shared" si="22"/>
        <v>0</v>
      </c>
    </row>
    <row r="130" spans="1:45" ht="51" x14ac:dyDescent="0.45">
      <c r="A130" s="155"/>
      <c r="B130" s="347">
        <v>2</v>
      </c>
      <c r="C130" s="156" t="s">
        <v>135</v>
      </c>
      <c r="D130" s="156" t="s">
        <v>136</v>
      </c>
      <c r="E130" s="156"/>
      <c r="F130" s="156"/>
      <c r="G130" s="156"/>
      <c r="H130" s="151" t="s">
        <v>1030</v>
      </c>
      <c r="I130" s="151" t="s">
        <v>1031</v>
      </c>
      <c r="J130" s="157"/>
      <c r="K130" s="163"/>
      <c r="L130" s="151" t="s">
        <v>139</v>
      </c>
      <c r="M130" s="159" t="s">
        <v>140</v>
      </c>
      <c r="N130" s="353" t="s">
        <v>1032</v>
      </c>
      <c r="O130" s="353" t="s">
        <v>1033</v>
      </c>
      <c r="P130" s="435" t="s">
        <v>1034</v>
      </c>
      <c r="Q130" s="435" t="s">
        <v>1035</v>
      </c>
      <c r="R130" s="461" t="s">
        <v>895</v>
      </c>
      <c r="S130" s="435" t="s">
        <v>340</v>
      </c>
      <c r="T130" s="159" t="s">
        <v>1036</v>
      </c>
      <c r="U130" s="159" t="s">
        <v>1037</v>
      </c>
      <c r="V130" s="176" t="s">
        <v>1038</v>
      </c>
      <c r="W130" s="361">
        <v>1986</v>
      </c>
      <c r="X130" s="361">
        <v>14321</v>
      </c>
      <c r="Y130" s="361"/>
      <c r="Z130" s="361" t="s">
        <v>311</v>
      </c>
      <c r="AA130" s="361" t="s">
        <v>150</v>
      </c>
      <c r="AB130" s="361">
        <f>130+14+31</f>
        <v>175</v>
      </c>
      <c r="AC130" s="361">
        <v>500</v>
      </c>
      <c r="AD130" s="361" t="s">
        <v>1039</v>
      </c>
      <c r="AE130" s="361"/>
      <c r="AF130" s="361"/>
      <c r="AG130" s="361"/>
      <c r="AH130" s="361"/>
      <c r="AI130" s="361" t="s">
        <v>1040</v>
      </c>
      <c r="AJ130" s="189" t="s">
        <v>1041</v>
      </c>
      <c r="AK130" s="443">
        <v>1</v>
      </c>
      <c r="AL130" s="526"/>
      <c r="AM130" s="370">
        <f>X130*P2_reinigen_daken_met_vaste_dakveiligheid</f>
        <v>0</v>
      </c>
      <c r="AN130" s="371">
        <f>Y130*P2_reinigen_goten_met_vaste_dakveiligheid</f>
        <v>0</v>
      </c>
      <c r="AO130" s="371">
        <f>(AE130*P2_Reinigen_Lichtkoepel_50X50)+('Perceel 2'!AF130*P2_Reinigen_Lichtkoepel_60x200)+('Perceel 2'!AG130*P2_Reinigen_Lichtkoepel_180x180)+('Perceel 2'!AH130*P2_Reinigen_Lichtstraten_groter_dan_180x180)</f>
        <v>0</v>
      </c>
      <c r="AP130" s="371">
        <f>('Perceel 2'!X130+'Perceel 2'!Y130)*P2_Inspecteren_daken_en_goten_1x_per_jaar_gelijktijdig_met_reiniging_inclusief_inspectierapport_en_een_managementrapport</f>
        <v>0</v>
      </c>
      <c r="AQ130" s="419"/>
      <c r="AR130" s="372">
        <f t="shared" si="21"/>
        <v>0</v>
      </c>
      <c r="AS130" s="373">
        <f t="shared" si="22"/>
        <v>0</v>
      </c>
    </row>
    <row r="131" spans="1:45" ht="39.200000000000003" customHeight="1" x14ac:dyDescent="0.45">
      <c r="A131" s="155"/>
      <c r="B131" s="347">
        <v>2</v>
      </c>
      <c r="C131" s="156" t="s">
        <v>135</v>
      </c>
      <c r="D131" s="156" t="s">
        <v>136</v>
      </c>
      <c r="E131" s="156"/>
      <c r="F131" s="156"/>
      <c r="G131" s="156"/>
      <c r="H131" s="151" t="s">
        <v>1042</v>
      </c>
      <c r="I131" s="151" t="s">
        <v>1043</v>
      </c>
      <c r="J131" s="157"/>
      <c r="K131" s="163"/>
      <c r="L131" s="151" t="s">
        <v>191</v>
      </c>
      <c r="M131" s="151" t="s">
        <v>890</v>
      </c>
      <c r="N131" s="353" t="s">
        <v>1044</v>
      </c>
      <c r="O131" s="353" t="s">
        <v>1045</v>
      </c>
      <c r="P131" s="435" t="s">
        <v>1046</v>
      </c>
      <c r="Q131" s="435" t="s">
        <v>1047</v>
      </c>
      <c r="R131" s="461" t="s">
        <v>895</v>
      </c>
      <c r="S131" s="435" t="s">
        <v>340</v>
      </c>
      <c r="T131" s="159" t="s">
        <v>1048</v>
      </c>
      <c r="U131" s="159" t="s">
        <v>1049</v>
      </c>
      <c r="V131" s="176" t="s">
        <v>1050</v>
      </c>
      <c r="W131" s="361">
        <v>2009</v>
      </c>
      <c r="X131" s="361">
        <v>4226</v>
      </c>
      <c r="Y131" s="361"/>
      <c r="Z131" s="361"/>
      <c r="AA131" s="361" t="s">
        <v>311</v>
      </c>
      <c r="AB131" s="361">
        <v>15</v>
      </c>
      <c r="AC131" s="361">
        <v>30</v>
      </c>
      <c r="AD131" s="361"/>
      <c r="AE131" s="361"/>
      <c r="AF131" s="361"/>
      <c r="AG131" s="361"/>
      <c r="AH131" s="361"/>
      <c r="AI131" s="361"/>
      <c r="AJ131" s="177"/>
      <c r="AK131" s="443">
        <v>1</v>
      </c>
      <c r="AL131" s="444"/>
      <c r="AM131" s="370">
        <f>X131*P2_reinigen_daken_met_vaste_dakveiligheid</f>
        <v>0</v>
      </c>
      <c r="AN131" s="371">
        <f>Y131*P2_reinigen_goten_met_vaste_dakveiligheid</f>
        <v>0</v>
      </c>
      <c r="AO131" s="371">
        <f>(AE131*P2_Reinigen_Lichtkoepel_50X50)+('Perceel 2'!AF131*P2_Reinigen_Lichtkoepel_60x200)+('Perceel 2'!AG131*P2_Reinigen_Lichtkoepel_180x180)+('Perceel 2'!AH131*P2_Reinigen_Lichtstraten_groter_dan_180x180)</f>
        <v>0</v>
      </c>
      <c r="AP131" s="371">
        <f>('Perceel 2'!X131+'Perceel 2'!Y131)*P2_Inspecteren_daken_en_goten_1x_per_jaar_gelijktijdig_met_reiniging_inclusief_inspectierapport_en_een_managementrapport</f>
        <v>0</v>
      </c>
      <c r="AQ131" s="419"/>
      <c r="AR131" s="372">
        <f t="shared" si="21"/>
        <v>0</v>
      </c>
      <c r="AS131" s="373">
        <f t="shared" si="22"/>
        <v>0</v>
      </c>
    </row>
    <row r="132" spans="1:45" ht="89.25" customHeight="1" x14ac:dyDescent="0.45">
      <c r="A132" s="155"/>
      <c r="B132" s="347">
        <v>2</v>
      </c>
      <c r="C132" s="156" t="s">
        <v>135</v>
      </c>
      <c r="D132" s="156" t="s">
        <v>136</v>
      </c>
      <c r="E132" s="156"/>
      <c r="F132" s="156"/>
      <c r="G132" s="156"/>
      <c r="H132" s="151" t="s">
        <v>1051</v>
      </c>
      <c r="I132" s="151" t="s">
        <v>1052</v>
      </c>
      <c r="J132" s="157"/>
      <c r="K132" s="163"/>
      <c r="L132" s="151" t="s">
        <v>191</v>
      </c>
      <c r="M132" s="151" t="s">
        <v>890</v>
      </c>
      <c r="N132" s="353" t="s">
        <v>1053</v>
      </c>
      <c r="O132" s="353" t="s">
        <v>1054</v>
      </c>
      <c r="P132" s="353" t="s">
        <v>1055</v>
      </c>
      <c r="Q132" s="353" t="s">
        <v>1056</v>
      </c>
      <c r="R132" s="355" t="s">
        <v>895</v>
      </c>
      <c r="S132" s="353" t="s">
        <v>340</v>
      </c>
      <c r="T132" s="159" t="s">
        <v>1057</v>
      </c>
      <c r="U132" s="159" t="s">
        <v>1058</v>
      </c>
      <c r="V132" s="176" t="s">
        <v>1059</v>
      </c>
      <c r="W132" s="361">
        <v>1987</v>
      </c>
      <c r="X132" s="361">
        <v>2275</v>
      </c>
      <c r="Y132" s="361"/>
      <c r="Z132" s="361" t="s">
        <v>311</v>
      </c>
      <c r="AA132" s="361" t="s">
        <v>150</v>
      </c>
      <c r="AB132" s="361">
        <v>73</v>
      </c>
      <c r="AC132" s="361">
        <v>174</v>
      </c>
      <c r="AD132" s="361"/>
      <c r="AE132" s="361"/>
      <c r="AF132" s="361"/>
      <c r="AG132" s="361"/>
      <c r="AH132" s="361"/>
      <c r="AI132" s="361" t="s">
        <v>345</v>
      </c>
      <c r="AJ132" s="177" t="s">
        <v>1018</v>
      </c>
      <c r="AK132" s="443">
        <v>1</v>
      </c>
      <c r="AL132" s="444"/>
      <c r="AM132" s="370">
        <f>X132*P2_reinigen_daken_met_vaste_dakveiligheid</f>
        <v>0</v>
      </c>
      <c r="AN132" s="371">
        <f>Y132*P2_reinigen_goten_met_vaste_dakveiligheid</f>
        <v>0</v>
      </c>
      <c r="AO132" s="371">
        <f>(AE132*P2_Reinigen_Lichtkoepel_50X50)+('Perceel 2'!AF132*P2_Reinigen_Lichtkoepel_60x200)+('Perceel 2'!AG132*P2_Reinigen_Lichtkoepel_180x180)+('Perceel 2'!AH132*P2_Reinigen_Lichtstraten_groter_dan_180x180)</f>
        <v>0</v>
      </c>
      <c r="AP132" s="371">
        <f>('Perceel 2'!X132+'Perceel 2'!Y132)*P2_Inspecteren_daken_en_goten_1x_per_jaar_gelijktijdig_met_reiniging_inclusief_inspectierapport_en_een_managementrapport</f>
        <v>0</v>
      </c>
      <c r="AQ132" s="419"/>
      <c r="AR132" s="372">
        <f t="shared" si="21"/>
        <v>0</v>
      </c>
      <c r="AS132" s="373">
        <f t="shared" si="22"/>
        <v>0</v>
      </c>
    </row>
    <row r="133" spans="1:45" ht="96.75" customHeight="1" x14ac:dyDescent="0.45">
      <c r="A133" s="161"/>
      <c r="B133" s="347">
        <v>2</v>
      </c>
      <c r="C133" s="156" t="s">
        <v>135</v>
      </c>
      <c r="D133" s="156" t="s">
        <v>136</v>
      </c>
      <c r="E133" s="156"/>
      <c r="F133" s="156"/>
      <c r="G133" s="156"/>
      <c r="H133" s="203" t="s">
        <v>1060</v>
      </c>
      <c r="I133" s="203" t="s">
        <v>1061</v>
      </c>
      <c r="J133" s="157"/>
      <c r="K133" s="163"/>
      <c r="L133" s="151" t="s">
        <v>139</v>
      </c>
      <c r="M133" s="159" t="s">
        <v>140</v>
      </c>
      <c r="N133" s="379" t="s">
        <v>1062</v>
      </c>
      <c r="O133" s="353" t="s">
        <v>1063</v>
      </c>
      <c r="P133" s="353" t="s">
        <v>1063</v>
      </c>
      <c r="Q133" s="353" t="s">
        <v>1064</v>
      </c>
      <c r="R133" s="355" t="s">
        <v>895</v>
      </c>
      <c r="S133" s="353" t="s">
        <v>340</v>
      </c>
      <c r="T133" s="159" t="s">
        <v>169</v>
      </c>
      <c r="U133" s="159" t="s">
        <v>170</v>
      </c>
      <c r="V133" s="176" t="s">
        <v>171</v>
      </c>
      <c r="W133" s="361">
        <v>2017</v>
      </c>
      <c r="X133" s="361">
        <f>75+28+30</f>
        <v>133</v>
      </c>
      <c r="Y133" s="361">
        <v>13</v>
      </c>
      <c r="Z133" s="361"/>
      <c r="AA133" s="361"/>
      <c r="AB133" s="361"/>
      <c r="AC133" s="361"/>
      <c r="AD133" s="361"/>
      <c r="AE133" s="361"/>
      <c r="AF133" s="361"/>
      <c r="AG133" s="361"/>
      <c r="AH133" s="361"/>
      <c r="AI133" s="361" t="s">
        <v>1065</v>
      </c>
      <c r="AJ133" s="177"/>
      <c r="AK133" s="361">
        <v>1</v>
      </c>
      <c r="AL133" s="369"/>
      <c r="AM133" s="370">
        <f>X133*P3_Reinigen_daken_incl._extra_maatregelen_veilig_werken_volgens_VCA_eventuele_vergunningen_leges_voorrijkosten_adminstratieve_kosten_fotorapportage_en_kleine_reparaties</f>
        <v>0</v>
      </c>
      <c r="AN133" s="371">
        <f>Y133*P2_Reinigen_goten_incl._extra_maatregelen_veilig_werken_volgens_VCA__eventuele_vergunningen_leges___voorrijkosten__adminstratieve_kosten__fotorapportage_en_kleine_reparaties</f>
        <v>0</v>
      </c>
      <c r="AO133" s="371">
        <f>(AE133*P2_Reinigen_Lichtkoepel_50X50)+('Perceel 2'!AF133*P2_Reinigen_Lichtkoepel_60x200)+('Perceel 2'!AG133*P2_Reinigen_Lichtkoepel_180x180)+('Perceel 2'!AH133*P2_Reinigen_Lichtstraten_groter_dan_180x180)</f>
        <v>0</v>
      </c>
      <c r="AP133" s="371">
        <f>('Perceel 2'!X133+'Perceel 2'!Y133)*P2_Inspecteren_daken_en_goten_1x_per_jaar_gelijktijdig_met_reiniging_inclusief_inspectierapport_en_een_managementrapport</f>
        <v>0</v>
      </c>
      <c r="AQ133" s="416"/>
      <c r="AR133" s="372">
        <f>AQ133*P2_keuren_dakveiligheid_per_man_uur</f>
        <v>0</v>
      </c>
      <c r="AS133" s="373">
        <f>(AM133*AK133)+(AN133*AK133)+AO133+AP133+AR133</f>
        <v>0</v>
      </c>
    </row>
    <row r="134" spans="1:45" ht="25.5" customHeight="1" x14ac:dyDescent="0.45">
      <c r="A134" s="155"/>
      <c r="B134" s="347">
        <v>2</v>
      </c>
      <c r="C134" s="156" t="s">
        <v>135</v>
      </c>
      <c r="D134" s="156" t="s">
        <v>136</v>
      </c>
      <c r="E134" s="156"/>
      <c r="F134" s="156"/>
      <c r="G134" s="156"/>
      <c r="H134" s="151" t="s">
        <v>1066</v>
      </c>
      <c r="I134" s="151" t="s">
        <v>1067</v>
      </c>
      <c r="J134" s="157"/>
      <c r="K134" s="163"/>
      <c r="L134" s="163" t="s">
        <v>154</v>
      </c>
      <c r="M134" s="166" t="s">
        <v>544</v>
      </c>
      <c r="N134" s="304">
        <v>4115</v>
      </c>
      <c r="O134" s="353" t="s">
        <v>1068</v>
      </c>
      <c r="P134" s="353" t="s">
        <v>1069</v>
      </c>
      <c r="Q134" s="353" t="s">
        <v>1070</v>
      </c>
      <c r="R134" s="355" t="s">
        <v>1071</v>
      </c>
      <c r="S134" s="353" t="s">
        <v>340</v>
      </c>
      <c r="T134" s="166" t="s">
        <v>160</v>
      </c>
      <c r="U134" s="166" t="s">
        <v>161</v>
      </c>
      <c r="V134" s="178" t="s">
        <v>162</v>
      </c>
      <c r="W134" s="361">
        <v>2014</v>
      </c>
      <c r="X134" s="361">
        <v>912</v>
      </c>
      <c r="Y134" s="361"/>
      <c r="Z134" s="361" t="s">
        <v>311</v>
      </c>
      <c r="AA134" s="361" t="s">
        <v>150</v>
      </c>
      <c r="AB134" s="361">
        <v>13</v>
      </c>
      <c r="AC134" s="361">
        <v>69</v>
      </c>
      <c r="AD134" s="361" t="s">
        <v>423</v>
      </c>
      <c r="AE134" s="361"/>
      <c r="AF134" s="361"/>
      <c r="AG134" s="361"/>
      <c r="AH134" s="361"/>
      <c r="AI134" s="361"/>
      <c r="AJ134" s="177"/>
      <c r="AK134" s="443">
        <v>1</v>
      </c>
      <c r="AL134" s="444"/>
      <c r="AM134" s="370">
        <f>X134*P2_reinigen_daken_met_vaste_dakveiligheid</f>
        <v>0</v>
      </c>
      <c r="AN134" s="371">
        <f>Y134*P2_reinigen_goten_met_vaste_dakveiligheid</f>
        <v>0</v>
      </c>
      <c r="AO134" s="371">
        <f>(AE134*P2_Reinigen_Lichtkoepel_50X50)+('Perceel 2'!AF134*P2_Reinigen_Lichtkoepel_60x200)+('Perceel 2'!AG134*P2_Reinigen_Lichtkoepel_180x180)+('Perceel 2'!AH134*P2_Reinigen_Lichtstraten_groter_dan_180x180)</f>
        <v>0</v>
      </c>
      <c r="AP134" s="371">
        <f>('Perceel 2'!X134+'Perceel 2'!Y134)*P2_Inspecteren_daken_en_goten_1x_per_jaar_gelijktijdig_met_reiniging_inclusief_inspectierapport_en_een_managementrapport</f>
        <v>0</v>
      </c>
      <c r="AQ134" s="419"/>
      <c r="AR134" s="372">
        <f t="shared" si="21"/>
        <v>0</v>
      </c>
      <c r="AS134" s="373">
        <f t="shared" si="22"/>
        <v>0</v>
      </c>
    </row>
    <row r="135" spans="1:45" ht="76.5" customHeight="1" x14ac:dyDescent="0.45">
      <c r="A135" s="155"/>
      <c r="B135" s="347">
        <v>2</v>
      </c>
      <c r="C135" s="156" t="s">
        <v>135</v>
      </c>
      <c r="D135" s="156" t="s">
        <v>136</v>
      </c>
      <c r="E135" s="156"/>
      <c r="F135" s="156"/>
      <c r="G135" s="156"/>
      <c r="H135" s="151" t="s">
        <v>1072</v>
      </c>
      <c r="I135" s="151" t="s">
        <v>1073</v>
      </c>
      <c r="J135" s="157"/>
      <c r="K135" s="163"/>
      <c r="L135" s="151" t="s">
        <v>139</v>
      </c>
      <c r="M135" s="159" t="s">
        <v>140</v>
      </c>
      <c r="N135" s="353" t="s">
        <v>1074</v>
      </c>
      <c r="O135" s="353" t="s">
        <v>1075</v>
      </c>
      <c r="P135" s="435" t="s">
        <v>1076</v>
      </c>
      <c r="Q135" s="435" t="s">
        <v>1077</v>
      </c>
      <c r="R135" s="461" t="s">
        <v>895</v>
      </c>
      <c r="S135" s="435" t="s">
        <v>340</v>
      </c>
      <c r="T135" s="159" t="s">
        <v>1078</v>
      </c>
      <c r="U135" s="159" t="s">
        <v>1079</v>
      </c>
      <c r="V135" s="176" t="s">
        <v>1080</v>
      </c>
      <c r="W135" s="361">
        <v>1980</v>
      </c>
      <c r="X135" s="361">
        <v>312</v>
      </c>
      <c r="Y135" s="361"/>
      <c r="Z135" s="361"/>
      <c r="AA135" s="361" t="s">
        <v>150</v>
      </c>
      <c r="AB135" s="361">
        <v>7</v>
      </c>
      <c r="AC135" s="361"/>
      <c r="AD135" s="361"/>
      <c r="AE135" s="361"/>
      <c r="AF135" s="361"/>
      <c r="AG135" s="361"/>
      <c r="AH135" s="361"/>
      <c r="AI135" s="361" t="s">
        <v>345</v>
      </c>
      <c r="AJ135" s="177" t="s">
        <v>1081</v>
      </c>
      <c r="AK135" s="443">
        <v>1</v>
      </c>
      <c r="AL135" s="444"/>
      <c r="AM135" s="370">
        <f>X135*P2_reinigen_daken_met_vaste_dakveiligheid</f>
        <v>0</v>
      </c>
      <c r="AN135" s="371">
        <f>Y135*P2_reinigen_goten_met_vaste_dakveiligheid</f>
        <v>0</v>
      </c>
      <c r="AO135" s="371">
        <f>(AE135*P2_Reinigen_Lichtkoepel_50X50)+('Perceel 2'!AF135*P2_Reinigen_Lichtkoepel_60x200)+('Perceel 2'!AG135*P2_Reinigen_Lichtkoepel_180x180)+('Perceel 2'!AH135*P2_Reinigen_Lichtstraten_groter_dan_180x180)</f>
        <v>0</v>
      </c>
      <c r="AP135" s="371">
        <f>('Perceel 2'!X135+'Perceel 2'!Y135)*P2_Inspecteren_daken_en_goten_1x_per_jaar_gelijktijdig_met_reiniging_inclusief_inspectierapport_en_een_managementrapport</f>
        <v>0</v>
      </c>
      <c r="AQ135" s="419"/>
      <c r="AR135" s="372">
        <f t="shared" si="21"/>
        <v>0</v>
      </c>
      <c r="AS135" s="373">
        <f t="shared" si="22"/>
        <v>0</v>
      </c>
    </row>
    <row r="136" spans="1:45" ht="25.5" customHeight="1" x14ac:dyDescent="0.4">
      <c r="A136" s="211"/>
      <c r="B136" s="374">
        <v>2</v>
      </c>
      <c r="C136" s="171" t="s">
        <v>135</v>
      </c>
      <c r="D136" s="171" t="s">
        <v>136</v>
      </c>
      <c r="E136" s="171" t="s">
        <v>174</v>
      </c>
      <c r="F136" s="171"/>
      <c r="G136" s="171"/>
      <c r="H136" s="15"/>
      <c r="I136" s="196"/>
      <c r="J136" s="15"/>
      <c r="K136" s="15"/>
      <c r="L136" s="196"/>
      <c r="M136" s="171"/>
      <c r="N136" s="466" t="s">
        <v>1082</v>
      </c>
      <c r="O136" s="381" t="s">
        <v>1083</v>
      </c>
      <c r="P136" s="466" t="s">
        <v>1084</v>
      </c>
      <c r="Q136" s="466" t="s">
        <v>1085</v>
      </c>
      <c r="R136" s="467" t="s">
        <v>853</v>
      </c>
      <c r="S136" s="466" t="s">
        <v>340</v>
      </c>
      <c r="T136" s="171"/>
      <c r="U136" s="171"/>
      <c r="V136" s="171"/>
      <c r="W136" s="466">
        <v>1997</v>
      </c>
      <c r="X136" s="471">
        <v>1028</v>
      </c>
      <c r="Y136" s="466"/>
      <c r="Z136" s="381"/>
      <c r="AA136" s="381"/>
      <c r="AB136" s="381"/>
      <c r="AC136" s="381"/>
      <c r="AD136" s="381"/>
      <c r="AE136" s="381"/>
      <c r="AF136" s="381"/>
      <c r="AG136" s="381"/>
      <c r="AH136" s="381"/>
      <c r="AI136" s="381"/>
      <c r="AJ136" s="171"/>
      <c r="AK136" s="471">
        <v>1</v>
      </c>
      <c r="AL136" s="395"/>
      <c r="AM136" s="414"/>
      <c r="AN136" s="415"/>
      <c r="AO136" s="415"/>
      <c r="AP136" s="415"/>
      <c r="AQ136" s="416"/>
      <c r="AR136" s="417"/>
      <c r="AS136" s="418"/>
    </row>
    <row r="137" spans="1:45" ht="25.5" customHeight="1" x14ac:dyDescent="0.4">
      <c r="A137" s="182"/>
      <c r="B137" s="350">
        <v>2</v>
      </c>
      <c r="C137" s="175" t="s">
        <v>135</v>
      </c>
      <c r="D137" s="175" t="s">
        <v>174</v>
      </c>
      <c r="E137" s="175"/>
      <c r="F137" s="175"/>
      <c r="G137" s="175"/>
      <c r="H137" s="174" t="s">
        <v>1086</v>
      </c>
      <c r="I137" s="174" t="s">
        <v>1087</v>
      </c>
      <c r="J137" s="197"/>
      <c r="K137" s="197"/>
      <c r="L137" s="174"/>
      <c r="M137" s="175" t="s">
        <v>349</v>
      </c>
      <c r="N137" s="438" t="s">
        <v>1088</v>
      </c>
      <c r="O137" s="358" t="s">
        <v>1089</v>
      </c>
      <c r="P137" s="438" t="s">
        <v>1090</v>
      </c>
      <c r="Q137" s="438" t="s">
        <v>1085</v>
      </c>
      <c r="R137" s="439" t="s">
        <v>853</v>
      </c>
      <c r="S137" s="438" t="s">
        <v>340</v>
      </c>
      <c r="T137" s="175" t="s">
        <v>1091</v>
      </c>
      <c r="U137" s="175" t="s">
        <v>1092</v>
      </c>
      <c r="V137" s="187" t="s">
        <v>1093</v>
      </c>
      <c r="W137" s="438">
        <v>1997</v>
      </c>
      <c r="X137" s="441">
        <f>X136*84%</f>
        <v>863.52</v>
      </c>
      <c r="Y137" s="438"/>
      <c r="Z137" s="358"/>
      <c r="AA137" s="358"/>
      <c r="AB137" s="358"/>
      <c r="AC137" s="358"/>
      <c r="AD137" s="358"/>
      <c r="AE137" s="358"/>
      <c r="AF137" s="358"/>
      <c r="AG137" s="358"/>
      <c r="AH137" s="358"/>
      <c r="AI137" s="358"/>
      <c r="AJ137" s="175"/>
      <c r="AK137" s="441">
        <v>1</v>
      </c>
      <c r="AL137" s="444"/>
      <c r="AM137" s="370">
        <f t="shared" ref="AM137:AM146" si="23">X137*P2_Reinigen_daken_incl._extra_maatregelen_veilig_werken_volgens_VCA__eventuele_vergunningen_leges___voorrijkosten__adminstratieve_kosten__fotorapportage_en_kleine_reparaties</f>
        <v>0</v>
      </c>
      <c r="AN137" s="371">
        <f t="shared" ref="AN137:AN146" si="24">Y137*P2_Reinigen_goten_incl._extra_maatregelen_veilig_werken_volgens_VCA__eventuele_vergunningen_leges___voorrijkosten__adminstratieve_kosten__fotorapportage_en_kleine_reparaties</f>
        <v>0</v>
      </c>
      <c r="AO137" s="371">
        <f>(AE137*P2_Reinigen_Lichtkoepel_50X50)+('Perceel 2'!AF137*P2_Reinigen_Lichtkoepel_60x200)+('Perceel 2'!AG137*P2_Reinigen_Lichtkoepel_180x180)+('Perceel 2'!AH137*P2_Reinigen_Lichtstraten_groter_dan_180x180)</f>
        <v>0</v>
      </c>
      <c r="AP137" s="371">
        <f>('Perceel 2'!X137+'Perceel 2'!Y137)*P2_Inspecteren_daken_en_goten_1x_per_jaar_gelijktijdig_met_reiniging_inclusief_inspectierapport_en_een_managementrapport</f>
        <v>0</v>
      </c>
      <c r="AQ137" s="416"/>
      <c r="AR137" s="372">
        <f t="shared" ref="AR137:AR175" si="25">AQ137*P2_keuren_dakveiligheid_per_man_uur</f>
        <v>0</v>
      </c>
      <c r="AS137" s="373">
        <f t="shared" ref="AS137:AS192" si="26">(AM137*AK137)+(Y137*AK137)+AO137+AP137+AR137</f>
        <v>0</v>
      </c>
    </row>
    <row r="138" spans="1:45" ht="51" x14ac:dyDescent="0.4">
      <c r="A138" s="182"/>
      <c r="B138" s="350">
        <v>2</v>
      </c>
      <c r="C138" s="175" t="s">
        <v>135</v>
      </c>
      <c r="D138" s="175" t="s">
        <v>136</v>
      </c>
      <c r="E138" s="175"/>
      <c r="F138" s="175"/>
      <c r="G138" s="175"/>
      <c r="H138" s="174" t="s">
        <v>1094</v>
      </c>
      <c r="I138" s="174" t="s">
        <v>1095</v>
      </c>
      <c r="J138" s="197"/>
      <c r="K138" s="197"/>
      <c r="L138" s="174"/>
      <c r="M138" s="191" t="s">
        <v>544</v>
      </c>
      <c r="N138" s="438" t="s">
        <v>1096</v>
      </c>
      <c r="O138" s="358" t="s">
        <v>1097</v>
      </c>
      <c r="P138" s="438" t="s">
        <v>1098</v>
      </c>
      <c r="Q138" s="438" t="s">
        <v>1085</v>
      </c>
      <c r="R138" s="439" t="s">
        <v>853</v>
      </c>
      <c r="S138" s="438" t="s">
        <v>340</v>
      </c>
      <c r="T138" s="175" t="s">
        <v>169</v>
      </c>
      <c r="U138" s="175" t="s">
        <v>170</v>
      </c>
      <c r="V138" s="175" t="s">
        <v>171</v>
      </c>
      <c r="W138" s="438">
        <v>1997</v>
      </c>
      <c r="X138" s="441">
        <f>X136*16%</f>
        <v>164.48</v>
      </c>
      <c r="Y138" s="438"/>
      <c r="Z138" s="358"/>
      <c r="AA138" s="358"/>
      <c r="AB138" s="358"/>
      <c r="AC138" s="358"/>
      <c r="AD138" s="358"/>
      <c r="AE138" s="358"/>
      <c r="AF138" s="358"/>
      <c r="AG138" s="358"/>
      <c r="AH138" s="358"/>
      <c r="AI138" s="358"/>
      <c r="AJ138" s="175"/>
      <c r="AK138" s="441">
        <v>1</v>
      </c>
      <c r="AL138" s="444"/>
      <c r="AM138" s="370">
        <f t="shared" si="23"/>
        <v>0</v>
      </c>
      <c r="AN138" s="371">
        <f t="shared" si="24"/>
        <v>0</v>
      </c>
      <c r="AO138" s="371">
        <f>(AE138*P2_Reinigen_Lichtkoepel_50X50)+('Perceel 2'!AF138*P2_Reinigen_Lichtkoepel_60x200)+('Perceel 2'!AG138*P2_Reinigen_Lichtkoepel_180x180)+('Perceel 2'!AH138*P2_Reinigen_Lichtstraten_groter_dan_180x180)</f>
        <v>0</v>
      </c>
      <c r="AP138" s="371">
        <f>('Perceel 2'!X138+'Perceel 2'!Y138)*P2_Inspecteren_daken_en_goten_1x_per_jaar_gelijktijdig_met_reiniging_inclusief_inspectierapport_en_een_managementrapport</f>
        <v>0</v>
      </c>
      <c r="AQ138" s="416"/>
      <c r="AR138" s="372">
        <f t="shared" si="25"/>
        <v>0</v>
      </c>
      <c r="AS138" s="373">
        <f t="shared" si="26"/>
        <v>0</v>
      </c>
    </row>
    <row r="139" spans="1:45" ht="25.5" customHeight="1" x14ac:dyDescent="0.45">
      <c r="A139" s="155"/>
      <c r="B139" s="347">
        <v>2</v>
      </c>
      <c r="C139" s="156" t="s">
        <v>135</v>
      </c>
      <c r="D139" s="156" t="s">
        <v>136</v>
      </c>
      <c r="E139" s="156"/>
      <c r="F139" s="156"/>
      <c r="G139" s="156"/>
      <c r="H139" s="151" t="s">
        <v>1099</v>
      </c>
      <c r="I139" s="151" t="s">
        <v>1100</v>
      </c>
      <c r="J139" s="157"/>
      <c r="K139" s="163"/>
      <c r="L139" s="151" t="s">
        <v>139</v>
      </c>
      <c r="M139" s="159" t="s">
        <v>140</v>
      </c>
      <c r="N139" s="435" t="s">
        <v>1101</v>
      </c>
      <c r="O139" s="353" t="s">
        <v>1102</v>
      </c>
      <c r="P139" s="435" t="s">
        <v>1103</v>
      </c>
      <c r="Q139" s="435" t="s">
        <v>1085</v>
      </c>
      <c r="R139" s="461" t="s">
        <v>853</v>
      </c>
      <c r="S139" s="435" t="s">
        <v>340</v>
      </c>
      <c r="T139" s="159" t="s">
        <v>1104</v>
      </c>
      <c r="U139" s="159" t="s">
        <v>1105</v>
      </c>
      <c r="V139" s="176" t="s">
        <v>400</v>
      </c>
      <c r="W139" s="361">
        <v>1999</v>
      </c>
      <c r="X139" s="361">
        <v>735</v>
      </c>
      <c r="Y139" s="361"/>
      <c r="Z139" s="361"/>
      <c r="AA139" s="361"/>
      <c r="AB139" s="361"/>
      <c r="AC139" s="361"/>
      <c r="AD139" s="361"/>
      <c r="AE139" s="361"/>
      <c r="AF139" s="361"/>
      <c r="AG139" s="361"/>
      <c r="AH139" s="361"/>
      <c r="AI139" s="361"/>
      <c r="AJ139" s="177"/>
      <c r="AK139" s="443">
        <v>1</v>
      </c>
      <c r="AL139" s="444"/>
      <c r="AM139" s="370">
        <f t="shared" si="23"/>
        <v>0</v>
      </c>
      <c r="AN139" s="371">
        <f t="shared" si="24"/>
        <v>0</v>
      </c>
      <c r="AO139" s="371">
        <f>(AE139*P2_Reinigen_Lichtkoepel_50X50)+('Perceel 2'!AF139*P2_Reinigen_Lichtkoepel_60x200)+('Perceel 2'!AG139*P2_Reinigen_Lichtkoepel_180x180)+('Perceel 2'!AH139*P2_Reinigen_Lichtstraten_groter_dan_180x180)</f>
        <v>0</v>
      </c>
      <c r="AP139" s="371">
        <f>('Perceel 2'!X139+'Perceel 2'!Y139)*P2_Inspecteren_daken_en_goten_1x_per_jaar_gelijktijdig_met_reiniging_inclusief_inspectierapport_en_een_managementrapport</f>
        <v>0</v>
      </c>
      <c r="AQ139" s="416"/>
      <c r="AR139" s="372">
        <f t="shared" si="25"/>
        <v>0</v>
      </c>
      <c r="AS139" s="373">
        <f t="shared" si="26"/>
        <v>0</v>
      </c>
    </row>
    <row r="140" spans="1:45" ht="25.5" x14ac:dyDescent="0.45">
      <c r="A140" s="155"/>
      <c r="B140" s="347">
        <v>2</v>
      </c>
      <c r="C140" s="156" t="s">
        <v>135</v>
      </c>
      <c r="D140" s="156" t="s">
        <v>136</v>
      </c>
      <c r="E140" s="156"/>
      <c r="F140" s="156"/>
      <c r="G140" s="156"/>
      <c r="H140" s="151" t="s">
        <v>1106</v>
      </c>
      <c r="I140" s="151" t="s">
        <v>1107</v>
      </c>
      <c r="J140" s="157"/>
      <c r="K140" s="163"/>
      <c r="L140" s="151" t="s">
        <v>348</v>
      </c>
      <c r="M140" s="159" t="s">
        <v>349</v>
      </c>
      <c r="N140" s="435" t="s">
        <v>1108</v>
      </c>
      <c r="O140" s="353" t="s">
        <v>1109</v>
      </c>
      <c r="P140" s="435" t="s">
        <v>1110</v>
      </c>
      <c r="Q140" s="435" t="s">
        <v>1085</v>
      </c>
      <c r="R140" s="461" t="s">
        <v>853</v>
      </c>
      <c r="S140" s="435" t="s">
        <v>340</v>
      </c>
      <c r="T140" s="159" t="s">
        <v>1111</v>
      </c>
      <c r="U140" s="226" t="s">
        <v>1112</v>
      </c>
      <c r="V140" s="176" t="s">
        <v>1113</v>
      </c>
      <c r="W140" s="361">
        <v>1997</v>
      </c>
      <c r="X140" s="361">
        <v>721</v>
      </c>
      <c r="Y140" s="361"/>
      <c r="Z140" s="361"/>
      <c r="AA140" s="361"/>
      <c r="AB140" s="361"/>
      <c r="AC140" s="361"/>
      <c r="AD140" s="361"/>
      <c r="AE140" s="361"/>
      <c r="AF140" s="361"/>
      <c r="AG140" s="361"/>
      <c r="AH140" s="361"/>
      <c r="AI140" s="361"/>
      <c r="AJ140" s="177"/>
      <c r="AK140" s="443">
        <v>1</v>
      </c>
      <c r="AL140" s="444"/>
      <c r="AM140" s="370">
        <f t="shared" si="23"/>
        <v>0</v>
      </c>
      <c r="AN140" s="371">
        <f t="shared" si="24"/>
        <v>0</v>
      </c>
      <c r="AO140" s="371">
        <f>(AE140*P2_Reinigen_Lichtkoepel_50X50)+('Perceel 2'!AF140*P2_Reinigen_Lichtkoepel_60x200)+('Perceel 2'!AG140*P2_Reinigen_Lichtkoepel_180x180)+('Perceel 2'!AH140*P2_Reinigen_Lichtstraten_groter_dan_180x180)</f>
        <v>0</v>
      </c>
      <c r="AP140" s="371">
        <f>('Perceel 2'!X140+'Perceel 2'!Y140)*P2_Inspecteren_daken_en_goten_1x_per_jaar_gelijktijdig_met_reiniging_inclusief_inspectierapport_en_een_managementrapport</f>
        <v>0</v>
      </c>
      <c r="AQ140" s="416"/>
      <c r="AR140" s="372">
        <f t="shared" si="25"/>
        <v>0</v>
      </c>
      <c r="AS140" s="373">
        <f t="shared" si="26"/>
        <v>0</v>
      </c>
    </row>
    <row r="141" spans="1:45" x14ac:dyDescent="0.45">
      <c r="A141" s="155"/>
      <c r="B141" s="347">
        <v>2</v>
      </c>
      <c r="C141" s="156" t="s">
        <v>135</v>
      </c>
      <c r="D141" s="156" t="s">
        <v>136</v>
      </c>
      <c r="E141" s="156"/>
      <c r="F141" s="156"/>
      <c r="G141" s="156"/>
      <c r="H141" s="151" t="s">
        <v>1114</v>
      </c>
      <c r="I141" s="151" t="s">
        <v>1115</v>
      </c>
      <c r="J141" s="157"/>
      <c r="K141" s="163"/>
      <c r="L141" s="151" t="s">
        <v>139</v>
      </c>
      <c r="M141" s="159" t="s">
        <v>140</v>
      </c>
      <c r="N141" s="435" t="s">
        <v>1116</v>
      </c>
      <c r="O141" s="353" t="s">
        <v>1117</v>
      </c>
      <c r="P141" s="435" t="s">
        <v>1118</v>
      </c>
      <c r="Q141" s="435" t="s">
        <v>1119</v>
      </c>
      <c r="R141" s="461" t="s">
        <v>1120</v>
      </c>
      <c r="S141" s="435" t="s">
        <v>340</v>
      </c>
      <c r="T141" s="227" t="s">
        <v>561</v>
      </c>
      <c r="U141" s="227" t="s">
        <v>1121</v>
      </c>
      <c r="V141" s="228" t="s">
        <v>400</v>
      </c>
      <c r="W141" s="361">
        <v>1999</v>
      </c>
      <c r="X141" s="361">
        <v>243</v>
      </c>
      <c r="Y141" s="361"/>
      <c r="Z141" s="361"/>
      <c r="AA141" s="361"/>
      <c r="AB141" s="361"/>
      <c r="AC141" s="361"/>
      <c r="AD141" s="361"/>
      <c r="AE141" s="361"/>
      <c r="AF141" s="361"/>
      <c r="AG141" s="361"/>
      <c r="AH141" s="361"/>
      <c r="AI141" s="361"/>
      <c r="AJ141" s="177"/>
      <c r="AK141" s="443">
        <v>1</v>
      </c>
      <c r="AL141" s="444"/>
      <c r="AM141" s="370">
        <f t="shared" si="23"/>
        <v>0</v>
      </c>
      <c r="AN141" s="371">
        <f t="shared" si="24"/>
        <v>0</v>
      </c>
      <c r="AO141" s="371">
        <f>(AE141*P2_Reinigen_Lichtkoepel_50X50)+('Perceel 2'!AF141*P2_Reinigen_Lichtkoepel_60x200)+('Perceel 2'!AG141*P2_Reinigen_Lichtkoepel_180x180)+('Perceel 2'!AH141*P2_Reinigen_Lichtstraten_groter_dan_180x180)</f>
        <v>0</v>
      </c>
      <c r="AP141" s="371">
        <f>('Perceel 2'!X141+'Perceel 2'!Y141)*P2_Inspecteren_daken_en_goten_1x_per_jaar_gelijktijdig_met_reiniging_inclusief_inspectierapport_en_een_managementrapport</f>
        <v>0</v>
      </c>
      <c r="AQ141" s="416"/>
      <c r="AR141" s="372">
        <f t="shared" si="25"/>
        <v>0</v>
      </c>
      <c r="AS141" s="373">
        <f t="shared" si="26"/>
        <v>0</v>
      </c>
    </row>
    <row r="142" spans="1:45" ht="12.75" customHeight="1" x14ac:dyDescent="0.4">
      <c r="A142" s="211"/>
      <c r="B142" s="374">
        <v>2</v>
      </c>
      <c r="C142" s="171" t="s">
        <v>135</v>
      </c>
      <c r="D142" s="171" t="s">
        <v>136</v>
      </c>
      <c r="E142" s="171" t="s">
        <v>174</v>
      </c>
      <c r="F142" s="171"/>
      <c r="G142" s="171"/>
      <c r="H142" s="196"/>
      <c r="I142" s="196"/>
      <c r="J142" s="15"/>
      <c r="K142" s="16"/>
      <c r="L142" s="196"/>
      <c r="M142" s="171"/>
      <c r="N142" s="466" t="s">
        <v>1122</v>
      </c>
      <c r="O142" s="381" t="s">
        <v>1123</v>
      </c>
      <c r="P142" s="466" t="s">
        <v>1124</v>
      </c>
      <c r="Q142" s="466" t="s">
        <v>1125</v>
      </c>
      <c r="R142" s="524" t="s">
        <v>1126</v>
      </c>
      <c r="S142" s="466" t="s">
        <v>340</v>
      </c>
      <c r="T142" s="171"/>
      <c r="U142" s="171"/>
      <c r="V142" s="171"/>
      <c r="W142" s="466">
        <v>1981</v>
      </c>
      <c r="X142" s="471">
        <v>1981</v>
      </c>
      <c r="Y142" s="466"/>
      <c r="Z142" s="381"/>
      <c r="AA142" s="381"/>
      <c r="AB142" s="381"/>
      <c r="AC142" s="381"/>
      <c r="AD142" s="381"/>
      <c r="AE142" s="381"/>
      <c r="AF142" s="381"/>
      <c r="AG142" s="381"/>
      <c r="AH142" s="381"/>
      <c r="AI142" s="381"/>
      <c r="AJ142" s="171"/>
      <c r="AK142" s="471">
        <v>1</v>
      </c>
      <c r="AL142" s="444"/>
      <c r="AM142" s="414"/>
      <c r="AN142" s="415"/>
      <c r="AO142" s="415"/>
      <c r="AP142" s="415"/>
      <c r="AQ142" s="416"/>
      <c r="AR142" s="417"/>
      <c r="AS142" s="418"/>
    </row>
    <row r="143" spans="1:45" ht="51" x14ac:dyDescent="0.4">
      <c r="A143" s="182"/>
      <c r="B143" s="352">
        <v>2</v>
      </c>
      <c r="C143" s="175" t="s">
        <v>135</v>
      </c>
      <c r="D143" s="175" t="s">
        <v>136</v>
      </c>
      <c r="E143" s="175"/>
      <c r="F143" s="175"/>
      <c r="G143" s="175"/>
      <c r="H143" s="174" t="s">
        <v>1127</v>
      </c>
      <c r="I143" s="174" t="s">
        <v>1128</v>
      </c>
      <c r="J143" s="197"/>
      <c r="K143" s="197"/>
      <c r="L143" s="174"/>
      <c r="M143" s="191" t="s">
        <v>544</v>
      </c>
      <c r="N143" s="438" t="s">
        <v>1129</v>
      </c>
      <c r="O143" s="358" t="s">
        <v>1130</v>
      </c>
      <c r="P143" s="358" t="s">
        <v>1124</v>
      </c>
      <c r="Q143" s="438" t="s">
        <v>1125</v>
      </c>
      <c r="R143" s="439" t="s">
        <v>1126</v>
      </c>
      <c r="S143" s="438" t="s">
        <v>340</v>
      </c>
      <c r="T143" s="175" t="s">
        <v>169</v>
      </c>
      <c r="U143" s="175" t="s">
        <v>170</v>
      </c>
      <c r="V143" s="175" t="s">
        <v>171</v>
      </c>
      <c r="W143" s="438">
        <v>1980</v>
      </c>
      <c r="X143" s="441">
        <f>X142*35%</f>
        <v>693.34999999999991</v>
      </c>
      <c r="Y143" s="438"/>
      <c r="Z143" s="358"/>
      <c r="AA143" s="358"/>
      <c r="AB143" s="358"/>
      <c r="AC143" s="358"/>
      <c r="AD143" s="358"/>
      <c r="AE143" s="358"/>
      <c r="AF143" s="358"/>
      <c r="AG143" s="358"/>
      <c r="AH143" s="358"/>
      <c r="AI143" s="358"/>
      <c r="AJ143" s="175"/>
      <c r="AK143" s="441">
        <v>1</v>
      </c>
      <c r="AL143" s="444"/>
      <c r="AM143" s="370">
        <f t="shared" si="23"/>
        <v>0</v>
      </c>
      <c r="AN143" s="371">
        <f t="shared" si="24"/>
        <v>0</v>
      </c>
      <c r="AO143" s="371">
        <f>(AE143*P2_Reinigen_Lichtkoepel_50X50)+('Perceel 2'!AF143*P2_Reinigen_Lichtkoepel_60x200)+('Perceel 2'!AG143*P2_Reinigen_Lichtkoepel_180x180)+('Perceel 2'!AH143*P2_Reinigen_Lichtstraten_groter_dan_180x180)</f>
        <v>0</v>
      </c>
      <c r="AP143" s="371">
        <f>('Perceel 2'!X143+'Perceel 2'!Y143)*P2_Inspecteren_daken_en_goten_1x_per_jaar_gelijktijdig_met_reiniging_inclusief_inspectierapport_en_een_managementrapport</f>
        <v>0</v>
      </c>
      <c r="AQ143" s="416"/>
      <c r="AR143" s="372">
        <f t="shared" si="25"/>
        <v>0</v>
      </c>
      <c r="AS143" s="373">
        <f t="shared" si="26"/>
        <v>0</v>
      </c>
    </row>
    <row r="144" spans="1:45" ht="25.5" customHeight="1" x14ac:dyDescent="0.4">
      <c r="A144" s="182"/>
      <c r="B144" s="352">
        <v>2</v>
      </c>
      <c r="C144" s="175" t="s">
        <v>135</v>
      </c>
      <c r="D144" s="175" t="s">
        <v>174</v>
      </c>
      <c r="E144" s="175"/>
      <c r="F144" s="175"/>
      <c r="G144" s="175"/>
      <c r="H144" s="174" t="s">
        <v>1131</v>
      </c>
      <c r="I144" s="174" t="s">
        <v>1132</v>
      </c>
      <c r="J144" s="197"/>
      <c r="K144" s="197"/>
      <c r="L144" s="174"/>
      <c r="M144" s="175" t="s">
        <v>349</v>
      </c>
      <c r="N144" s="438" t="s">
        <v>1133</v>
      </c>
      <c r="O144" s="358" t="s">
        <v>1134</v>
      </c>
      <c r="P144" s="438" t="s">
        <v>1124</v>
      </c>
      <c r="Q144" s="438" t="s">
        <v>1125</v>
      </c>
      <c r="R144" s="439" t="s">
        <v>1126</v>
      </c>
      <c r="S144" s="438" t="s">
        <v>340</v>
      </c>
      <c r="T144" s="175" t="s">
        <v>1135</v>
      </c>
      <c r="U144" s="175" t="s">
        <v>1136</v>
      </c>
      <c r="V144" s="187" t="s">
        <v>1137</v>
      </c>
      <c r="W144" s="438">
        <v>1981</v>
      </c>
      <c r="X144" s="441">
        <f>X142*65%</f>
        <v>1287.6500000000001</v>
      </c>
      <c r="Y144" s="438"/>
      <c r="Z144" s="358"/>
      <c r="AA144" s="358"/>
      <c r="AB144" s="358"/>
      <c r="AC144" s="358"/>
      <c r="AD144" s="358"/>
      <c r="AE144" s="358"/>
      <c r="AF144" s="358"/>
      <c r="AG144" s="358"/>
      <c r="AH144" s="358"/>
      <c r="AI144" s="358"/>
      <c r="AJ144" s="175"/>
      <c r="AK144" s="441">
        <v>1</v>
      </c>
      <c r="AL144" s="444"/>
      <c r="AM144" s="370">
        <f t="shared" si="23"/>
        <v>0</v>
      </c>
      <c r="AN144" s="371">
        <f t="shared" si="24"/>
        <v>0</v>
      </c>
      <c r="AO144" s="371">
        <f>(AE144*P2_Reinigen_Lichtkoepel_50X50)+('Perceel 2'!AF144*P2_Reinigen_Lichtkoepel_60x200)+('Perceel 2'!AG144*P2_Reinigen_Lichtkoepel_180x180)+('Perceel 2'!AH144*P2_Reinigen_Lichtstraten_groter_dan_180x180)</f>
        <v>0</v>
      </c>
      <c r="AP144" s="371">
        <f>('Perceel 2'!X144+'Perceel 2'!Y144)*P2_Inspecteren_daken_en_goten_1x_per_jaar_gelijktijdig_met_reiniging_inclusief_inspectierapport_en_een_managementrapport</f>
        <v>0</v>
      </c>
      <c r="AQ144" s="416"/>
      <c r="AR144" s="372">
        <f t="shared" si="25"/>
        <v>0</v>
      </c>
      <c r="AS144" s="373">
        <f t="shared" si="26"/>
        <v>0</v>
      </c>
    </row>
    <row r="145" spans="1:45" ht="51" x14ac:dyDescent="0.45">
      <c r="A145" s="155"/>
      <c r="B145" s="348">
        <v>2</v>
      </c>
      <c r="C145" s="156" t="s">
        <v>135</v>
      </c>
      <c r="D145" s="156" t="s">
        <v>136</v>
      </c>
      <c r="E145" s="156"/>
      <c r="F145" s="156"/>
      <c r="G145" s="156"/>
      <c r="H145" s="151" t="s">
        <v>1138</v>
      </c>
      <c r="I145" s="151" t="s">
        <v>1139</v>
      </c>
      <c r="J145" s="157"/>
      <c r="K145" s="163"/>
      <c r="L145" s="163" t="s">
        <v>154</v>
      </c>
      <c r="M145" s="166" t="s">
        <v>544</v>
      </c>
      <c r="N145" s="435" t="s">
        <v>1140</v>
      </c>
      <c r="O145" s="353" t="s">
        <v>1141</v>
      </c>
      <c r="P145" s="435" t="s">
        <v>1142</v>
      </c>
      <c r="Q145" s="435" t="s">
        <v>1143</v>
      </c>
      <c r="R145" s="461" t="s">
        <v>1144</v>
      </c>
      <c r="S145" s="435" t="s">
        <v>340</v>
      </c>
      <c r="T145" s="159" t="s">
        <v>169</v>
      </c>
      <c r="U145" s="159" t="s">
        <v>170</v>
      </c>
      <c r="V145" s="176" t="s">
        <v>171</v>
      </c>
      <c r="W145" s="361">
        <v>1986</v>
      </c>
      <c r="X145" s="361">
        <v>952</v>
      </c>
      <c r="Y145" s="361"/>
      <c r="Z145" s="361" t="s">
        <v>311</v>
      </c>
      <c r="AA145" s="361"/>
      <c r="AB145" s="361"/>
      <c r="AC145" s="361"/>
      <c r="AD145" s="361"/>
      <c r="AE145" s="361"/>
      <c r="AF145" s="361"/>
      <c r="AG145" s="361"/>
      <c r="AH145" s="361"/>
      <c r="AI145" s="361"/>
      <c r="AJ145" s="177"/>
      <c r="AK145" s="443">
        <v>1</v>
      </c>
      <c r="AL145" s="444"/>
      <c r="AM145" s="370">
        <f t="shared" si="23"/>
        <v>0</v>
      </c>
      <c r="AN145" s="371">
        <f t="shared" si="24"/>
        <v>0</v>
      </c>
      <c r="AO145" s="371">
        <f>(AE145*P2_Reinigen_Lichtkoepel_50X50)+('Perceel 2'!AF145*P2_Reinigen_Lichtkoepel_60x200)+('Perceel 2'!AG145*P2_Reinigen_Lichtkoepel_180x180)+('Perceel 2'!AH145*P2_Reinigen_Lichtstraten_groter_dan_180x180)</f>
        <v>0</v>
      </c>
      <c r="AP145" s="371">
        <f>('Perceel 2'!X145+'Perceel 2'!Y145)*P2_Inspecteren_daken_en_goten_1x_per_jaar_gelijktijdig_met_reiniging_inclusief_inspectierapport_en_een_managementrapport</f>
        <v>0</v>
      </c>
      <c r="AQ145" s="416"/>
      <c r="AR145" s="372">
        <f t="shared" si="25"/>
        <v>0</v>
      </c>
      <c r="AS145" s="373">
        <f t="shared" si="26"/>
        <v>0</v>
      </c>
    </row>
    <row r="146" spans="1:45" ht="25.5" customHeight="1" x14ac:dyDescent="0.45">
      <c r="A146" s="155"/>
      <c r="B146" s="347">
        <v>2</v>
      </c>
      <c r="C146" s="156" t="s">
        <v>135</v>
      </c>
      <c r="D146" s="156" t="s">
        <v>174</v>
      </c>
      <c r="E146" s="156"/>
      <c r="F146" s="156"/>
      <c r="G146" s="156"/>
      <c r="H146" s="151" t="s">
        <v>1145</v>
      </c>
      <c r="I146" s="151" t="s">
        <v>1146</v>
      </c>
      <c r="J146" s="157"/>
      <c r="K146" s="163"/>
      <c r="L146" s="151" t="s">
        <v>348</v>
      </c>
      <c r="M146" s="159" t="s">
        <v>349</v>
      </c>
      <c r="N146" s="435" t="s">
        <v>1147</v>
      </c>
      <c r="O146" s="353" t="s">
        <v>1148</v>
      </c>
      <c r="P146" s="435" t="s">
        <v>1149</v>
      </c>
      <c r="Q146" s="435" t="s">
        <v>1150</v>
      </c>
      <c r="R146" s="461" t="s">
        <v>1144</v>
      </c>
      <c r="S146" s="435" t="s">
        <v>340</v>
      </c>
      <c r="T146" s="159" t="s">
        <v>1151</v>
      </c>
      <c r="U146" s="159" t="s">
        <v>1152</v>
      </c>
      <c r="V146" s="176" t="s">
        <v>1153</v>
      </c>
      <c r="W146" s="361">
        <v>1986</v>
      </c>
      <c r="X146" s="361">
        <v>1177</v>
      </c>
      <c r="Y146" s="361"/>
      <c r="Z146" s="361"/>
      <c r="AA146" s="361"/>
      <c r="AB146" s="361"/>
      <c r="AC146" s="361"/>
      <c r="AD146" s="361"/>
      <c r="AE146" s="361"/>
      <c r="AF146" s="361"/>
      <c r="AG146" s="361"/>
      <c r="AH146" s="361"/>
      <c r="AI146" s="361"/>
      <c r="AJ146" s="177"/>
      <c r="AK146" s="443">
        <v>1</v>
      </c>
      <c r="AL146" s="444"/>
      <c r="AM146" s="370">
        <f t="shared" si="23"/>
        <v>0</v>
      </c>
      <c r="AN146" s="371">
        <f t="shared" si="24"/>
        <v>0</v>
      </c>
      <c r="AO146" s="371">
        <f>(AE146*P2_Reinigen_Lichtkoepel_50X50)+('Perceel 2'!AF146*P2_Reinigen_Lichtkoepel_60x200)+('Perceel 2'!AG146*P2_Reinigen_Lichtkoepel_180x180)+('Perceel 2'!AH146*P2_Reinigen_Lichtstraten_groter_dan_180x180)</f>
        <v>0</v>
      </c>
      <c r="AP146" s="371">
        <f>('Perceel 2'!X146+'Perceel 2'!Y146)*P2_Inspecteren_daken_en_goten_1x_per_jaar_gelijktijdig_met_reiniging_inclusief_inspectierapport_en_een_managementrapport</f>
        <v>0</v>
      </c>
      <c r="AQ146" s="416"/>
      <c r="AR146" s="372">
        <f t="shared" si="25"/>
        <v>0</v>
      </c>
      <c r="AS146" s="373">
        <f t="shared" si="26"/>
        <v>0</v>
      </c>
    </row>
    <row r="147" spans="1:45" ht="63.75" customHeight="1" x14ac:dyDescent="0.4">
      <c r="A147" s="211"/>
      <c r="B147" s="374">
        <v>2</v>
      </c>
      <c r="C147" s="171" t="s">
        <v>135</v>
      </c>
      <c r="D147" s="171" t="s">
        <v>174</v>
      </c>
      <c r="E147" s="171"/>
      <c r="F147" s="171"/>
      <c r="G147" s="171"/>
      <c r="H147" s="196"/>
      <c r="I147" s="196"/>
      <c r="J147" s="15"/>
      <c r="K147" s="16"/>
      <c r="L147" s="196" t="s">
        <v>348</v>
      </c>
      <c r="M147" s="171" t="s">
        <v>349</v>
      </c>
      <c r="N147" s="381" t="s">
        <v>1154</v>
      </c>
      <c r="O147" s="381" t="s">
        <v>1155</v>
      </c>
      <c r="P147" s="466" t="s">
        <v>1156</v>
      </c>
      <c r="Q147" s="466" t="s">
        <v>1157</v>
      </c>
      <c r="R147" s="467" t="s">
        <v>1158</v>
      </c>
      <c r="S147" s="466" t="s">
        <v>340</v>
      </c>
      <c r="T147" s="171"/>
      <c r="U147" s="171"/>
      <c r="V147" s="171"/>
      <c r="W147" s="466">
        <v>1985</v>
      </c>
      <c r="X147" s="471">
        <v>4390</v>
      </c>
      <c r="Y147" s="466"/>
      <c r="Z147" s="381"/>
      <c r="AA147" s="381" t="s">
        <v>150</v>
      </c>
      <c r="AB147" s="381">
        <v>16</v>
      </c>
      <c r="AC147" s="381">
        <v>76</v>
      </c>
      <c r="AD147" s="381"/>
      <c r="AE147" s="381"/>
      <c r="AF147" s="381"/>
      <c r="AG147" s="381"/>
      <c r="AH147" s="381"/>
      <c r="AI147" s="381"/>
      <c r="AJ147" s="171"/>
      <c r="AK147" s="471">
        <v>1</v>
      </c>
      <c r="AL147" s="444"/>
      <c r="AM147" s="414"/>
      <c r="AN147" s="415"/>
      <c r="AO147" s="415"/>
      <c r="AP147" s="415"/>
      <c r="AQ147" s="419"/>
      <c r="AR147" s="417"/>
      <c r="AS147" s="418"/>
    </row>
    <row r="148" spans="1:45" ht="76.5" customHeight="1" x14ac:dyDescent="0.4">
      <c r="A148" s="182"/>
      <c r="B148" s="352">
        <v>2</v>
      </c>
      <c r="C148" s="175" t="s">
        <v>135</v>
      </c>
      <c r="D148" s="175" t="s">
        <v>174</v>
      </c>
      <c r="E148" s="175"/>
      <c r="F148" s="175"/>
      <c r="G148" s="175"/>
      <c r="H148" s="174" t="s">
        <v>1159</v>
      </c>
      <c r="I148" s="174" t="s">
        <v>1160</v>
      </c>
      <c r="J148" s="197"/>
      <c r="K148" s="197"/>
      <c r="L148" s="174"/>
      <c r="M148" s="175" t="s">
        <v>349</v>
      </c>
      <c r="N148" s="438" t="s">
        <v>1161</v>
      </c>
      <c r="O148" s="358" t="s">
        <v>1162</v>
      </c>
      <c r="P148" s="438" t="s">
        <v>1163</v>
      </c>
      <c r="Q148" s="438" t="s">
        <v>1157</v>
      </c>
      <c r="R148" s="439" t="s">
        <v>1158</v>
      </c>
      <c r="S148" s="438" t="s">
        <v>340</v>
      </c>
      <c r="T148" s="175" t="s">
        <v>1164</v>
      </c>
      <c r="U148" s="175" t="s">
        <v>1165</v>
      </c>
      <c r="V148" s="187" t="s">
        <v>1166</v>
      </c>
      <c r="W148" s="438">
        <v>1985</v>
      </c>
      <c r="X148" s="441">
        <f>X147*8.1%</f>
        <v>355.59000000000003</v>
      </c>
      <c r="Y148" s="438"/>
      <c r="Z148" s="358"/>
      <c r="AA148" s="358" t="s">
        <v>150</v>
      </c>
      <c r="AB148" s="358"/>
      <c r="AC148" s="358"/>
      <c r="AD148" s="358"/>
      <c r="AE148" s="358"/>
      <c r="AF148" s="358"/>
      <c r="AG148" s="358"/>
      <c r="AH148" s="358"/>
      <c r="AI148" s="358" t="s">
        <v>1167</v>
      </c>
      <c r="AJ148" s="191" t="s">
        <v>1168</v>
      </c>
      <c r="AK148" s="441">
        <v>1</v>
      </c>
      <c r="AL148" s="444"/>
      <c r="AM148" s="370">
        <f>X148*P2_reinigen_daken_met_vaste_dakveiligheid</f>
        <v>0</v>
      </c>
      <c r="AN148" s="371">
        <f>Y148*P2_reinigen_goten_met_vaste_dakveiligheid</f>
        <v>0</v>
      </c>
      <c r="AO148" s="371">
        <f>(AE148*P2_Reinigen_Lichtkoepel_50X50)+('Perceel 2'!AF148*P2_Reinigen_Lichtkoepel_60x200)+('Perceel 2'!AG148*P2_Reinigen_Lichtkoepel_180x180)+('Perceel 2'!AH148*P2_Reinigen_Lichtstraten_groter_dan_180x180)</f>
        <v>0</v>
      </c>
      <c r="AP148" s="371">
        <f>('Perceel 2'!X148+'Perceel 2'!Y148)*P2_Inspecteren_daken_en_goten_1x_per_jaar_gelijktijdig_met_reiniging_inclusief_inspectierapport_en_een_managementrapport</f>
        <v>0</v>
      </c>
      <c r="AQ148" s="424">
        <f>AQ147*8.1%</f>
        <v>0</v>
      </c>
      <c r="AR148" s="372">
        <f t="shared" si="25"/>
        <v>0</v>
      </c>
      <c r="AS148" s="373">
        <f t="shared" si="26"/>
        <v>0</v>
      </c>
    </row>
    <row r="149" spans="1:45" ht="25.5" customHeight="1" x14ac:dyDescent="0.4">
      <c r="A149" s="182"/>
      <c r="B149" s="352">
        <v>2</v>
      </c>
      <c r="C149" s="175" t="s">
        <v>135</v>
      </c>
      <c r="D149" s="175" t="s">
        <v>174</v>
      </c>
      <c r="E149" s="175"/>
      <c r="F149" s="175"/>
      <c r="G149" s="175"/>
      <c r="H149" s="174" t="s">
        <v>1169</v>
      </c>
      <c r="I149" s="174" t="s">
        <v>1170</v>
      </c>
      <c r="J149" s="197"/>
      <c r="K149" s="197"/>
      <c r="L149" s="174"/>
      <c r="M149" s="175" t="s">
        <v>349</v>
      </c>
      <c r="N149" s="438" t="s">
        <v>1171</v>
      </c>
      <c r="O149" s="358" t="s">
        <v>1172</v>
      </c>
      <c r="P149" s="438" t="s">
        <v>1156</v>
      </c>
      <c r="Q149" s="438" t="s">
        <v>1157</v>
      </c>
      <c r="R149" s="439" t="s">
        <v>1158</v>
      </c>
      <c r="S149" s="438" t="s">
        <v>340</v>
      </c>
      <c r="T149" s="175" t="s">
        <v>1164</v>
      </c>
      <c r="U149" s="175" t="s">
        <v>1165</v>
      </c>
      <c r="V149" s="187" t="s">
        <v>1166</v>
      </c>
      <c r="W149" s="438">
        <v>1985</v>
      </c>
      <c r="X149" s="441">
        <f>X147*83.8%</f>
        <v>3678.8199999999997</v>
      </c>
      <c r="Y149" s="438"/>
      <c r="Z149" s="358"/>
      <c r="AA149" s="358" t="s">
        <v>150</v>
      </c>
      <c r="AB149" s="358"/>
      <c r="AC149" s="358"/>
      <c r="AD149" s="358"/>
      <c r="AE149" s="358"/>
      <c r="AF149" s="358"/>
      <c r="AG149" s="358"/>
      <c r="AH149" s="358"/>
      <c r="AI149" s="358"/>
      <c r="AJ149" s="175"/>
      <c r="AK149" s="441">
        <v>1</v>
      </c>
      <c r="AL149" s="526"/>
      <c r="AM149" s="370">
        <f>X149*P2_reinigen_daken_met_vaste_dakveiligheid</f>
        <v>0</v>
      </c>
      <c r="AN149" s="371">
        <f>Y149*P2_reinigen_goten_met_vaste_dakveiligheid</f>
        <v>0</v>
      </c>
      <c r="AO149" s="371">
        <f>(AE149*P2_Reinigen_Lichtkoepel_50X50)+('Perceel 2'!AF149*P2_Reinigen_Lichtkoepel_60x200)+('Perceel 2'!AG149*P2_Reinigen_Lichtkoepel_180x180)+('Perceel 2'!AH149*P2_Reinigen_Lichtstraten_groter_dan_180x180)</f>
        <v>0</v>
      </c>
      <c r="AP149" s="371">
        <f>('Perceel 2'!X149+'Perceel 2'!Y149)*P2_Inspecteren_daken_en_goten_1x_per_jaar_gelijktijdig_met_reiniging_inclusief_inspectierapport_en_een_managementrapport</f>
        <v>0</v>
      </c>
      <c r="AQ149" s="424">
        <f>AQ147*83.8%</f>
        <v>0</v>
      </c>
      <c r="AR149" s="372">
        <f t="shared" si="25"/>
        <v>0</v>
      </c>
      <c r="AS149" s="373">
        <f t="shared" si="26"/>
        <v>0</v>
      </c>
    </row>
    <row r="150" spans="1:45" ht="76.5" customHeight="1" x14ac:dyDescent="0.4">
      <c r="A150" s="182"/>
      <c r="B150" s="350">
        <v>2</v>
      </c>
      <c r="C150" s="175" t="s">
        <v>135</v>
      </c>
      <c r="D150" s="175" t="s">
        <v>174</v>
      </c>
      <c r="E150" s="175"/>
      <c r="F150" s="175"/>
      <c r="G150" s="175"/>
      <c r="H150" s="175" t="s">
        <v>1159</v>
      </c>
      <c r="I150" s="197" t="s">
        <v>1160</v>
      </c>
      <c r="J150" s="197"/>
      <c r="K150" s="197"/>
      <c r="L150" s="197"/>
      <c r="M150" s="174" t="s">
        <v>349</v>
      </c>
      <c r="N150" s="358" t="s">
        <v>1161</v>
      </c>
      <c r="O150" s="358" t="s">
        <v>1173</v>
      </c>
      <c r="P150" s="358" t="s">
        <v>1174</v>
      </c>
      <c r="Q150" s="358" t="s">
        <v>1157</v>
      </c>
      <c r="R150" s="408" t="s">
        <v>1158</v>
      </c>
      <c r="S150" s="358" t="s">
        <v>340</v>
      </c>
      <c r="T150" s="175" t="s">
        <v>1164</v>
      </c>
      <c r="U150" s="175" t="s">
        <v>1165</v>
      </c>
      <c r="V150" s="187" t="s">
        <v>1166</v>
      </c>
      <c r="W150" s="438">
        <v>1985</v>
      </c>
      <c r="X150" s="441">
        <f>X147*8.1%</f>
        <v>355.59000000000003</v>
      </c>
      <c r="Y150" s="438"/>
      <c r="Z150" s="358"/>
      <c r="AA150" s="358" t="s">
        <v>150</v>
      </c>
      <c r="AB150" s="358"/>
      <c r="AC150" s="358"/>
      <c r="AD150" s="358"/>
      <c r="AE150" s="358"/>
      <c r="AF150" s="358"/>
      <c r="AG150" s="358"/>
      <c r="AH150" s="358"/>
      <c r="AI150" s="358" t="s">
        <v>1167</v>
      </c>
      <c r="AJ150" s="191" t="s">
        <v>1168</v>
      </c>
      <c r="AK150" s="441">
        <v>1</v>
      </c>
      <c r="AL150" s="444"/>
      <c r="AM150" s="370">
        <f>X150*P2_reinigen_daken_met_vaste_dakveiligheid</f>
        <v>0</v>
      </c>
      <c r="AN150" s="371">
        <f>Y150*P2_reinigen_goten_met_vaste_dakveiligheid</f>
        <v>0</v>
      </c>
      <c r="AO150" s="371">
        <f>(AE150*P2_Reinigen_Lichtkoepel_50X50)+('Perceel 2'!AF150*P2_Reinigen_Lichtkoepel_60x200)+('Perceel 2'!AG150*P2_Reinigen_Lichtkoepel_180x180)+('Perceel 2'!AH150*P2_Reinigen_Lichtstraten_groter_dan_180x180)</f>
        <v>0</v>
      </c>
      <c r="AP150" s="371">
        <f>('Perceel 2'!X150+'Perceel 2'!Y150)*P2_Inspecteren_daken_en_goten_1x_per_jaar_gelijktijdig_met_reiniging_inclusief_inspectierapport_en_een_managementrapport</f>
        <v>0</v>
      </c>
      <c r="AQ150" s="424">
        <f>AQ147*8.1%</f>
        <v>0</v>
      </c>
      <c r="AR150" s="372">
        <f t="shared" si="25"/>
        <v>0</v>
      </c>
      <c r="AS150" s="373">
        <f t="shared" si="26"/>
        <v>0</v>
      </c>
    </row>
    <row r="151" spans="1:45" ht="25.5" customHeight="1" x14ac:dyDescent="0.45">
      <c r="A151" s="161"/>
      <c r="B151" s="347">
        <v>2</v>
      </c>
      <c r="C151" s="156" t="s">
        <v>135</v>
      </c>
      <c r="D151" s="156" t="s">
        <v>174</v>
      </c>
      <c r="E151" s="156"/>
      <c r="F151" s="156"/>
      <c r="G151" s="156"/>
      <c r="H151" s="159" t="s">
        <v>1175</v>
      </c>
      <c r="I151" s="159" t="s">
        <v>1176</v>
      </c>
      <c r="J151" s="229"/>
      <c r="K151" s="166"/>
      <c r="L151" s="151" t="s">
        <v>348</v>
      </c>
      <c r="M151" s="159" t="s">
        <v>349</v>
      </c>
      <c r="N151" s="353" t="s">
        <v>1177</v>
      </c>
      <c r="O151" s="353" t="s">
        <v>1178</v>
      </c>
      <c r="P151" s="353" t="s">
        <v>1179</v>
      </c>
      <c r="Q151" s="353" t="s">
        <v>1180</v>
      </c>
      <c r="R151" s="355" t="s">
        <v>1126</v>
      </c>
      <c r="S151" s="353" t="s">
        <v>340</v>
      </c>
      <c r="T151" s="159" t="s">
        <v>1181</v>
      </c>
      <c r="U151" s="159" t="s">
        <v>1182</v>
      </c>
      <c r="V151" s="176" t="s">
        <v>1183</v>
      </c>
      <c r="W151" s="361">
        <v>1982</v>
      </c>
      <c r="X151" s="361">
        <v>1107</v>
      </c>
      <c r="Y151" s="361"/>
      <c r="Z151" s="361"/>
      <c r="AA151" s="361"/>
      <c r="AB151" s="361"/>
      <c r="AC151" s="361"/>
      <c r="AD151" s="361"/>
      <c r="AE151" s="361"/>
      <c r="AF151" s="361"/>
      <c r="AG151" s="361"/>
      <c r="AH151" s="361"/>
      <c r="AI151" s="361"/>
      <c r="AJ151" s="177"/>
      <c r="AK151" s="361">
        <v>1</v>
      </c>
      <c r="AL151" s="395"/>
      <c r="AM151" s="370">
        <f t="shared" ref="AM151:AM157" si="27">X151*P2_Reinigen_daken_incl._extra_maatregelen_veilig_werken_volgens_VCA__eventuele_vergunningen_leges___voorrijkosten__adminstratieve_kosten__fotorapportage_en_kleine_reparaties</f>
        <v>0</v>
      </c>
      <c r="AN151" s="371">
        <f t="shared" ref="AN151:AN157" si="28">Y151*P2_Reinigen_goten_incl._extra_maatregelen_veilig_werken_volgens_VCA__eventuele_vergunningen_leges___voorrijkosten__adminstratieve_kosten__fotorapportage_en_kleine_reparaties</f>
        <v>0</v>
      </c>
      <c r="AO151" s="371">
        <f>(AE151*P2_Reinigen_Lichtkoepel_50X50)+('Perceel 2'!AF151*P2_Reinigen_Lichtkoepel_60x200)+('Perceel 2'!AG151*P2_Reinigen_Lichtkoepel_180x180)+('Perceel 2'!AH151*P2_Reinigen_Lichtstraten_groter_dan_180x180)</f>
        <v>0</v>
      </c>
      <c r="AP151" s="371">
        <f>('Perceel 2'!X151+'Perceel 2'!Y151)*P2_Inspecteren_daken_en_goten_1x_per_jaar_gelijktijdig_met_reiniging_inclusief_inspectierapport_en_een_managementrapport</f>
        <v>0</v>
      </c>
      <c r="AQ151" s="416"/>
      <c r="AR151" s="372">
        <f t="shared" si="25"/>
        <v>0</v>
      </c>
      <c r="AS151" s="373">
        <f t="shared" si="26"/>
        <v>0</v>
      </c>
    </row>
    <row r="152" spans="1:45" ht="51" x14ac:dyDescent="0.45">
      <c r="A152" s="155"/>
      <c r="B152" s="348">
        <v>2</v>
      </c>
      <c r="C152" s="156" t="s">
        <v>135</v>
      </c>
      <c r="D152" s="156" t="s">
        <v>136</v>
      </c>
      <c r="E152" s="156"/>
      <c r="F152" s="156"/>
      <c r="G152" s="156"/>
      <c r="H152" s="151" t="s">
        <v>1184</v>
      </c>
      <c r="I152" s="151" t="s">
        <v>1185</v>
      </c>
      <c r="J152" s="157"/>
      <c r="K152" s="163"/>
      <c r="L152" s="163" t="s">
        <v>154</v>
      </c>
      <c r="M152" s="166" t="s">
        <v>544</v>
      </c>
      <c r="N152" s="435" t="s">
        <v>1186</v>
      </c>
      <c r="O152" s="353" t="s">
        <v>1187</v>
      </c>
      <c r="P152" s="435" t="s">
        <v>1188</v>
      </c>
      <c r="Q152" s="435" t="s">
        <v>1189</v>
      </c>
      <c r="R152" s="461" t="s">
        <v>1126</v>
      </c>
      <c r="S152" s="435" t="s">
        <v>340</v>
      </c>
      <c r="T152" s="159" t="s">
        <v>169</v>
      </c>
      <c r="U152" s="159" t="s">
        <v>170</v>
      </c>
      <c r="V152" s="176" t="s">
        <v>171</v>
      </c>
      <c r="W152" s="361">
        <v>1980</v>
      </c>
      <c r="X152" s="361">
        <v>494</v>
      </c>
      <c r="Y152" s="361"/>
      <c r="Z152" s="361" t="s">
        <v>311</v>
      </c>
      <c r="AA152" s="361"/>
      <c r="AB152" s="361"/>
      <c r="AC152" s="361"/>
      <c r="AD152" s="361"/>
      <c r="AE152" s="361"/>
      <c r="AF152" s="361"/>
      <c r="AG152" s="361"/>
      <c r="AH152" s="361"/>
      <c r="AI152" s="361"/>
      <c r="AJ152" s="177"/>
      <c r="AK152" s="443">
        <v>1</v>
      </c>
      <c r="AL152" s="444"/>
      <c r="AM152" s="370">
        <f t="shared" si="27"/>
        <v>0</v>
      </c>
      <c r="AN152" s="371">
        <f t="shared" si="28"/>
        <v>0</v>
      </c>
      <c r="AO152" s="371">
        <f>(AE152*P2_Reinigen_Lichtkoepel_50X50)+('Perceel 2'!AF152*P2_Reinigen_Lichtkoepel_60x200)+('Perceel 2'!AG152*P2_Reinigen_Lichtkoepel_180x180)+('Perceel 2'!AH152*P2_Reinigen_Lichtstraten_groter_dan_180x180)</f>
        <v>0</v>
      </c>
      <c r="AP152" s="371">
        <f>('Perceel 2'!X152+'Perceel 2'!Y152)*P2_Inspecteren_daken_en_goten_1x_per_jaar_gelijktijdig_met_reiniging_inclusief_inspectierapport_en_een_managementrapport</f>
        <v>0</v>
      </c>
      <c r="AQ152" s="416"/>
      <c r="AR152" s="372">
        <f t="shared" si="25"/>
        <v>0</v>
      </c>
      <c r="AS152" s="373">
        <f t="shared" si="26"/>
        <v>0</v>
      </c>
    </row>
    <row r="153" spans="1:45" ht="51" customHeight="1" x14ac:dyDescent="0.45">
      <c r="A153" s="155"/>
      <c r="B153" s="348">
        <v>2</v>
      </c>
      <c r="C153" s="156" t="s">
        <v>135</v>
      </c>
      <c r="D153" s="156" t="s">
        <v>861</v>
      </c>
      <c r="E153" s="156"/>
      <c r="F153" s="156"/>
      <c r="G153" s="156"/>
      <c r="H153" s="151" t="s">
        <v>1190</v>
      </c>
      <c r="I153" s="151" t="s">
        <v>1191</v>
      </c>
      <c r="J153" s="157"/>
      <c r="K153" s="163"/>
      <c r="L153" s="151" t="s">
        <v>280</v>
      </c>
      <c r="M153" s="159" t="s">
        <v>669</v>
      </c>
      <c r="N153" s="353" t="s">
        <v>1192</v>
      </c>
      <c r="O153" s="353" t="s">
        <v>1193</v>
      </c>
      <c r="P153" s="435" t="s">
        <v>1194</v>
      </c>
      <c r="Q153" s="435" t="s">
        <v>1195</v>
      </c>
      <c r="R153" s="461" t="s">
        <v>1126</v>
      </c>
      <c r="S153" s="435" t="s">
        <v>340</v>
      </c>
      <c r="T153" s="159" t="s">
        <v>1196</v>
      </c>
      <c r="U153" s="159" t="s">
        <v>1197</v>
      </c>
      <c r="V153" s="176" t="s">
        <v>1198</v>
      </c>
      <c r="W153" s="361">
        <v>2008</v>
      </c>
      <c r="X153" s="361">
        <v>85</v>
      </c>
      <c r="Y153" s="361"/>
      <c r="Z153" s="361" t="s">
        <v>311</v>
      </c>
      <c r="AA153" s="361"/>
      <c r="AB153" s="361"/>
      <c r="AC153" s="361"/>
      <c r="AD153" s="361"/>
      <c r="AE153" s="361"/>
      <c r="AF153" s="361"/>
      <c r="AG153" s="361"/>
      <c r="AH153" s="361"/>
      <c r="AI153" s="361"/>
      <c r="AJ153" s="177"/>
      <c r="AK153" s="443">
        <v>1</v>
      </c>
      <c r="AL153" s="444"/>
      <c r="AM153" s="370">
        <f t="shared" si="27"/>
        <v>0</v>
      </c>
      <c r="AN153" s="371">
        <f t="shared" si="28"/>
        <v>0</v>
      </c>
      <c r="AO153" s="371">
        <f>(AE153*P2_Reinigen_Lichtkoepel_50X50)+('Perceel 2'!AF153*P2_Reinigen_Lichtkoepel_60x200)+('Perceel 2'!AG153*P2_Reinigen_Lichtkoepel_180x180)+('Perceel 2'!AH153*P2_Reinigen_Lichtstraten_groter_dan_180x180)</f>
        <v>0</v>
      </c>
      <c r="AP153" s="371">
        <f>('Perceel 2'!X153+'Perceel 2'!Y153)*P2_Inspecteren_daken_en_goten_1x_per_jaar_gelijktijdig_met_reiniging_inclusief_inspectierapport_en_een_managementrapport</f>
        <v>0</v>
      </c>
      <c r="AQ153" s="416"/>
      <c r="AR153" s="372">
        <f t="shared" si="25"/>
        <v>0</v>
      </c>
      <c r="AS153" s="373">
        <f t="shared" si="26"/>
        <v>0</v>
      </c>
    </row>
    <row r="154" spans="1:45" ht="76.5" customHeight="1" x14ac:dyDescent="0.45">
      <c r="A154" s="161"/>
      <c r="B154" s="347">
        <v>2</v>
      </c>
      <c r="C154" s="156" t="s">
        <v>135</v>
      </c>
      <c r="D154" s="156" t="s">
        <v>136</v>
      </c>
      <c r="E154" s="156"/>
      <c r="F154" s="156"/>
      <c r="G154" s="156"/>
      <c r="H154" s="192" t="s">
        <v>1199</v>
      </c>
      <c r="I154" s="192" t="s">
        <v>1200</v>
      </c>
      <c r="J154" s="157"/>
      <c r="K154" s="163"/>
      <c r="L154" s="151" t="s">
        <v>348</v>
      </c>
      <c r="M154" s="159" t="s">
        <v>349</v>
      </c>
      <c r="N154" s="353" t="s">
        <v>1201</v>
      </c>
      <c r="O154" s="353" t="s">
        <v>1202</v>
      </c>
      <c r="P154" s="353" t="s">
        <v>1203</v>
      </c>
      <c r="Q154" s="353" t="s">
        <v>1204</v>
      </c>
      <c r="R154" s="355" t="s">
        <v>1126</v>
      </c>
      <c r="S154" s="353" t="s">
        <v>340</v>
      </c>
      <c r="T154" s="159" t="s">
        <v>1205</v>
      </c>
      <c r="U154" s="159" t="s">
        <v>1206</v>
      </c>
      <c r="V154" s="176" t="s">
        <v>1207</v>
      </c>
      <c r="W154" s="361">
        <v>1980</v>
      </c>
      <c r="X154" s="361">
        <f>1100+16</f>
        <v>1116</v>
      </c>
      <c r="Y154" s="361"/>
      <c r="Z154" s="361"/>
      <c r="AA154" s="361"/>
      <c r="AB154" s="361"/>
      <c r="AC154" s="361"/>
      <c r="AD154" s="361"/>
      <c r="AE154" s="361"/>
      <c r="AF154" s="361"/>
      <c r="AG154" s="361"/>
      <c r="AH154" s="361"/>
      <c r="AI154" s="361"/>
      <c r="AJ154" s="177"/>
      <c r="AK154" s="361">
        <v>1</v>
      </c>
      <c r="AL154" s="369"/>
      <c r="AM154" s="370">
        <f t="shared" si="27"/>
        <v>0</v>
      </c>
      <c r="AN154" s="371">
        <f t="shared" si="28"/>
        <v>0</v>
      </c>
      <c r="AO154" s="371">
        <f>(AE154*P2_Reinigen_Lichtkoepel_50X50)+('Perceel 2'!AF154*P2_Reinigen_Lichtkoepel_60x200)+('Perceel 2'!AG154*P2_Reinigen_Lichtkoepel_180x180)+('Perceel 2'!AH154*P2_Reinigen_Lichtstraten_groter_dan_180x180)</f>
        <v>0</v>
      </c>
      <c r="AP154" s="371">
        <f>('Perceel 2'!X154+'Perceel 2'!Y154)*P2_Inspecteren_daken_en_goten_1x_per_jaar_gelijktijdig_met_reiniging_inclusief_inspectierapport_en_een_managementrapport</f>
        <v>0</v>
      </c>
      <c r="AQ154" s="416"/>
      <c r="AR154" s="372">
        <f t="shared" si="25"/>
        <v>0</v>
      </c>
      <c r="AS154" s="373">
        <f t="shared" si="26"/>
        <v>0</v>
      </c>
    </row>
    <row r="155" spans="1:45" ht="36.6" customHeight="1" x14ac:dyDescent="0.45">
      <c r="A155" s="155"/>
      <c r="B155" s="348">
        <v>2</v>
      </c>
      <c r="C155" s="156" t="s">
        <v>135</v>
      </c>
      <c r="D155" s="156" t="s">
        <v>136</v>
      </c>
      <c r="E155" s="156"/>
      <c r="F155" s="156"/>
      <c r="G155" s="156"/>
      <c r="H155" s="151" t="s">
        <v>1208</v>
      </c>
      <c r="I155" s="151" t="s">
        <v>1209</v>
      </c>
      <c r="J155" s="157"/>
      <c r="K155" s="163"/>
      <c r="L155" s="163" t="s">
        <v>154</v>
      </c>
      <c r="M155" s="166" t="s">
        <v>544</v>
      </c>
      <c r="N155" s="435" t="s">
        <v>1210</v>
      </c>
      <c r="O155" s="353" t="s">
        <v>1211</v>
      </c>
      <c r="P155" s="435" t="s">
        <v>1212</v>
      </c>
      <c r="Q155" s="435" t="s">
        <v>1213</v>
      </c>
      <c r="R155" s="461" t="s">
        <v>1214</v>
      </c>
      <c r="S155" s="435" t="s">
        <v>340</v>
      </c>
      <c r="T155" s="159" t="s">
        <v>722</v>
      </c>
      <c r="U155" s="168" t="s">
        <v>723</v>
      </c>
      <c r="V155" s="209" t="s">
        <v>724</v>
      </c>
      <c r="W155" s="361">
        <v>1984</v>
      </c>
      <c r="X155" s="361">
        <v>1725</v>
      </c>
      <c r="Y155" s="361">
        <v>192</v>
      </c>
      <c r="Z155" s="361" t="s">
        <v>311</v>
      </c>
      <c r="AA155" s="361"/>
      <c r="AB155" s="361"/>
      <c r="AC155" s="361"/>
      <c r="AD155" s="361"/>
      <c r="AE155" s="361"/>
      <c r="AF155" s="361"/>
      <c r="AG155" s="361"/>
      <c r="AH155" s="361"/>
      <c r="AI155" s="361"/>
      <c r="AJ155" s="177"/>
      <c r="AK155" s="443">
        <v>1</v>
      </c>
      <c r="AL155" s="444"/>
      <c r="AM155" s="370">
        <f t="shared" si="27"/>
        <v>0</v>
      </c>
      <c r="AN155" s="371">
        <f t="shared" si="28"/>
        <v>0</v>
      </c>
      <c r="AO155" s="371">
        <f>(AE155*P2_Reinigen_Lichtkoepel_50X50)+('Perceel 2'!AF155*P2_Reinigen_Lichtkoepel_60x200)+('Perceel 2'!AG155*P2_Reinigen_Lichtkoepel_180x180)+('Perceel 2'!AH155*P2_Reinigen_Lichtstraten_groter_dan_180x180)</f>
        <v>0</v>
      </c>
      <c r="AP155" s="371">
        <f>('Perceel 2'!X155+'Perceel 2'!Y155)*P2_Inspecteren_daken_en_goten_1x_per_jaar_gelijktijdig_met_reiniging_inclusief_inspectierapport_en_een_managementrapport</f>
        <v>0</v>
      </c>
      <c r="AQ155" s="416"/>
      <c r="AR155" s="372">
        <f t="shared" si="25"/>
        <v>0</v>
      </c>
      <c r="AS155" s="373">
        <f>(AM155*AK155)+(AN155*AK155)+AO155+AP155+AR155</f>
        <v>0</v>
      </c>
    </row>
    <row r="156" spans="1:45" ht="25.5" customHeight="1" x14ac:dyDescent="0.45">
      <c r="A156" s="155"/>
      <c r="B156" s="348">
        <v>2</v>
      </c>
      <c r="C156" s="156" t="s">
        <v>135</v>
      </c>
      <c r="D156" s="156" t="s">
        <v>136</v>
      </c>
      <c r="E156" s="156"/>
      <c r="F156" s="156"/>
      <c r="G156" s="156"/>
      <c r="H156" s="151" t="s">
        <v>1215</v>
      </c>
      <c r="I156" s="151" t="s">
        <v>1216</v>
      </c>
      <c r="J156" s="157"/>
      <c r="K156" s="163"/>
      <c r="L156" s="151" t="s">
        <v>139</v>
      </c>
      <c r="M156" s="159" t="s">
        <v>140</v>
      </c>
      <c r="N156" s="435" t="s">
        <v>1217</v>
      </c>
      <c r="O156" s="353" t="s">
        <v>1218</v>
      </c>
      <c r="P156" s="435" t="s">
        <v>1219</v>
      </c>
      <c r="Q156" s="435" t="s">
        <v>1220</v>
      </c>
      <c r="R156" s="461" t="s">
        <v>1158</v>
      </c>
      <c r="S156" s="435" t="s">
        <v>340</v>
      </c>
      <c r="T156" s="159" t="s">
        <v>756</v>
      </c>
      <c r="U156" s="159" t="s">
        <v>1221</v>
      </c>
      <c r="V156" s="176" t="s">
        <v>1222</v>
      </c>
      <c r="W156" s="361">
        <v>1988</v>
      </c>
      <c r="X156" s="361">
        <v>541</v>
      </c>
      <c r="Y156" s="361"/>
      <c r="Z156" s="361" t="s">
        <v>311</v>
      </c>
      <c r="AA156" s="361"/>
      <c r="AB156" s="361"/>
      <c r="AC156" s="361"/>
      <c r="AD156" s="361"/>
      <c r="AE156" s="361"/>
      <c r="AF156" s="361"/>
      <c r="AG156" s="361"/>
      <c r="AH156" s="361"/>
      <c r="AI156" s="361"/>
      <c r="AJ156" s="177"/>
      <c r="AK156" s="443">
        <v>1</v>
      </c>
      <c r="AL156" s="444"/>
      <c r="AM156" s="370">
        <f t="shared" si="27"/>
        <v>0</v>
      </c>
      <c r="AN156" s="371">
        <f t="shared" si="28"/>
        <v>0</v>
      </c>
      <c r="AO156" s="371">
        <f>(AE156*P2_Reinigen_Lichtkoepel_50X50)+('Perceel 2'!AF156*P2_Reinigen_Lichtkoepel_60x200)+('Perceel 2'!AG156*P2_Reinigen_Lichtkoepel_180x180)+('Perceel 2'!AH156*P2_Reinigen_Lichtstraten_groter_dan_180x180)</f>
        <v>0</v>
      </c>
      <c r="AP156" s="371">
        <f>('Perceel 2'!X156+'Perceel 2'!Y156)*P2_Inspecteren_daken_en_goten_1x_per_jaar_gelijktijdig_met_reiniging_inclusief_inspectierapport_en_een_managementrapport</f>
        <v>0</v>
      </c>
      <c r="AQ156" s="416"/>
      <c r="AR156" s="372">
        <f t="shared" si="25"/>
        <v>0</v>
      </c>
      <c r="AS156" s="373">
        <f t="shared" si="26"/>
        <v>0</v>
      </c>
    </row>
    <row r="157" spans="1:45" ht="25.5" customHeight="1" x14ac:dyDescent="0.45">
      <c r="A157" s="155"/>
      <c r="B157" s="348">
        <v>2</v>
      </c>
      <c r="C157" s="156" t="s">
        <v>135</v>
      </c>
      <c r="D157" s="156" t="s">
        <v>136</v>
      </c>
      <c r="E157" s="156"/>
      <c r="F157" s="156"/>
      <c r="G157" s="156"/>
      <c r="H157" s="151" t="s">
        <v>1223</v>
      </c>
      <c r="I157" s="151" t="s">
        <v>1224</v>
      </c>
      <c r="J157" s="157"/>
      <c r="K157" s="163"/>
      <c r="L157" s="151" t="s">
        <v>139</v>
      </c>
      <c r="M157" s="159" t="s">
        <v>140</v>
      </c>
      <c r="N157" s="435" t="s">
        <v>1225</v>
      </c>
      <c r="O157" s="353" t="s">
        <v>1226</v>
      </c>
      <c r="P157" s="435" t="s">
        <v>1227</v>
      </c>
      <c r="Q157" s="435" t="s">
        <v>1228</v>
      </c>
      <c r="R157" s="461" t="s">
        <v>1126</v>
      </c>
      <c r="S157" s="435" t="s">
        <v>340</v>
      </c>
      <c r="T157" s="227" t="s">
        <v>561</v>
      </c>
      <c r="U157" s="227" t="s">
        <v>1121</v>
      </c>
      <c r="V157" s="228" t="s">
        <v>400</v>
      </c>
      <c r="W157" s="361">
        <v>1982</v>
      </c>
      <c r="X157" s="361">
        <v>632</v>
      </c>
      <c r="Y157" s="361"/>
      <c r="Z157" s="361" t="s">
        <v>311</v>
      </c>
      <c r="AA157" s="361"/>
      <c r="AB157" s="361"/>
      <c r="AC157" s="361"/>
      <c r="AD157" s="361"/>
      <c r="AE157" s="361"/>
      <c r="AF157" s="361"/>
      <c r="AG157" s="361"/>
      <c r="AH157" s="361"/>
      <c r="AI157" s="361"/>
      <c r="AJ157" s="177"/>
      <c r="AK157" s="443">
        <v>1</v>
      </c>
      <c r="AL157" s="444"/>
      <c r="AM157" s="370">
        <f t="shared" si="27"/>
        <v>0</v>
      </c>
      <c r="AN157" s="371">
        <f t="shared" si="28"/>
        <v>0</v>
      </c>
      <c r="AO157" s="371">
        <f>(AE157*P2_Reinigen_Lichtkoepel_50X50)+('Perceel 2'!AF157*P2_Reinigen_Lichtkoepel_60x200)+('Perceel 2'!AG157*P2_Reinigen_Lichtkoepel_180x180)+('Perceel 2'!AH157*P2_Reinigen_Lichtstraten_groter_dan_180x180)</f>
        <v>0</v>
      </c>
      <c r="AP157" s="371">
        <f>('Perceel 2'!X157+'Perceel 2'!Y157)*P2_Inspecteren_daken_en_goten_1x_per_jaar_gelijktijdig_met_reiniging_inclusief_inspectierapport_en_een_managementrapport</f>
        <v>0</v>
      </c>
      <c r="AQ157" s="416"/>
      <c r="AR157" s="372">
        <f t="shared" si="25"/>
        <v>0</v>
      </c>
      <c r="AS157" s="373">
        <f t="shared" si="26"/>
        <v>0</v>
      </c>
    </row>
    <row r="158" spans="1:45" ht="38.25" x14ac:dyDescent="0.45">
      <c r="A158" s="155"/>
      <c r="B158" s="348">
        <v>2</v>
      </c>
      <c r="C158" s="156" t="s">
        <v>135</v>
      </c>
      <c r="D158" s="156" t="s">
        <v>136</v>
      </c>
      <c r="E158" s="156"/>
      <c r="F158" s="156"/>
      <c r="G158" s="156"/>
      <c r="H158" s="151" t="s">
        <v>1229</v>
      </c>
      <c r="I158" s="151" t="s">
        <v>1230</v>
      </c>
      <c r="J158" s="157"/>
      <c r="K158" s="163"/>
      <c r="L158" s="163" t="s">
        <v>154</v>
      </c>
      <c r="M158" s="166" t="s">
        <v>544</v>
      </c>
      <c r="N158" s="435" t="s">
        <v>1231</v>
      </c>
      <c r="O158" s="353" t="s">
        <v>1232</v>
      </c>
      <c r="P158" s="435" t="s">
        <v>1233</v>
      </c>
      <c r="Q158" s="435" t="s">
        <v>1228</v>
      </c>
      <c r="R158" s="461" t="s">
        <v>1126</v>
      </c>
      <c r="S158" s="435" t="s">
        <v>340</v>
      </c>
      <c r="T158" s="159" t="s">
        <v>722</v>
      </c>
      <c r="U158" s="168" t="s">
        <v>723</v>
      </c>
      <c r="V158" s="209" t="s">
        <v>724</v>
      </c>
      <c r="W158" s="361">
        <v>1981</v>
      </c>
      <c r="X158" s="361">
        <v>1698</v>
      </c>
      <c r="Y158" s="361"/>
      <c r="Z158" s="361" t="s">
        <v>311</v>
      </c>
      <c r="AA158" s="361" t="s">
        <v>150</v>
      </c>
      <c r="AB158" s="361">
        <v>22</v>
      </c>
      <c r="AC158" s="361"/>
      <c r="AD158" s="361"/>
      <c r="AE158" s="361"/>
      <c r="AF158" s="361"/>
      <c r="AG158" s="361"/>
      <c r="AH158" s="361"/>
      <c r="AI158" s="361"/>
      <c r="AJ158" s="177"/>
      <c r="AK158" s="443">
        <v>1</v>
      </c>
      <c r="AL158" s="444"/>
      <c r="AM158" s="370">
        <f>X158*P2_reinigen_daken_met_vaste_dakveiligheid</f>
        <v>0</v>
      </c>
      <c r="AN158" s="371">
        <f>Y158*P2_reinigen_goten_met_vaste_dakveiligheid</f>
        <v>0</v>
      </c>
      <c r="AO158" s="371">
        <f>(AE158*P2_Reinigen_Lichtkoepel_50X50)+('Perceel 2'!AF158*P2_Reinigen_Lichtkoepel_60x200)+('Perceel 2'!AG158*P2_Reinigen_Lichtkoepel_180x180)+('Perceel 2'!AH158*P2_Reinigen_Lichtstraten_groter_dan_180x180)</f>
        <v>0</v>
      </c>
      <c r="AP158" s="371">
        <f>('Perceel 2'!X158+'Perceel 2'!Y158)*P2_Inspecteren_daken_en_goten_1x_per_jaar_gelijktijdig_met_reiniging_inclusief_inspectierapport_en_een_managementrapport</f>
        <v>0</v>
      </c>
      <c r="AQ158" s="419"/>
      <c r="AR158" s="372">
        <f t="shared" si="25"/>
        <v>0</v>
      </c>
      <c r="AS158" s="373">
        <f t="shared" si="26"/>
        <v>0</v>
      </c>
    </row>
    <row r="159" spans="1:45" ht="51" customHeight="1" x14ac:dyDescent="0.45">
      <c r="A159" s="155"/>
      <c r="B159" s="348">
        <v>2</v>
      </c>
      <c r="C159" s="156" t="s">
        <v>135</v>
      </c>
      <c r="D159" s="156" t="s">
        <v>136</v>
      </c>
      <c r="E159" s="156" t="s">
        <v>174</v>
      </c>
      <c r="F159" s="156" t="s">
        <v>832</v>
      </c>
      <c r="G159" s="156" t="s">
        <v>833</v>
      </c>
      <c r="H159" s="151" t="s">
        <v>1234</v>
      </c>
      <c r="I159" s="151" t="s">
        <v>1235</v>
      </c>
      <c r="J159" s="157"/>
      <c r="K159" s="163"/>
      <c r="L159" s="151" t="s">
        <v>348</v>
      </c>
      <c r="M159" s="159" t="s">
        <v>349</v>
      </c>
      <c r="N159" s="463">
        <v>5002</v>
      </c>
      <c r="O159" s="353" t="s">
        <v>1236</v>
      </c>
      <c r="P159" s="435" t="s">
        <v>1237</v>
      </c>
      <c r="Q159" s="435" t="s">
        <v>1238</v>
      </c>
      <c r="R159" s="461" t="s">
        <v>1239</v>
      </c>
      <c r="S159" s="435" t="s">
        <v>340</v>
      </c>
      <c r="T159" s="159" t="s">
        <v>1240</v>
      </c>
      <c r="U159" s="159" t="s">
        <v>1241</v>
      </c>
      <c r="V159" s="176" t="s">
        <v>1242</v>
      </c>
      <c r="W159" s="361">
        <v>2007</v>
      </c>
      <c r="X159" s="361">
        <v>2850</v>
      </c>
      <c r="Y159" s="361"/>
      <c r="Z159" s="361" t="s">
        <v>311</v>
      </c>
      <c r="AA159" s="361" t="s">
        <v>311</v>
      </c>
      <c r="AB159" s="361">
        <v>10</v>
      </c>
      <c r="AC159" s="361">
        <v>85</v>
      </c>
      <c r="AD159" s="361">
        <v>4</v>
      </c>
      <c r="AE159" s="361"/>
      <c r="AF159" s="361"/>
      <c r="AG159" s="361"/>
      <c r="AH159" s="361"/>
      <c r="AI159" s="361"/>
      <c r="AJ159" s="177"/>
      <c r="AK159" s="443">
        <v>1</v>
      </c>
      <c r="AL159" s="444"/>
      <c r="AM159" s="370">
        <f>X159*P2_reinigen_daken_met_vaste_dakveiligheid</f>
        <v>0</v>
      </c>
      <c r="AN159" s="371">
        <f>Y159*P2_reinigen_goten_met_vaste_dakveiligheid</f>
        <v>0</v>
      </c>
      <c r="AO159" s="371">
        <f>(AE159*P2_Reinigen_Lichtkoepel_50X50)+('Perceel 2'!AF159*P2_Reinigen_Lichtkoepel_60x200)+('Perceel 2'!AG159*P2_Reinigen_Lichtkoepel_180x180)+('Perceel 2'!AH159*P2_Reinigen_Lichtstraten_groter_dan_180x180)</f>
        <v>0</v>
      </c>
      <c r="AP159" s="371">
        <f>('Perceel 2'!X159+'Perceel 2'!Y159)*P2_Inspecteren_daken_en_goten_1x_per_jaar_gelijktijdig_met_reiniging_inclusief_inspectierapport_en_een_managementrapport</f>
        <v>0</v>
      </c>
      <c r="AQ159" s="419"/>
      <c r="AR159" s="372">
        <f t="shared" si="25"/>
        <v>0</v>
      </c>
      <c r="AS159" s="373">
        <f t="shared" si="26"/>
        <v>0</v>
      </c>
    </row>
    <row r="160" spans="1:45" ht="28.5" x14ac:dyDescent="0.45">
      <c r="A160" s="231"/>
      <c r="B160" s="348">
        <v>2</v>
      </c>
      <c r="C160" s="156" t="s">
        <v>135</v>
      </c>
      <c r="D160" s="156" t="s">
        <v>136</v>
      </c>
      <c r="E160" s="156"/>
      <c r="F160" s="156"/>
      <c r="G160" s="156"/>
      <c r="H160" s="151" t="s">
        <v>1243</v>
      </c>
      <c r="I160" s="151" t="s">
        <v>1244</v>
      </c>
      <c r="J160" s="157"/>
      <c r="K160" s="163"/>
      <c r="L160" s="151" t="s">
        <v>348</v>
      </c>
      <c r="M160" s="151" t="s">
        <v>349</v>
      </c>
      <c r="N160" s="304">
        <v>1473</v>
      </c>
      <c r="O160" s="353" t="s">
        <v>1245</v>
      </c>
      <c r="P160" s="353" t="s">
        <v>1246</v>
      </c>
      <c r="Q160" s="353"/>
      <c r="R160" s="355" t="s">
        <v>1239</v>
      </c>
      <c r="S160" s="353" t="s">
        <v>340</v>
      </c>
      <c r="T160" s="159" t="s">
        <v>1247</v>
      </c>
      <c r="U160" s="159" t="s">
        <v>1248</v>
      </c>
      <c r="V160" s="179" t="s">
        <v>1249</v>
      </c>
      <c r="W160" s="361">
        <v>2015</v>
      </c>
      <c r="X160" s="361">
        <v>576</v>
      </c>
      <c r="Y160" s="361"/>
      <c r="Z160" s="361"/>
      <c r="AA160" s="361"/>
      <c r="AB160" s="361"/>
      <c r="AC160" s="361"/>
      <c r="AD160" s="361"/>
      <c r="AE160" s="361"/>
      <c r="AF160" s="361"/>
      <c r="AG160" s="361"/>
      <c r="AH160" s="361"/>
      <c r="AI160" s="361" t="s">
        <v>1017</v>
      </c>
      <c r="AJ160" s="152" t="s">
        <v>1250</v>
      </c>
      <c r="AK160" s="361">
        <v>1</v>
      </c>
      <c r="AL160" s="395"/>
      <c r="AM160" s="370">
        <f t="shared" ref="AM160:AM166" si="29">X160*P2_Reinigen_daken_incl._extra_maatregelen_veilig_werken_volgens_VCA__eventuele_vergunningen_leges___voorrijkosten__adminstratieve_kosten__fotorapportage_en_kleine_reparaties</f>
        <v>0</v>
      </c>
      <c r="AN160" s="371">
        <f t="shared" ref="AN160:AN166" si="30">Y160*P2_Reinigen_goten_incl._extra_maatregelen_veilig_werken_volgens_VCA__eventuele_vergunningen_leges___voorrijkosten__adminstratieve_kosten__fotorapportage_en_kleine_reparaties</f>
        <v>0</v>
      </c>
      <c r="AO160" s="371">
        <f>(AE160*P2_Reinigen_Lichtkoepel_50X50)+('Perceel 2'!AF160*P2_Reinigen_Lichtkoepel_60x200)+('Perceel 2'!AG160*P2_Reinigen_Lichtkoepel_180x180)+('Perceel 2'!AH160*P2_Reinigen_Lichtstraten_groter_dan_180x180)</f>
        <v>0</v>
      </c>
      <c r="AP160" s="371">
        <f>('Perceel 2'!X160+'Perceel 2'!Y160)*P2_Inspecteren_daken_en_goten_1x_per_jaar_gelijktijdig_met_reiniging_inclusief_inspectierapport_en_een_managementrapport</f>
        <v>0</v>
      </c>
      <c r="AQ160" s="416"/>
      <c r="AR160" s="372">
        <f t="shared" si="25"/>
        <v>0</v>
      </c>
      <c r="AS160" s="373">
        <f t="shared" si="26"/>
        <v>0</v>
      </c>
    </row>
    <row r="161" spans="1:45" ht="25.5" customHeight="1" x14ac:dyDescent="0.45">
      <c r="A161" s="155"/>
      <c r="B161" s="348">
        <v>2</v>
      </c>
      <c r="C161" s="156" t="s">
        <v>135</v>
      </c>
      <c r="D161" s="156" t="s">
        <v>136</v>
      </c>
      <c r="E161" s="156"/>
      <c r="F161" s="156"/>
      <c r="G161" s="156"/>
      <c r="H161" s="151" t="s">
        <v>1251</v>
      </c>
      <c r="I161" s="151" t="s">
        <v>1252</v>
      </c>
      <c r="J161" s="157"/>
      <c r="K161" s="163"/>
      <c r="L161" s="151" t="s">
        <v>139</v>
      </c>
      <c r="M161" s="159" t="s">
        <v>140</v>
      </c>
      <c r="N161" s="435" t="s">
        <v>1253</v>
      </c>
      <c r="O161" s="353" t="s">
        <v>1254</v>
      </c>
      <c r="P161" s="435" t="s">
        <v>1255</v>
      </c>
      <c r="Q161" s="435" t="s">
        <v>1256</v>
      </c>
      <c r="R161" s="461" t="s">
        <v>1144</v>
      </c>
      <c r="S161" s="435" t="s">
        <v>340</v>
      </c>
      <c r="T161" s="159" t="s">
        <v>756</v>
      </c>
      <c r="U161" s="159" t="s">
        <v>1257</v>
      </c>
      <c r="V161" s="176" t="s">
        <v>1258</v>
      </c>
      <c r="W161" s="361">
        <v>1998</v>
      </c>
      <c r="X161" s="361">
        <v>358</v>
      </c>
      <c r="Y161" s="361">
        <v>41</v>
      </c>
      <c r="Z161" s="361" t="s">
        <v>311</v>
      </c>
      <c r="AA161" s="361"/>
      <c r="AB161" s="361"/>
      <c r="AC161" s="361"/>
      <c r="AD161" s="361"/>
      <c r="AE161" s="361"/>
      <c r="AF161" s="361"/>
      <c r="AG161" s="361"/>
      <c r="AH161" s="361"/>
      <c r="AI161" s="361"/>
      <c r="AJ161" s="177"/>
      <c r="AK161" s="443">
        <v>1</v>
      </c>
      <c r="AL161" s="444"/>
      <c r="AM161" s="370">
        <f t="shared" si="29"/>
        <v>0</v>
      </c>
      <c r="AN161" s="371">
        <f t="shared" si="30"/>
        <v>0</v>
      </c>
      <c r="AO161" s="371">
        <f>(AE161*P2_Reinigen_Lichtkoepel_50X50)+('Perceel 2'!AF161*P2_Reinigen_Lichtkoepel_60x200)+('Perceel 2'!AG161*P2_Reinigen_Lichtkoepel_180x180)+('Perceel 2'!AH161*P2_Reinigen_Lichtstraten_groter_dan_180x180)</f>
        <v>0</v>
      </c>
      <c r="AP161" s="371">
        <f>('Perceel 2'!X161+'Perceel 2'!Y161)*P2_Inspecteren_daken_en_goten_1x_per_jaar_gelijktijdig_met_reiniging_inclusief_inspectierapport_en_een_managementrapport</f>
        <v>0</v>
      </c>
      <c r="AQ161" s="416"/>
      <c r="AR161" s="372">
        <f t="shared" si="25"/>
        <v>0</v>
      </c>
      <c r="AS161" s="373">
        <f>(AM161*AK161)+(AN161*AK161)+AO161+AP161+AR161</f>
        <v>0</v>
      </c>
    </row>
    <row r="162" spans="1:45" ht="25.5" customHeight="1" x14ac:dyDescent="0.45">
      <c r="A162" s="155"/>
      <c r="B162" s="348">
        <v>2</v>
      </c>
      <c r="C162" s="156" t="s">
        <v>135</v>
      </c>
      <c r="D162" s="156" t="s">
        <v>174</v>
      </c>
      <c r="E162" s="156"/>
      <c r="F162" s="156"/>
      <c r="G162" s="156"/>
      <c r="H162" s="151" t="s">
        <v>1259</v>
      </c>
      <c r="I162" s="151" t="s">
        <v>1260</v>
      </c>
      <c r="J162" s="157"/>
      <c r="K162" s="163"/>
      <c r="L162" s="151" t="s">
        <v>348</v>
      </c>
      <c r="M162" s="159" t="s">
        <v>349</v>
      </c>
      <c r="N162" s="435" t="s">
        <v>1261</v>
      </c>
      <c r="O162" s="353" t="s">
        <v>1262</v>
      </c>
      <c r="P162" s="435" t="s">
        <v>1263</v>
      </c>
      <c r="Q162" s="435" t="s">
        <v>1264</v>
      </c>
      <c r="R162" s="461" t="s">
        <v>1126</v>
      </c>
      <c r="S162" s="435" t="s">
        <v>340</v>
      </c>
      <c r="T162" s="226" t="s">
        <v>1135</v>
      </c>
      <c r="U162" s="226" t="s">
        <v>1136</v>
      </c>
      <c r="V162" s="234" t="s">
        <v>1137</v>
      </c>
      <c r="W162" s="361">
        <v>1980</v>
      </c>
      <c r="X162" s="361">
        <v>957</v>
      </c>
      <c r="Y162" s="361"/>
      <c r="Z162" s="361"/>
      <c r="AA162" s="361"/>
      <c r="AB162" s="361"/>
      <c r="AC162" s="361"/>
      <c r="AD162" s="361"/>
      <c r="AE162" s="361"/>
      <c r="AF162" s="361"/>
      <c r="AG162" s="361"/>
      <c r="AH162" s="361"/>
      <c r="AI162" s="361"/>
      <c r="AJ162" s="177"/>
      <c r="AK162" s="443">
        <v>1</v>
      </c>
      <c r="AL162" s="444"/>
      <c r="AM162" s="370">
        <f t="shared" si="29"/>
        <v>0</v>
      </c>
      <c r="AN162" s="371">
        <f t="shared" si="30"/>
        <v>0</v>
      </c>
      <c r="AO162" s="371">
        <f>(AE162*P2_Reinigen_Lichtkoepel_50X50)+('Perceel 2'!AF162*P2_Reinigen_Lichtkoepel_60x200)+('Perceel 2'!AG162*P2_Reinigen_Lichtkoepel_180x180)+('Perceel 2'!AH162*P2_Reinigen_Lichtstraten_groter_dan_180x180)</f>
        <v>0</v>
      </c>
      <c r="AP162" s="371">
        <f>('Perceel 2'!X162+'Perceel 2'!Y162)*P2_Inspecteren_daken_en_goten_1x_per_jaar_gelijktijdig_met_reiniging_inclusief_inspectierapport_en_een_managementrapport</f>
        <v>0</v>
      </c>
      <c r="AQ162" s="416"/>
      <c r="AR162" s="372">
        <f t="shared" si="25"/>
        <v>0</v>
      </c>
      <c r="AS162" s="373">
        <f t="shared" si="26"/>
        <v>0</v>
      </c>
    </row>
    <row r="163" spans="1:45" ht="51" x14ac:dyDescent="0.45">
      <c r="A163" s="155"/>
      <c r="B163" s="348">
        <v>2</v>
      </c>
      <c r="C163" s="156" t="s">
        <v>135</v>
      </c>
      <c r="D163" s="156" t="s">
        <v>136</v>
      </c>
      <c r="E163" s="156"/>
      <c r="F163" s="156"/>
      <c r="G163" s="156"/>
      <c r="H163" s="151" t="s">
        <v>1265</v>
      </c>
      <c r="I163" s="151" t="s">
        <v>1266</v>
      </c>
      <c r="J163" s="157"/>
      <c r="K163" s="163"/>
      <c r="L163" s="163" t="s">
        <v>154</v>
      </c>
      <c r="M163" s="166" t="s">
        <v>544</v>
      </c>
      <c r="N163" s="435" t="s">
        <v>1267</v>
      </c>
      <c r="O163" s="353" t="s">
        <v>1268</v>
      </c>
      <c r="P163" s="435" t="s">
        <v>1269</v>
      </c>
      <c r="Q163" s="435" t="s">
        <v>1264</v>
      </c>
      <c r="R163" s="461" t="s">
        <v>1126</v>
      </c>
      <c r="S163" s="435" t="s">
        <v>340</v>
      </c>
      <c r="T163" s="159" t="s">
        <v>169</v>
      </c>
      <c r="U163" s="159" t="s">
        <v>170</v>
      </c>
      <c r="V163" s="176" t="s">
        <v>171</v>
      </c>
      <c r="W163" s="361">
        <v>1980</v>
      </c>
      <c r="X163" s="361">
        <v>489</v>
      </c>
      <c r="Y163" s="361"/>
      <c r="Z163" s="361"/>
      <c r="AA163" s="361"/>
      <c r="AB163" s="361"/>
      <c r="AC163" s="361"/>
      <c r="AD163" s="361"/>
      <c r="AE163" s="361"/>
      <c r="AF163" s="361"/>
      <c r="AG163" s="361"/>
      <c r="AH163" s="361"/>
      <c r="AI163" s="361"/>
      <c r="AJ163" s="177"/>
      <c r="AK163" s="443">
        <v>1</v>
      </c>
      <c r="AL163" s="444"/>
      <c r="AM163" s="370">
        <f t="shared" si="29"/>
        <v>0</v>
      </c>
      <c r="AN163" s="371">
        <f t="shared" si="30"/>
        <v>0</v>
      </c>
      <c r="AO163" s="371">
        <f>(AE163*P2_Reinigen_Lichtkoepel_50X50)+('Perceel 2'!AF163*P2_Reinigen_Lichtkoepel_60x200)+('Perceel 2'!AG163*P2_Reinigen_Lichtkoepel_180x180)+('Perceel 2'!AH163*P2_Reinigen_Lichtstraten_groter_dan_180x180)</f>
        <v>0</v>
      </c>
      <c r="AP163" s="371">
        <f>('Perceel 2'!X163+'Perceel 2'!Y163)*P2_Inspecteren_daken_en_goten_1x_per_jaar_gelijktijdig_met_reiniging_inclusief_inspectierapport_en_een_managementrapport</f>
        <v>0</v>
      </c>
      <c r="AQ163" s="416"/>
      <c r="AR163" s="372">
        <f t="shared" si="25"/>
        <v>0</v>
      </c>
      <c r="AS163" s="373">
        <f t="shared" si="26"/>
        <v>0</v>
      </c>
    </row>
    <row r="164" spans="1:45" ht="25.5" customHeight="1" x14ac:dyDescent="0.45">
      <c r="A164" s="155"/>
      <c r="B164" s="348">
        <v>2</v>
      </c>
      <c r="C164" s="156" t="s">
        <v>135</v>
      </c>
      <c r="D164" s="156" t="s">
        <v>136</v>
      </c>
      <c r="E164" s="156"/>
      <c r="F164" s="156"/>
      <c r="G164" s="156"/>
      <c r="H164" s="151" t="s">
        <v>1270</v>
      </c>
      <c r="I164" s="151" t="s">
        <v>1271</v>
      </c>
      <c r="J164" s="157"/>
      <c r="K164" s="163"/>
      <c r="L164" s="151" t="s">
        <v>139</v>
      </c>
      <c r="M164" s="159" t="s">
        <v>140</v>
      </c>
      <c r="N164" s="435" t="s">
        <v>1272</v>
      </c>
      <c r="O164" s="353" t="s">
        <v>1273</v>
      </c>
      <c r="P164" s="435" t="s">
        <v>1274</v>
      </c>
      <c r="Q164" s="435" t="s">
        <v>1275</v>
      </c>
      <c r="R164" s="461" t="s">
        <v>1214</v>
      </c>
      <c r="S164" s="435" t="s">
        <v>340</v>
      </c>
      <c r="T164" s="159" t="s">
        <v>1276</v>
      </c>
      <c r="U164" s="159" t="s">
        <v>1277</v>
      </c>
      <c r="V164" s="176" t="s">
        <v>1278</v>
      </c>
      <c r="W164" s="361">
        <v>1983</v>
      </c>
      <c r="X164" s="361">
        <v>814</v>
      </c>
      <c r="Y164" s="361"/>
      <c r="Z164" s="361"/>
      <c r="AA164" s="361"/>
      <c r="AB164" s="361"/>
      <c r="AC164" s="361"/>
      <c r="AD164" s="361"/>
      <c r="AE164" s="361"/>
      <c r="AF164" s="361"/>
      <c r="AG164" s="361"/>
      <c r="AH164" s="361"/>
      <c r="AI164" s="361"/>
      <c r="AJ164" s="177"/>
      <c r="AK164" s="443">
        <v>2</v>
      </c>
      <c r="AL164" s="444"/>
      <c r="AM164" s="370">
        <f t="shared" si="29"/>
        <v>0</v>
      </c>
      <c r="AN164" s="371">
        <f t="shared" si="30"/>
        <v>0</v>
      </c>
      <c r="AO164" s="371">
        <f>(AE164*P2_Reinigen_Lichtkoepel_50X50)+('Perceel 2'!AF164*P2_Reinigen_Lichtkoepel_60x200)+('Perceel 2'!AG164*P2_Reinigen_Lichtkoepel_180x180)+('Perceel 2'!AH164*P2_Reinigen_Lichtstraten_groter_dan_180x180)</f>
        <v>0</v>
      </c>
      <c r="AP164" s="371">
        <f>('Perceel 2'!X164+'Perceel 2'!Y164)*P2_Inspecteren_daken_en_goten_1x_per_jaar_gelijktijdig_met_reiniging_inclusief_inspectierapport_en_een_managementrapport</f>
        <v>0</v>
      </c>
      <c r="AQ164" s="416"/>
      <c r="AR164" s="372">
        <f t="shared" si="25"/>
        <v>0</v>
      </c>
      <c r="AS164" s="373">
        <f t="shared" si="26"/>
        <v>0</v>
      </c>
    </row>
    <row r="165" spans="1:45" ht="25.5" customHeight="1" x14ac:dyDescent="0.45">
      <c r="A165" s="155"/>
      <c r="B165" s="348">
        <v>2</v>
      </c>
      <c r="C165" s="156" t="s">
        <v>135</v>
      </c>
      <c r="D165" s="156" t="s">
        <v>174</v>
      </c>
      <c r="E165" s="156"/>
      <c r="F165" s="156"/>
      <c r="G165" s="156"/>
      <c r="H165" s="151" t="s">
        <v>1279</v>
      </c>
      <c r="I165" s="151" t="s">
        <v>1280</v>
      </c>
      <c r="J165" s="157"/>
      <c r="K165" s="163"/>
      <c r="L165" s="151" t="s">
        <v>348</v>
      </c>
      <c r="M165" s="159" t="s">
        <v>349</v>
      </c>
      <c r="N165" s="435" t="s">
        <v>1281</v>
      </c>
      <c r="O165" s="353" t="s">
        <v>1282</v>
      </c>
      <c r="P165" s="435" t="s">
        <v>1283</v>
      </c>
      <c r="Q165" s="435" t="s">
        <v>1284</v>
      </c>
      <c r="R165" s="461" t="s">
        <v>1214</v>
      </c>
      <c r="S165" s="435" t="s">
        <v>340</v>
      </c>
      <c r="T165" s="159" t="s">
        <v>1285</v>
      </c>
      <c r="U165" s="159" t="s">
        <v>1286</v>
      </c>
      <c r="V165" s="176" t="s">
        <v>1287</v>
      </c>
      <c r="W165" s="361">
        <v>1982</v>
      </c>
      <c r="X165" s="361">
        <v>1176</v>
      </c>
      <c r="Y165" s="361"/>
      <c r="Z165" s="361"/>
      <c r="AA165" s="361"/>
      <c r="AB165" s="361"/>
      <c r="AC165" s="361"/>
      <c r="AD165" s="361"/>
      <c r="AE165" s="361"/>
      <c r="AF165" s="361"/>
      <c r="AG165" s="361"/>
      <c r="AH165" s="361"/>
      <c r="AI165" s="361"/>
      <c r="AJ165" s="177"/>
      <c r="AK165" s="443">
        <v>1</v>
      </c>
      <c r="AL165" s="444"/>
      <c r="AM165" s="370">
        <f t="shared" si="29"/>
        <v>0</v>
      </c>
      <c r="AN165" s="371">
        <f t="shared" si="30"/>
        <v>0</v>
      </c>
      <c r="AO165" s="371">
        <f>(AE165*P2_Reinigen_Lichtkoepel_50X50)+('Perceel 2'!AF165*P2_Reinigen_Lichtkoepel_60x200)+('Perceel 2'!AG165*P2_Reinigen_Lichtkoepel_180x180)+('Perceel 2'!AH165*P2_Reinigen_Lichtstraten_groter_dan_180x180)</f>
        <v>0</v>
      </c>
      <c r="AP165" s="371">
        <f>('Perceel 2'!X165+'Perceel 2'!Y165)*P2_Inspecteren_daken_en_goten_1x_per_jaar_gelijktijdig_met_reiniging_inclusief_inspectierapport_en_een_managementrapport</f>
        <v>0</v>
      </c>
      <c r="AQ165" s="416"/>
      <c r="AR165" s="372">
        <f t="shared" si="25"/>
        <v>0</v>
      </c>
      <c r="AS165" s="373">
        <f t="shared" si="26"/>
        <v>0</v>
      </c>
    </row>
    <row r="166" spans="1:45" ht="51" x14ac:dyDescent="0.45">
      <c r="A166" s="155"/>
      <c r="B166" s="348">
        <v>2</v>
      </c>
      <c r="C166" s="156" t="s">
        <v>135</v>
      </c>
      <c r="D166" s="156" t="s">
        <v>136</v>
      </c>
      <c r="E166" s="156"/>
      <c r="F166" s="156"/>
      <c r="G166" s="156"/>
      <c r="H166" s="151" t="s">
        <v>1288</v>
      </c>
      <c r="I166" s="151" t="s">
        <v>1289</v>
      </c>
      <c r="J166" s="157"/>
      <c r="K166" s="163"/>
      <c r="L166" s="163" t="s">
        <v>154</v>
      </c>
      <c r="M166" s="166" t="s">
        <v>544</v>
      </c>
      <c r="N166" s="435" t="s">
        <v>1290</v>
      </c>
      <c r="O166" s="353" t="s">
        <v>1291</v>
      </c>
      <c r="P166" s="435" t="s">
        <v>1292</v>
      </c>
      <c r="Q166" s="435" t="s">
        <v>1284</v>
      </c>
      <c r="R166" s="461" t="s">
        <v>1214</v>
      </c>
      <c r="S166" s="435" t="s">
        <v>340</v>
      </c>
      <c r="T166" s="159" t="s">
        <v>169</v>
      </c>
      <c r="U166" s="159" t="s">
        <v>170</v>
      </c>
      <c r="V166" s="176" t="s">
        <v>171</v>
      </c>
      <c r="W166" s="361">
        <v>1982</v>
      </c>
      <c r="X166" s="361">
        <v>463</v>
      </c>
      <c r="Y166" s="361"/>
      <c r="Z166" s="361" t="s">
        <v>311</v>
      </c>
      <c r="AA166" s="361"/>
      <c r="AB166" s="361"/>
      <c r="AC166" s="361"/>
      <c r="AD166" s="361"/>
      <c r="AE166" s="361"/>
      <c r="AF166" s="361"/>
      <c r="AG166" s="361"/>
      <c r="AH166" s="361"/>
      <c r="AI166" s="361"/>
      <c r="AJ166" s="177"/>
      <c r="AK166" s="443">
        <v>2</v>
      </c>
      <c r="AL166" s="444"/>
      <c r="AM166" s="370">
        <f t="shared" si="29"/>
        <v>0</v>
      </c>
      <c r="AN166" s="371">
        <f t="shared" si="30"/>
        <v>0</v>
      </c>
      <c r="AO166" s="371">
        <f>(AE166*P2_Reinigen_Lichtkoepel_50X50)+('Perceel 2'!AF166*P2_Reinigen_Lichtkoepel_60x200)+('Perceel 2'!AG166*P2_Reinigen_Lichtkoepel_180x180)+('Perceel 2'!AH166*P2_Reinigen_Lichtstraten_groter_dan_180x180)</f>
        <v>0</v>
      </c>
      <c r="AP166" s="371">
        <f>('Perceel 2'!X166+'Perceel 2'!Y166)*P2_Inspecteren_daken_en_goten_1x_per_jaar_gelijktijdig_met_reiniging_inclusief_inspectierapport_en_een_managementrapport</f>
        <v>0</v>
      </c>
      <c r="AQ166" s="416"/>
      <c r="AR166" s="372">
        <f t="shared" si="25"/>
        <v>0</v>
      </c>
      <c r="AS166" s="373">
        <f t="shared" si="26"/>
        <v>0</v>
      </c>
    </row>
    <row r="167" spans="1:45" ht="51" customHeight="1" x14ac:dyDescent="0.45">
      <c r="A167" s="155"/>
      <c r="B167" s="348">
        <v>2</v>
      </c>
      <c r="C167" s="156" t="s">
        <v>135</v>
      </c>
      <c r="D167" s="156" t="s">
        <v>136</v>
      </c>
      <c r="E167" s="156"/>
      <c r="F167" s="156"/>
      <c r="G167" s="156"/>
      <c r="H167" s="151" t="s">
        <v>1293</v>
      </c>
      <c r="I167" s="151" t="s">
        <v>1294</v>
      </c>
      <c r="J167" s="157"/>
      <c r="K167" s="163"/>
      <c r="L167" s="151" t="s">
        <v>191</v>
      </c>
      <c r="M167" s="159" t="s">
        <v>890</v>
      </c>
      <c r="N167" s="435" t="s">
        <v>1295</v>
      </c>
      <c r="O167" s="353" t="s">
        <v>1296</v>
      </c>
      <c r="P167" s="435" t="s">
        <v>1297</v>
      </c>
      <c r="Q167" s="435" t="s">
        <v>1298</v>
      </c>
      <c r="R167" s="461" t="s">
        <v>1299</v>
      </c>
      <c r="S167" s="435" t="s">
        <v>340</v>
      </c>
      <c r="T167" s="159" t="s">
        <v>1300</v>
      </c>
      <c r="U167" s="159" t="s">
        <v>1301</v>
      </c>
      <c r="V167" s="235" t="s">
        <v>1302</v>
      </c>
      <c r="W167" s="361">
        <v>1985</v>
      </c>
      <c r="X167" s="361">
        <v>3362</v>
      </c>
      <c r="Y167" s="361"/>
      <c r="Z167" s="361"/>
      <c r="AA167" s="361" t="s">
        <v>150</v>
      </c>
      <c r="AB167" s="361">
        <v>65</v>
      </c>
      <c r="AC167" s="361">
        <v>135</v>
      </c>
      <c r="AD167" s="361" t="s">
        <v>1303</v>
      </c>
      <c r="AE167" s="361"/>
      <c r="AF167" s="361"/>
      <c r="AG167" s="361"/>
      <c r="AH167" s="361"/>
      <c r="AI167" s="361"/>
      <c r="AJ167" s="177"/>
      <c r="AK167" s="443">
        <v>1</v>
      </c>
      <c r="AL167" s="444"/>
      <c r="AM167" s="370">
        <f>X167*P2_reinigen_daken_met_vaste_dakveiligheid</f>
        <v>0</v>
      </c>
      <c r="AN167" s="371">
        <f>Y167*P2_reinigen_goten_met_vaste_dakveiligheid</f>
        <v>0</v>
      </c>
      <c r="AO167" s="371">
        <f>(AE167*P2_Reinigen_Lichtkoepel_50X50)+('Perceel 2'!AF167*P2_Reinigen_Lichtkoepel_60x200)+('Perceel 2'!AG167*P2_Reinigen_Lichtkoepel_180x180)+('Perceel 2'!AH167*P2_Reinigen_Lichtstraten_groter_dan_180x180)</f>
        <v>0</v>
      </c>
      <c r="AP167" s="371">
        <f>('Perceel 2'!X167+'Perceel 2'!Y167)*P2_Inspecteren_daken_en_goten_1x_per_jaar_gelijktijdig_met_reiniging_inclusief_inspectierapport_en_een_managementrapport</f>
        <v>0</v>
      </c>
      <c r="AQ167" s="419"/>
      <c r="AR167" s="372">
        <f t="shared" si="25"/>
        <v>0</v>
      </c>
      <c r="AS167" s="373">
        <f t="shared" si="26"/>
        <v>0</v>
      </c>
    </row>
    <row r="168" spans="1:45" ht="51" x14ac:dyDescent="0.45">
      <c r="A168" s="155"/>
      <c r="B168" s="348">
        <v>2</v>
      </c>
      <c r="C168" s="156" t="s">
        <v>135</v>
      </c>
      <c r="D168" s="156" t="s">
        <v>136</v>
      </c>
      <c r="E168" s="156"/>
      <c r="F168" s="156"/>
      <c r="G168" s="156"/>
      <c r="H168" s="151" t="s">
        <v>1304</v>
      </c>
      <c r="I168" s="151" t="s">
        <v>1305</v>
      </c>
      <c r="J168" s="157"/>
      <c r="K168" s="163"/>
      <c r="L168" s="163" t="s">
        <v>154</v>
      </c>
      <c r="M168" s="166" t="s">
        <v>544</v>
      </c>
      <c r="N168" s="435" t="s">
        <v>1306</v>
      </c>
      <c r="O168" s="353" t="s">
        <v>1307</v>
      </c>
      <c r="P168" s="435" t="s">
        <v>1308</v>
      </c>
      <c r="Q168" s="435" t="s">
        <v>1309</v>
      </c>
      <c r="R168" s="464" t="s">
        <v>1126</v>
      </c>
      <c r="S168" s="435" t="s">
        <v>340</v>
      </c>
      <c r="T168" s="159" t="s">
        <v>169</v>
      </c>
      <c r="U168" s="159" t="s">
        <v>170</v>
      </c>
      <c r="V168" s="176" t="s">
        <v>171</v>
      </c>
      <c r="W168" s="361">
        <v>1983</v>
      </c>
      <c r="X168" s="361">
        <v>399</v>
      </c>
      <c r="Y168" s="361"/>
      <c r="Z168" s="361" t="s">
        <v>311</v>
      </c>
      <c r="AA168" s="361"/>
      <c r="AB168" s="361"/>
      <c r="AC168" s="361"/>
      <c r="AD168" s="361"/>
      <c r="AE168" s="361"/>
      <c r="AF168" s="361"/>
      <c r="AG168" s="361"/>
      <c r="AH168" s="361"/>
      <c r="AI168" s="361"/>
      <c r="AJ168" s="177"/>
      <c r="AK168" s="443">
        <v>1</v>
      </c>
      <c r="AL168" s="444"/>
      <c r="AM168" s="370">
        <f>X168*P2_Reinigen_daken_incl._extra_maatregelen_veilig_werken_volgens_VCA__eventuele_vergunningen_leges___voorrijkosten__adminstratieve_kosten__fotorapportage_en_kleine_reparaties</f>
        <v>0</v>
      </c>
      <c r="AN168" s="371">
        <f>Y168*P2_Reinigen_goten_incl._extra_maatregelen_veilig_werken_volgens_VCA__eventuele_vergunningen_leges___voorrijkosten__adminstratieve_kosten__fotorapportage_en_kleine_reparaties</f>
        <v>0</v>
      </c>
      <c r="AO168" s="371">
        <f>(AE168*P2_Reinigen_Lichtkoepel_50X50)+('Perceel 2'!AF168*P2_Reinigen_Lichtkoepel_60x200)+('Perceel 2'!AG168*P2_Reinigen_Lichtkoepel_180x180)+('Perceel 2'!AH168*P2_Reinigen_Lichtstraten_groter_dan_180x180)</f>
        <v>0</v>
      </c>
      <c r="AP168" s="371">
        <f>('Perceel 2'!X168+'Perceel 2'!Y168)*P2_Inspecteren_daken_en_goten_1x_per_jaar_gelijktijdig_met_reiniging_inclusief_inspectierapport_en_een_managementrapport</f>
        <v>0</v>
      </c>
      <c r="AQ168" s="416"/>
      <c r="AR168" s="372">
        <f>AQ168*P2_keuren_dakveiligheid_per_man_uur</f>
        <v>0</v>
      </c>
      <c r="AS168" s="373">
        <f t="shared" si="26"/>
        <v>0</v>
      </c>
    </row>
    <row r="169" spans="1:45" ht="51" x14ac:dyDescent="0.45">
      <c r="A169" s="155"/>
      <c r="B169" s="348">
        <v>2</v>
      </c>
      <c r="C169" s="156" t="s">
        <v>135</v>
      </c>
      <c r="D169" s="156" t="s">
        <v>136</v>
      </c>
      <c r="E169" s="156"/>
      <c r="F169" s="156"/>
      <c r="G169" s="156"/>
      <c r="H169" s="151" t="s">
        <v>1310</v>
      </c>
      <c r="I169" s="151" t="s">
        <v>1311</v>
      </c>
      <c r="J169" s="157"/>
      <c r="K169" s="157"/>
      <c r="L169" s="163" t="s">
        <v>154</v>
      </c>
      <c r="M169" s="166" t="s">
        <v>544</v>
      </c>
      <c r="N169" s="435" t="s">
        <v>1312</v>
      </c>
      <c r="O169" s="353" t="s">
        <v>1313</v>
      </c>
      <c r="P169" s="435" t="s">
        <v>1314</v>
      </c>
      <c r="Q169" s="435" t="s">
        <v>1315</v>
      </c>
      <c r="R169" s="465" t="s">
        <v>1316</v>
      </c>
      <c r="S169" s="435" t="s">
        <v>340</v>
      </c>
      <c r="T169" s="159" t="s">
        <v>169</v>
      </c>
      <c r="U169" s="159" t="s">
        <v>170</v>
      </c>
      <c r="V169" s="176" t="s">
        <v>171</v>
      </c>
      <c r="W169" s="361">
        <v>2007</v>
      </c>
      <c r="X169" s="361">
        <v>455</v>
      </c>
      <c r="Y169" s="361"/>
      <c r="Z169" s="361" t="s">
        <v>311</v>
      </c>
      <c r="AA169" s="361" t="s">
        <v>150</v>
      </c>
      <c r="AB169" s="361">
        <v>16</v>
      </c>
      <c r="AC169" s="361">
        <v>79</v>
      </c>
      <c r="AD169" s="361"/>
      <c r="AE169" s="361"/>
      <c r="AF169" s="361"/>
      <c r="AG169" s="361"/>
      <c r="AH169" s="361"/>
      <c r="AI169" s="361"/>
      <c r="AJ169" s="177"/>
      <c r="AK169" s="443">
        <v>1</v>
      </c>
      <c r="AL169" s="527"/>
      <c r="AM169" s="370">
        <f>X169*P2_reinigen_daken_met_vaste_dakveiligheid</f>
        <v>0</v>
      </c>
      <c r="AN169" s="371">
        <f>Y169*P2_reinigen_goten_met_vaste_dakveiligheid</f>
        <v>0</v>
      </c>
      <c r="AO169" s="371">
        <f>(AE169*P2_Reinigen_Lichtkoepel_50X50)+('Perceel 2'!AF169*P2_Reinigen_Lichtkoepel_60x200)+('Perceel 2'!AG169*P2_Reinigen_Lichtkoepel_180x180)+('Perceel 2'!AH169*P2_Reinigen_Lichtstraten_groter_dan_180x180)</f>
        <v>0</v>
      </c>
      <c r="AP169" s="371">
        <f>('Perceel 2'!X169+'Perceel 2'!Y169)*P2_Inspecteren_daken_en_goten_1x_per_jaar_gelijktijdig_met_reiniging_inclusief_inspectierapport_en_een_managementrapport</f>
        <v>0</v>
      </c>
      <c r="AQ169" s="419"/>
      <c r="AR169" s="372">
        <f t="shared" si="25"/>
        <v>0</v>
      </c>
      <c r="AS169" s="373">
        <f t="shared" si="26"/>
        <v>0</v>
      </c>
    </row>
    <row r="170" spans="1:45" ht="25.5" x14ac:dyDescent="0.45">
      <c r="A170" s="155"/>
      <c r="B170" s="348">
        <v>2</v>
      </c>
      <c r="C170" s="156" t="s">
        <v>135</v>
      </c>
      <c r="D170" s="156" t="s">
        <v>174</v>
      </c>
      <c r="E170" s="156"/>
      <c r="F170" s="156"/>
      <c r="G170" s="156"/>
      <c r="H170" s="151" t="s">
        <v>1317</v>
      </c>
      <c r="I170" s="151" t="s">
        <v>1318</v>
      </c>
      <c r="J170" s="157"/>
      <c r="K170" s="163"/>
      <c r="L170" s="151" t="s">
        <v>348</v>
      </c>
      <c r="M170" s="159" t="s">
        <v>349</v>
      </c>
      <c r="N170" s="435" t="s">
        <v>1319</v>
      </c>
      <c r="O170" s="353" t="s">
        <v>1320</v>
      </c>
      <c r="P170" s="353" t="s">
        <v>1321</v>
      </c>
      <c r="Q170" s="435" t="s">
        <v>1315</v>
      </c>
      <c r="R170" s="461" t="s">
        <v>1316</v>
      </c>
      <c r="S170" s="435" t="s">
        <v>340</v>
      </c>
      <c r="T170" s="159" t="s">
        <v>1322</v>
      </c>
      <c r="U170" s="159" t="s">
        <v>1323</v>
      </c>
      <c r="V170" s="176" t="s">
        <v>750</v>
      </c>
      <c r="W170" s="361">
        <v>2007</v>
      </c>
      <c r="X170" s="361">
        <v>1590</v>
      </c>
      <c r="Y170" s="361"/>
      <c r="Z170" s="361"/>
      <c r="AA170" s="361" t="s">
        <v>150</v>
      </c>
      <c r="AB170" s="361">
        <f>36+2</f>
        <v>38</v>
      </c>
      <c r="AC170" s="361">
        <f>78+10</f>
        <v>88</v>
      </c>
      <c r="AD170" s="361"/>
      <c r="AE170" s="361"/>
      <c r="AF170" s="361"/>
      <c r="AG170" s="361"/>
      <c r="AH170" s="361"/>
      <c r="AI170" s="361"/>
      <c r="AJ170" s="177"/>
      <c r="AK170" s="443">
        <v>1</v>
      </c>
      <c r="AL170" s="433"/>
      <c r="AM170" s="370">
        <f>X170*P2_reinigen_daken_met_vaste_dakveiligheid</f>
        <v>0</v>
      </c>
      <c r="AN170" s="371">
        <f>Y170*P2_reinigen_goten_met_vaste_dakveiligheid</f>
        <v>0</v>
      </c>
      <c r="AO170" s="371">
        <f>(AE170*P2_Reinigen_Lichtkoepel_50X50)+('Perceel 2'!AF170*P2_Reinigen_Lichtkoepel_60x200)+('Perceel 2'!AG170*P2_Reinigen_Lichtkoepel_180x180)+('Perceel 2'!AH170*P2_Reinigen_Lichtstraten_groter_dan_180x180)</f>
        <v>0</v>
      </c>
      <c r="AP170" s="371">
        <f>('Perceel 2'!X170+'Perceel 2'!Y170)*P2_Inspecteren_daken_en_goten_1x_per_jaar_gelijktijdig_met_reiniging_inclusief_inspectierapport_en_een_managementrapport</f>
        <v>0</v>
      </c>
      <c r="AQ170" s="419"/>
      <c r="AR170" s="372">
        <f t="shared" si="25"/>
        <v>0</v>
      </c>
      <c r="AS170" s="373">
        <f t="shared" si="26"/>
        <v>0</v>
      </c>
    </row>
    <row r="171" spans="1:45" ht="63.75" customHeight="1" x14ac:dyDescent="0.45">
      <c r="A171" s="155"/>
      <c r="B171" s="348">
        <v>2</v>
      </c>
      <c r="C171" s="156" t="s">
        <v>135</v>
      </c>
      <c r="D171" s="156" t="s">
        <v>136</v>
      </c>
      <c r="E171" s="156"/>
      <c r="F171" s="156"/>
      <c r="G171" s="156"/>
      <c r="H171" s="151" t="s">
        <v>1324</v>
      </c>
      <c r="I171" s="151" t="s">
        <v>1325</v>
      </c>
      <c r="J171" s="157"/>
      <c r="K171" s="163"/>
      <c r="L171" s="151" t="s">
        <v>348</v>
      </c>
      <c r="M171" s="159" t="s">
        <v>349</v>
      </c>
      <c r="N171" s="435" t="s">
        <v>1326</v>
      </c>
      <c r="O171" s="353" t="s">
        <v>1327</v>
      </c>
      <c r="P171" s="435" t="s">
        <v>1328</v>
      </c>
      <c r="Q171" s="435" t="s">
        <v>1329</v>
      </c>
      <c r="R171" s="461" t="s">
        <v>1239</v>
      </c>
      <c r="S171" s="435" t="s">
        <v>340</v>
      </c>
      <c r="T171" s="159" t="s">
        <v>1330</v>
      </c>
      <c r="U171" s="159" t="s">
        <v>1331</v>
      </c>
      <c r="V171" s="179" t="s">
        <v>1332</v>
      </c>
      <c r="W171" s="361">
        <v>2011</v>
      </c>
      <c r="X171" s="361">
        <v>841</v>
      </c>
      <c r="Y171" s="361"/>
      <c r="Z171" s="361"/>
      <c r="AA171" s="361" t="s">
        <v>150</v>
      </c>
      <c r="AB171" s="361">
        <v>20</v>
      </c>
      <c r="AC171" s="361">
        <v>131</v>
      </c>
      <c r="AD171" s="361" t="s">
        <v>1333</v>
      </c>
      <c r="AE171" s="361"/>
      <c r="AF171" s="361"/>
      <c r="AG171" s="361"/>
      <c r="AH171" s="361"/>
      <c r="AI171" s="361"/>
      <c r="AJ171" s="177"/>
      <c r="AK171" s="443">
        <v>1</v>
      </c>
      <c r="AL171" s="444"/>
      <c r="AM171" s="370">
        <f>X171*P2_reinigen_daken_met_vaste_dakveiligheid</f>
        <v>0</v>
      </c>
      <c r="AN171" s="371">
        <f>Y171*P2_reinigen_goten_met_vaste_dakveiligheid</f>
        <v>0</v>
      </c>
      <c r="AO171" s="371">
        <f>(AE171*P2_Reinigen_Lichtkoepel_50X50)+('Perceel 2'!AF171*P2_Reinigen_Lichtkoepel_60x200)+('Perceel 2'!AG171*P2_Reinigen_Lichtkoepel_180x180)+('Perceel 2'!AH171*P2_Reinigen_Lichtstraten_groter_dan_180x180)</f>
        <v>0</v>
      </c>
      <c r="AP171" s="371">
        <f>('Perceel 2'!X171+'Perceel 2'!Y171)*P2_Inspecteren_daken_en_goten_1x_per_jaar_gelijktijdig_met_reiniging_inclusief_inspectierapport_en_een_managementrapport</f>
        <v>0</v>
      </c>
      <c r="AQ171" s="419"/>
      <c r="AR171" s="372">
        <f t="shared" si="25"/>
        <v>0</v>
      </c>
      <c r="AS171" s="373">
        <f t="shared" si="26"/>
        <v>0</v>
      </c>
    </row>
    <row r="172" spans="1:45" x14ac:dyDescent="0.45">
      <c r="A172" s="193"/>
      <c r="B172" s="347">
        <v>2</v>
      </c>
      <c r="C172" s="156" t="s">
        <v>135</v>
      </c>
      <c r="D172" s="156" t="s">
        <v>136</v>
      </c>
      <c r="E172" s="156"/>
      <c r="F172" s="156"/>
      <c r="G172" s="156"/>
      <c r="H172" s="163" t="s">
        <v>1334</v>
      </c>
      <c r="I172" s="163" t="s">
        <v>1335</v>
      </c>
      <c r="J172" s="163"/>
      <c r="K172" s="163"/>
      <c r="L172" s="151"/>
      <c r="M172" s="159"/>
      <c r="N172" s="304">
        <v>1493</v>
      </c>
      <c r="O172" s="353" t="s">
        <v>1336</v>
      </c>
      <c r="P172" s="353" t="s">
        <v>1337</v>
      </c>
      <c r="Q172" s="353" t="s">
        <v>1329</v>
      </c>
      <c r="R172" s="355" t="s">
        <v>1239</v>
      </c>
      <c r="S172" s="353" t="s">
        <v>340</v>
      </c>
      <c r="T172" s="159"/>
      <c r="U172" s="159"/>
      <c r="V172" s="179"/>
      <c r="W172" s="361">
        <v>2011</v>
      </c>
      <c r="X172" s="361">
        <f>370+380</f>
        <v>750</v>
      </c>
      <c r="Y172" s="361"/>
      <c r="Z172" s="361"/>
      <c r="AA172" s="361" t="s">
        <v>150</v>
      </c>
      <c r="AB172" s="361">
        <f>6+10</f>
        <v>16</v>
      </c>
      <c r="AC172" s="361">
        <f>60+75</f>
        <v>135</v>
      </c>
      <c r="AD172" s="361"/>
      <c r="AE172" s="361"/>
      <c r="AF172" s="361"/>
      <c r="AG172" s="361"/>
      <c r="AH172" s="361"/>
      <c r="AI172" s="361"/>
      <c r="AJ172" s="189"/>
      <c r="AK172" s="361">
        <v>1</v>
      </c>
      <c r="AL172" s="369"/>
      <c r="AM172" s="370">
        <f>X172*P2_reinigen_daken_met_vaste_dakveiligheid</f>
        <v>0</v>
      </c>
      <c r="AN172" s="371">
        <f>Y172*P2_reinigen_goten_met_vaste_dakveiligheid</f>
        <v>0</v>
      </c>
      <c r="AO172" s="371">
        <f>(AE172*P2_Reinigen_Lichtkoepel_50X50)+('Perceel 2'!AF172*P2_Reinigen_Lichtkoepel_60x200)+('Perceel 2'!AG172*P2_Reinigen_Lichtkoepel_180x180)+('Perceel 2'!AH172*P2_Reinigen_Lichtstraten_groter_dan_180x180)</f>
        <v>0</v>
      </c>
      <c r="AP172" s="371">
        <f>('Perceel 2'!X172+'Perceel 2'!Y172)*P2_Inspecteren_daken_en_goten_1x_per_jaar_gelijktijdig_met_reiniging_inclusief_inspectierapport_en_een_managementrapport</f>
        <v>0</v>
      </c>
      <c r="AQ172" s="419"/>
      <c r="AR172" s="372">
        <f t="shared" si="25"/>
        <v>0</v>
      </c>
      <c r="AS172" s="373">
        <f t="shared" si="26"/>
        <v>0</v>
      </c>
    </row>
    <row r="173" spans="1:45" ht="25.5" x14ac:dyDescent="0.45">
      <c r="A173" s="155"/>
      <c r="B173" s="348">
        <v>2</v>
      </c>
      <c r="C173" s="156" t="s">
        <v>135</v>
      </c>
      <c r="D173" s="156" t="s">
        <v>1338</v>
      </c>
      <c r="E173" s="156"/>
      <c r="F173" s="156"/>
      <c r="G173" s="156"/>
      <c r="H173" s="151" t="s">
        <v>1339</v>
      </c>
      <c r="I173" s="151" t="s">
        <v>1340</v>
      </c>
      <c r="J173" s="157"/>
      <c r="K173" s="163"/>
      <c r="L173" s="163" t="s">
        <v>154</v>
      </c>
      <c r="M173" s="166" t="s">
        <v>155</v>
      </c>
      <c r="N173" s="435" t="s">
        <v>1341</v>
      </c>
      <c r="O173" s="353" t="s">
        <v>1342</v>
      </c>
      <c r="P173" s="435" t="s">
        <v>1343</v>
      </c>
      <c r="Q173" s="435" t="s">
        <v>1344</v>
      </c>
      <c r="R173" s="461" t="s">
        <v>1158</v>
      </c>
      <c r="S173" s="435" t="s">
        <v>340</v>
      </c>
      <c r="T173" s="159" t="s">
        <v>1345</v>
      </c>
      <c r="U173" s="159" t="s">
        <v>1346</v>
      </c>
      <c r="V173" s="176" t="s">
        <v>1347</v>
      </c>
      <c r="W173" s="361"/>
      <c r="X173" s="361">
        <v>1232</v>
      </c>
      <c r="Y173" s="361"/>
      <c r="Z173" s="361"/>
      <c r="AA173" s="361"/>
      <c r="AB173" s="361"/>
      <c r="AC173" s="361"/>
      <c r="AD173" s="361"/>
      <c r="AE173" s="361"/>
      <c r="AF173" s="361"/>
      <c r="AG173" s="361"/>
      <c r="AH173" s="361"/>
      <c r="AI173" s="361"/>
      <c r="AJ173" s="177"/>
      <c r="AK173" s="443">
        <v>1</v>
      </c>
      <c r="AL173" s="444"/>
      <c r="AM173" s="370">
        <f>X173*P2_Reinigen_daken_incl._extra_maatregelen_veilig_werken_volgens_VCA__eventuele_vergunningen_leges___voorrijkosten__adminstratieve_kosten__fotorapportage_en_kleine_reparaties</f>
        <v>0</v>
      </c>
      <c r="AN173" s="371">
        <f>Y173*P2_Reinigen_goten_incl._extra_maatregelen_veilig_werken_volgens_VCA__eventuele_vergunningen_leges___voorrijkosten__adminstratieve_kosten__fotorapportage_en_kleine_reparaties</f>
        <v>0</v>
      </c>
      <c r="AO173" s="371">
        <f>(AE173*P2_Reinigen_Lichtkoepel_50X50)+('Perceel 2'!AF173*P2_Reinigen_Lichtkoepel_60x200)+('Perceel 2'!AG173*P2_Reinigen_Lichtkoepel_180x180)+('Perceel 2'!AH173*P2_Reinigen_Lichtstraten_groter_dan_180x180)</f>
        <v>0</v>
      </c>
      <c r="AP173" s="371">
        <f>('Perceel 2'!X173+'Perceel 2'!Y173)*P2_Inspecteren_daken_en_goten_1x_per_jaar_gelijktijdig_met_reiniging_inclusief_inspectierapport_en_een_managementrapport</f>
        <v>0</v>
      </c>
      <c r="AQ173" s="416"/>
      <c r="AR173" s="372">
        <f>AQ173*P2_keuren_dakveiligheid_per_man_uur</f>
        <v>0</v>
      </c>
      <c r="AS173" s="373">
        <f t="shared" si="26"/>
        <v>0</v>
      </c>
    </row>
    <row r="174" spans="1:45" ht="127.5" customHeight="1" x14ac:dyDescent="0.45">
      <c r="A174" s="155"/>
      <c r="B174" s="348">
        <v>2</v>
      </c>
      <c r="C174" s="156" t="s">
        <v>135</v>
      </c>
      <c r="D174" s="156" t="s">
        <v>136</v>
      </c>
      <c r="E174" s="156"/>
      <c r="F174" s="156"/>
      <c r="G174" s="156"/>
      <c r="H174" s="151" t="s">
        <v>1348</v>
      </c>
      <c r="I174" s="151" t="s">
        <v>1349</v>
      </c>
      <c r="J174" s="157"/>
      <c r="K174" s="163"/>
      <c r="L174" s="163" t="s">
        <v>154</v>
      </c>
      <c r="M174" s="166" t="s">
        <v>544</v>
      </c>
      <c r="N174" s="353" t="s">
        <v>1350</v>
      </c>
      <c r="O174" s="353" t="s">
        <v>1351</v>
      </c>
      <c r="P174" s="353" t="s">
        <v>1352</v>
      </c>
      <c r="Q174" s="435" t="s">
        <v>1353</v>
      </c>
      <c r="R174" s="461" t="s">
        <v>1144</v>
      </c>
      <c r="S174" s="435" t="s">
        <v>340</v>
      </c>
      <c r="T174" s="159" t="s">
        <v>1354</v>
      </c>
      <c r="U174" s="159" t="s">
        <v>1355</v>
      </c>
      <c r="V174" s="176" t="s">
        <v>1356</v>
      </c>
      <c r="W174" s="361">
        <v>1987</v>
      </c>
      <c r="X174" s="361">
        <f>734+95</f>
        <v>829</v>
      </c>
      <c r="Y174" s="361"/>
      <c r="Z174" s="361"/>
      <c r="AA174" s="361" t="s">
        <v>135</v>
      </c>
      <c r="AB174" s="361">
        <v>12</v>
      </c>
      <c r="AC174" s="361">
        <v>100</v>
      </c>
      <c r="AD174" s="361"/>
      <c r="AE174" s="361"/>
      <c r="AF174" s="361"/>
      <c r="AG174" s="361"/>
      <c r="AH174" s="361"/>
      <c r="AI174" s="361"/>
      <c r="AJ174" s="177"/>
      <c r="AK174" s="443">
        <v>1</v>
      </c>
      <c r="AL174" s="369"/>
      <c r="AM174" s="370">
        <f>X174*P2_reinigen_daken_met_vaste_dakveiligheid</f>
        <v>0</v>
      </c>
      <c r="AN174" s="371">
        <f>Y174*P2_reinigen_goten_met_vaste_dakveiligheid</f>
        <v>0</v>
      </c>
      <c r="AO174" s="371">
        <f>(AE174*P2_Reinigen_Lichtkoepel_50X50)+('Perceel 2'!AF174*P2_Reinigen_Lichtkoepel_60x200)+('Perceel 2'!AG174*P2_Reinigen_Lichtkoepel_180x180)+('Perceel 2'!AH174*P2_Reinigen_Lichtstraten_groter_dan_180x180)</f>
        <v>0</v>
      </c>
      <c r="AP174" s="371">
        <f>('Perceel 2'!X174+'Perceel 2'!Y174)*P2_Inspecteren_daken_en_goten_1x_per_jaar_gelijktijdig_met_reiniging_inclusief_inspectierapport_en_een_managementrapport</f>
        <v>0</v>
      </c>
      <c r="AQ174" s="419"/>
      <c r="AR174" s="372">
        <f t="shared" si="25"/>
        <v>0</v>
      </c>
      <c r="AS174" s="373">
        <f t="shared" si="26"/>
        <v>0</v>
      </c>
    </row>
    <row r="175" spans="1:45" ht="72.75" customHeight="1" x14ac:dyDescent="0.45">
      <c r="A175" s="155"/>
      <c r="B175" s="348">
        <v>2</v>
      </c>
      <c r="C175" s="156" t="s">
        <v>135</v>
      </c>
      <c r="D175" s="156" t="s">
        <v>136</v>
      </c>
      <c r="E175" s="156"/>
      <c r="F175" s="156"/>
      <c r="G175" s="156"/>
      <c r="H175" s="151" t="s">
        <v>1357</v>
      </c>
      <c r="I175" s="151" t="s">
        <v>1358</v>
      </c>
      <c r="J175" s="157"/>
      <c r="K175" s="163"/>
      <c r="L175" s="151" t="s">
        <v>139</v>
      </c>
      <c r="M175" s="159" t="s">
        <v>140</v>
      </c>
      <c r="N175" s="435" t="s">
        <v>1359</v>
      </c>
      <c r="O175" s="353" t="s">
        <v>1360</v>
      </c>
      <c r="P175" s="435" t="s">
        <v>1361</v>
      </c>
      <c r="Q175" s="435" t="s">
        <v>1362</v>
      </c>
      <c r="R175" s="461" t="s">
        <v>1363</v>
      </c>
      <c r="S175" s="435" t="s">
        <v>340</v>
      </c>
      <c r="T175" s="159" t="s">
        <v>1364</v>
      </c>
      <c r="U175" s="159" t="s">
        <v>1365</v>
      </c>
      <c r="V175" s="176" t="s">
        <v>1366</v>
      </c>
      <c r="W175" s="361">
        <v>1999</v>
      </c>
      <c r="X175" s="361">
        <v>435</v>
      </c>
      <c r="Y175" s="361"/>
      <c r="Z175" s="361" t="s">
        <v>311</v>
      </c>
      <c r="AA175" s="361" t="s">
        <v>150</v>
      </c>
      <c r="AB175" s="361">
        <v>9</v>
      </c>
      <c r="AC175" s="361">
        <v>37</v>
      </c>
      <c r="AD175" s="361" t="s">
        <v>1367</v>
      </c>
      <c r="AE175" s="361"/>
      <c r="AF175" s="361"/>
      <c r="AG175" s="361"/>
      <c r="AH175" s="361"/>
      <c r="AI175" s="361" t="s">
        <v>345</v>
      </c>
      <c r="AJ175" s="177" t="s">
        <v>1018</v>
      </c>
      <c r="AK175" s="443">
        <v>1</v>
      </c>
      <c r="AL175" s="444"/>
      <c r="AM175" s="370">
        <f>X175*P2_reinigen_daken_met_vaste_dakveiligheid</f>
        <v>0</v>
      </c>
      <c r="AN175" s="371">
        <f>Y175*P2_reinigen_goten_met_vaste_dakveiligheid</f>
        <v>0</v>
      </c>
      <c r="AO175" s="371">
        <f>(AE175*P2_Reinigen_Lichtkoepel_50X50)+('Perceel 2'!AF175*P2_Reinigen_Lichtkoepel_60x200)+('Perceel 2'!AG175*P2_Reinigen_Lichtkoepel_180x180)+('Perceel 2'!AH175*P2_Reinigen_Lichtstraten_groter_dan_180x180)</f>
        <v>0</v>
      </c>
      <c r="AP175" s="371">
        <f>('Perceel 2'!X175+'Perceel 2'!Y175)*P2_Inspecteren_daken_en_goten_1x_per_jaar_gelijktijdig_met_reiniging_inclusief_inspectierapport_en_een_managementrapport</f>
        <v>0</v>
      </c>
      <c r="AQ175" s="419"/>
      <c r="AR175" s="372">
        <f t="shared" si="25"/>
        <v>0</v>
      </c>
      <c r="AS175" s="373">
        <f t="shared" si="26"/>
        <v>0</v>
      </c>
    </row>
    <row r="176" spans="1:45" ht="38.25" x14ac:dyDescent="0.45">
      <c r="A176" s="155"/>
      <c r="B176" s="347">
        <v>2</v>
      </c>
      <c r="C176" s="156" t="s">
        <v>135</v>
      </c>
      <c r="D176" s="156" t="s">
        <v>174</v>
      </c>
      <c r="E176" s="156"/>
      <c r="F176" s="156"/>
      <c r="G176" s="156"/>
      <c r="H176" s="151" t="s">
        <v>1368</v>
      </c>
      <c r="I176" s="151" t="s">
        <v>1369</v>
      </c>
      <c r="J176" s="157"/>
      <c r="K176" s="163"/>
      <c r="L176" s="151" t="s">
        <v>348</v>
      </c>
      <c r="M176" s="159" t="s">
        <v>349</v>
      </c>
      <c r="N176" s="435" t="s">
        <v>1370</v>
      </c>
      <c r="O176" s="353" t="s">
        <v>1371</v>
      </c>
      <c r="P176" s="353" t="s">
        <v>1372</v>
      </c>
      <c r="Q176" s="435" t="s">
        <v>1373</v>
      </c>
      <c r="R176" s="461" t="s">
        <v>1144</v>
      </c>
      <c r="S176" s="435" t="s">
        <v>340</v>
      </c>
      <c r="T176" s="159" t="s">
        <v>1374</v>
      </c>
      <c r="U176" s="159" t="s">
        <v>1375</v>
      </c>
      <c r="V176" s="176" t="s">
        <v>1376</v>
      </c>
      <c r="W176" s="361">
        <v>1986</v>
      </c>
      <c r="X176" s="361">
        <v>1004</v>
      </c>
      <c r="Y176" s="361"/>
      <c r="Z176" s="361"/>
      <c r="AA176" s="361"/>
      <c r="AB176" s="361"/>
      <c r="AC176" s="361"/>
      <c r="AD176" s="361"/>
      <c r="AE176" s="361"/>
      <c r="AF176" s="361"/>
      <c r="AG176" s="361"/>
      <c r="AH176" s="361"/>
      <c r="AI176" s="361"/>
      <c r="AJ176" s="177" t="s">
        <v>1377</v>
      </c>
      <c r="AK176" s="443">
        <v>2</v>
      </c>
      <c r="AL176" s="444"/>
      <c r="AM176" s="370">
        <f>X176*P2_Reinigen_daken_incl._extra_maatregelen_veilig_werken_volgens_VCA__eventuele_vergunningen_leges___voorrijkosten__adminstratieve_kosten__fotorapportage_en_kleine_reparaties</f>
        <v>0</v>
      </c>
      <c r="AN176" s="371">
        <f>Y176*P2_Reinigen_goten_incl._extra_maatregelen_veilig_werken_volgens_VCA__eventuele_vergunningen_leges___voorrijkosten__adminstratieve_kosten__fotorapportage_en_kleine_reparaties</f>
        <v>0</v>
      </c>
      <c r="AO176" s="371">
        <f>(AE176*P2_Reinigen_Lichtkoepel_50X50)+('Perceel 2'!AF176*P2_Reinigen_Lichtkoepel_60x200)+('Perceel 2'!AG176*P2_Reinigen_Lichtkoepel_180x180)+('Perceel 2'!AH176*P2_Reinigen_Lichtstraten_groter_dan_180x180)</f>
        <v>0</v>
      </c>
      <c r="AP176" s="371">
        <f>('Perceel 2'!X176+'Perceel 2'!Y176)*P2_Inspecteren_daken_en_goten_1x_per_jaar_gelijktijdig_met_reiniging_inclusief_inspectierapport_en_een_managementrapport</f>
        <v>0</v>
      </c>
      <c r="AQ176" s="416"/>
      <c r="AR176" s="372">
        <f>AQ176*P2_keuren_dakveiligheid_per_man_uur</f>
        <v>0</v>
      </c>
      <c r="AS176" s="373">
        <f t="shared" si="26"/>
        <v>0</v>
      </c>
    </row>
    <row r="177" spans="1:45" ht="12.75" customHeight="1" x14ac:dyDescent="0.45">
      <c r="A177" s="155"/>
      <c r="B177" s="347">
        <v>2</v>
      </c>
      <c r="C177" s="156" t="s">
        <v>135</v>
      </c>
      <c r="D177" s="156" t="s">
        <v>174</v>
      </c>
      <c r="E177" s="156"/>
      <c r="F177" s="156"/>
      <c r="G177" s="156"/>
      <c r="H177" s="151" t="s">
        <v>1378</v>
      </c>
      <c r="I177" s="151" t="s">
        <v>1379</v>
      </c>
      <c r="J177" s="157"/>
      <c r="K177" s="163"/>
      <c r="L177" s="151" t="s">
        <v>348</v>
      </c>
      <c r="M177" s="159" t="s">
        <v>349</v>
      </c>
      <c r="N177" s="435" t="s">
        <v>1380</v>
      </c>
      <c r="O177" s="353" t="s">
        <v>1381</v>
      </c>
      <c r="P177" s="435" t="s">
        <v>1382</v>
      </c>
      <c r="Q177" s="435" t="s">
        <v>1383</v>
      </c>
      <c r="R177" s="461" t="s">
        <v>1144</v>
      </c>
      <c r="S177" s="435" t="s">
        <v>340</v>
      </c>
      <c r="T177" s="159" t="s">
        <v>1374</v>
      </c>
      <c r="U177" s="159" t="s">
        <v>1384</v>
      </c>
      <c r="V177" s="176" t="s">
        <v>1376</v>
      </c>
      <c r="W177" s="361">
        <v>1986</v>
      </c>
      <c r="X177" s="361">
        <v>1177</v>
      </c>
      <c r="Y177" s="361"/>
      <c r="Z177" s="361"/>
      <c r="AA177" s="361"/>
      <c r="AB177" s="361"/>
      <c r="AC177" s="361"/>
      <c r="AD177" s="361"/>
      <c r="AE177" s="361"/>
      <c r="AF177" s="361"/>
      <c r="AG177" s="361"/>
      <c r="AH177" s="361"/>
      <c r="AI177" s="361"/>
      <c r="AJ177" s="177"/>
      <c r="AK177" s="443">
        <v>2</v>
      </c>
      <c r="AL177" s="444"/>
      <c r="AM177" s="370">
        <f>X177*P2_Reinigen_daken_incl._extra_maatregelen_veilig_werken_volgens_VCA__eventuele_vergunningen_leges___voorrijkosten__adminstratieve_kosten__fotorapportage_en_kleine_reparaties</f>
        <v>0</v>
      </c>
      <c r="AN177" s="371">
        <f>Y177*P2_Reinigen_goten_incl._extra_maatregelen_veilig_werken_volgens_VCA__eventuele_vergunningen_leges___voorrijkosten__adminstratieve_kosten__fotorapportage_en_kleine_reparaties</f>
        <v>0</v>
      </c>
      <c r="AO177" s="371">
        <f>(AE177*P2_Reinigen_Lichtkoepel_50X50)+('Perceel 2'!AF177*P2_Reinigen_Lichtkoepel_60x200)+('Perceel 2'!AG177*P2_Reinigen_Lichtkoepel_180x180)+('Perceel 2'!AH177*P2_Reinigen_Lichtstraten_groter_dan_180x180)</f>
        <v>0</v>
      </c>
      <c r="AP177" s="371">
        <f>('Perceel 2'!X177+'Perceel 2'!Y177)*P2_Inspecteren_daken_en_goten_1x_per_jaar_gelijktijdig_met_reiniging_inclusief_inspectierapport_en_een_managementrapport</f>
        <v>0</v>
      </c>
      <c r="AQ177" s="416"/>
      <c r="AR177" s="372">
        <f>AQ177*P2_keuren_dakveiligheid_per_man_uur</f>
        <v>0</v>
      </c>
      <c r="AS177" s="373">
        <f t="shared" si="26"/>
        <v>0</v>
      </c>
    </row>
    <row r="178" spans="1:45" ht="89.25" customHeight="1" x14ac:dyDescent="0.45">
      <c r="A178" s="155"/>
      <c r="B178" s="348">
        <v>2</v>
      </c>
      <c r="C178" s="156" t="s">
        <v>135</v>
      </c>
      <c r="D178" s="156" t="s">
        <v>136</v>
      </c>
      <c r="E178" s="156"/>
      <c r="F178" s="156"/>
      <c r="G178" s="156"/>
      <c r="H178" s="151" t="s">
        <v>1385</v>
      </c>
      <c r="I178" s="151" t="s">
        <v>1386</v>
      </c>
      <c r="J178" s="157"/>
      <c r="K178" s="163"/>
      <c r="L178" s="163" t="s">
        <v>154</v>
      </c>
      <c r="M178" s="166" t="s">
        <v>544</v>
      </c>
      <c r="N178" s="435" t="s">
        <v>1387</v>
      </c>
      <c r="O178" s="353" t="s">
        <v>1388</v>
      </c>
      <c r="P178" s="435" t="s">
        <v>1389</v>
      </c>
      <c r="Q178" s="463" t="s">
        <v>1390</v>
      </c>
      <c r="R178" s="461" t="s">
        <v>1126</v>
      </c>
      <c r="S178" s="435" t="s">
        <v>340</v>
      </c>
      <c r="T178" s="159" t="s">
        <v>722</v>
      </c>
      <c r="U178" s="168" t="s">
        <v>723</v>
      </c>
      <c r="V178" s="209" t="s">
        <v>724</v>
      </c>
      <c r="W178" s="361">
        <v>2006</v>
      </c>
      <c r="X178" s="361">
        <v>3500</v>
      </c>
      <c r="Y178" s="361"/>
      <c r="Z178" s="361" t="s">
        <v>311</v>
      </c>
      <c r="AA178" s="361" t="s">
        <v>150</v>
      </c>
      <c r="AB178" s="361">
        <v>32</v>
      </c>
      <c r="AC178" s="361">
        <v>290</v>
      </c>
      <c r="AD178" s="361"/>
      <c r="AE178" s="361"/>
      <c r="AF178" s="361"/>
      <c r="AG178" s="361"/>
      <c r="AH178" s="361"/>
      <c r="AI178" s="361"/>
      <c r="AJ178" s="177"/>
      <c r="AK178" s="443">
        <v>1</v>
      </c>
      <c r="AL178" s="395"/>
      <c r="AM178" s="370">
        <f>X178*P2_reinigen_daken_met_vaste_dakveiligheid</f>
        <v>0</v>
      </c>
      <c r="AN178" s="371">
        <f>Y178*P2_reinigen_goten_met_vaste_dakveiligheid</f>
        <v>0</v>
      </c>
      <c r="AO178" s="371">
        <f>(AE178*P2_Reinigen_Lichtkoepel_50X50)+('Perceel 2'!AF178*P2_Reinigen_Lichtkoepel_60x200)+('Perceel 2'!AG178*P2_Reinigen_Lichtkoepel_180x180)+('Perceel 2'!AH178*P2_Reinigen_Lichtstraten_groter_dan_180x180)</f>
        <v>0</v>
      </c>
      <c r="AP178" s="371">
        <f>('Perceel 2'!X178+'Perceel 2'!Y178)*P2_Inspecteren_daken_en_goten_1x_per_jaar_gelijktijdig_met_reiniging_inclusief_inspectierapport_en_een_managementrapport</f>
        <v>0</v>
      </c>
      <c r="AQ178" s="419"/>
      <c r="AR178" s="372">
        <f t="shared" ref="AR178:AR192" si="31">AQ178*P2_keuren_dakveiligheid_per_man_uur</f>
        <v>0</v>
      </c>
      <c r="AS178" s="373">
        <f t="shared" si="26"/>
        <v>0</v>
      </c>
    </row>
    <row r="179" spans="1:45" ht="12.75" customHeight="1" x14ac:dyDescent="0.45">
      <c r="A179" s="161"/>
      <c r="B179" s="347">
        <v>2</v>
      </c>
      <c r="C179" s="156" t="s">
        <v>135</v>
      </c>
      <c r="D179" s="156" t="s">
        <v>1391</v>
      </c>
      <c r="E179" s="156"/>
      <c r="F179" s="156"/>
      <c r="G179" s="156"/>
      <c r="H179" s="151" t="s">
        <v>1392</v>
      </c>
      <c r="I179" s="163" t="s">
        <v>1393</v>
      </c>
      <c r="J179" s="157"/>
      <c r="K179" s="163"/>
      <c r="L179" s="163" t="s">
        <v>154</v>
      </c>
      <c r="M179" s="166" t="s">
        <v>155</v>
      </c>
      <c r="N179" s="353" t="s">
        <v>1394</v>
      </c>
      <c r="O179" s="353" t="s">
        <v>1395</v>
      </c>
      <c r="P179" s="353" t="s">
        <v>1396</v>
      </c>
      <c r="Q179" s="353" t="s">
        <v>1397</v>
      </c>
      <c r="R179" s="355" t="s">
        <v>1144</v>
      </c>
      <c r="S179" s="353" t="s">
        <v>340</v>
      </c>
      <c r="T179" s="159" t="s">
        <v>1398</v>
      </c>
      <c r="U179" s="159" t="s">
        <v>1399</v>
      </c>
      <c r="V179" s="176" t="s">
        <v>1113</v>
      </c>
      <c r="W179" s="361">
        <v>1989</v>
      </c>
      <c r="X179" s="361">
        <f>5+5+9+9+527+163+348</f>
        <v>1066</v>
      </c>
      <c r="Y179" s="361"/>
      <c r="Z179" s="361"/>
      <c r="AA179" s="361"/>
      <c r="AB179" s="361"/>
      <c r="AC179" s="361"/>
      <c r="AD179" s="361"/>
      <c r="AE179" s="361"/>
      <c r="AF179" s="361"/>
      <c r="AG179" s="361"/>
      <c r="AH179" s="361"/>
      <c r="AI179" s="361"/>
      <c r="AJ179" s="177"/>
      <c r="AK179" s="361">
        <v>2</v>
      </c>
      <c r="AL179" s="395"/>
      <c r="AM179" s="370">
        <f t="shared" ref="AM179:AM192" si="32">X179*P2_Reinigen_daken_incl._extra_maatregelen_veilig_werken_volgens_VCA__eventuele_vergunningen_leges___voorrijkosten__adminstratieve_kosten__fotorapportage_en_kleine_reparaties</f>
        <v>0</v>
      </c>
      <c r="AN179" s="371">
        <f t="shared" ref="AN179:AN192" si="33">Y179*P2_Reinigen_goten_incl._extra_maatregelen_veilig_werken_volgens_VCA__eventuele_vergunningen_leges___voorrijkosten__adminstratieve_kosten__fotorapportage_en_kleine_reparaties</f>
        <v>0</v>
      </c>
      <c r="AO179" s="371">
        <f>(AE179*P2_Reinigen_Lichtkoepel_50X50)+('Perceel 2'!AF179*P2_Reinigen_Lichtkoepel_60x200)+('Perceel 2'!AG179*P2_Reinigen_Lichtkoepel_180x180)+('Perceel 2'!AH179*P2_Reinigen_Lichtstraten_groter_dan_180x180)</f>
        <v>0</v>
      </c>
      <c r="AP179" s="371">
        <f>('Perceel 2'!X179+'Perceel 2'!Y179)*P2_Inspecteren_daken_en_goten_1x_per_jaar_gelijktijdig_met_reiniging_inclusief_inspectierapport_en_een_managementrapport</f>
        <v>0</v>
      </c>
      <c r="AQ179" s="416"/>
      <c r="AR179" s="372">
        <f t="shared" si="31"/>
        <v>0</v>
      </c>
      <c r="AS179" s="373">
        <f t="shared" si="26"/>
        <v>0</v>
      </c>
    </row>
    <row r="180" spans="1:45" ht="25.5" customHeight="1" x14ac:dyDescent="0.45">
      <c r="A180" s="155"/>
      <c r="B180" s="348">
        <v>2</v>
      </c>
      <c r="C180" s="156" t="s">
        <v>135</v>
      </c>
      <c r="D180" s="156" t="s">
        <v>136</v>
      </c>
      <c r="E180" s="156"/>
      <c r="F180" s="156"/>
      <c r="G180" s="156"/>
      <c r="H180" s="151" t="s">
        <v>1400</v>
      </c>
      <c r="I180" s="151" t="s">
        <v>1401</v>
      </c>
      <c r="J180" s="157"/>
      <c r="K180" s="163"/>
      <c r="L180" s="151" t="s">
        <v>139</v>
      </c>
      <c r="M180" s="159" t="s">
        <v>140</v>
      </c>
      <c r="N180" s="435" t="s">
        <v>1402</v>
      </c>
      <c r="O180" s="353" t="s">
        <v>1403</v>
      </c>
      <c r="P180" s="435" t="s">
        <v>1404</v>
      </c>
      <c r="Q180" s="435" t="s">
        <v>1405</v>
      </c>
      <c r="R180" s="461" t="s">
        <v>1126</v>
      </c>
      <c r="S180" s="435" t="s">
        <v>340</v>
      </c>
      <c r="T180" s="159" t="s">
        <v>1406</v>
      </c>
      <c r="U180" s="159" t="s">
        <v>1407</v>
      </c>
      <c r="V180" s="176" t="s">
        <v>1408</v>
      </c>
      <c r="W180" s="361">
        <v>1982</v>
      </c>
      <c r="X180" s="361">
        <v>784</v>
      </c>
      <c r="Y180" s="361"/>
      <c r="Z180" s="361" t="s">
        <v>311</v>
      </c>
      <c r="AA180" s="361"/>
      <c r="AB180" s="361"/>
      <c r="AC180" s="361"/>
      <c r="AD180" s="361"/>
      <c r="AE180" s="361"/>
      <c r="AF180" s="361"/>
      <c r="AG180" s="361"/>
      <c r="AH180" s="361"/>
      <c r="AI180" s="361"/>
      <c r="AJ180" s="177"/>
      <c r="AK180" s="443">
        <v>1</v>
      </c>
      <c r="AL180" s="444"/>
      <c r="AM180" s="370">
        <f t="shared" si="32"/>
        <v>0</v>
      </c>
      <c r="AN180" s="371">
        <f t="shared" si="33"/>
        <v>0</v>
      </c>
      <c r="AO180" s="371">
        <f>(AE180*P2_Reinigen_Lichtkoepel_50X50)+('Perceel 2'!AF180*P2_Reinigen_Lichtkoepel_60x200)+('Perceel 2'!AG180*P2_Reinigen_Lichtkoepel_180x180)+('Perceel 2'!AH180*P2_Reinigen_Lichtstraten_groter_dan_180x180)</f>
        <v>0</v>
      </c>
      <c r="AP180" s="371">
        <f>('Perceel 2'!X180+'Perceel 2'!Y180)*P2_Inspecteren_daken_en_goten_1x_per_jaar_gelijktijdig_met_reiniging_inclusief_inspectierapport_en_een_managementrapport</f>
        <v>0</v>
      </c>
      <c r="AQ180" s="416"/>
      <c r="AR180" s="372">
        <f t="shared" si="31"/>
        <v>0</v>
      </c>
      <c r="AS180" s="373">
        <f t="shared" si="26"/>
        <v>0</v>
      </c>
    </row>
    <row r="181" spans="1:45" ht="51" x14ac:dyDescent="0.45">
      <c r="A181" s="155"/>
      <c r="B181" s="348">
        <v>2</v>
      </c>
      <c r="C181" s="156" t="s">
        <v>135</v>
      </c>
      <c r="D181" s="156" t="s">
        <v>136</v>
      </c>
      <c r="E181" s="156"/>
      <c r="F181" s="156"/>
      <c r="G181" s="156"/>
      <c r="H181" s="151" t="s">
        <v>1409</v>
      </c>
      <c r="I181" s="151" t="s">
        <v>1410</v>
      </c>
      <c r="J181" s="157"/>
      <c r="K181" s="163"/>
      <c r="L181" s="163" t="s">
        <v>154</v>
      </c>
      <c r="M181" s="166" t="s">
        <v>544</v>
      </c>
      <c r="N181" s="353" t="s">
        <v>1411</v>
      </c>
      <c r="O181" s="353" t="s">
        <v>1412</v>
      </c>
      <c r="P181" s="353" t="s">
        <v>1413</v>
      </c>
      <c r="Q181" s="353" t="s">
        <v>1414</v>
      </c>
      <c r="R181" s="355" t="s">
        <v>1214</v>
      </c>
      <c r="S181" s="353" t="s">
        <v>340</v>
      </c>
      <c r="T181" s="159" t="s">
        <v>169</v>
      </c>
      <c r="U181" s="159" t="s">
        <v>1415</v>
      </c>
      <c r="V181" s="176" t="s">
        <v>171</v>
      </c>
      <c r="W181" s="361">
        <v>1984</v>
      </c>
      <c r="X181" s="361">
        <v>936</v>
      </c>
      <c r="Y181" s="361"/>
      <c r="Z181" s="361" t="s">
        <v>311</v>
      </c>
      <c r="AA181" s="361"/>
      <c r="AB181" s="361"/>
      <c r="AC181" s="361"/>
      <c r="AD181" s="361"/>
      <c r="AE181" s="361"/>
      <c r="AF181" s="361"/>
      <c r="AG181" s="361"/>
      <c r="AH181" s="361"/>
      <c r="AI181" s="361"/>
      <c r="AJ181" s="152"/>
      <c r="AK181" s="361">
        <v>1</v>
      </c>
      <c r="AL181" s="395"/>
      <c r="AM181" s="370">
        <f t="shared" si="32"/>
        <v>0</v>
      </c>
      <c r="AN181" s="371">
        <f t="shared" si="33"/>
        <v>0</v>
      </c>
      <c r="AO181" s="371">
        <f>(AE181*P2_Reinigen_Lichtkoepel_50X50)+('Perceel 2'!AF181*P2_Reinigen_Lichtkoepel_60x200)+('Perceel 2'!AG181*P2_Reinigen_Lichtkoepel_180x180)+('Perceel 2'!AH181*P2_Reinigen_Lichtstraten_groter_dan_180x180)</f>
        <v>0</v>
      </c>
      <c r="AP181" s="371">
        <f>('Perceel 2'!X181+'Perceel 2'!Y181)*P2_Inspecteren_daken_en_goten_1x_per_jaar_gelijktijdig_met_reiniging_inclusief_inspectierapport_en_een_managementrapport</f>
        <v>0</v>
      </c>
      <c r="AQ181" s="416"/>
      <c r="AR181" s="372">
        <f t="shared" si="31"/>
        <v>0</v>
      </c>
      <c r="AS181" s="373">
        <f t="shared" si="26"/>
        <v>0</v>
      </c>
    </row>
    <row r="182" spans="1:45" ht="76.5" x14ac:dyDescent="0.45">
      <c r="A182" s="155"/>
      <c r="B182" s="348">
        <v>2</v>
      </c>
      <c r="C182" s="156" t="s">
        <v>135</v>
      </c>
      <c r="D182" s="156" t="s">
        <v>136</v>
      </c>
      <c r="E182" s="156"/>
      <c r="F182" s="156"/>
      <c r="G182" s="156"/>
      <c r="H182" s="151" t="s">
        <v>1416</v>
      </c>
      <c r="I182" s="151" t="s">
        <v>1417</v>
      </c>
      <c r="J182" s="157"/>
      <c r="K182" s="163"/>
      <c r="L182" s="163" t="s">
        <v>139</v>
      </c>
      <c r="M182" s="166" t="s">
        <v>140</v>
      </c>
      <c r="N182" s="435" t="s">
        <v>1418</v>
      </c>
      <c r="O182" s="353" t="s">
        <v>1419</v>
      </c>
      <c r="P182" s="435" t="s">
        <v>1420</v>
      </c>
      <c r="Q182" s="435" t="s">
        <v>1421</v>
      </c>
      <c r="R182" s="461" t="s">
        <v>1214</v>
      </c>
      <c r="S182" s="435" t="s">
        <v>340</v>
      </c>
      <c r="T182" s="159" t="s">
        <v>1422</v>
      </c>
      <c r="U182" s="159" t="s">
        <v>1423</v>
      </c>
      <c r="V182" s="176" t="s">
        <v>1424</v>
      </c>
      <c r="W182" s="361">
        <v>1983</v>
      </c>
      <c r="X182" s="361">
        <v>1168</v>
      </c>
      <c r="Y182" s="361"/>
      <c r="Z182" s="361"/>
      <c r="AA182" s="361"/>
      <c r="AB182" s="361"/>
      <c r="AC182" s="361"/>
      <c r="AD182" s="361"/>
      <c r="AE182" s="361"/>
      <c r="AF182" s="361"/>
      <c r="AG182" s="361"/>
      <c r="AH182" s="361"/>
      <c r="AI182" s="361"/>
      <c r="AJ182" s="177"/>
      <c r="AK182" s="443">
        <v>2</v>
      </c>
      <c r="AL182" s="444"/>
      <c r="AM182" s="370">
        <f t="shared" si="32"/>
        <v>0</v>
      </c>
      <c r="AN182" s="371">
        <f t="shared" si="33"/>
        <v>0</v>
      </c>
      <c r="AO182" s="371">
        <f>(AE182*P2_Reinigen_Lichtkoepel_50X50)+('Perceel 2'!AF182*P2_Reinigen_Lichtkoepel_60x200)+('Perceel 2'!AG182*P2_Reinigen_Lichtkoepel_180x180)+('Perceel 2'!AH182*P2_Reinigen_Lichtstraten_groter_dan_180x180)</f>
        <v>0</v>
      </c>
      <c r="AP182" s="371">
        <f>('Perceel 2'!X182+'Perceel 2'!Y182)*P2_Inspecteren_daken_en_goten_1x_per_jaar_gelijktijdig_met_reiniging_inclusief_inspectierapport_en_een_managementrapport</f>
        <v>0</v>
      </c>
      <c r="AQ182" s="416"/>
      <c r="AR182" s="372">
        <f t="shared" si="31"/>
        <v>0</v>
      </c>
      <c r="AS182" s="373">
        <f t="shared" si="26"/>
        <v>0</v>
      </c>
    </row>
    <row r="183" spans="1:45" ht="25.5" customHeight="1" x14ac:dyDescent="0.45">
      <c r="A183" s="155"/>
      <c r="B183" s="348">
        <v>2</v>
      </c>
      <c r="C183" s="156" t="s">
        <v>135</v>
      </c>
      <c r="D183" s="156" t="s">
        <v>174</v>
      </c>
      <c r="E183" s="156"/>
      <c r="F183" s="156"/>
      <c r="G183" s="156"/>
      <c r="H183" s="151" t="s">
        <v>1425</v>
      </c>
      <c r="I183" s="151" t="s">
        <v>1426</v>
      </c>
      <c r="J183" s="157"/>
      <c r="K183" s="163"/>
      <c r="L183" s="151" t="s">
        <v>348</v>
      </c>
      <c r="M183" s="159" t="s">
        <v>349</v>
      </c>
      <c r="N183" s="435" t="s">
        <v>1427</v>
      </c>
      <c r="O183" s="353" t="s">
        <v>1428</v>
      </c>
      <c r="P183" s="435" t="s">
        <v>1429</v>
      </c>
      <c r="Q183" s="435" t="s">
        <v>1430</v>
      </c>
      <c r="R183" s="464" t="s">
        <v>1214</v>
      </c>
      <c r="S183" s="435" t="s">
        <v>340</v>
      </c>
      <c r="T183" s="159" t="s">
        <v>1431</v>
      </c>
      <c r="U183" s="159" t="s">
        <v>1432</v>
      </c>
      <c r="V183" s="176" t="s">
        <v>1433</v>
      </c>
      <c r="W183" s="361">
        <v>1984</v>
      </c>
      <c r="X183" s="361">
        <v>1401</v>
      </c>
      <c r="Y183" s="361"/>
      <c r="Z183" s="361"/>
      <c r="AA183" s="361"/>
      <c r="AB183" s="361"/>
      <c r="AC183" s="361"/>
      <c r="AD183" s="361"/>
      <c r="AE183" s="361"/>
      <c r="AF183" s="361"/>
      <c r="AG183" s="361"/>
      <c r="AH183" s="361"/>
      <c r="AI183" s="361"/>
      <c r="AJ183" s="177"/>
      <c r="AK183" s="443">
        <v>1</v>
      </c>
      <c r="AL183" s="444"/>
      <c r="AM183" s="370">
        <f t="shared" si="32"/>
        <v>0</v>
      </c>
      <c r="AN183" s="371">
        <f t="shared" si="33"/>
        <v>0</v>
      </c>
      <c r="AO183" s="371">
        <f>(AE183*P2_Reinigen_Lichtkoepel_50X50)+('Perceel 2'!AF183*P2_Reinigen_Lichtkoepel_60x200)+('Perceel 2'!AG183*P2_Reinigen_Lichtkoepel_180x180)+('Perceel 2'!AH183*P2_Reinigen_Lichtstraten_groter_dan_180x180)</f>
        <v>0</v>
      </c>
      <c r="AP183" s="371">
        <f>('Perceel 2'!X183+'Perceel 2'!Y183)*P2_Inspecteren_daken_en_goten_1x_per_jaar_gelijktijdig_met_reiniging_inclusief_inspectierapport_en_een_managementrapport</f>
        <v>0</v>
      </c>
      <c r="AQ183" s="416"/>
      <c r="AR183" s="372">
        <f t="shared" si="31"/>
        <v>0</v>
      </c>
      <c r="AS183" s="373">
        <f t="shared" si="26"/>
        <v>0</v>
      </c>
    </row>
    <row r="184" spans="1:45" ht="76.5" x14ac:dyDescent="0.45">
      <c r="A184" s="155"/>
      <c r="B184" s="348">
        <v>2</v>
      </c>
      <c r="C184" s="156" t="s">
        <v>135</v>
      </c>
      <c r="D184" s="156" t="s">
        <v>136</v>
      </c>
      <c r="E184" s="156"/>
      <c r="F184" s="156"/>
      <c r="G184" s="156"/>
      <c r="H184" s="151" t="s">
        <v>1434</v>
      </c>
      <c r="I184" s="151" t="s">
        <v>1435</v>
      </c>
      <c r="J184" s="157"/>
      <c r="K184" s="163"/>
      <c r="L184" s="151" t="s">
        <v>348</v>
      </c>
      <c r="M184" s="159" t="s">
        <v>349</v>
      </c>
      <c r="N184" s="435" t="s">
        <v>1436</v>
      </c>
      <c r="O184" s="353" t="s">
        <v>1437</v>
      </c>
      <c r="P184" s="435" t="s">
        <v>1438</v>
      </c>
      <c r="Q184" s="435" t="s">
        <v>1439</v>
      </c>
      <c r="R184" s="461" t="s">
        <v>1363</v>
      </c>
      <c r="S184" s="435" t="s">
        <v>340</v>
      </c>
      <c r="T184" s="159" t="s">
        <v>1440</v>
      </c>
      <c r="U184" s="159" t="s">
        <v>1441</v>
      </c>
      <c r="V184" s="209" t="s">
        <v>1442</v>
      </c>
      <c r="W184" s="361">
        <v>1995</v>
      </c>
      <c r="X184" s="361">
        <v>621</v>
      </c>
      <c r="Y184" s="361"/>
      <c r="Z184" s="361"/>
      <c r="AA184" s="361"/>
      <c r="AB184" s="361"/>
      <c r="AC184" s="361"/>
      <c r="AD184" s="361"/>
      <c r="AE184" s="361"/>
      <c r="AF184" s="361"/>
      <c r="AG184" s="361"/>
      <c r="AH184" s="361"/>
      <c r="AI184" s="361"/>
      <c r="AJ184" s="177"/>
      <c r="AK184" s="443">
        <v>1</v>
      </c>
      <c r="AL184" s="460"/>
      <c r="AM184" s="370">
        <f t="shared" si="32"/>
        <v>0</v>
      </c>
      <c r="AN184" s="371">
        <f t="shared" si="33"/>
        <v>0</v>
      </c>
      <c r="AO184" s="371">
        <f>(AE184*P2_Reinigen_Lichtkoepel_50X50)+('Perceel 2'!AF184*P2_Reinigen_Lichtkoepel_60x200)+('Perceel 2'!AG184*P2_Reinigen_Lichtkoepel_180x180)+('Perceel 2'!AH184*P2_Reinigen_Lichtstraten_groter_dan_180x180)</f>
        <v>0</v>
      </c>
      <c r="AP184" s="371">
        <f>('Perceel 2'!X184+'Perceel 2'!Y184)*P2_Inspecteren_daken_en_goten_1x_per_jaar_gelijktijdig_met_reiniging_inclusief_inspectierapport_en_een_managementrapport</f>
        <v>0</v>
      </c>
      <c r="AQ184" s="416"/>
      <c r="AR184" s="372">
        <f t="shared" si="31"/>
        <v>0</v>
      </c>
      <c r="AS184" s="373">
        <f t="shared" si="26"/>
        <v>0</v>
      </c>
    </row>
    <row r="185" spans="1:45" ht="12.75" customHeight="1" x14ac:dyDescent="0.45">
      <c r="A185" s="155"/>
      <c r="B185" s="348">
        <v>2</v>
      </c>
      <c r="C185" s="156" t="s">
        <v>135</v>
      </c>
      <c r="D185" s="156" t="s">
        <v>136</v>
      </c>
      <c r="E185" s="156"/>
      <c r="F185" s="156"/>
      <c r="G185" s="156"/>
      <c r="H185" s="151" t="s">
        <v>1443</v>
      </c>
      <c r="I185" s="151" t="s">
        <v>1444</v>
      </c>
      <c r="J185" s="157"/>
      <c r="K185" s="163"/>
      <c r="L185" s="151" t="s">
        <v>348</v>
      </c>
      <c r="M185" s="159" t="s">
        <v>349</v>
      </c>
      <c r="N185" s="435" t="s">
        <v>1445</v>
      </c>
      <c r="O185" s="353" t="s">
        <v>1446</v>
      </c>
      <c r="P185" s="435" t="s">
        <v>1447</v>
      </c>
      <c r="Q185" s="435" t="s">
        <v>1439</v>
      </c>
      <c r="R185" s="461" t="s">
        <v>1363</v>
      </c>
      <c r="S185" s="435" t="s">
        <v>340</v>
      </c>
      <c r="T185" s="159" t="s">
        <v>1448</v>
      </c>
      <c r="U185" s="159" t="s">
        <v>1449</v>
      </c>
      <c r="V185" s="176" t="s">
        <v>1450</v>
      </c>
      <c r="W185" s="361">
        <v>2002</v>
      </c>
      <c r="X185" s="361">
        <v>1195</v>
      </c>
      <c r="Y185" s="361"/>
      <c r="Z185" s="361"/>
      <c r="AA185" s="361"/>
      <c r="AB185" s="361"/>
      <c r="AC185" s="361"/>
      <c r="AD185" s="361"/>
      <c r="AE185" s="361"/>
      <c r="AF185" s="361"/>
      <c r="AG185" s="361"/>
      <c r="AH185" s="361"/>
      <c r="AI185" s="361"/>
      <c r="AJ185" s="177"/>
      <c r="AK185" s="443">
        <v>1</v>
      </c>
      <c r="AL185" s="444"/>
      <c r="AM185" s="370">
        <f t="shared" si="32"/>
        <v>0</v>
      </c>
      <c r="AN185" s="371">
        <f t="shared" si="33"/>
        <v>0</v>
      </c>
      <c r="AO185" s="371">
        <f>(AE185*P2_Reinigen_Lichtkoepel_50X50)+('Perceel 2'!AF185*P2_Reinigen_Lichtkoepel_60x200)+('Perceel 2'!AG185*P2_Reinigen_Lichtkoepel_180x180)+('Perceel 2'!AH185*P2_Reinigen_Lichtstraten_groter_dan_180x180)</f>
        <v>0</v>
      </c>
      <c r="AP185" s="371">
        <f>('Perceel 2'!X185+'Perceel 2'!Y185)*P2_Inspecteren_daken_en_goten_1x_per_jaar_gelijktijdig_met_reiniging_inclusief_inspectierapport_en_een_managementrapport</f>
        <v>0</v>
      </c>
      <c r="AQ185" s="416"/>
      <c r="AR185" s="372">
        <f t="shared" si="31"/>
        <v>0</v>
      </c>
      <c r="AS185" s="373">
        <f t="shared" si="26"/>
        <v>0</v>
      </c>
    </row>
    <row r="186" spans="1:45" ht="51" x14ac:dyDescent="0.45">
      <c r="A186" s="155"/>
      <c r="B186" s="348">
        <v>2</v>
      </c>
      <c r="C186" s="156" t="s">
        <v>135</v>
      </c>
      <c r="D186" s="156" t="s">
        <v>136</v>
      </c>
      <c r="E186" s="156"/>
      <c r="F186" s="156"/>
      <c r="G186" s="156"/>
      <c r="H186" s="151" t="s">
        <v>1451</v>
      </c>
      <c r="I186" s="151" t="s">
        <v>1452</v>
      </c>
      <c r="J186" s="157"/>
      <c r="K186" s="163"/>
      <c r="L186" s="163" t="s">
        <v>154</v>
      </c>
      <c r="M186" s="166" t="s">
        <v>544</v>
      </c>
      <c r="N186" s="435" t="s">
        <v>1453</v>
      </c>
      <c r="O186" s="353" t="s">
        <v>1454</v>
      </c>
      <c r="P186" s="435" t="s">
        <v>1455</v>
      </c>
      <c r="Q186" s="435" t="s">
        <v>1456</v>
      </c>
      <c r="R186" s="461" t="s">
        <v>1363</v>
      </c>
      <c r="S186" s="435" t="s">
        <v>340</v>
      </c>
      <c r="T186" s="159" t="s">
        <v>169</v>
      </c>
      <c r="U186" s="159" t="s">
        <v>170</v>
      </c>
      <c r="V186" s="176" t="s">
        <v>171</v>
      </c>
      <c r="W186" s="361">
        <v>1999</v>
      </c>
      <c r="X186" s="361">
        <v>440</v>
      </c>
      <c r="Y186" s="361"/>
      <c r="Z186" s="361" t="s">
        <v>311</v>
      </c>
      <c r="AA186" s="361"/>
      <c r="AB186" s="361"/>
      <c r="AC186" s="361"/>
      <c r="AD186" s="361"/>
      <c r="AE186" s="361"/>
      <c r="AF186" s="361"/>
      <c r="AG186" s="361"/>
      <c r="AH186" s="361"/>
      <c r="AI186" s="361"/>
      <c r="AJ186" s="177"/>
      <c r="AK186" s="443">
        <v>2</v>
      </c>
      <c r="AL186" s="444"/>
      <c r="AM186" s="370">
        <f t="shared" si="32"/>
        <v>0</v>
      </c>
      <c r="AN186" s="371">
        <f t="shared" si="33"/>
        <v>0</v>
      </c>
      <c r="AO186" s="371">
        <f>(AE186*P2_Reinigen_Lichtkoepel_50X50)+('Perceel 2'!AF186*P2_Reinigen_Lichtkoepel_60x200)+('Perceel 2'!AG186*P2_Reinigen_Lichtkoepel_180x180)+('Perceel 2'!AH186*P2_Reinigen_Lichtstraten_groter_dan_180x180)</f>
        <v>0</v>
      </c>
      <c r="AP186" s="371">
        <f>('Perceel 2'!X186+'Perceel 2'!Y186)*P2_Inspecteren_daken_en_goten_1x_per_jaar_gelijktijdig_met_reiniging_inclusief_inspectierapport_en_een_managementrapport</f>
        <v>0</v>
      </c>
      <c r="AQ186" s="416"/>
      <c r="AR186" s="372">
        <f t="shared" si="31"/>
        <v>0</v>
      </c>
      <c r="AS186" s="373">
        <f t="shared" si="26"/>
        <v>0</v>
      </c>
    </row>
    <row r="187" spans="1:45" ht="77.25" x14ac:dyDescent="0.45">
      <c r="A187" s="155"/>
      <c r="B187" s="348">
        <v>2</v>
      </c>
      <c r="C187" s="156" t="s">
        <v>135</v>
      </c>
      <c r="D187" s="156" t="s">
        <v>136</v>
      </c>
      <c r="E187" s="156"/>
      <c r="F187" s="156"/>
      <c r="G187" s="156"/>
      <c r="H187" s="151" t="s">
        <v>1457</v>
      </c>
      <c r="I187" s="151" t="s">
        <v>1458</v>
      </c>
      <c r="J187" s="157"/>
      <c r="K187" s="163"/>
      <c r="L187" s="151" t="s">
        <v>348</v>
      </c>
      <c r="M187" s="159" t="s">
        <v>349</v>
      </c>
      <c r="N187" s="435" t="s">
        <v>1459</v>
      </c>
      <c r="O187" s="353" t="s">
        <v>1460</v>
      </c>
      <c r="P187" s="435" t="s">
        <v>1461</v>
      </c>
      <c r="Q187" s="435" t="s">
        <v>1462</v>
      </c>
      <c r="R187" s="461" t="s">
        <v>1463</v>
      </c>
      <c r="S187" s="435" t="s">
        <v>340</v>
      </c>
      <c r="T187" s="159" t="s">
        <v>1464</v>
      </c>
      <c r="U187" s="159" t="s">
        <v>1465</v>
      </c>
      <c r="V187" s="176" t="s">
        <v>1466</v>
      </c>
      <c r="W187" s="361">
        <v>1999</v>
      </c>
      <c r="X187" s="361">
        <f>728+216</f>
        <v>944</v>
      </c>
      <c r="Y187" s="361"/>
      <c r="Z187" s="361" t="s">
        <v>311</v>
      </c>
      <c r="AA187" s="361"/>
      <c r="AB187" s="361"/>
      <c r="AC187" s="361"/>
      <c r="AD187" s="361"/>
      <c r="AE187" s="361"/>
      <c r="AF187" s="361"/>
      <c r="AG187" s="361"/>
      <c r="AH187" s="361"/>
      <c r="AI187" s="361"/>
      <c r="AJ187" s="177"/>
      <c r="AK187" s="443">
        <v>1</v>
      </c>
      <c r="AL187" s="433" t="s">
        <v>1467</v>
      </c>
      <c r="AM187" s="370">
        <f t="shared" si="32"/>
        <v>0</v>
      </c>
      <c r="AN187" s="371">
        <f t="shared" si="33"/>
        <v>0</v>
      </c>
      <c r="AO187" s="371">
        <f>(AE187*P2_Reinigen_Lichtkoepel_50X50)+('Perceel 2'!AF187*P2_Reinigen_Lichtkoepel_60x200)+('Perceel 2'!AG187*P2_Reinigen_Lichtkoepel_180x180)+('Perceel 2'!AH187*P2_Reinigen_Lichtstraten_groter_dan_180x180)</f>
        <v>0</v>
      </c>
      <c r="AP187" s="371">
        <f>('Perceel 2'!X187+'Perceel 2'!Y187)*P2_Inspecteren_daken_en_goten_1x_per_jaar_gelijktijdig_met_reiniging_inclusief_inspectierapport_en_een_managementrapport</f>
        <v>0</v>
      </c>
      <c r="AQ187" s="416"/>
      <c r="AR187" s="372">
        <f t="shared" si="31"/>
        <v>0</v>
      </c>
      <c r="AS187" s="373">
        <f t="shared" si="26"/>
        <v>0</v>
      </c>
    </row>
    <row r="188" spans="1:45" ht="109.35" customHeight="1" x14ac:dyDescent="0.45">
      <c r="A188" s="155"/>
      <c r="B188" s="348">
        <v>2</v>
      </c>
      <c r="C188" s="156" t="s">
        <v>135</v>
      </c>
      <c r="D188" s="156" t="s">
        <v>136</v>
      </c>
      <c r="E188" s="156"/>
      <c r="F188" s="156"/>
      <c r="G188" s="156"/>
      <c r="H188" s="151" t="s">
        <v>1468</v>
      </c>
      <c r="I188" s="151" t="s">
        <v>1469</v>
      </c>
      <c r="J188" s="157"/>
      <c r="K188" s="163"/>
      <c r="L188" s="163" t="s">
        <v>139</v>
      </c>
      <c r="M188" s="166" t="s">
        <v>140</v>
      </c>
      <c r="N188" s="435" t="s">
        <v>1470</v>
      </c>
      <c r="O188" s="353" t="s">
        <v>1471</v>
      </c>
      <c r="P188" s="435" t="s">
        <v>1472</v>
      </c>
      <c r="Q188" s="435" t="s">
        <v>1473</v>
      </c>
      <c r="R188" s="461" t="s">
        <v>1463</v>
      </c>
      <c r="S188" s="435" t="s">
        <v>340</v>
      </c>
      <c r="T188" s="159" t="s">
        <v>1474</v>
      </c>
      <c r="U188" s="159" t="s">
        <v>1475</v>
      </c>
      <c r="V188" s="176" t="s">
        <v>1476</v>
      </c>
      <c r="W188" s="361">
        <v>1997</v>
      </c>
      <c r="X188" s="361">
        <f>725-4</f>
        <v>721</v>
      </c>
      <c r="Y188" s="361"/>
      <c r="Z188" s="361"/>
      <c r="AA188" s="361"/>
      <c r="AB188" s="361"/>
      <c r="AC188" s="361"/>
      <c r="AD188" s="361"/>
      <c r="AE188" s="361"/>
      <c r="AF188" s="361"/>
      <c r="AG188" s="361"/>
      <c r="AH188" s="361"/>
      <c r="AI188" s="361" t="s">
        <v>345</v>
      </c>
      <c r="AJ188" s="177" t="s">
        <v>223</v>
      </c>
      <c r="AK188" s="443">
        <v>1</v>
      </c>
      <c r="AL188" s="369"/>
      <c r="AM188" s="370">
        <f t="shared" si="32"/>
        <v>0</v>
      </c>
      <c r="AN188" s="371">
        <f t="shared" si="33"/>
        <v>0</v>
      </c>
      <c r="AO188" s="371">
        <f>(AE188*P2_Reinigen_Lichtkoepel_50X50)+('Perceel 2'!AF188*P2_Reinigen_Lichtkoepel_60x200)+('Perceel 2'!AG188*P2_Reinigen_Lichtkoepel_180x180)+('Perceel 2'!AH188*P2_Reinigen_Lichtstraten_groter_dan_180x180)</f>
        <v>0</v>
      </c>
      <c r="AP188" s="371">
        <f>('Perceel 2'!X188+'Perceel 2'!Y188)*P2_Inspecteren_daken_en_goten_1x_per_jaar_gelijktijdig_met_reiniging_inclusief_inspectierapport_en_een_managementrapport</f>
        <v>0</v>
      </c>
      <c r="AQ188" s="416"/>
      <c r="AR188" s="372">
        <f t="shared" si="31"/>
        <v>0</v>
      </c>
      <c r="AS188" s="373">
        <f t="shared" si="26"/>
        <v>0</v>
      </c>
    </row>
    <row r="189" spans="1:45" ht="56.45" customHeight="1" x14ac:dyDescent="0.4">
      <c r="A189" s="238"/>
      <c r="B189" s="377">
        <v>2</v>
      </c>
      <c r="C189" s="171" t="s">
        <v>135</v>
      </c>
      <c r="D189" s="171" t="s">
        <v>136</v>
      </c>
      <c r="E189" s="171" t="s">
        <v>174</v>
      </c>
      <c r="F189" s="171"/>
      <c r="G189" s="171"/>
      <c r="H189" s="15"/>
      <c r="I189" s="15"/>
      <c r="J189" s="15"/>
      <c r="K189" s="16"/>
      <c r="L189" s="196" t="s">
        <v>348</v>
      </c>
      <c r="M189" s="196" t="s">
        <v>1477</v>
      </c>
      <c r="N189" s="381" t="s">
        <v>1478</v>
      </c>
      <c r="O189" s="381" t="s">
        <v>1479</v>
      </c>
      <c r="P189" s="381" t="s">
        <v>2345</v>
      </c>
      <c r="Q189" s="466" t="s">
        <v>1473</v>
      </c>
      <c r="R189" s="467" t="s">
        <v>1463</v>
      </c>
      <c r="S189" s="466" t="s">
        <v>340</v>
      </c>
      <c r="T189" s="171"/>
      <c r="U189" s="171"/>
      <c r="V189" s="171"/>
      <c r="W189" s="466">
        <v>1998</v>
      </c>
      <c r="X189" s="471">
        <v>1175</v>
      </c>
      <c r="Y189" s="466"/>
      <c r="Z189" s="381"/>
      <c r="AA189" s="381"/>
      <c r="AB189" s="381"/>
      <c r="AC189" s="381"/>
      <c r="AD189" s="381"/>
      <c r="AE189" s="381"/>
      <c r="AF189" s="381"/>
      <c r="AG189" s="381"/>
      <c r="AH189" s="381"/>
      <c r="AI189" s="381"/>
      <c r="AJ189" s="171"/>
      <c r="AK189" s="471">
        <v>1</v>
      </c>
      <c r="AL189" s="444"/>
      <c r="AM189" s="370">
        <f t="shared" si="32"/>
        <v>0</v>
      </c>
      <c r="AN189" s="371">
        <f t="shared" si="33"/>
        <v>0</v>
      </c>
      <c r="AO189" s="371">
        <f>(AE189*P2_Reinigen_Lichtkoepel_50X50)+('Perceel 2'!AF189*P2_Reinigen_Lichtkoepel_60x200)+('Perceel 2'!AG189*P2_Reinigen_Lichtkoepel_180x180)+('Perceel 2'!AH189*P2_Reinigen_Lichtstraten_groter_dan_180x180)</f>
        <v>0</v>
      </c>
      <c r="AP189" s="371">
        <f>('Perceel 2'!X189+'Perceel 2'!Y189)*P2_Inspecteren_daken_en_goten_1x_per_jaar_gelijktijdig_met_reiniging_inclusief_inspectierapport_en_een_managementrapport</f>
        <v>0</v>
      </c>
      <c r="AQ189" s="416"/>
      <c r="AR189" s="372">
        <f t="shared" si="31"/>
        <v>0</v>
      </c>
      <c r="AS189" s="373">
        <f t="shared" si="26"/>
        <v>0</v>
      </c>
    </row>
    <row r="190" spans="1:45" ht="51" x14ac:dyDescent="0.4">
      <c r="A190" s="182"/>
      <c r="B190" s="352">
        <v>2</v>
      </c>
      <c r="C190" s="175" t="s">
        <v>135</v>
      </c>
      <c r="D190" s="175" t="s">
        <v>136</v>
      </c>
      <c r="E190" s="175"/>
      <c r="F190" s="175"/>
      <c r="G190" s="175"/>
      <c r="H190" s="174" t="s">
        <v>1481</v>
      </c>
      <c r="I190" s="174" t="s">
        <v>1482</v>
      </c>
      <c r="J190" s="197"/>
      <c r="K190" s="197"/>
      <c r="L190" s="174"/>
      <c r="M190" s="191" t="s">
        <v>544</v>
      </c>
      <c r="N190" s="438" t="s">
        <v>1483</v>
      </c>
      <c r="O190" s="358" t="s">
        <v>1484</v>
      </c>
      <c r="P190" s="438" t="s">
        <v>1485</v>
      </c>
      <c r="Q190" s="438" t="s">
        <v>1473</v>
      </c>
      <c r="R190" s="439" t="s">
        <v>1463</v>
      </c>
      <c r="S190" s="438" t="s">
        <v>340</v>
      </c>
      <c r="T190" s="175" t="s">
        <v>169</v>
      </c>
      <c r="U190" s="175" t="s">
        <v>170</v>
      </c>
      <c r="V190" s="175" t="s">
        <v>171</v>
      </c>
      <c r="W190" s="438">
        <v>1998</v>
      </c>
      <c r="X190" s="441">
        <f>X189*14%</f>
        <v>164.50000000000003</v>
      </c>
      <c r="Y190" s="438"/>
      <c r="Z190" s="358"/>
      <c r="AA190" s="358"/>
      <c r="AB190" s="358"/>
      <c r="AC190" s="358"/>
      <c r="AD190" s="358"/>
      <c r="AE190" s="358"/>
      <c r="AF190" s="358"/>
      <c r="AG190" s="358"/>
      <c r="AH190" s="358"/>
      <c r="AI190" s="358"/>
      <c r="AJ190" s="175"/>
      <c r="AK190" s="441">
        <v>1</v>
      </c>
      <c r="AL190" s="444"/>
      <c r="AM190" s="370">
        <f t="shared" si="32"/>
        <v>0</v>
      </c>
      <c r="AN190" s="371">
        <f t="shared" si="33"/>
        <v>0</v>
      </c>
      <c r="AO190" s="371">
        <f>(AE190*P2_Reinigen_Lichtkoepel_50X50)+('Perceel 2'!AF190*P2_Reinigen_Lichtkoepel_60x200)+('Perceel 2'!AG190*P2_Reinigen_Lichtkoepel_180x180)+('Perceel 2'!AH190*P2_Reinigen_Lichtstraten_groter_dan_180x180)</f>
        <v>0</v>
      </c>
      <c r="AP190" s="371">
        <f>('Perceel 2'!X190+'Perceel 2'!Y190)*P2_Inspecteren_daken_en_goten_1x_per_jaar_gelijktijdig_met_reiniging_inclusief_inspectierapport_en_een_managementrapport</f>
        <v>0</v>
      </c>
      <c r="AQ190" s="416"/>
      <c r="AR190" s="372">
        <f t="shared" si="31"/>
        <v>0</v>
      </c>
      <c r="AS190" s="373">
        <f t="shared" si="26"/>
        <v>0</v>
      </c>
    </row>
    <row r="191" spans="1:45" ht="25.5" customHeight="1" x14ac:dyDescent="0.4">
      <c r="A191" s="182"/>
      <c r="B191" s="352">
        <v>2</v>
      </c>
      <c r="C191" s="175" t="s">
        <v>135</v>
      </c>
      <c r="D191" s="175" t="s">
        <v>136</v>
      </c>
      <c r="E191" s="175"/>
      <c r="F191" s="175"/>
      <c r="G191" s="175"/>
      <c r="H191" s="174" t="s">
        <v>1486</v>
      </c>
      <c r="I191" s="174" t="s">
        <v>1487</v>
      </c>
      <c r="J191" s="197"/>
      <c r="K191" s="197"/>
      <c r="L191" s="174"/>
      <c r="M191" s="175" t="s">
        <v>1488</v>
      </c>
      <c r="N191" s="358" t="s">
        <v>1489</v>
      </c>
      <c r="O191" s="358" t="s">
        <v>1490</v>
      </c>
      <c r="P191" s="438" t="s">
        <v>1491</v>
      </c>
      <c r="Q191" s="438" t="s">
        <v>1473</v>
      </c>
      <c r="R191" s="439" t="s">
        <v>1463</v>
      </c>
      <c r="S191" s="438" t="s">
        <v>340</v>
      </c>
      <c r="T191" s="175" t="s">
        <v>1492</v>
      </c>
      <c r="U191" s="175" t="s">
        <v>1493</v>
      </c>
      <c r="V191" s="175" t="s">
        <v>1494</v>
      </c>
      <c r="W191" s="438">
        <v>1998</v>
      </c>
      <c r="X191" s="441">
        <f>X189*10%</f>
        <v>117.5</v>
      </c>
      <c r="Y191" s="438"/>
      <c r="Z191" s="358"/>
      <c r="AA191" s="358"/>
      <c r="AB191" s="358"/>
      <c r="AC191" s="358"/>
      <c r="AD191" s="358"/>
      <c r="AE191" s="358"/>
      <c r="AF191" s="358"/>
      <c r="AG191" s="358"/>
      <c r="AH191" s="358"/>
      <c r="AI191" s="358"/>
      <c r="AJ191" s="175"/>
      <c r="AK191" s="441">
        <v>1</v>
      </c>
      <c r="AL191" s="444"/>
      <c r="AM191" s="370">
        <f t="shared" si="32"/>
        <v>0</v>
      </c>
      <c r="AN191" s="371">
        <f t="shared" si="33"/>
        <v>0</v>
      </c>
      <c r="AO191" s="371">
        <f>(AE191*P2_Reinigen_Lichtkoepel_50X50)+('Perceel 2'!AF191*P2_Reinigen_Lichtkoepel_60x200)+('Perceel 2'!AG191*P2_Reinigen_Lichtkoepel_180x180)+('Perceel 2'!AH191*P2_Reinigen_Lichtstraten_groter_dan_180x180)</f>
        <v>0</v>
      </c>
      <c r="AP191" s="371">
        <f>('Perceel 2'!X191+'Perceel 2'!Y191)*P2_Inspecteren_daken_en_goten_1x_per_jaar_gelijktijdig_met_reiniging_inclusief_inspectierapport_en_een_managementrapport</f>
        <v>0</v>
      </c>
      <c r="AQ191" s="416"/>
      <c r="AR191" s="372">
        <f t="shared" si="31"/>
        <v>0</v>
      </c>
      <c r="AS191" s="373">
        <f t="shared" si="26"/>
        <v>0</v>
      </c>
    </row>
    <row r="192" spans="1:45" ht="25.5" customHeight="1" thickBot="1" x14ac:dyDescent="0.45">
      <c r="A192" s="182"/>
      <c r="B192" s="352">
        <v>2</v>
      </c>
      <c r="C192" s="175" t="s">
        <v>135</v>
      </c>
      <c r="D192" s="175" t="s">
        <v>174</v>
      </c>
      <c r="E192" s="175"/>
      <c r="F192" s="175"/>
      <c r="G192" s="175"/>
      <c r="H192" s="174" t="s">
        <v>1495</v>
      </c>
      <c r="I192" s="174" t="s">
        <v>1496</v>
      </c>
      <c r="J192" s="197"/>
      <c r="K192" s="197"/>
      <c r="L192" s="174"/>
      <c r="M192" s="174" t="s">
        <v>349</v>
      </c>
      <c r="N192" s="438" t="s">
        <v>1497</v>
      </c>
      <c r="O192" s="358" t="s">
        <v>1498</v>
      </c>
      <c r="P192" s="438" t="s">
        <v>1499</v>
      </c>
      <c r="Q192" s="438" t="s">
        <v>1473</v>
      </c>
      <c r="R192" s="439" t="s">
        <v>1463</v>
      </c>
      <c r="S192" s="438" t="s">
        <v>340</v>
      </c>
      <c r="T192" s="175" t="s">
        <v>1500</v>
      </c>
      <c r="U192" s="175" t="s">
        <v>1501</v>
      </c>
      <c r="V192" s="187" t="s">
        <v>1502</v>
      </c>
      <c r="W192" s="438">
        <v>1998</v>
      </c>
      <c r="X192" s="441">
        <f>X189*76%</f>
        <v>893</v>
      </c>
      <c r="Y192" s="438"/>
      <c r="Z192" s="358"/>
      <c r="AA192" s="358"/>
      <c r="AB192" s="358"/>
      <c r="AC192" s="358"/>
      <c r="AD192" s="358"/>
      <c r="AE192" s="358"/>
      <c r="AF192" s="358"/>
      <c r="AG192" s="358"/>
      <c r="AH192" s="358"/>
      <c r="AI192" s="358"/>
      <c r="AJ192" s="175"/>
      <c r="AK192" s="441">
        <v>1</v>
      </c>
      <c r="AL192" s="444"/>
      <c r="AM192" s="398">
        <f t="shared" si="32"/>
        <v>0</v>
      </c>
      <c r="AN192" s="399">
        <f t="shared" si="33"/>
        <v>0</v>
      </c>
      <c r="AO192" s="399">
        <f>(AE192*P2_Reinigen_Lichtkoepel_50X50)+('Perceel 2'!AF192*P2_Reinigen_Lichtkoepel_60x200)+('Perceel 2'!AG192*P2_Reinigen_Lichtkoepel_180x180)+('Perceel 2'!AH192*P2_Reinigen_Lichtstraten_groter_dan_180x180)</f>
        <v>0</v>
      </c>
      <c r="AP192" s="399">
        <f>('Perceel 2'!X192+'Perceel 2'!Y192)*P2_Inspecteren_daken_en_goten_1x_per_jaar_gelijktijdig_met_reiniging_inclusief_inspectierapport_en_een_managementrapport</f>
        <v>0</v>
      </c>
      <c r="AQ192" s="425"/>
      <c r="AR192" s="400">
        <f t="shared" si="31"/>
        <v>0</v>
      </c>
      <c r="AS192" s="401">
        <f t="shared" si="26"/>
        <v>0</v>
      </c>
    </row>
    <row r="193" spans="1:45" ht="14.65" thickTop="1" x14ac:dyDescent="0.4">
      <c r="B193" s="378">
        <v>2</v>
      </c>
      <c r="C193" s="1" t="s">
        <v>135</v>
      </c>
      <c r="N193" s="404" t="s">
        <v>1503</v>
      </c>
      <c r="O193" s="386" t="s">
        <v>1504</v>
      </c>
      <c r="X193" s="412">
        <f>X102+X107+X108+X109+X110+X111+X112+X113+X114+X115+X116+X117+X119+X120+X121+X122+X123+X124+X125+X126+X128+X129+X130+X131+X132+X133+X134+X135+X137+X138+X139+X140+X141+X143+X144+X145+X146+X148+X149+X150+X151+X152+X153+X154+X155+X156+X157+X158+X159+X160+X161+X162+X163+X164+X165+X166+X167+X168+X169+X170+X171+X172+X173+X174+X175+X176+X177+X178+X179+X180+X181+X182+X183+X184+X185+X186+X187+X188+X190+X191+X192</f>
        <v>95723</v>
      </c>
      <c r="Y193" s="412">
        <f>Y102+Y107+Y108+Y109+Y110+Y111+Y112+Y113+Y114+Y115+Y116+Y117+Y119+Y120+Y121+Y122+Y123+Y124+Y125+Y126+Y128+Y129+Y130+Y131+Y132+Y133+Y134+Y135+Y137+Y138+Y139+Y140+Y141+Y143+Y144+Y145+Y146+Y148+Y149+Y150+Y151+Y152+Y153+Y154+Y155+Y156+Y157+Y158+Y159+Y160+Y161+Y162+Y163+Y164+Y165+Y166+Y167+Y168+Y169+Y170+Y171+Y172+Y173+Y174+Y175+Y176+Y177+Y178+Y179+Y180+Y181+Y182+Y183+Y184+Y185+Y186+Y187+Y188+Y190+Y191+Y192</f>
        <v>663</v>
      </c>
      <c r="AB193" s="412">
        <f t="shared" ref="AB193:AC193" si="34">AB102+AB107+AB108+AB109+AB110+AB111+AB112+AB113+AB114+AB115+AB116+AB117+AB119+AB120+AB121+AB122+AB123+AB124+AB125+AB126+AB128+AB129+AB130+AB131+AB132+AB133+AB134+AB135+AB137+AB138+AB139+AB140+AB141+AB143+AB144+AB145+AB146+AB148+AB149+AB150+AB151+AB152+AB153+AB154+AB155+AB156+AB157+AB158+AB159+AB160+AB161+AB162+AB163+AB164+AB165+AB166+AB167+AB168+AB169+AB170+AB171+AB172+AB173+AB174+AB175+AB176+AB177+AB178+AB179+AB180+AB181+AB182+AB183+AB184+AB185+AB186+AB187+AB188+AB190+AB191+AB192</f>
        <v>653</v>
      </c>
      <c r="AC193" s="412">
        <f t="shared" si="34"/>
        <v>2687</v>
      </c>
      <c r="AE193" s="412">
        <f t="shared" ref="AE193:AH193" si="35">AE102+AE107+AE108+AE109+AE110+AE111+AE112+AE113+AE114+AE115+AE116+AE117+AE119+AE120+AE121+AE122+AE123+AE124+AE125+AE126+AE128+AE129+AE130+AE131+AE132+AE133+AE134+AE135+AE137+AE138+AE139+AE140+AE141+AE143+AE144+AE145+AE146+AE148+AE149+AE150+AE151+AE152+AE153+AE154+AE155+AE156+AE157+AE158+AE159+AE160+AE161+AE162+AE163+AE164+AE165+AE166+AE167+AE168+AE169+AE170+AE171+AE172+AE173+AE174+AE175+AE176+AE177+AE178+AE179+AE180+AE181+AE182+AE183+AE184+AE185+AE186+AE187+AE188+AE190+AE191+AE192</f>
        <v>0</v>
      </c>
      <c r="AF193" s="412">
        <f t="shared" si="35"/>
        <v>0</v>
      </c>
      <c r="AG193" s="412">
        <f t="shared" si="35"/>
        <v>0</v>
      </c>
      <c r="AH193" s="412">
        <f t="shared" si="35"/>
        <v>0</v>
      </c>
      <c r="AM193" s="426">
        <f t="shared" ref="AM193:AS193" si="36">AM102+AM107+AM108+AM109+AM110+AM111+AM112+AM113+AM114+AM115+AM116+AM117+AM119+AM120+AM121+AM122+AM123+AM124+AM125+AM126+AM128+AM129+AM130+AM131+AM132+AM133+AM134+AM135+AM137+AM138+AM139+AM140+AM141+AM143+AM144+AM145+AM146+AM148+AM149+AM150+AM151+AM152+AM153+AM154+AM155+AM156+AM157+AM158+AM159+AM160+AM161+AM162+AM163+AM164+AM165+AM166+AM167+AM168+AM169+AM170+AM171+AM172+AM173+AM174+AM175+AM176+AM177+AM178+AM179+AM180+AM181+AM182+AM183+AM184+AM185+AM186+AM187+AM188+AM190+AM191+AM192</f>
        <v>0</v>
      </c>
      <c r="AN193" s="426">
        <f t="shared" si="36"/>
        <v>0</v>
      </c>
      <c r="AO193" s="426">
        <f t="shared" si="36"/>
        <v>0</v>
      </c>
      <c r="AP193" s="426">
        <f t="shared" si="36"/>
        <v>0</v>
      </c>
      <c r="AQ193" s="427">
        <f t="shared" si="36"/>
        <v>0</v>
      </c>
      <c r="AR193" s="426">
        <f t="shared" si="36"/>
        <v>0</v>
      </c>
      <c r="AS193" s="428">
        <f t="shared" si="36"/>
        <v>0</v>
      </c>
    </row>
    <row r="194" spans="1:45" s="7" customFormat="1" hidden="1" x14ac:dyDescent="0.45">
      <c r="A194" s="8"/>
      <c r="B194" s="40"/>
      <c r="C194" s="1"/>
      <c r="D194" s="1"/>
      <c r="E194" s="1"/>
      <c r="F194" s="1"/>
      <c r="G194" s="1"/>
      <c r="H194" s="38"/>
      <c r="I194" s="38"/>
      <c r="J194" s="38"/>
      <c r="K194" s="38"/>
      <c r="L194" s="38"/>
      <c r="M194" s="19"/>
      <c r="N194" s="1"/>
      <c r="O194" s="1"/>
      <c r="P194" s="1"/>
      <c r="Q194" s="1"/>
      <c r="R194" s="1"/>
      <c r="S194" s="1"/>
      <c r="T194" s="19"/>
      <c r="U194" s="19"/>
      <c r="V194" s="19"/>
      <c r="W194" s="30"/>
      <c r="X194" s="30"/>
      <c r="Y194" s="30"/>
      <c r="Z194" s="39"/>
      <c r="AA194" s="39"/>
      <c r="AB194" s="39"/>
      <c r="AC194" s="39"/>
      <c r="AD194" s="39"/>
      <c r="AE194" s="39"/>
      <c r="AF194" s="39"/>
      <c r="AG194" s="39"/>
      <c r="AH194" s="39"/>
      <c r="AI194" s="39"/>
      <c r="AJ194" s="39"/>
      <c r="AK194" s="283"/>
      <c r="AM194" s="278"/>
      <c r="AN194" s="278"/>
      <c r="AO194" s="278"/>
      <c r="AP194" s="278"/>
      <c r="AR194" s="278"/>
      <c r="AS194" s="278"/>
    </row>
    <row r="195" spans="1:45" s="7" customFormat="1" hidden="1" x14ac:dyDescent="0.45">
      <c r="A195" s="8"/>
      <c r="B195" s="40"/>
      <c r="C195" s="1"/>
      <c r="D195" s="1"/>
      <c r="E195" s="1"/>
      <c r="F195" s="1"/>
      <c r="G195" s="1"/>
      <c r="H195" s="38"/>
      <c r="I195" s="38"/>
      <c r="J195" s="38"/>
      <c r="K195" s="38"/>
      <c r="L195" s="38"/>
      <c r="M195" s="19"/>
      <c r="N195" s="1"/>
      <c r="O195" s="1"/>
      <c r="P195" s="1"/>
      <c r="Q195" s="1"/>
      <c r="R195" s="1"/>
      <c r="S195" s="1"/>
      <c r="T195" s="19"/>
      <c r="U195" s="19"/>
      <c r="V195" s="19"/>
      <c r="W195" s="30"/>
      <c r="X195" s="30"/>
      <c r="Y195" s="30"/>
      <c r="Z195" s="39"/>
      <c r="AA195" s="39"/>
      <c r="AB195" s="39"/>
      <c r="AC195" s="39"/>
      <c r="AD195" s="39"/>
      <c r="AE195" s="39"/>
      <c r="AF195" s="39"/>
      <c r="AG195" s="39"/>
      <c r="AH195" s="39"/>
      <c r="AI195" s="39"/>
      <c r="AJ195" s="39"/>
      <c r="AK195" s="283"/>
      <c r="AM195" s="278"/>
      <c r="AN195" s="278"/>
      <c r="AO195" s="278"/>
      <c r="AP195" s="278"/>
      <c r="AR195" s="278"/>
      <c r="AS195" s="278"/>
    </row>
    <row r="196" spans="1:45" s="7" customFormat="1" hidden="1" x14ac:dyDescent="0.45">
      <c r="A196" s="8"/>
      <c r="B196" s="40"/>
      <c r="C196" s="1"/>
      <c r="D196" s="1"/>
      <c r="E196" s="1"/>
      <c r="F196" s="1"/>
      <c r="G196" s="1"/>
      <c r="H196" s="38"/>
      <c r="I196" s="38"/>
      <c r="J196" s="38"/>
      <c r="K196" s="38"/>
      <c r="L196" s="38"/>
      <c r="M196" s="19"/>
      <c r="N196" s="1"/>
      <c r="O196" s="1"/>
      <c r="P196" s="1"/>
      <c r="Q196" s="1"/>
      <c r="R196" s="1"/>
      <c r="S196" s="1"/>
      <c r="T196" s="19"/>
      <c r="U196" s="19"/>
      <c r="V196" s="19"/>
      <c r="W196" s="30"/>
      <c r="X196" s="30"/>
      <c r="Y196" s="30"/>
      <c r="Z196" s="39"/>
      <c r="AA196" s="39"/>
      <c r="AB196" s="39"/>
      <c r="AC196" s="39"/>
      <c r="AD196" s="39"/>
      <c r="AE196" s="39"/>
      <c r="AF196" s="39"/>
      <c r="AG196" s="39"/>
      <c r="AH196" s="39"/>
      <c r="AI196" s="39"/>
      <c r="AJ196" s="39"/>
      <c r="AK196" s="283"/>
      <c r="AM196" s="278"/>
      <c r="AN196" s="278"/>
      <c r="AO196" s="278"/>
      <c r="AP196" s="278"/>
      <c r="AR196" s="278"/>
      <c r="AS196" s="278"/>
    </row>
    <row r="197" spans="1:45" s="7" customFormat="1" hidden="1" x14ac:dyDescent="0.45">
      <c r="A197" s="8"/>
      <c r="B197" s="40"/>
      <c r="C197" s="1"/>
      <c r="D197" s="1"/>
      <c r="E197" s="1"/>
      <c r="F197" s="1"/>
      <c r="G197" s="1"/>
      <c r="H197" s="38"/>
      <c r="I197" s="38"/>
      <c r="J197" s="38"/>
      <c r="K197" s="38"/>
      <c r="L197" s="38"/>
      <c r="M197" s="19"/>
      <c r="N197" s="1"/>
      <c r="O197" s="1"/>
      <c r="P197" s="1"/>
      <c r="Q197" s="1"/>
      <c r="R197" s="1"/>
      <c r="S197" s="1"/>
      <c r="T197" s="19"/>
      <c r="U197" s="19"/>
      <c r="V197" s="19"/>
      <c r="W197" s="30"/>
      <c r="X197" s="30"/>
      <c r="Y197" s="30"/>
      <c r="Z197" s="39"/>
      <c r="AA197" s="39"/>
      <c r="AB197" s="39"/>
      <c r="AC197" s="39"/>
      <c r="AD197" s="39"/>
      <c r="AE197" s="39"/>
      <c r="AF197" s="39"/>
      <c r="AG197" s="39"/>
      <c r="AH197" s="39"/>
      <c r="AI197" s="39"/>
      <c r="AJ197" s="39"/>
      <c r="AK197" s="283"/>
      <c r="AM197" s="278"/>
      <c r="AN197" s="278"/>
      <c r="AO197" s="278"/>
      <c r="AP197" s="278"/>
      <c r="AR197" s="278"/>
      <c r="AS197" s="278"/>
    </row>
    <row r="198" spans="1:45" s="7" customFormat="1" hidden="1" x14ac:dyDescent="0.45">
      <c r="A198" s="8"/>
      <c r="B198" s="40"/>
      <c r="C198" s="1"/>
      <c r="D198" s="1"/>
      <c r="E198" s="1"/>
      <c r="F198" s="1"/>
      <c r="G198" s="1"/>
      <c r="H198" s="38"/>
      <c r="I198" s="38"/>
      <c r="J198" s="38"/>
      <c r="K198" s="38"/>
      <c r="L198" s="38"/>
      <c r="M198" s="19"/>
      <c r="N198" s="1"/>
      <c r="O198" s="1"/>
      <c r="P198" s="1"/>
      <c r="Q198" s="1"/>
      <c r="R198" s="1"/>
      <c r="S198" s="1"/>
      <c r="T198" s="19"/>
      <c r="U198" s="19"/>
      <c r="V198" s="19"/>
      <c r="W198" s="30"/>
      <c r="X198" s="30"/>
      <c r="Y198" s="30"/>
      <c r="Z198" s="39"/>
      <c r="AA198" s="39"/>
      <c r="AB198" s="39"/>
      <c r="AC198" s="39"/>
      <c r="AD198" s="39"/>
      <c r="AE198" s="39"/>
      <c r="AF198" s="39"/>
      <c r="AG198" s="39"/>
      <c r="AH198" s="39"/>
      <c r="AI198" s="39"/>
      <c r="AJ198" s="39"/>
      <c r="AK198" s="283"/>
      <c r="AM198" s="278"/>
      <c r="AN198" s="278"/>
      <c r="AO198" s="278"/>
      <c r="AP198" s="278"/>
      <c r="AR198" s="278"/>
      <c r="AS198" s="278"/>
    </row>
    <row r="199" spans="1:45" s="7" customFormat="1" hidden="1" x14ac:dyDescent="0.45">
      <c r="A199" s="8"/>
      <c r="B199" s="40"/>
      <c r="C199" s="1"/>
      <c r="D199" s="1"/>
      <c r="E199" s="1"/>
      <c r="F199" s="1"/>
      <c r="G199" s="1"/>
      <c r="H199" s="38"/>
      <c r="I199" s="38"/>
      <c r="J199" s="38"/>
      <c r="K199" s="38"/>
      <c r="L199" s="38"/>
      <c r="M199" s="19"/>
      <c r="N199" s="1"/>
      <c r="O199" s="1"/>
      <c r="P199" s="1"/>
      <c r="Q199" s="1"/>
      <c r="R199" s="1"/>
      <c r="S199" s="1"/>
      <c r="T199" s="19"/>
      <c r="U199" s="19"/>
      <c r="V199" s="19"/>
      <c r="W199" s="30"/>
      <c r="X199" s="30"/>
      <c r="Y199" s="30"/>
      <c r="Z199" s="39"/>
      <c r="AA199" s="39"/>
      <c r="AB199" s="39"/>
      <c r="AC199" s="39"/>
      <c r="AD199" s="39"/>
      <c r="AE199" s="39"/>
      <c r="AF199" s="39"/>
      <c r="AG199" s="39"/>
      <c r="AH199" s="39"/>
      <c r="AI199" s="39"/>
      <c r="AJ199" s="39"/>
      <c r="AK199" s="283"/>
      <c r="AM199" s="278"/>
      <c r="AN199" s="278"/>
      <c r="AO199" s="278"/>
      <c r="AP199" s="278"/>
      <c r="AR199" s="278"/>
      <c r="AS199" s="278"/>
    </row>
    <row r="200" spans="1:45" s="7" customFormat="1" hidden="1" x14ac:dyDescent="0.45">
      <c r="A200" s="8"/>
      <c r="B200" s="40"/>
      <c r="C200" s="1"/>
      <c r="D200" s="1"/>
      <c r="E200" s="1"/>
      <c r="F200" s="1"/>
      <c r="G200" s="1"/>
      <c r="H200" s="38"/>
      <c r="I200" s="38"/>
      <c r="J200" s="38"/>
      <c r="K200" s="38"/>
      <c r="L200" s="38"/>
      <c r="M200" s="19"/>
      <c r="N200" s="1"/>
      <c r="O200" s="1"/>
      <c r="P200" s="1"/>
      <c r="Q200" s="1"/>
      <c r="R200" s="1"/>
      <c r="S200" s="1"/>
      <c r="T200" s="19"/>
      <c r="U200" s="19"/>
      <c r="V200" s="19"/>
      <c r="W200" s="30"/>
      <c r="X200" s="30"/>
      <c r="Y200" s="30"/>
      <c r="Z200" s="39"/>
      <c r="AA200" s="39"/>
      <c r="AB200" s="39"/>
      <c r="AC200" s="39"/>
      <c r="AD200" s="39"/>
      <c r="AE200" s="39"/>
      <c r="AF200" s="39"/>
      <c r="AG200" s="39"/>
      <c r="AH200" s="39"/>
      <c r="AI200" s="39"/>
      <c r="AJ200" s="39"/>
      <c r="AK200" s="283"/>
      <c r="AM200" s="278"/>
      <c r="AN200" s="278"/>
      <c r="AO200" s="278"/>
      <c r="AP200" s="278"/>
      <c r="AR200" s="278"/>
      <c r="AS200" s="278"/>
    </row>
    <row r="201" spans="1:45" s="7" customFormat="1" hidden="1" x14ac:dyDescent="0.45">
      <c r="A201" s="8"/>
      <c r="B201" s="40"/>
      <c r="C201" s="1"/>
      <c r="D201" s="1"/>
      <c r="E201" s="1"/>
      <c r="F201" s="1"/>
      <c r="G201" s="1"/>
      <c r="H201" s="38"/>
      <c r="I201" s="38"/>
      <c r="J201" s="38"/>
      <c r="K201" s="38"/>
      <c r="L201" s="38"/>
      <c r="M201" s="19"/>
      <c r="N201" s="1"/>
      <c r="O201" s="1"/>
      <c r="P201" s="1"/>
      <c r="Q201" s="1"/>
      <c r="R201" s="1"/>
      <c r="S201" s="1"/>
      <c r="T201" s="19"/>
      <c r="U201" s="19"/>
      <c r="V201" s="19"/>
      <c r="W201" s="30"/>
      <c r="X201" s="30"/>
      <c r="Y201" s="30"/>
      <c r="Z201" s="39"/>
      <c r="AA201" s="39"/>
      <c r="AB201" s="39"/>
      <c r="AC201" s="39"/>
      <c r="AD201" s="39"/>
      <c r="AE201" s="39"/>
      <c r="AF201" s="39"/>
      <c r="AG201" s="39"/>
      <c r="AH201" s="39"/>
      <c r="AI201" s="39"/>
      <c r="AJ201" s="39"/>
      <c r="AK201" s="283"/>
      <c r="AM201" s="278"/>
      <c r="AN201" s="278"/>
      <c r="AO201" s="278"/>
      <c r="AP201" s="278"/>
      <c r="AR201" s="278"/>
      <c r="AS201" s="278"/>
    </row>
    <row r="202" spans="1:45" s="7" customFormat="1" hidden="1" x14ac:dyDescent="0.45">
      <c r="A202" s="8"/>
      <c r="B202" s="40"/>
      <c r="C202" s="1"/>
      <c r="D202" s="1"/>
      <c r="E202" s="1"/>
      <c r="F202" s="1"/>
      <c r="G202" s="1"/>
      <c r="H202" s="38"/>
      <c r="I202" s="38"/>
      <c r="J202" s="38"/>
      <c r="K202" s="38"/>
      <c r="L202" s="38"/>
      <c r="M202" s="19"/>
      <c r="N202" s="1"/>
      <c r="O202" s="1"/>
      <c r="P202" s="1"/>
      <c r="Q202" s="1"/>
      <c r="R202" s="1"/>
      <c r="S202" s="1"/>
      <c r="T202" s="19"/>
      <c r="U202" s="19"/>
      <c r="V202" s="19"/>
      <c r="W202" s="30"/>
      <c r="X202" s="30"/>
      <c r="Y202" s="30"/>
      <c r="Z202" s="39"/>
      <c r="AA202" s="39"/>
      <c r="AB202" s="39"/>
      <c r="AC202" s="39"/>
      <c r="AD202" s="39"/>
      <c r="AE202" s="39"/>
      <c r="AF202" s="39"/>
      <c r="AG202" s="39"/>
      <c r="AH202" s="39"/>
      <c r="AI202" s="39"/>
      <c r="AJ202" s="39"/>
      <c r="AK202" s="283"/>
      <c r="AM202" s="278"/>
      <c r="AN202" s="278"/>
      <c r="AO202" s="278"/>
      <c r="AP202" s="278"/>
      <c r="AR202" s="278"/>
      <c r="AS202" s="278"/>
    </row>
    <row r="203" spans="1:45" s="7" customFormat="1" ht="14.65" hidden="1" thickBot="1" x14ac:dyDescent="0.5">
      <c r="A203" s="8"/>
      <c r="B203" s="40"/>
      <c r="C203" s="1"/>
      <c r="D203" s="1"/>
      <c r="E203" s="1"/>
      <c r="F203" s="1"/>
      <c r="G203" s="1"/>
      <c r="H203" s="38"/>
      <c r="I203" s="38"/>
      <c r="J203" s="38"/>
      <c r="K203" s="38"/>
      <c r="L203" s="38"/>
      <c r="M203" s="19"/>
      <c r="N203" s="1"/>
      <c r="O203" s="1"/>
      <c r="P203" s="1"/>
      <c r="Q203" s="1"/>
      <c r="R203" s="1"/>
      <c r="S203" s="1"/>
      <c r="T203" s="19"/>
      <c r="U203" s="19"/>
      <c r="V203" s="19"/>
      <c r="W203" s="30"/>
      <c r="X203" s="30"/>
      <c r="Y203" s="30"/>
      <c r="Z203" s="39"/>
      <c r="AA203" s="39"/>
      <c r="AB203" s="39"/>
      <c r="AC203" s="39"/>
      <c r="AD203" s="39"/>
      <c r="AE203" s="39"/>
      <c r="AF203" s="39"/>
      <c r="AG203" s="39"/>
      <c r="AH203" s="39"/>
      <c r="AI203" s="39"/>
      <c r="AJ203" s="39"/>
      <c r="AK203" s="283"/>
      <c r="AM203" s="278"/>
      <c r="AN203" s="278"/>
      <c r="AO203" s="278"/>
      <c r="AP203" s="278"/>
      <c r="AR203" s="278"/>
      <c r="AS203" s="346"/>
    </row>
    <row r="204" spans="1:45" s="7" customFormat="1" ht="51.4" hidden="1" thickTop="1" x14ac:dyDescent="0.45">
      <c r="A204" s="155"/>
      <c r="B204" s="152">
        <v>3</v>
      </c>
      <c r="C204" s="156" t="s">
        <v>135</v>
      </c>
      <c r="D204" s="156" t="s">
        <v>136</v>
      </c>
      <c r="E204" s="156"/>
      <c r="F204" s="156"/>
      <c r="G204" s="156"/>
      <c r="H204" s="151" t="s">
        <v>1505</v>
      </c>
      <c r="I204" s="151" t="s">
        <v>1506</v>
      </c>
      <c r="J204" s="157"/>
      <c r="K204" s="163"/>
      <c r="L204" s="163" t="s">
        <v>139</v>
      </c>
      <c r="M204" s="166" t="s">
        <v>140</v>
      </c>
      <c r="N204" s="195">
        <v>1485</v>
      </c>
      <c r="O204" s="159" t="s">
        <v>1507</v>
      </c>
      <c r="P204" s="160" t="s">
        <v>1508</v>
      </c>
      <c r="Q204" s="160"/>
      <c r="R204" s="53" t="s">
        <v>1510</v>
      </c>
      <c r="S204" s="159" t="s">
        <v>1511</v>
      </c>
      <c r="T204" s="159" t="s">
        <v>1512</v>
      </c>
      <c r="U204" s="159" t="s">
        <v>170</v>
      </c>
      <c r="V204" s="176" t="s">
        <v>171</v>
      </c>
      <c r="W204" s="152">
        <v>2000</v>
      </c>
      <c r="X204" s="152">
        <v>1350</v>
      </c>
      <c r="Y204" s="152"/>
      <c r="Z204" s="177"/>
      <c r="AA204" s="177"/>
      <c r="AB204" s="177"/>
      <c r="AC204" s="177"/>
      <c r="AD204" s="177"/>
      <c r="AE204" s="177"/>
      <c r="AF204" s="177"/>
      <c r="AG204" s="177"/>
      <c r="AH204" s="177"/>
      <c r="AI204" s="177" t="s">
        <v>638</v>
      </c>
      <c r="AJ204" s="177" t="s">
        <v>1513</v>
      </c>
      <c r="AK204" s="257">
        <v>2</v>
      </c>
      <c r="AL204" s="271"/>
      <c r="AM204" s="308">
        <f>X204*P3_Reinigen_daken_incl._extra_maatregelen_veilig_werken_volgens_VCA_eventuele_vergunningen_leges_voorrijkosten_adminstratieve_kosten_fotorapportage_en_kleine_reparaties</f>
        <v>0</v>
      </c>
      <c r="AN204" s="309">
        <f>Y204*P3_Reinigen_goten_incl._extra_maatregelen_veilig_werken_volgens_VCA__eventuele_vergunningen_leges___voorrijkosten__adminstratieve_kosten__fotorapportage_en_kleine_reparaties</f>
        <v>0</v>
      </c>
      <c r="AO204" s="309">
        <f>(AE204*P3_Reinigen_Lichtkoepel_50X50)+('Perceel 2'!AF204*P3_Reinigen_Lichtkoepel_60x200)+('Perceel 2'!AG204*P3_Reinigen_Lichtkoepel_180x180)+('Perceel 2'!AH204*P3_Reinigen_Lichtstraten_groter_dan_180x180)</f>
        <v>0</v>
      </c>
      <c r="AP204" s="309">
        <f>(X204+Y204)*P3_Inspecteren_daken_en_goten_1x_per_jaar_gelijktijdig_met_reiniging_inclusief_inspectierapport_en_een_managementrapport</f>
        <v>0</v>
      </c>
      <c r="AQ204" s="324"/>
      <c r="AR204" s="331">
        <f>AQ204*P3_keuren_dakveiligheid_per_man_uur</f>
        <v>0</v>
      </c>
      <c r="AS204" s="335">
        <f t="shared" ref="AS204:AS252" si="37">(AM204*AK204)+(Y204*AK204)+AO204+AP204+AR204</f>
        <v>0</v>
      </c>
    </row>
    <row r="205" spans="1:45" s="7" customFormat="1" ht="26.25" hidden="1" customHeight="1" x14ac:dyDescent="0.45">
      <c r="A205" s="155"/>
      <c r="B205" s="152">
        <v>3</v>
      </c>
      <c r="C205" s="156" t="s">
        <v>135</v>
      </c>
      <c r="D205" s="156" t="s">
        <v>136</v>
      </c>
      <c r="E205" s="156"/>
      <c r="F205" s="156"/>
      <c r="G205" s="156"/>
      <c r="H205" s="151" t="s">
        <v>1514</v>
      </c>
      <c r="I205" s="151" t="s">
        <v>1515</v>
      </c>
      <c r="J205" s="157"/>
      <c r="K205" s="163"/>
      <c r="L205" s="163" t="s">
        <v>154</v>
      </c>
      <c r="M205" s="163" t="s">
        <v>155</v>
      </c>
      <c r="N205" s="164">
        <v>1275</v>
      </c>
      <c r="O205" s="159" t="s">
        <v>1516</v>
      </c>
      <c r="P205" s="159" t="s">
        <v>1517</v>
      </c>
      <c r="Q205" s="159" t="s">
        <v>1518</v>
      </c>
      <c r="R205" s="42" t="s">
        <v>1510</v>
      </c>
      <c r="S205" s="159" t="s">
        <v>1511</v>
      </c>
      <c r="T205" s="192" t="s">
        <v>1519</v>
      </c>
      <c r="U205" s="159" t="s">
        <v>1520</v>
      </c>
      <c r="V205" s="176" t="s">
        <v>1521</v>
      </c>
      <c r="W205" s="152">
        <v>1986</v>
      </c>
      <c r="X205" s="152">
        <v>1177</v>
      </c>
      <c r="Y205" s="152"/>
      <c r="Z205" s="177"/>
      <c r="AA205" s="177"/>
      <c r="AB205" s="177"/>
      <c r="AC205" s="177"/>
      <c r="AD205" s="177"/>
      <c r="AE205" s="177"/>
      <c r="AF205" s="177"/>
      <c r="AG205" s="177"/>
      <c r="AH205" s="177"/>
      <c r="AI205" s="177"/>
      <c r="AJ205" s="177"/>
      <c r="AK205" s="177">
        <v>1</v>
      </c>
      <c r="AL205" s="272"/>
      <c r="AM205" s="277">
        <f>X205*P3_Reinigen_daken_incl._extra_maatregelen_veilig_werken_volgens_VCA_eventuele_vergunningen_leges_voorrijkosten_adminstratieve_kosten_fotorapportage_en_kleine_reparaties</f>
        <v>0</v>
      </c>
      <c r="AN205" s="279">
        <f>Y205*P3_Reinigen_goten_incl._extra_maatregelen_veilig_werken_volgens_VCA__eventuele_vergunningen_leges___voorrijkosten__adminstratieve_kosten__fotorapportage_en_kleine_reparaties</f>
        <v>0</v>
      </c>
      <c r="AO205" s="279">
        <f>(AE205*P3_Reinigen_Lichtkoepel_50X50)+('Perceel 2'!AF205*P3_Reinigen_Lichtkoepel_60x200)+('Perceel 2'!AG205*P3_Reinigen_Lichtkoepel_180x180)+('Perceel 2'!AH205*P3_Reinigen_Lichtstraten_groter_dan_180x180)</f>
        <v>0</v>
      </c>
      <c r="AP205" s="279">
        <f>(X205+Y205)*P3_Inspecteren_daken_en_goten_1x_per_jaar_gelijktijdig_met_reiniging_inclusief_inspectierapport_en_een_managementrapport</f>
        <v>0</v>
      </c>
      <c r="AQ205" s="312"/>
      <c r="AR205" s="332">
        <f>AQ205*P3_keuren_dakveiligheid_per_man_uur</f>
        <v>0</v>
      </c>
      <c r="AS205" s="336">
        <f t="shared" si="37"/>
        <v>0</v>
      </c>
    </row>
    <row r="206" spans="1:45" s="7" customFormat="1" ht="26.85" hidden="1" customHeight="1" x14ac:dyDescent="0.45">
      <c r="A206" s="238"/>
      <c r="B206" s="225">
        <v>3</v>
      </c>
      <c r="C206" s="171" t="s">
        <v>135</v>
      </c>
      <c r="D206" s="171" t="s">
        <v>174</v>
      </c>
      <c r="E206" s="171"/>
      <c r="F206" s="171"/>
      <c r="G206" s="171"/>
      <c r="H206" s="15"/>
      <c r="I206" s="15"/>
      <c r="J206" s="16"/>
      <c r="K206" s="16"/>
      <c r="L206" s="196" t="s">
        <v>348</v>
      </c>
      <c r="M206" s="240" t="s">
        <v>349</v>
      </c>
      <c r="N206" s="241" t="s">
        <v>1522</v>
      </c>
      <c r="O206" s="171" t="s">
        <v>1523</v>
      </c>
      <c r="P206" s="211" t="s">
        <v>1524</v>
      </c>
      <c r="Q206" s="211" t="s">
        <v>1525</v>
      </c>
      <c r="R206" s="58" t="s">
        <v>1526</v>
      </c>
      <c r="S206" s="211" t="s">
        <v>1511</v>
      </c>
      <c r="T206" s="171"/>
      <c r="U206" s="171"/>
      <c r="V206" s="171"/>
      <c r="W206" s="211"/>
      <c r="X206" s="261">
        <v>2174</v>
      </c>
      <c r="Y206" s="211"/>
      <c r="Z206" s="171"/>
      <c r="AA206" s="171" t="s">
        <v>150</v>
      </c>
      <c r="AB206" s="171">
        <v>32</v>
      </c>
      <c r="AC206" s="171">
        <v>156</v>
      </c>
      <c r="AD206" s="171"/>
      <c r="AE206" s="171"/>
      <c r="AF206" s="171"/>
      <c r="AG206" s="171"/>
      <c r="AH206" s="171"/>
      <c r="AI206" s="171"/>
      <c r="AJ206" s="171"/>
      <c r="AK206" s="261">
        <v>1</v>
      </c>
      <c r="AL206" s="271"/>
      <c r="AM206" s="325"/>
      <c r="AN206" s="312"/>
      <c r="AO206" s="312"/>
      <c r="AP206" s="312"/>
      <c r="AQ206" s="305"/>
      <c r="AR206" s="341"/>
      <c r="AS206" s="344"/>
    </row>
    <row r="207" spans="1:45" s="7" customFormat="1" ht="25.35" hidden="1" customHeight="1" x14ac:dyDescent="0.45">
      <c r="A207" s="182"/>
      <c r="B207" s="181">
        <v>3</v>
      </c>
      <c r="C207" s="175" t="s">
        <v>135</v>
      </c>
      <c r="D207" s="175" t="s">
        <v>174</v>
      </c>
      <c r="E207" s="175"/>
      <c r="F207" s="175"/>
      <c r="G207" s="175"/>
      <c r="H207" s="174" t="s">
        <v>1527</v>
      </c>
      <c r="I207" s="174" t="s">
        <v>1528</v>
      </c>
      <c r="J207" s="197"/>
      <c r="K207" s="197"/>
      <c r="L207" s="174"/>
      <c r="M207" s="175" t="s">
        <v>349</v>
      </c>
      <c r="N207" s="182" t="s">
        <v>1529</v>
      </c>
      <c r="O207" s="175" t="s">
        <v>1530</v>
      </c>
      <c r="P207" s="182" t="s">
        <v>1524</v>
      </c>
      <c r="Q207" s="182" t="s">
        <v>1525</v>
      </c>
      <c r="R207" s="50" t="s">
        <v>1526</v>
      </c>
      <c r="S207" s="182" t="s">
        <v>1511</v>
      </c>
      <c r="T207" s="175" t="s">
        <v>1531</v>
      </c>
      <c r="U207" s="175" t="s">
        <v>1532</v>
      </c>
      <c r="V207" s="175" t="s">
        <v>1533</v>
      </c>
      <c r="W207" s="182">
        <v>1992</v>
      </c>
      <c r="X207" s="255">
        <f>X206*16%</f>
        <v>347.84000000000003</v>
      </c>
      <c r="Y207" s="182"/>
      <c r="Z207" s="175"/>
      <c r="AA207" s="175" t="s">
        <v>150</v>
      </c>
      <c r="AB207" s="175"/>
      <c r="AC207" s="175"/>
      <c r="AD207" s="175"/>
      <c r="AE207" s="175"/>
      <c r="AF207" s="175"/>
      <c r="AG207" s="175"/>
      <c r="AH207" s="175"/>
      <c r="AI207" s="175"/>
      <c r="AJ207" s="175"/>
      <c r="AK207" s="255">
        <v>1</v>
      </c>
      <c r="AL207" s="271"/>
      <c r="AM207" s="277">
        <f>X207*P3_reinigen_daken_met_vaste_dakveiligheid</f>
        <v>0</v>
      </c>
      <c r="AN207" s="279">
        <f>Y207*P3_reinigen_goten_met_vaste_dakveiligheid</f>
        <v>0</v>
      </c>
      <c r="AO207" s="279">
        <f>(AE207*P3_Reinigen_Lichtkoepel_50X50)+('Perceel 2'!AF207*P3_Reinigen_Lichtkoepel_60x200)+('Perceel 2'!AG207*P3_Reinigen_Lichtkoepel_180x180)+('Perceel 2'!AH207*P3_Reinigen_Lichtstraten_groter_dan_180x180)</f>
        <v>0</v>
      </c>
      <c r="AP207" s="279">
        <f t="shared" ref="AP207:AP217" si="38">(X207+Y207)*P3_Inspecteren_daken_en_goten_1x_per_jaar_gelijktijdig_met_reiniging_inclusief_inspectierapport_en_een_managementrapport</f>
        <v>0</v>
      </c>
      <c r="AQ207" s="307">
        <f>AQ206*16%</f>
        <v>0</v>
      </c>
      <c r="AR207" s="332">
        <f t="shared" ref="AR207:AR217" si="39">AQ207*P3_keuren_dakveiligheid_per_man_uur</f>
        <v>0</v>
      </c>
      <c r="AS207" s="336">
        <f t="shared" si="37"/>
        <v>0</v>
      </c>
    </row>
    <row r="208" spans="1:45" s="7" customFormat="1" ht="24.95" hidden="1" customHeight="1" x14ac:dyDescent="0.45">
      <c r="A208" s="182"/>
      <c r="B208" s="181">
        <v>3</v>
      </c>
      <c r="C208" s="175" t="s">
        <v>135</v>
      </c>
      <c r="D208" s="175" t="s">
        <v>174</v>
      </c>
      <c r="E208" s="175"/>
      <c r="F208" s="175"/>
      <c r="G208" s="175"/>
      <c r="H208" s="174" t="s">
        <v>1534</v>
      </c>
      <c r="I208" s="174" t="s">
        <v>1535</v>
      </c>
      <c r="J208" s="197"/>
      <c r="K208" s="197"/>
      <c r="L208" s="174"/>
      <c r="M208" s="175" t="s">
        <v>349</v>
      </c>
      <c r="N208" s="182" t="s">
        <v>1536</v>
      </c>
      <c r="O208" s="175" t="s">
        <v>1537</v>
      </c>
      <c r="P208" s="182" t="s">
        <v>1524</v>
      </c>
      <c r="Q208" s="182" t="s">
        <v>1525</v>
      </c>
      <c r="R208" s="50" t="s">
        <v>1526</v>
      </c>
      <c r="S208" s="182" t="s">
        <v>1511</v>
      </c>
      <c r="T208" s="175" t="s">
        <v>1531</v>
      </c>
      <c r="U208" s="175" t="s">
        <v>1532</v>
      </c>
      <c r="V208" s="175" t="s">
        <v>1533</v>
      </c>
      <c r="W208" s="182">
        <v>1992</v>
      </c>
      <c r="X208" s="255">
        <f>X206*84%</f>
        <v>1826.1599999999999</v>
      </c>
      <c r="Y208" s="182"/>
      <c r="Z208" s="175"/>
      <c r="AA208" s="175" t="s">
        <v>150</v>
      </c>
      <c r="AB208" s="175"/>
      <c r="AC208" s="175"/>
      <c r="AD208" s="175"/>
      <c r="AE208" s="175"/>
      <c r="AF208" s="175"/>
      <c r="AG208" s="175"/>
      <c r="AH208" s="175"/>
      <c r="AI208" s="175"/>
      <c r="AJ208" s="175"/>
      <c r="AK208" s="255">
        <v>1</v>
      </c>
      <c r="AL208" s="271"/>
      <c r="AM208" s="277">
        <f>X208*P3_reinigen_daken_met_vaste_dakveiligheid</f>
        <v>0</v>
      </c>
      <c r="AN208" s="279">
        <f>Y208*P3_reinigen_goten_met_vaste_dakveiligheid</f>
        <v>0</v>
      </c>
      <c r="AO208" s="279">
        <f>(AE208*P3_Reinigen_Lichtkoepel_50X50)+('Perceel 2'!AF208*P3_Reinigen_Lichtkoepel_60x200)+('Perceel 2'!AG208*P3_Reinigen_Lichtkoepel_180x180)+('Perceel 2'!AH208*P3_Reinigen_Lichtstraten_groter_dan_180x180)</f>
        <v>0</v>
      </c>
      <c r="AP208" s="279">
        <f t="shared" si="38"/>
        <v>0</v>
      </c>
      <c r="AQ208" s="307">
        <f>AQ206*84%</f>
        <v>0</v>
      </c>
      <c r="AR208" s="332">
        <f t="shared" si="39"/>
        <v>0</v>
      </c>
      <c r="AS208" s="336">
        <f t="shared" si="37"/>
        <v>0</v>
      </c>
    </row>
    <row r="209" spans="1:45" s="7" customFormat="1" ht="25.5" hidden="1" customHeight="1" x14ac:dyDescent="0.45">
      <c r="A209" s="155"/>
      <c r="B209" s="152">
        <v>3</v>
      </c>
      <c r="C209" s="156" t="s">
        <v>135</v>
      </c>
      <c r="D209" s="156" t="s">
        <v>136</v>
      </c>
      <c r="E209" s="156"/>
      <c r="F209" s="156"/>
      <c r="G209" s="156"/>
      <c r="H209" s="151" t="s">
        <v>1538</v>
      </c>
      <c r="I209" s="151" t="s">
        <v>1539</v>
      </c>
      <c r="J209" s="157"/>
      <c r="K209" s="163"/>
      <c r="L209" s="163" t="s">
        <v>154</v>
      </c>
      <c r="M209" s="166" t="s">
        <v>544</v>
      </c>
      <c r="N209" s="160" t="s">
        <v>1540</v>
      </c>
      <c r="O209" s="159" t="s">
        <v>1541</v>
      </c>
      <c r="P209" s="160" t="s">
        <v>1542</v>
      </c>
      <c r="Q209" s="160" t="s">
        <v>1543</v>
      </c>
      <c r="R209" s="53" t="s">
        <v>1544</v>
      </c>
      <c r="S209" s="160" t="s">
        <v>1511</v>
      </c>
      <c r="T209" s="159" t="s">
        <v>341</v>
      </c>
      <c r="U209" s="159" t="s">
        <v>342</v>
      </c>
      <c r="V209" s="176" t="s">
        <v>1545</v>
      </c>
      <c r="W209" s="152">
        <v>1995</v>
      </c>
      <c r="X209" s="152">
        <v>3585</v>
      </c>
      <c r="Y209" s="152"/>
      <c r="Z209" s="177" t="s">
        <v>311</v>
      </c>
      <c r="AA209" s="177" t="s">
        <v>311</v>
      </c>
      <c r="AB209" s="177"/>
      <c r="AC209" s="177"/>
      <c r="AD209" s="177" t="s">
        <v>1546</v>
      </c>
      <c r="AE209" s="177"/>
      <c r="AF209" s="177"/>
      <c r="AG209" s="177"/>
      <c r="AH209" s="177"/>
      <c r="AI209" s="177"/>
      <c r="AJ209" s="177"/>
      <c r="AK209" s="257">
        <v>1</v>
      </c>
      <c r="AL209" s="271"/>
      <c r="AM209" s="277">
        <f>X209*P3_reinigen_daken_met_vaste_dakveiligheid</f>
        <v>0</v>
      </c>
      <c r="AN209" s="279">
        <f>Y209*P3_reinigen_goten_met_vaste_dakveiligheid</f>
        <v>0</v>
      </c>
      <c r="AO209" s="279">
        <f>(AE209*P3_Reinigen_Lichtkoepel_50X50)+('Perceel 2'!AF209*P3_Reinigen_Lichtkoepel_60x200)+('Perceel 2'!AG209*P3_Reinigen_Lichtkoepel_180x180)+('Perceel 2'!AH209*P3_Reinigen_Lichtstraten_groter_dan_180x180)</f>
        <v>0</v>
      </c>
      <c r="AP209" s="279">
        <f t="shared" si="38"/>
        <v>0</v>
      </c>
      <c r="AQ209" s="305"/>
      <c r="AR209" s="332">
        <f t="shared" si="39"/>
        <v>0</v>
      </c>
      <c r="AS209" s="336">
        <f t="shared" si="37"/>
        <v>0</v>
      </c>
    </row>
    <row r="210" spans="1:45" s="7" customFormat="1" ht="51" hidden="1" x14ac:dyDescent="0.45">
      <c r="A210" s="155"/>
      <c r="B210" s="152">
        <v>3</v>
      </c>
      <c r="C210" s="156" t="s">
        <v>135</v>
      </c>
      <c r="D210" s="156" t="s">
        <v>136</v>
      </c>
      <c r="E210" s="156"/>
      <c r="F210" s="156"/>
      <c r="G210" s="156"/>
      <c r="H210" s="151" t="s">
        <v>1547</v>
      </c>
      <c r="I210" s="151" t="s">
        <v>1548</v>
      </c>
      <c r="J210" s="157"/>
      <c r="K210" s="163"/>
      <c r="L210" s="151" t="s">
        <v>139</v>
      </c>
      <c r="M210" s="159" t="s">
        <v>140</v>
      </c>
      <c r="N210" s="160">
        <v>2430</v>
      </c>
      <c r="O210" s="159" t="s">
        <v>1549</v>
      </c>
      <c r="P210" s="160" t="s">
        <v>1550</v>
      </c>
      <c r="Q210" s="160" t="s">
        <v>1551</v>
      </c>
      <c r="R210" s="53" t="s">
        <v>1526</v>
      </c>
      <c r="S210" s="160" t="s">
        <v>1511</v>
      </c>
      <c r="T210" s="159" t="s">
        <v>1552</v>
      </c>
      <c r="U210" s="159" t="s">
        <v>1553</v>
      </c>
      <c r="V210" s="176" t="s">
        <v>1554</v>
      </c>
      <c r="W210" s="152">
        <v>1993</v>
      </c>
      <c r="X210" s="152">
        <v>741</v>
      </c>
      <c r="Y210" s="152"/>
      <c r="Z210" s="177" t="s">
        <v>311</v>
      </c>
      <c r="AA210" s="189">
        <f>2+9+3</f>
        <v>14</v>
      </c>
      <c r="AB210" s="189">
        <v>58</v>
      </c>
      <c r="AC210" s="177"/>
      <c r="AD210" s="177"/>
      <c r="AE210" s="177"/>
      <c r="AF210" s="177"/>
      <c r="AG210" s="177"/>
      <c r="AH210" s="177"/>
      <c r="AI210" s="177"/>
      <c r="AJ210" s="177"/>
      <c r="AK210" s="257">
        <v>1</v>
      </c>
      <c r="AL210" s="316"/>
      <c r="AM210" s="277">
        <f>X210*P3_reinigen_daken_met_vaste_dakveiligheid</f>
        <v>0</v>
      </c>
      <c r="AN210" s="279">
        <f>Y210*P3_reinigen_goten_met_vaste_dakveiligheid</f>
        <v>0</v>
      </c>
      <c r="AO210" s="279">
        <f>(AE210*P3_Reinigen_Lichtkoepel_50X50)+('Perceel 2'!AF210*P3_Reinigen_Lichtkoepel_60x200)+('Perceel 2'!AG210*P3_Reinigen_Lichtkoepel_180x180)+('Perceel 2'!AH210*P3_Reinigen_Lichtstraten_groter_dan_180x180)</f>
        <v>0</v>
      </c>
      <c r="AP210" s="279">
        <f t="shared" si="38"/>
        <v>0</v>
      </c>
      <c r="AQ210" s="305"/>
      <c r="AR210" s="332">
        <f t="shared" si="39"/>
        <v>0</v>
      </c>
      <c r="AS210" s="336">
        <f t="shared" si="37"/>
        <v>0</v>
      </c>
    </row>
    <row r="211" spans="1:45" s="7" customFormat="1" ht="12.75" hidden="1" customHeight="1" x14ac:dyDescent="0.45">
      <c r="A211" s="193"/>
      <c r="B211" s="152">
        <v>3</v>
      </c>
      <c r="C211" s="156" t="s">
        <v>135</v>
      </c>
      <c r="D211" s="156" t="s">
        <v>1391</v>
      </c>
      <c r="E211" s="156"/>
      <c r="F211" s="156"/>
      <c r="G211" s="156"/>
      <c r="H211" s="166" t="s">
        <v>1555</v>
      </c>
      <c r="I211" s="166" t="s">
        <v>1556</v>
      </c>
      <c r="J211" s="229"/>
      <c r="K211" s="163"/>
      <c r="L211" s="163" t="s">
        <v>154</v>
      </c>
      <c r="M211" s="163" t="s">
        <v>155</v>
      </c>
      <c r="N211" s="159" t="s">
        <v>1557</v>
      </c>
      <c r="O211" s="159" t="s">
        <v>1558</v>
      </c>
      <c r="P211" s="159" t="s">
        <v>1559</v>
      </c>
      <c r="Q211" s="159" t="s">
        <v>1560</v>
      </c>
      <c r="R211" s="42" t="s">
        <v>1510</v>
      </c>
      <c r="S211" s="159" t="s">
        <v>1511</v>
      </c>
      <c r="T211" s="159" t="s">
        <v>1561</v>
      </c>
      <c r="U211" s="159" t="s">
        <v>1562</v>
      </c>
      <c r="V211" s="222" t="s">
        <v>1563</v>
      </c>
      <c r="W211" s="152">
        <v>1986</v>
      </c>
      <c r="X211" s="152">
        <f>114+25+38+38+54+8+885+28</f>
        <v>1190</v>
      </c>
      <c r="Y211" s="152"/>
      <c r="Z211" s="152"/>
      <c r="AA211" s="152"/>
      <c r="AB211" s="152"/>
      <c r="AC211" s="152"/>
      <c r="AD211" s="152"/>
      <c r="AE211" s="152"/>
      <c r="AF211" s="152"/>
      <c r="AG211" s="152"/>
      <c r="AH211" s="152"/>
      <c r="AI211" s="152"/>
      <c r="AJ211" s="152"/>
      <c r="AK211" s="177">
        <v>1</v>
      </c>
      <c r="AL211" s="317"/>
      <c r="AM211" s="277">
        <f>X211*P3_Reinigen_daken_incl._extra_maatregelen_veilig_werken_volgens_VCA_eventuele_vergunningen_leges_voorrijkosten_adminstratieve_kosten_fotorapportage_en_kleine_reparaties</f>
        <v>0</v>
      </c>
      <c r="AN211" s="279">
        <f>Y211*P3_Reinigen_goten_incl._extra_maatregelen_veilig_werken_volgens_VCA__eventuele_vergunningen_leges___voorrijkosten__adminstratieve_kosten__fotorapportage_en_kleine_reparaties</f>
        <v>0</v>
      </c>
      <c r="AO211" s="279">
        <f>(AE211*P3_Reinigen_Lichtkoepel_50X50)+('Perceel 2'!AF211*P3_Reinigen_Lichtkoepel_60x200)+('Perceel 2'!AG211*P3_Reinigen_Lichtkoepel_180x180)+('Perceel 2'!AH211*P3_Reinigen_Lichtstraten_groter_dan_180x180)</f>
        <v>0</v>
      </c>
      <c r="AP211" s="279">
        <f t="shared" si="38"/>
        <v>0</v>
      </c>
      <c r="AQ211" s="312"/>
      <c r="AR211" s="332">
        <f t="shared" si="39"/>
        <v>0</v>
      </c>
      <c r="AS211" s="336">
        <f t="shared" si="37"/>
        <v>0</v>
      </c>
    </row>
    <row r="212" spans="1:45" s="7" customFormat="1" ht="25.5" hidden="1" x14ac:dyDescent="0.45">
      <c r="A212" s="155"/>
      <c r="B212" s="152">
        <v>3</v>
      </c>
      <c r="C212" s="156" t="s">
        <v>135</v>
      </c>
      <c r="D212" s="156" t="s">
        <v>136</v>
      </c>
      <c r="E212" s="156"/>
      <c r="F212" s="156"/>
      <c r="G212" s="156"/>
      <c r="H212" s="151" t="s">
        <v>1564</v>
      </c>
      <c r="I212" s="151" t="s">
        <v>1565</v>
      </c>
      <c r="J212" s="157"/>
      <c r="K212" s="163"/>
      <c r="L212" s="163" t="s">
        <v>154</v>
      </c>
      <c r="M212" s="166" t="s">
        <v>544</v>
      </c>
      <c r="N212" s="160" t="s">
        <v>1566</v>
      </c>
      <c r="O212" s="159" t="s">
        <v>1567</v>
      </c>
      <c r="P212" s="160" t="s">
        <v>1568</v>
      </c>
      <c r="Q212" s="160" t="s">
        <v>1569</v>
      </c>
      <c r="R212" s="53" t="s">
        <v>1570</v>
      </c>
      <c r="S212" s="160" t="s">
        <v>1511</v>
      </c>
      <c r="T212" s="166" t="s">
        <v>160</v>
      </c>
      <c r="U212" s="166" t="s">
        <v>161</v>
      </c>
      <c r="V212" s="178" t="s">
        <v>162</v>
      </c>
      <c r="W212" s="152">
        <v>2003</v>
      </c>
      <c r="X212" s="152">
        <v>670</v>
      </c>
      <c r="Y212" s="152"/>
      <c r="Z212" s="177" t="s">
        <v>311</v>
      </c>
      <c r="AA212" s="177"/>
      <c r="AB212" s="177"/>
      <c r="AC212" s="177"/>
      <c r="AD212" s="177"/>
      <c r="AE212" s="177"/>
      <c r="AF212" s="177"/>
      <c r="AG212" s="177"/>
      <c r="AH212" s="177"/>
      <c r="AI212" s="177"/>
      <c r="AJ212" s="177"/>
      <c r="AK212" s="257">
        <v>1</v>
      </c>
      <c r="AL212" s="271"/>
      <c r="AM212" s="277">
        <f>X212*P3_Reinigen_daken_incl._extra_maatregelen_veilig_werken_volgens_VCA_eventuele_vergunningen_leges_voorrijkosten_adminstratieve_kosten_fotorapportage_en_kleine_reparaties</f>
        <v>0</v>
      </c>
      <c r="AN212" s="279">
        <f>Y212*P3_Reinigen_goten_incl._extra_maatregelen_veilig_werken_volgens_VCA__eventuele_vergunningen_leges___voorrijkosten__adminstratieve_kosten__fotorapportage_en_kleine_reparaties</f>
        <v>0</v>
      </c>
      <c r="AO212" s="279">
        <f>(AE212*P3_Reinigen_Lichtkoepel_50X50)+('Perceel 2'!AF212*P3_Reinigen_Lichtkoepel_60x200)+('Perceel 2'!AG212*P3_Reinigen_Lichtkoepel_180x180)+('Perceel 2'!AH212*P3_Reinigen_Lichtstraten_groter_dan_180x180)</f>
        <v>0</v>
      </c>
      <c r="AP212" s="279">
        <f t="shared" si="38"/>
        <v>0</v>
      </c>
      <c r="AQ212" s="312"/>
      <c r="AR212" s="332">
        <f t="shared" si="39"/>
        <v>0</v>
      </c>
      <c r="AS212" s="336">
        <f t="shared" si="37"/>
        <v>0</v>
      </c>
    </row>
    <row r="213" spans="1:45" s="7" customFormat="1" ht="25.5" hidden="1" customHeight="1" x14ac:dyDescent="0.45">
      <c r="A213" s="155"/>
      <c r="B213" s="152">
        <v>3</v>
      </c>
      <c r="C213" s="156" t="s">
        <v>135</v>
      </c>
      <c r="D213" s="156" t="s">
        <v>136</v>
      </c>
      <c r="E213" s="156" t="s">
        <v>174</v>
      </c>
      <c r="F213" s="156" t="s">
        <v>1571</v>
      </c>
      <c r="G213" s="156" t="s">
        <v>833</v>
      </c>
      <c r="H213" s="151" t="s">
        <v>1572</v>
      </c>
      <c r="I213" s="151" t="s">
        <v>1573</v>
      </c>
      <c r="J213" s="157"/>
      <c r="K213" s="163"/>
      <c r="L213" s="151" t="s">
        <v>348</v>
      </c>
      <c r="M213" s="151" t="s">
        <v>349</v>
      </c>
      <c r="N213" s="160" t="s">
        <v>1574</v>
      </c>
      <c r="O213" s="159" t="s">
        <v>1575</v>
      </c>
      <c r="P213" s="160" t="s">
        <v>1576</v>
      </c>
      <c r="Q213" s="160" t="s">
        <v>1577</v>
      </c>
      <c r="R213" s="53" t="s">
        <v>1578</v>
      </c>
      <c r="S213" s="160" t="s">
        <v>1511</v>
      </c>
      <c r="T213" s="159" t="s">
        <v>1579</v>
      </c>
      <c r="U213" s="159" t="s">
        <v>1580</v>
      </c>
      <c r="V213" s="176" t="s">
        <v>1581</v>
      </c>
      <c r="W213" s="152">
        <v>2004</v>
      </c>
      <c r="X213" s="152">
        <v>2247</v>
      </c>
      <c r="Y213" s="152"/>
      <c r="Z213" s="177"/>
      <c r="AA213" s="177" t="s">
        <v>150</v>
      </c>
      <c r="AB213" s="177">
        <v>31</v>
      </c>
      <c r="AC213" s="177">
        <v>598</v>
      </c>
      <c r="AD213" s="177"/>
      <c r="AE213" s="177"/>
      <c r="AF213" s="177"/>
      <c r="AG213" s="177"/>
      <c r="AH213" s="177"/>
      <c r="AI213" s="177"/>
      <c r="AJ213" s="177"/>
      <c r="AK213" s="257">
        <v>1</v>
      </c>
      <c r="AL213" s="271"/>
      <c r="AM213" s="277">
        <f>X213*P3_reinigen_daken_met_vaste_dakveiligheid</f>
        <v>0</v>
      </c>
      <c r="AN213" s="279">
        <f>Y213*P3_reinigen_goten_met_vaste_dakveiligheid</f>
        <v>0</v>
      </c>
      <c r="AO213" s="279">
        <f>(AE213*P3_Reinigen_Lichtkoepel_50X50)+('Perceel 2'!AF213*P3_Reinigen_Lichtkoepel_60x200)+('Perceel 2'!AG213*P3_Reinigen_Lichtkoepel_180x180)+('Perceel 2'!AH213*P3_Reinigen_Lichtstraten_groter_dan_180x180)</f>
        <v>0</v>
      </c>
      <c r="AP213" s="279">
        <f t="shared" si="38"/>
        <v>0</v>
      </c>
      <c r="AQ213" s="305"/>
      <c r="AR213" s="332">
        <f t="shared" si="39"/>
        <v>0</v>
      </c>
      <c r="AS213" s="336">
        <f t="shared" si="37"/>
        <v>0</v>
      </c>
    </row>
    <row r="214" spans="1:45" s="7" customFormat="1" ht="129" hidden="1" customHeight="1" x14ac:dyDescent="0.45">
      <c r="A214" s="155"/>
      <c r="B214" s="152">
        <v>3</v>
      </c>
      <c r="C214" s="156" t="s">
        <v>135</v>
      </c>
      <c r="D214" s="156" t="s">
        <v>174</v>
      </c>
      <c r="E214" s="156"/>
      <c r="F214" s="156"/>
      <c r="G214" s="156"/>
      <c r="H214" s="151" t="s">
        <v>1582</v>
      </c>
      <c r="I214" s="151" t="s">
        <v>1583</v>
      </c>
      <c r="J214" s="157"/>
      <c r="K214" s="163"/>
      <c r="L214" s="151" t="s">
        <v>348</v>
      </c>
      <c r="M214" s="159" t="s">
        <v>349</v>
      </c>
      <c r="N214" s="160" t="s">
        <v>1584</v>
      </c>
      <c r="O214" s="159" t="s">
        <v>1585</v>
      </c>
      <c r="P214" s="160" t="s">
        <v>1586</v>
      </c>
      <c r="Q214" s="160" t="s">
        <v>1587</v>
      </c>
      <c r="R214" s="53" t="s">
        <v>1588</v>
      </c>
      <c r="S214" s="160" t="s">
        <v>1511</v>
      </c>
      <c r="T214" s="159" t="s">
        <v>1589</v>
      </c>
      <c r="U214" s="159" t="s">
        <v>1590</v>
      </c>
      <c r="V214" s="176" t="s">
        <v>1591</v>
      </c>
      <c r="W214" s="152">
        <v>1990</v>
      </c>
      <c r="X214" s="152">
        <v>1047</v>
      </c>
      <c r="Y214" s="152"/>
      <c r="Z214" s="177"/>
      <c r="AA214" s="177"/>
      <c r="AB214" s="177"/>
      <c r="AC214" s="177"/>
      <c r="AD214" s="177"/>
      <c r="AE214" s="177"/>
      <c r="AF214" s="177"/>
      <c r="AG214" s="177"/>
      <c r="AH214" s="177"/>
      <c r="AI214" s="177"/>
      <c r="AJ214" s="177"/>
      <c r="AK214" s="257">
        <v>1</v>
      </c>
      <c r="AL214" s="271"/>
      <c r="AM214" s="277">
        <f>X214*P3_Reinigen_daken_incl._extra_maatregelen_veilig_werken_volgens_VCA_eventuele_vergunningen_leges_voorrijkosten_adminstratieve_kosten_fotorapportage_en_kleine_reparaties</f>
        <v>0</v>
      </c>
      <c r="AN214" s="279">
        <f>Y214*P3_Reinigen_goten_incl._extra_maatregelen_veilig_werken_volgens_VCA__eventuele_vergunningen_leges___voorrijkosten__adminstratieve_kosten__fotorapportage_en_kleine_reparaties</f>
        <v>0</v>
      </c>
      <c r="AO214" s="279">
        <f>(AE214*P3_Reinigen_Lichtkoepel_50X50)+('Perceel 2'!AF214*P3_Reinigen_Lichtkoepel_60x200)+('Perceel 2'!AG214*P3_Reinigen_Lichtkoepel_180x180)+('Perceel 2'!AH214*P3_Reinigen_Lichtstraten_groter_dan_180x180)</f>
        <v>0</v>
      </c>
      <c r="AP214" s="279">
        <f t="shared" si="38"/>
        <v>0</v>
      </c>
      <c r="AQ214" s="312"/>
      <c r="AR214" s="332">
        <f t="shared" si="39"/>
        <v>0</v>
      </c>
      <c r="AS214" s="336">
        <f t="shared" si="37"/>
        <v>0</v>
      </c>
    </row>
    <row r="215" spans="1:45" s="7" customFormat="1" ht="23.1" hidden="1" customHeight="1" x14ac:dyDescent="0.45">
      <c r="A215" s="155"/>
      <c r="B215" s="165">
        <v>3</v>
      </c>
      <c r="C215" s="156" t="s">
        <v>135</v>
      </c>
      <c r="D215" s="156" t="s">
        <v>136</v>
      </c>
      <c r="E215" s="156"/>
      <c r="F215" s="156"/>
      <c r="G215" s="156"/>
      <c r="H215" s="151" t="s">
        <v>1592</v>
      </c>
      <c r="I215" s="151" t="s">
        <v>1593</v>
      </c>
      <c r="J215" s="157"/>
      <c r="K215" s="163"/>
      <c r="L215" s="151" t="s">
        <v>139</v>
      </c>
      <c r="M215" s="159" t="s">
        <v>140</v>
      </c>
      <c r="N215" s="160" t="s">
        <v>1594</v>
      </c>
      <c r="O215" s="159" t="s">
        <v>1595</v>
      </c>
      <c r="P215" s="160" t="s">
        <v>1596</v>
      </c>
      <c r="Q215" s="160" t="s">
        <v>1597</v>
      </c>
      <c r="R215" s="53" t="s">
        <v>1544</v>
      </c>
      <c r="S215" s="160" t="s">
        <v>1511</v>
      </c>
      <c r="T215" s="159" t="s">
        <v>1598</v>
      </c>
      <c r="U215" s="192" t="s">
        <v>1599</v>
      </c>
      <c r="V215" s="176" t="s">
        <v>1600</v>
      </c>
      <c r="W215" s="152">
        <v>1990</v>
      </c>
      <c r="X215" s="152">
        <v>522</v>
      </c>
      <c r="Y215" s="152"/>
      <c r="Z215" s="177"/>
      <c r="AA215" s="177" t="s">
        <v>150</v>
      </c>
      <c r="AB215" s="177">
        <v>14</v>
      </c>
      <c r="AC215" s="177">
        <v>95</v>
      </c>
      <c r="AD215" s="177"/>
      <c r="AE215" s="177"/>
      <c r="AF215" s="177"/>
      <c r="AG215" s="177"/>
      <c r="AH215" s="177"/>
      <c r="AI215" s="177"/>
      <c r="AJ215" s="177"/>
      <c r="AK215" s="257">
        <v>1</v>
      </c>
      <c r="AL215" s="271"/>
      <c r="AM215" s="277">
        <f>X215*P3_reinigen_daken_met_vaste_dakveiligheid</f>
        <v>0</v>
      </c>
      <c r="AN215" s="279">
        <f>Y215*P3_reinigen_goten_met_vaste_dakveiligheid</f>
        <v>0</v>
      </c>
      <c r="AO215" s="279">
        <f>(AE215*P3_Reinigen_Lichtkoepel_50X50)+('Perceel 2'!AF215*P3_Reinigen_Lichtkoepel_60x200)+('Perceel 2'!AG215*P3_Reinigen_Lichtkoepel_180x180)+('Perceel 2'!AH215*P3_Reinigen_Lichtstraten_groter_dan_180x180)</f>
        <v>0</v>
      </c>
      <c r="AP215" s="279">
        <f t="shared" si="38"/>
        <v>0</v>
      </c>
      <c r="AQ215" s="305"/>
      <c r="AR215" s="332">
        <f t="shared" si="39"/>
        <v>0</v>
      </c>
      <c r="AS215" s="336">
        <f t="shared" si="37"/>
        <v>0</v>
      </c>
    </row>
    <row r="216" spans="1:45" s="7" customFormat="1" ht="25.5" hidden="1" x14ac:dyDescent="0.45">
      <c r="A216" s="155"/>
      <c r="B216" s="152">
        <v>3</v>
      </c>
      <c r="C216" s="156" t="s">
        <v>135</v>
      </c>
      <c r="D216" s="156" t="s">
        <v>861</v>
      </c>
      <c r="E216" s="156"/>
      <c r="F216" s="156"/>
      <c r="G216" s="156"/>
      <c r="H216" s="151" t="s">
        <v>1601</v>
      </c>
      <c r="I216" s="151" t="s">
        <v>1602</v>
      </c>
      <c r="J216" s="157"/>
      <c r="K216" s="163"/>
      <c r="L216" s="151" t="s">
        <v>280</v>
      </c>
      <c r="M216" s="159" t="s">
        <v>1603</v>
      </c>
      <c r="N216" s="160" t="s">
        <v>1604</v>
      </c>
      <c r="O216" s="159" t="s">
        <v>1605</v>
      </c>
      <c r="P216" s="160" t="s">
        <v>1606</v>
      </c>
      <c r="Q216" s="160" t="s">
        <v>1607</v>
      </c>
      <c r="R216" s="53" t="s">
        <v>1608</v>
      </c>
      <c r="S216" s="160" t="s">
        <v>1511</v>
      </c>
      <c r="T216" s="159" t="s">
        <v>1196</v>
      </c>
      <c r="U216" s="159" t="s">
        <v>1609</v>
      </c>
      <c r="V216" s="176" t="s">
        <v>1610</v>
      </c>
      <c r="W216" s="152">
        <v>2008</v>
      </c>
      <c r="X216" s="152">
        <f>403+599</f>
        <v>1002</v>
      </c>
      <c r="Y216" s="152"/>
      <c r="Z216" s="177" t="s">
        <v>311</v>
      </c>
      <c r="AA216" s="177" t="s">
        <v>150</v>
      </c>
      <c r="AB216" s="177">
        <f>8+12</f>
        <v>20</v>
      </c>
      <c r="AC216" s="177">
        <f>45+63</f>
        <v>108</v>
      </c>
      <c r="AD216" s="177"/>
      <c r="AE216" s="177"/>
      <c r="AF216" s="177"/>
      <c r="AG216" s="177"/>
      <c r="AH216" s="177"/>
      <c r="AI216" s="177"/>
      <c r="AJ216" s="177"/>
      <c r="AK216" s="257">
        <v>1</v>
      </c>
      <c r="AL216" s="271"/>
      <c r="AM216" s="277">
        <f>X216*P3_reinigen_daken_met_vaste_dakveiligheid</f>
        <v>0</v>
      </c>
      <c r="AN216" s="279">
        <f>Y216*P3_reinigen_goten_met_vaste_dakveiligheid</f>
        <v>0</v>
      </c>
      <c r="AO216" s="279">
        <f>(AE216*P3_Reinigen_Lichtkoepel_50X50)+('Perceel 2'!AF216*P3_Reinigen_Lichtkoepel_60x200)+('Perceel 2'!AG216*P3_Reinigen_Lichtkoepel_180x180)+('Perceel 2'!AH216*P3_Reinigen_Lichtstraten_groter_dan_180x180)</f>
        <v>0</v>
      </c>
      <c r="AP216" s="279">
        <f t="shared" si="38"/>
        <v>0</v>
      </c>
      <c r="AQ216" s="305"/>
      <c r="AR216" s="332">
        <f t="shared" si="39"/>
        <v>0</v>
      </c>
      <c r="AS216" s="336">
        <f t="shared" si="37"/>
        <v>0</v>
      </c>
    </row>
    <row r="217" spans="1:45" s="7" customFormat="1" ht="38.25" hidden="1" x14ac:dyDescent="0.45">
      <c r="A217" s="155"/>
      <c r="B217" s="152">
        <v>3</v>
      </c>
      <c r="C217" s="156" t="s">
        <v>135</v>
      </c>
      <c r="D217" s="156" t="s">
        <v>136</v>
      </c>
      <c r="E217" s="156"/>
      <c r="F217" s="156"/>
      <c r="G217" s="156"/>
      <c r="H217" s="151" t="s">
        <v>1611</v>
      </c>
      <c r="I217" s="151" t="s">
        <v>1612</v>
      </c>
      <c r="J217" s="157"/>
      <c r="K217" s="163"/>
      <c r="L217" s="151" t="s">
        <v>348</v>
      </c>
      <c r="M217" s="159" t="s">
        <v>349</v>
      </c>
      <c r="N217" s="160" t="s">
        <v>1613</v>
      </c>
      <c r="O217" s="159" t="s">
        <v>1614</v>
      </c>
      <c r="P217" s="160" t="s">
        <v>1615</v>
      </c>
      <c r="Q217" s="160" t="s">
        <v>1616</v>
      </c>
      <c r="R217" s="53" t="s">
        <v>1617</v>
      </c>
      <c r="S217" s="160" t="s">
        <v>1511</v>
      </c>
      <c r="T217" s="159" t="s">
        <v>1618</v>
      </c>
      <c r="U217" s="159" t="s">
        <v>1619</v>
      </c>
      <c r="V217" s="209" t="s">
        <v>1620</v>
      </c>
      <c r="W217" s="152">
        <v>2000</v>
      </c>
      <c r="X217" s="152">
        <v>900</v>
      </c>
      <c r="Y217" s="152"/>
      <c r="Z217" s="177"/>
      <c r="AA217" s="189" t="s">
        <v>135</v>
      </c>
      <c r="AB217" s="189">
        <v>16</v>
      </c>
      <c r="AC217" s="189">
        <v>50.6</v>
      </c>
      <c r="AD217" s="177"/>
      <c r="AE217" s="177"/>
      <c r="AF217" s="177"/>
      <c r="AG217" s="177"/>
      <c r="AH217" s="177"/>
      <c r="AI217" s="177"/>
      <c r="AJ217" s="177"/>
      <c r="AK217" s="257">
        <v>1</v>
      </c>
      <c r="AL217" s="273"/>
      <c r="AM217" s="277">
        <f>X217*P3_reinigen_daken_met_vaste_dakveiligheid</f>
        <v>0</v>
      </c>
      <c r="AN217" s="279">
        <f>Y217*P3_reinigen_goten_met_vaste_dakveiligheid</f>
        <v>0</v>
      </c>
      <c r="AO217" s="279">
        <f>(AE217*P3_Reinigen_Lichtkoepel_50X50)+('Perceel 2'!AF217*P3_Reinigen_Lichtkoepel_60x200)+('Perceel 2'!AG217*P3_Reinigen_Lichtkoepel_180x180)+('Perceel 2'!AH217*P3_Reinigen_Lichtstraten_groter_dan_180x180)</f>
        <v>0</v>
      </c>
      <c r="AP217" s="279">
        <f t="shared" si="38"/>
        <v>0</v>
      </c>
      <c r="AQ217" s="305"/>
      <c r="AR217" s="332">
        <f t="shared" si="39"/>
        <v>0</v>
      </c>
      <c r="AS217" s="336">
        <f t="shared" si="37"/>
        <v>0</v>
      </c>
    </row>
    <row r="218" spans="1:45" s="7" customFormat="1" ht="12.75" hidden="1" customHeight="1" x14ac:dyDescent="0.45">
      <c r="A218" s="238"/>
      <c r="B218" s="225">
        <v>3</v>
      </c>
      <c r="C218" s="171" t="s">
        <v>135</v>
      </c>
      <c r="D218" s="171" t="s">
        <v>136</v>
      </c>
      <c r="E218" s="171" t="s">
        <v>174</v>
      </c>
      <c r="F218" s="171"/>
      <c r="G218" s="171"/>
      <c r="H218" s="15"/>
      <c r="I218" s="15"/>
      <c r="J218" s="16"/>
      <c r="K218" s="16"/>
      <c r="L218" s="196" t="s">
        <v>348</v>
      </c>
      <c r="M218" s="171" t="s">
        <v>1621</v>
      </c>
      <c r="N218" s="171" t="s">
        <v>1622</v>
      </c>
      <c r="O218" s="171" t="s">
        <v>1623</v>
      </c>
      <c r="P218" s="211" t="s">
        <v>1624</v>
      </c>
      <c r="Q218" s="211" t="s">
        <v>1616</v>
      </c>
      <c r="R218" s="58" t="s">
        <v>1617</v>
      </c>
      <c r="S218" s="211" t="s">
        <v>1511</v>
      </c>
      <c r="T218" s="171"/>
      <c r="U218" s="171"/>
      <c r="V218" s="171"/>
      <c r="W218" s="225">
        <v>2000</v>
      </c>
      <c r="X218" s="225">
        <v>1058</v>
      </c>
      <c r="Y218" s="225"/>
      <c r="Z218" s="171"/>
      <c r="AA218" s="171" t="s">
        <v>150</v>
      </c>
      <c r="AB218" s="171">
        <v>19</v>
      </c>
      <c r="AC218" s="171">
        <v>131.5</v>
      </c>
      <c r="AD218" s="171"/>
      <c r="AE218" s="171"/>
      <c r="AF218" s="171"/>
      <c r="AG218" s="171"/>
      <c r="AH218" s="171"/>
      <c r="AI218" s="171"/>
      <c r="AJ218" s="171"/>
      <c r="AK218" s="261">
        <v>1</v>
      </c>
      <c r="AL218" s="271"/>
      <c r="AM218" s="325"/>
      <c r="AN218" s="312"/>
      <c r="AO218" s="312"/>
      <c r="AP218" s="312"/>
      <c r="AQ218" s="305"/>
      <c r="AR218" s="341"/>
      <c r="AS218" s="344"/>
    </row>
    <row r="219" spans="1:45" s="7" customFormat="1" ht="25.5" hidden="1" customHeight="1" x14ac:dyDescent="0.45">
      <c r="A219" s="182"/>
      <c r="B219" s="181">
        <v>3</v>
      </c>
      <c r="C219" s="175" t="s">
        <v>135</v>
      </c>
      <c r="D219" s="175" t="s">
        <v>174</v>
      </c>
      <c r="E219" s="175"/>
      <c r="F219" s="175"/>
      <c r="G219" s="175"/>
      <c r="H219" s="174" t="s">
        <v>1625</v>
      </c>
      <c r="I219" s="174" t="s">
        <v>1626</v>
      </c>
      <c r="J219" s="197"/>
      <c r="K219" s="197"/>
      <c r="L219" s="174"/>
      <c r="M219" s="175" t="s">
        <v>349</v>
      </c>
      <c r="N219" s="182" t="s">
        <v>1627</v>
      </c>
      <c r="O219" s="175" t="s">
        <v>1628</v>
      </c>
      <c r="P219" s="175" t="s">
        <v>1629</v>
      </c>
      <c r="Q219" s="182" t="s">
        <v>1616</v>
      </c>
      <c r="R219" s="50" t="s">
        <v>1617</v>
      </c>
      <c r="S219" s="182" t="s">
        <v>1511</v>
      </c>
      <c r="T219" s="175" t="s">
        <v>1630</v>
      </c>
      <c r="U219" s="175" t="s">
        <v>1631</v>
      </c>
      <c r="V219" s="175" t="s">
        <v>1632</v>
      </c>
      <c r="W219" s="182">
        <v>2000</v>
      </c>
      <c r="X219" s="255">
        <f>X218*84%</f>
        <v>888.71999999999991</v>
      </c>
      <c r="Y219" s="182"/>
      <c r="Z219" s="175"/>
      <c r="AA219" s="175" t="s">
        <v>150</v>
      </c>
      <c r="AB219" s="175"/>
      <c r="AC219" s="175"/>
      <c r="AD219" s="175"/>
      <c r="AE219" s="175"/>
      <c r="AF219" s="175"/>
      <c r="AG219" s="175"/>
      <c r="AH219" s="175"/>
      <c r="AI219" s="191" t="s">
        <v>1633</v>
      </c>
      <c r="AJ219" s="191" t="s">
        <v>346</v>
      </c>
      <c r="AK219" s="255">
        <v>1</v>
      </c>
      <c r="AL219" s="271"/>
      <c r="AM219" s="277">
        <f>X219*P3_reinigen_daken_met_vaste_dakveiligheid</f>
        <v>0</v>
      </c>
      <c r="AN219" s="279">
        <f>Y219*P3_reinigen_goten_met_vaste_dakveiligheid</f>
        <v>0</v>
      </c>
      <c r="AO219" s="279">
        <f>(AE219*P3_Reinigen_Lichtkoepel_50X50)+('Perceel 2'!AF219*P3_Reinigen_Lichtkoepel_60x200)+('Perceel 2'!AG219*P3_Reinigen_Lichtkoepel_180x180)+('Perceel 2'!AH219*P3_Reinigen_Lichtstraten_groter_dan_180x180)</f>
        <v>0</v>
      </c>
      <c r="AP219" s="279">
        <f>(X219+Y219)*P3_Inspecteren_daken_en_goten_1x_per_jaar_gelijktijdig_met_reiniging_inclusief_inspectierapport_en_een_managementrapport</f>
        <v>0</v>
      </c>
      <c r="AQ219" s="307">
        <f>AQ218*84%</f>
        <v>0</v>
      </c>
      <c r="AR219" s="332">
        <f>AQ219*P3_keuren_dakveiligheid_per_man_uur</f>
        <v>0</v>
      </c>
      <c r="AS219" s="336">
        <f t="shared" si="37"/>
        <v>0</v>
      </c>
    </row>
    <row r="220" spans="1:45" s="7" customFormat="1" ht="51" hidden="1" x14ac:dyDescent="0.45">
      <c r="A220" s="182"/>
      <c r="B220" s="181">
        <v>3</v>
      </c>
      <c r="C220" s="175" t="s">
        <v>135</v>
      </c>
      <c r="D220" s="175" t="s">
        <v>136</v>
      </c>
      <c r="E220" s="175"/>
      <c r="F220" s="175"/>
      <c r="G220" s="175"/>
      <c r="H220" s="174" t="s">
        <v>1634</v>
      </c>
      <c r="I220" s="174" t="s">
        <v>1635</v>
      </c>
      <c r="J220" s="197"/>
      <c r="K220" s="197"/>
      <c r="L220" s="174"/>
      <c r="M220" s="191" t="s">
        <v>544</v>
      </c>
      <c r="N220" s="182" t="s">
        <v>1636</v>
      </c>
      <c r="O220" s="175" t="s">
        <v>1637</v>
      </c>
      <c r="P220" s="182" t="s">
        <v>1638</v>
      </c>
      <c r="Q220" s="182" t="s">
        <v>1639</v>
      </c>
      <c r="R220" s="50" t="s">
        <v>1617</v>
      </c>
      <c r="S220" s="182" t="s">
        <v>1511</v>
      </c>
      <c r="T220" s="175" t="s">
        <v>169</v>
      </c>
      <c r="U220" s="175" t="s">
        <v>170</v>
      </c>
      <c r="V220" s="175" t="s">
        <v>171</v>
      </c>
      <c r="W220" s="182">
        <v>2000</v>
      </c>
      <c r="X220" s="255">
        <f>X218*16%</f>
        <v>169.28</v>
      </c>
      <c r="Y220" s="182"/>
      <c r="Z220" s="175"/>
      <c r="AA220" s="175" t="s">
        <v>150</v>
      </c>
      <c r="AB220" s="175"/>
      <c r="AC220" s="175"/>
      <c r="AD220" s="175"/>
      <c r="AE220" s="175"/>
      <c r="AF220" s="175"/>
      <c r="AG220" s="175"/>
      <c r="AH220" s="175"/>
      <c r="AI220" s="175"/>
      <c r="AJ220" s="175"/>
      <c r="AK220" s="255">
        <v>1</v>
      </c>
      <c r="AL220" s="271"/>
      <c r="AM220" s="277">
        <f>X220*P3_reinigen_daken_met_vaste_dakveiligheid</f>
        <v>0</v>
      </c>
      <c r="AN220" s="279">
        <f>Y220*P3_reinigen_goten_met_vaste_dakveiligheid</f>
        <v>0</v>
      </c>
      <c r="AO220" s="279">
        <f>(AE220*P3_Reinigen_Lichtkoepel_50X50)+('Perceel 2'!AF220*P3_Reinigen_Lichtkoepel_60x200)+('Perceel 2'!AG220*P3_Reinigen_Lichtkoepel_180x180)+('Perceel 2'!AH220*P3_Reinigen_Lichtstraten_groter_dan_180x180)</f>
        <v>0</v>
      </c>
      <c r="AP220" s="279">
        <f>(X220+Y220)*P3_Inspecteren_daken_en_goten_1x_per_jaar_gelijktijdig_met_reiniging_inclusief_inspectierapport_en_een_managementrapport</f>
        <v>0</v>
      </c>
      <c r="AQ220" s="307">
        <f>AQ218*16%</f>
        <v>0</v>
      </c>
      <c r="AR220" s="332">
        <f>AQ220*P3_keuren_dakveiligheid_per_man_uur</f>
        <v>0</v>
      </c>
      <c r="AS220" s="336">
        <f t="shared" si="37"/>
        <v>0</v>
      </c>
    </row>
    <row r="221" spans="1:45" s="7" customFormat="1" ht="51" hidden="1" x14ac:dyDescent="0.45">
      <c r="A221" s="155"/>
      <c r="B221" s="165">
        <v>3</v>
      </c>
      <c r="C221" s="156" t="s">
        <v>135</v>
      </c>
      <c r="D221" s="156" t="s">
        <v>136</v>
      </c>
      <c r="E221" s="156"/>
      <c r="F221" s="156"/>
      <c r="G221" s="156"/>
      <c r="H221" s="151" t="s">
        <v>1640</v>
      </c>
      <c r="I221" s="151" t="s">
        <v>1641</v>
      </c>
      <c r="J221" s="157"/>
      <c r="K221" s="163"/>
      <c r="L221" s="163" t="s">
        <v>139</v>
      </c>
      <c r="M221" s="166" t="s">
        <v>140</v>
      </c>
      <c r="N221" s="160" t="s">
        <v>1642</v>
      </c>
      <c r="O221" s="159" t="s">
        <v>1643</v>
      </c>
      <c r="P221" s="160" t="s">
        <v>1644</v>
      </c>
      <c r="Q221" s="160" t="s">
        <v>1645</v>
      </c>
      <c r="R221" s="53" t="s">
        <v>1646</v>
      </c>
      <c r="S221" s="160" t="s">
        <v>1511</v>
      </c>
      <c r="T221" s="159" t="s">
        <v>1647</v>
      </c>
      <c r="U221" s="159" t="s">
        <v>1648</v>
      </c>
      <c r="V221" s="209" t="s">
        <v>1649</v>
      </c>
      <c r="W221" s="152">
        <v>1997</v>
      </c>
      <c r="X221" s="152">
        <v>657</v>
      </c>
      <c r="Y221" s="152"/>
      <c r="Z221" s="177"/>
      <c r="AA221" s="177"/>
      <c r="AB221" s="177"/>
      <c r="AC221" s="177"/>
      <c r="AD221" s="177"/>
      <c r="AE221" s="177"/>
      <c r="AF221" s="177"/>
      <c r="AG221" s="177"/>
      <c r="AH221" s="177"/>
      <c r="AI221" s="177"/>
      <c r="AJ221" s="177"/>
      <c r="AK221" s="257">
        <v>1</v>
      </c>
      <c r="AL221" s="271"/>
      <c r="AM221" s="277">
        <f>X221*P3_Reinigen_daken_incl._extra_maatregelen_veilig_werken_volgens_VCA_eventuele_vergunningen_leges_voorrijkosten_adminstratieve_kosten_fotorapportage_en_kleine_reparaties</f>
        <v>0</v>
      </c>
      <c r="AN221" s="279">
        <f>Y221*P3_Reinigen_goten_incl._extra_maatregelen_veilig_werken_volgens_VCA__eventuele_vergunningen_leges___voorrijkosten__adminstratieve_kosten__fotorapportage_en_kleine_reparaties</f>
        <v>0</v>
      </c>
      <c r="AO221" s="279">
        <f>(AE221*P3_Reinigen_Lichtkoepel_50X50)+('Perceel 2'!AF221*P3_Reinigen_Lichtkoepel_60x200)+('Perceel 2'!AG221*P3_Reinigen_Lichtkoepel_180x180)+('Perceel 2'!AH221*P3_Reinigen_Lichtstraten_groter_dan_180x180)</f>
        <v>0</v>
      </c>
      <c r="AP221" s="279">
        <f>(X221+Y221)*P3_Inspecteren_daken_en_goten_1x_per_jaar_gelijktijdig_met_reiniging_inclusief_inspectierapport_en_een_managementrapport</f>
        <v>0</v>
      </c>
      <c r="AQ221" s="312"/>
      <c r="AR221" s="332">
        <f>AQ221*P3_keuren_dakveiligheid_per_man_uur</f>
        <v>0</v>
      </c>
      <c r="AS221" s="336">
        <f t="shared" si="37"/>
        <v>0</v>
      </c>
    </row>
    <row r="222" spans="1:45" s="7" customFormat="1" ht="63.75" hidden="1" customHeight="1" x14ac:dyDescent="0.45">
      <c r="A222" s="211"/>
      <c r="B222" s="212">
        <v>3</v>
      </c>
      <c r="C222" s="171" t="s">
        <v>135</v>
      </c>
      <c r="D222" s="171" t="s">
        <v>136</v>
      </c>
      <c r="E222" s="171" t="s">
        <v>174</v>
      </c>
      <c r="F222" s="171"/>
      <c r="G222" s="171"/>
      <c r="H222" s="15"/>
      <c r="I222" s="15"/>
      <c r="J222" s="16"/>
      <c r="K222" s="16"/>
      <c r="L222" s="196" t="s">
        <v>348</v>
      </c>
      <c r="M222" s="171" t="s">
        <v>1621</v>
      </c>
      <c r="N222" s="171" t="s">
        <v>1650</v>
      </c>
      <c r="O222" s="171" t="s">
        <v>1651</v>
      </c>
      <c r="P222" s="211" t="s">
        <v>1652</v>
      </c>
      <c r="Q222" s="211" t="s">
        <v>1645</v>
      </c>
      <c r="R222" s="58" t="s">
        <v>1646</v>
      </c>
      <c r="S222" s="211" t="s">
        <v>1511</v>
      </c>
      <c r="T222" s="171"/>
      <c r="U222" s="171"/>
      <c r="V222" s="171"/>
      <c r="W222" s="211">
        <v>1996</v>
      </c>
      <c r="X222" s="261">
        <v>1509</v>
      </c>
      <c r="Y222" s="211"/>
      <c r="Z222" s="171"/>
      <c r="AA222" s="171"/>
      <c r="AB222" s="171"/>
      <c r="AC222" s="171"/>
      <c r="AD222" s="171"/>
      <c r="AE222" s="171"/>
      <c r="AF222" s="171"/>
      <c r="AG222" s="171"/>
      <c r="AH222" s="171"/>
      <c r="AI222" s="171"/>
      <c r="AJ222" s="171"/>
      <c r="AK222" s="261">
        <v>1</v>
      </c>
      <c r="AL222" s="271"/>
      <c r="AM222" s="325"/>
      <c r="AN222" s="312"/>
      <c r="AO222" s="312"/>
      <c r="AP222" s="312"/>
      <c r="AQ222" s="312"/>
      <c r="AR222" s="341"/>
      <c r="AS222" s="344"/>
    </row>
    <row r="223" spans="1:45" s="7" customFormat="1" ht="25.5" hidden="1" customHeight="1" x14ac:dyDescent="0.45">
      <c r="A223" s="182"/>
      <c r="B223" s="185">
        <v>3</v>
      </c>
      <c r="C223" s="175" t="s">
        <v>135</v>
      </c>
      <c r="D223" s="175" t="s">
        <v>174</v>
      </c>
      <c r="E223" s="175"/>
      <c r="F223" s="175"/>
      <c r="G223" s="175"/>
      <c r="H223" s="174" t="s">
        <v>1653</v>
      </c>
      <c r="I223" s="174" t="s">
        <v>1654</v>
      </c>
      <c r="J223" s="197"/>
      <c r="K223" s="197"/>
      <c r="L223" s="174"/>
      <c r="M223" s="175" t="s">
        <v>349</v>
      </c>
      <c r="N223" s="182" t="s">
        <v>1655</v>
      </c>
      <c r="O223" s="175" t="s">
        <v>1656</v>
      </c>
      <c r="P223" s="182" t="s">
        <v>1657</v>
      </c>
      <c r="Q223" s="182" t="s">
        <v>1645</v>
      </c>
      <c r="R223" s="50" t="s">
        <v>1646</v>
      </c>
      <c r="S223" s="182" t="s">
        <v>1511</v>
      </c>
      <c r="T223" s="175" t="s">
        <v>1658</v>
      </c>
      <c r="U223" s="175" t="s">
        <v>1659</v>
      </c>
      <c r="V223" s="175" t="s">
        <v>1660</v>
      </c>
      <c r="W223" s="182">
        <v>1996</v>
      </c>
      <c r="X223" s="255">
        <f>X222*83%</f>
        <v>1252.47</v>
      </c>
      <c r="Y223" s="182"/>
      <c r="Z223" s="175"/>
      <c r="AA223" s="175"/>
      <c r="AB223" s="175"/>
      <c r="AC223" s="175"/>
      <c r="AD223" s="175"/>
      <c r="AE223" s="175"/>
      <c r="AF223" s="175"/>
      <c r="AG223" s="175"/>
      <c r="AH223" s="175"/>
      <c r="AI223" s="175"/>
      <c r="AJ223" s="175"/>
      <c r="AK223" s="255">
        <v>1</v>
      </c>
      <c r="AL223" s="271"/>
      <c r="AM223" s="277">
        <f>X223*P3_Reinigen_daken_incl._extra_maatregelen_veilig_werken_volgens_VCA_eventuele_vergunningen_leges_voorrijkosten_adminstratieve_kosten_fotorapportage_en_kleine_reparaties</f>
        <v>0</v>
      </c>
      <c r="AN223" s="279">
        <f>Y223*P3_Reinigen_goten_incl._extra_maatregelen_veilig_werken_volgens_VCA__eventuele_vergunningen_leges___voorrijkosten__adminstratieve_kosten__fotorapportage_en_kleine_reparaties</f>
        <v>0</v>
      </c>
      <c r="AO223" s="279">
        <f>(AE223*P3_Reinigen_Lichtkoepel_50X50)+('Perceel 2'!AF223*P3_Reinigen_Lichtkoepel_60x200)+('Perceel 2'!AG223*P3_Reinigen_Lichtkoepel_180x180)+('Perceel 2'!AH223*P3_Reinigen_Lichtstraten_groter_dan_180x180)</f>
        <v>0</v>
      </c>
      <c r="AP223" s="279">
        <f t="shared" ref="AP223:AP252" si="40">(X223+Y223)*P3_Inspecteren_daken_en_goten_1x_per_jaar_gelijktijdig_met_reiniging_inclusief_inspectierapport_en_een_managementrapport</f>
        <v>0</v>
      </c>
      <c r="AQ223" s="312"/>
      <c r="AR223" s="332">
        <f t="shared" ref="AR223:AR252" si="41">AQ223*P3_keuren_dakveiligheid_per_man_uur</f>
        <v>0</v>
      </c>
      <c r="AS223" s="336">
        <f t="shared" si="37"/>
        <v>0</v>
      </c>
    </row>
    <row r="224" spans="1:45" s="7" customFormat="1" ht="25.5" hidden="1" customHeight="1" x14ac:dyDescent="0.45">
      <c r="A224" s="182"/>
      <c r="B224" s="185">
        <v>3</v>
      </c>
      <c r="C224" s="175" t="s">
        <v>135</v>
      </c>
      <c r="D224" s="175" t="s">
        <v>136</v>
      </c>
      <c r="E224" s="175"/>
      <c r="F224" s="175"/>
      <c r="G224" s="175"/>
      <c r="H224" s="174" t="s">
        <v>1661</v>
      </c>
      <c r="I224" s="174" t="s">
        <v>1662</v>
      </c>
      <c r="J224" s="197"/>
      <c r="K224" s="197"/>
      <c r="L224" s="174"/>
      <c r="M224" s="191" t="s">
        <v>544</v>
      </c>
      <c r="N224" s="182" t="s">
        <v>1663</v>
      </c>
      <c r="O224" s="175" t="s">
        <v>1664</v>
      </c>
      <c r="P224" s="182" t="s">
        <v>1665</v>
      </c>
      <c r="Q224" s="182" t="s">
        <v>1645</v>
      </c>
      <c r="R224" s="50" t="s">
        <v>1646</v>
      </c>
      <c r="S224" s="182" t="s">
        <v>1511</v>
      </c>
      <c r="T224" s="175" t="s">
        <v>1658</v>
      </c>
      <c r="U224" s="175" t="s">
        <v>1659</v>
      </c>
      <c r="V224" s="175" t="s">
        <v>1660</v>
      </c>
      <c r="W224" s="182">
        <v>1996</v>
      </c>
      <c r="X224" s="255">
        <f>X222*17%</f>
        <v>256.53000000000003</v>
      </c>
      <c r="Y224" s="182"/>
      <c r="Z224" s="175"/>
      <c r="AA224" s="175"/>
      <c r="AB224" s="175"/>
      <c r="AC224" s="175"/>
      <c r="AD224" s="175"/>
      <c r="AE224" s="175"/>
      <c r="AF224" s="175"/>
      <c r="AG224" s="175"/>
      <c r="AH224" s="175"/>
      <c r="AI224" s="175"/>
      <c r="AJ224" s="175"/>
      <c r="AK224" s="255">
        <v>1</v>
      </c>
      <c r="AL224" s="271"/>
      <c r="AM224" s="277">
        <f>X224*P3_Reinigen_daken_incl._extra_maatregelen_veilig_werken_volgens_VCA_eventuele_vergunningen_leges_voorrijkosten_adminstratieve_kosten_fotorapportage_en_kleine_reparaties</f>
        <v>0</v>
      </c>
      <c r="AN224" s="279">
        <f>Y224*P3_Reinigen_goten_incl._extra_maatregelen_veilig_werken_volgens_VCA__eventuele_vergunningen_leges___voorrijkosten__adminstratieve_kosten__fotorapportage_en_kleine_reparaties</f>
        <v>0</v>
      </c>
      <c r="AO224" s="279">
        <f>(AE224*P3_Reinigen_Lichtkoepel_50X50)+('Perceel 2'!AF224*P3_Reinigen_Lichtkoepel_60x200)+('Perceel 2'!AG224*P3_Reinigen_Lichtkoepel_180x180)+('Perceel 2'!AH224*P3_Reinigen_Lichtstraten_groter_dan_180x180)</f>
        <v>0</v>
      </c>
      <c r="AP224" s="279">
        <f t="shared" si="40"/>
        <v>0</v>
      </c>
      <c r="AQ224" s="312"/>
      <c r="AR224" s="332">
        <f t="shared" si="41"/>
        <v>0</v>
      </c>
      <c r="AS224" s="336">
        <f t="shared" si="37"/>
        <v>0</v>
      </c>
    </row>
    <row r="225" spans="1:45" s="7" customFormat="1" ht="25.5" hidden="1" x14ac:dyDescent="0.45">
      <c r="A225" s="155"/>
      <c r="B225" s="152">
        <v>3</v>
      </c>
      <c r="C225" s="156" t="s">
        <v>135</v>
      </c>
      <c r="D225" s="156" t="s">
        <v>136</v>
      </c>
      <c r="E225" s="156"/>
      <c r="F225" s="156"/>
      <c r="G225" s="156"/>
      <c r="H225" s="151" t="s">
        <v>1666</v>
      </c>
      <c r="I225" s="151" t="s">
        <v>1667</v>
      </c>
      <c r="J225" s="157"/>
      <c r="K225" s="163"/>
      <c r="L225" s="151" t="s">
        <v>139</v>
      </c>
      <c r="M225" s="159" t="s">
        <v>140</v>
      </c>
      <c r="N225" s="160" t="s">
        <v>1668</v>
      </c>
      <c r="O225" s="159" t="s">
        <v>1669</v>
      </c>
      <c r="P225" s="160" t="s">
        <v>1670</v>
      </c>
      <c r="Q225" s="160" t="s">
        <v>1671</v>
      </c>
      <c r="R225" s="53" t="s">
        <v>1570</v>
      </c>
      <c r="S225" s="160" t="s">
        <v>1511</v>
      </c>
      <c r="T225" s="159" t="s">
        <v>756</v>
      </c>
      <c r="U225" s="159" t="s">
        <v>1672</v>
      </c>
      <c r="V225" s="176" t="s">
        <v>1222</v>
      </c>
      <c r="W225" s="152">
        <v>2012</v>
      </c>
      <c r="X225" s="152">
        <v>364</v>
      </c>
      <c r="Y225" s="152"/>
      <c r="Z225" s="177"/>
      <c r="AA225" s="177" t="s">
        <v>150</v>
      </c>
      <c r="AB225" s="177">
        <v>12</v>
      </c>
      <c r="AC225" s="177">
        <v>24</v>
      </c>
      <c r="AD225" s="177"/>
      <c r="AE225" s="177"/>
      <c r="AF225" s="177"/>
      <c r="AG225" s="177"/>
      <c r="AH225" s="177"/>
      <c r="AI225" s="177"/>
      <c r="AJ225" s="177"/>
      <c r="AK225" s="257">
        <v>1</v>
      </c>
      <c r="AL225" s="271"/>
      <c r="AM225" s="277">
        <f>X225*P3_reinigen_daken_met_vaste_dakveiligheid</f>
        <v>0</v>
      </c>
      <c r="AN225" s="279">
        <f>Y225*P3_reinigen_goten_met_vaste_dakveiligheid</f>
        <v>0</v>
      </c>
      <c r="AO225" s="279">
        <f>(AE225*P3_Reinigen_Lichtkoepel_50X50)+('Perceel 2'!AF225*P3_Reinigen_Lichtkoepel_60x200)+('Perceel 2'!AG225*P3_Reinigen_Lichtkoepel_180x180)+('Perceel 2'!AH225*P3_Reinigen_Lichtstraten_groter_dan_180x180)</f>
        <v>0</v>
      </c>
      <c r="AP225" s="279">
        <f t="shared" si="40"/>
        <v>0</v>
      </c>
      <c r="AQ225" s="305"/>
      <c r="AR225" s="332">
        <f t="shared" si="41"/>
        <v>0</v>
      </c>
      <c r="AS225" s="336">
        <f t="shared" si="37"/>
        <v>0</v>
      </c>
    </row>
    <row r="226" spans="1:45" s="7" customFormat="1" ht="174" hidden="1" customHeight="1" x14ac:dyDescent="0.45">
      <c r="A226" s="155"/>
      <c r="B226" s="152">
        <v>3</v>
      </c>
      <c r="C226" s="156" t="s">
        <v>135</v>
      </c>
      <c r="D226" s="156" t="s">
        <v>136</v>
      </c>
      <c r="E226" s="156" t="s">
        <v>832</v>
      </c>
      <c r="F226" s="156" t="s">
        <v>1571</v>
      </c>
      <c r="G226" s="156" t="s">
        <v>833</v>
      </c>
      <c r="H226" s="151" t="s">
        <v>1673</v>
      </c>
      <c r="I226" s="151" t="s">
        <v>1674</v>
      </c>
      <c r="J226" s="157"/>
      <c r="K226" s="163"/>
      <c r="L226" s="151" t="s">
        <v>280</v>
      </c>
      <c r="M226" s="159" t="s">
        <v>669</v>
      </c>
      <c r="N226" s="160" t="s">
        <v>1675</v>
      </c>
      <c r="O226" s="159" t="s">
        <v>1676</v>
      </c>
      <c r="P226" s="160" t="s">
        <v>1677</v>
      </c>
      <c r="Q226" s="160"/>
      <c r="R226" s="53" t="s">
        <v>1679</v>
      </c>
      <c r="S226" s="160" t="s">
        <v>1511</v>
      </c>
      <c r="T226" s="159" t="s">
        <v>1680</v>
      </c>
      <c r="U226" s="159" t="s">
        <v>1681</v>
      </c>
      <c r="V226" s="209" t="s">
        <v>1682</v>
      </c>
      <c r="W226" s="152">
        <v>2006</v>
      </c>
      <c r="X226" s="152">
        <v>4415</v>
      </c>
      <c r="Y226" s="152">
        <f>138+118</f>
        <v>256</v>
      </c>
      <c r="Z226" s="177" t="s">
        <v>311</v>
      </c>
      <c r="AA226" s="177" t="s">
        <v>150</v>
      </c>
      <c r="AB226" s="189">
        <f>30+28+16</f>
        <v>74</v>
      </c>
      <c r="AC226" s="189">
        <f>200+193</f>
        <v>393</v>
      </c>
      <c r="AD226" s="177"/>
      <c r="AE226" s="177"/>
      <c r="AF226" s="177"/>
      <c r="AG226" s="177"/>
      <c r="AH226" s="177"/>
      <c r="AI226" s="177" t="s">
        <v>1683</v>
      </c>
      <c r="AJ226" s="177"/>
      <c r="AK226" s="257">
        <v>1</v>
      </c>
      <c r="AL226" s="273"/>
      <c r="AM226" s="277">
        <f>X226*P3_reinigen_daken_met_vaste_dakveiligheid</f>
        <v>0</v>
      </c>
      <c r="AN226" s="279">
        <f>Y226*P3_reinigen_goten_met_vaste_dakveiligheid</f>
        <v>0</v>
      </c>
      <c r="AO226" s="279">
        <f>(AE226*P3_Reinigen_Lichtkoepel_50X50)+('Perceel 2'!AF226*P3_Reinigen_Lichtkoepel_60x200)+('Perceel 2'!AG226*P3_Reinigen_Lichtkoepel_180x180)+('Perceel 2'!AH226*P3_Reinigen_Lichtstraten_groter_dan_180x180)</f>
        <v>0</v>
      </c>
      <c r="AP226" s="279">
        <f t="shared" si="40"/>
        <v>0</v>
      </c>
      <c r="AQ226" s="305"/>
      <c r="AR226" s="332">
        <f t="shared" si="41"/>
        <v>0</v>
      </c>
      <c r="AS226" s="336">
        <f t="shared" si="37"/>
        <v>256</v>
      </c>
    </row>
    <row r="227" spans="1:45" s="7" customFormat="1" ht="51" hidden="1" x14ac:dyDescent="0.45">
      <c r="A227" s="155"/>
      <c r="B227" s="152">
        <v>3</v>
      </c>
      <c r="C227" s="156" t="s">
        <v>135</v>
      </c>
      <c r="D227" s="156" t="s">
        <v>347</v>
      </c>
      <c r="E227" s="156"/>
      <c r="F227" s="156"/>
      <c r="G227" s="156"/>
      <c r="H227" s="151" t="s">
        <v>1684</v>
      </c>
      <c r="I227" s="151" t="s">
        <v>1685</v>
      </c>
      <c r="J227" s="157"/>
      <c r="K227" s="163"/>
      <c r="L227" s="151" t="s">
        <v>348</v>
      </c>
      <c r="M227" s="159" t="s">
        <v>349</v>
      </c>
      <c r="N227" s="160" t="s">
        <v>1686</v>
      </c>
      <c r="O227" s="159" t="s">
        <v>1687</v>
      </c>
      <c r="P227" s="159" t="s">
        <v>1688</v>
      </c>
      <c r="Q227" s="160" t="s">
        <v>1689</v>
      </c>
      <c r="R227" s="53" t="s">
        <v>1679</v>
      </c>
      <c r="S227" s="160" t="s">
        <v>1511</v>
      </c>
      <c r="T227" s="159" t="s">
        <v>1690</v>
      </c>
      <c r="U227" s="159" t="s">
        <v>1691</v>
      </c>
      <c r="V227" s="176" t="s">
        <v>1692</v>
      </c>
      <c r="W227" s="152">
        <v>2003</v>
      </c>
      <c r="X227" s="152">
        <v>1372</v>
      </c>
      <c r="Y227" s="152"/>
      <c r="Z227" s="177"/>
      <c r="AA227" s="177" t="s">
        <v>311</v>
      </c>
      <c r="AB227" s="177"/>
      <c r="AC227" s="177"/>
      <c r="AD227" s="177" t="s">
        <v>1303</v>
      </c>
      <c r="AE227" s="177"/>
      <c r="AF227" s="177"/>
      <c r="AG227" s="177"/>
      <c r="AH227" s="177"/>
      <c r="AI227" s="177"/>
      <c r="AJ227" s="177"/>
      <c r="AK227" s="257">
        <v>1</v>
      </c>
      <c r="AL227" s="271"/>
      <c r="AM227" s="277">
        <f>X227*P3_reinigen_daken_met_vaste_dakveiligheid</f>
        <v>0</v>
      </c>
      <c r="AN227" s="279">
        <f>Y227*P3_reinigen_goten_met_vaste_dakveiligheid</f>
        <v>0</v>
      </c>
      <c r="AO227" s="279">
        <f>(AE227*P3_Reinigen_Lichtkoepel_50X50)+('Perceel 2'!AF227*P3_Reinigen_Lichtkoepel_60x200)+('Perceel 2'!AG227*P3_Reinigen_Lichtkoepel_180x180)+('Perceel 2'!AH227*P3_Reinigen_Lichtstraten_groter_dan_180x180)</f>
        <v>0</v>
      </c>
      <c r="AP227" s="279">
        <f t="shared" si="40"/>
        <v>0</v>
      </c>
      <c r="AQ227" s="305"/>
      <c r="AR227" s="332">
        <f t="shared" si="41"/>
        <v>0</v>
      </c>
      <c r="AS227" s="336">
        <f t="shared" si="37"/>
        <v>0</v>
      </c>
    </row>
    <row r="228" spans="1:45" s="7" customFormat="1" ht="51" hidden="1" x14ac:dyDescent="0.45">
      <c r="A228" s="155"/>
      <c r="B228" s="152">
        <v>3</v>
      </c>
      <c r="C228" s="156" t="s">
        <v>135</v>
      </c>
      <c r="D228" s="156" t="s">
        <v>136</v>
      </c>
      <c r="E228" s="156"/>
      <c r="F228" s="156"/>
      <c r="G228" s="156"/>
      <c r="H228" s="151" t="s">
        <v>1693</v>
      </c>
      <c r="I228" s="151" t="s">
        <v>1694</v>
      </c>
      <c r="J228" s="157"/>
      <c r="K228" s="163"/>
      <c r="L228" s="163" t="s">
        <v>154</v>
      </c>
      <c r="M228" s="166" t="s">
        <v>544</v>
      </c>
      <c r="N228" s="160" t="s">
        <v>1695</v>
      </c>
      <c r="O228" s="159" t="s">
        <v>1696</v>
      </c>
      <c r="P228" s="160" t="s">
        <v>1697</v>
      </c>
      <c r="Q228" s="160" t="s">
        <v>1689</v>
      </c>
      <c r="R228" s="53" t="s">
        <v>1679</v>
      </c>
      <c r="S228" s="160" t="s">
        <v>1511</v>
      </c>
      <c r="T228" s="159" t="s">
        <v>169</v>
      </c>
      <c r="U228" s="159" t="s">
        <v>170</v>
      </c>
      <c r="V228" s="176" t="s">
        <v>171</v>
      </c>
      <c r="W228" s="152">
        <v>2004</v>
      </c>
      <c r="X228" s="152">
        <v>704</v>
      </c>
      <c r="Y228" s="152"/>
      <c r="Z228" s="177"/>
      <c r="AA228" s="177" t="s">
        <v>311</v>
      </c>
      <c r="AB228" s="177"/>
      <c r="AC228" s="177"/>
      <c r="AD228" s="177" t="s">
        <v>1546</v>
      </c>
      <c r="AE228" s="177"/>
      <c r="AF228" s="177"/>
      <c r="AG228" s="177"/>
      <c r="AH228" s="177"/>
      <c r="AI228" s="177"/>
      <c r="AJ228" s="177"/>
      <c r="AK228" s="257">
        <v>1</v>
      </c>
      <c r="AL228" s="271"/>
      <c r="AM228" s="277">
        <f>X228*P3_reinigen_daken_met_vaste_dakveiligheid</f>
        <v>0</v>
      </c>
      <c r="AN228" s="279">
        <f>Y228*P3_reinigen_goten_met_vaste_dakveiligheid</f>
        <v>0</v>
      </c>
      <c r="AO228" s="279">
        <f>(AE228*P3_Reinigen_Lichtkoepel_50X50)+('Perceel 2'!AF228*P3_Reinigen_Lichtkoepel_60x200)+('Perceel 2'!AG228*P3_Reinigen_Lichtkoepel_180x180)+('Perceel 2'!AH228*P3_Reinigen_Lichtstraten_groter_dan_180x180)</f>
        <v>0</v>
      </c>
      <c r="AP228" s="279">
        <f t="shared" si="40"/>
        <v>0</v>
      </c>
      <c r="AQ228" s="305"/>
      <c r="AR228" s="332">
        <f t="shared" si="41"/>
        <v>0</v>
      </c>
      <c r="AS228" s="336">
        <f t="shared" si="37"/>
        <v>0</v>
      </c>
    </row>
    <row r="229" spans="1:45" s="7" customFormat="1" ht="51" hidden="1" x14ac:dyDescent="0.45">
      <c r="A229" s="155"/>
      <c r="B229" s="165">
        <v>3</v>
      </c>
      <c r="C229" s="156" t="s">
        <v>135</v>
      </c>
      <c r="D229" s="156" t="s">
        <v>136</v>
      </c>
      <c r="E229" s="156"/>
      <c r="F229" s="156"/>
      <c r="G229" s="156"/>
      <c r="H229" s="151" t="s">
        <v>1698</v>
      </c>
      <c r="I229" s="151" t="s">
        <v>1699</v>
      </c>
      <c r="J229" s="157"/>
      <c r="K229" s="157"/>
      <c r="L229" s="163" t="s">
        <v>154</v>
      </c>
      <c r="M229" s="166" t="s">
        <v>544</v>
      </c>
      <c r="N229" s="160" t="s">
        <v>1700</v>
      </c>
      <c r="O229" s="159" t="s">
        <v>1701</v>
      </c>
      <c r="P229" s="160" t="s">
        <v>1702</v>
      </c>
      <c r="Q229" s="160" t="s">
        <v>1703</v>
      </c>
      <c r="R229" s="53" t="s">
        <v>1704</v>
      </c>
      <c r="S229" s="160" t="s">
        <v>1511</v>
      </c>
      <c r="T229" s="159" t="s">
        <v>169</v>
      </c>
      <c r="U229" s="159" t="s">
        <v>170</v>
      </c>
      <c r="V229" s="176" t="s">
        <v>171</v>
      </c>
      <c r="W229" s="152">
        <v>1988</v>
      </c>
      <c r="X229" s="152">
        <v>454</v>
      </c>
      <c r="Y229" s="152"/>
      <c r="Z229" s="177"/>
      <c r="AA229" s="177"/>
      <c r="AB229" s="177"/>
      <c r="AC229" s="177"/>
      <c r="AD229" s="177"/>
      <c r="AE229" s="177"/>
      <c r="AF229" s="177"/>
      <c r="AG229" s="177"/>
      <c r="AH229" s="177"/>
      <c r="AI229" s="177"/>
      <c r="AJ229" s="177"/>
      <c r="AK229" s="257">
        <v>1</v>
      </c>
      <c r="AL229" s="271"/>
      <c r="AM229" s="277">
        <f>X229*P3_Reinigen_daken_incl._extra_maatregelen_veilig_werken_volgens_VCA_eventuele_vergunningen_leges_voorrijkosten_adminstratieve_kosten_fotorapportage_en_kleine_reparaties</f>
        <v>0</v>
      </c>
      <c r="AN229" s="279">
        <f>Y229*P3_Reinigen_goten_incl._extra_maatregelen_veilig_werken_volgens_VCA__eventuele_vergunningen_leges___voorrijkosten__adminstratieve_kosten__fotorapportage_en_kleine_reparaties</f>
        <v>0</v>
      </c>
      <c r="AO229" s="279">
        <f>(AE229*P3_Reinigen_Lichtkoepel_50X50)+('Perceel 2'!AF229*P3_Reinigen_Lichtkoepel_60x200)+('Perceel 2'!AG229*P3_Reinigen_Lichtkoepel_180x180)+('Perceel 2'!AH229*P3_Reinigen_Lichtstraten_groter_dan_180x180)</f>
        <v>0</v>
      </c>
      <c r="AP229" s="279">
        <f t="shared" si="40"/>
        <v>0</v>
      </c>
      <c r="AQ229" s="312"/>
      <c r="AR229" s="332">
        <f t="shared" si="41"/>
        <v>0</v>
      </c>
      <c r="AS229" s="336">
        <f t="shared" si="37"/>
        <v>0</v>
      </c>
    </row>
    <row r="230" spans="1:45" s="7" customFormat="1" ht="12.75" hidden="1" customHeight="1" x14ac:dyDescent="0.45">
      <c r="A230" s="155"/>
      <c r="B230" s="152">
        <v>3</v>
      </c>
      <c r="C230" s="156" t="s">
        <v>135</v>
      </c>
      <c r="D230" s="156" t="s">
        <v>136</v>
      </c>
      <c r="E230" s="156"/>
      <c r="F230" s="156"/>
      <c r="G230" s="156"/>
      <c r="H230" s="151" t="s">
        <v>1705</v>
      </c>
      <c r="I230" s="151" t="s">
        <v>1706</v>
      </c>
      <c r="J230" s="157"/>
      <c r="K230" s="163"/>
      <c r="L230" s="151" t="s">
        <v>139</v>
      </c>
      <c r="M230" s="159" t="s">
        <v>140</v>
      </c>
      <c r="N230" s="160" t="s">
        <v>1707</v>
      </c>
      <c r="O230" s="159" t="s">
        <v>1708</v>
      </c>
      <c r="P230" s="159" t="s">
        <v>1709</v>
      </c>
      <c r="Q230" s="160" t="s">
        <v>1710</v>
      </c>
      <c r="R230" s="53" t="s">
        <v>1711</v>
      </c>
      <c r="S230" s="160" t="s">
        <v>1511</v>
      </c>
      <c r="T230" s="159" t="s">
        <v>1712</v>
      </c>
      <c r="U230" s="159" t="s">
        <v>1713</v>
      </c>
      <c r="V230" s="176" t="s">
        <v>1714</v>
      </c>
      <c r="W230" s="152">
        <v>2001</v>
      </c>
      <c r="X230" s="152">
        <v>1840</v>
      </c>
      <c r="Y230" s="152"/>
      <c r="Z230" s="177" t="s">
        <v>311</v>
      </c>
      <c r="AA230" s="177"/>
      <c r="AB230" s="177"/>
      <c r="AC230" s="177"/>
      <c r="AD230" s="177"/>
      <c r="AE230" s="177"/>
      <c r="AF230" s="177"/>
      <c r="AG230" s="177"/>
      <c r="AH230" s="177"/>
      <c r="AI230" s="177"/>
      <c r="AJ230" s="177"/>
      <c r="AK230" s="257">
        <v>1</v>
      </c>
      <c r="AL230" s="271"/>
      <c r="AM230" s="277">
        <f>X230*P3_Reinigen_daken_incl._extra_maatregelen_veilig_werken_volgens_VCA_eventuele_vergunningen_leges_voorrijkosten_adminstratieve_kosten_fotorapportage_en_kleine_reparaties</f>
        <v>0</v>
      </c>
      <c r="AN230" s="279">
        <f>Y230*P3_Reinigen_goten_incl._extra_maatregelen_veilig_werken_volgens_VCA__eventuele_vergunningen_leges___voorrijkosten__adminstratieve_kosten__fotorapportage_en_kleine_reparaties</f>
        <v>0</v>
      </c>
      <c r="AO230" s="279">
        <f>(AE230*P3_Reinigen_Lichtkoepel_50X50)+('Perceel 2'!AF230*P3_Reinigen_Lichtkoepel_60x200)+('Perceel 2'!AG230*P3_Reinigen_Lichtkoepel_180x180)+('Perceel 2'!AH230*P3_Reinigen_Lichtstraten_groter_dan_180x180)</f>
        <v>0</v>
      </c>
      <c r="AP230" s="279">
        <f t="shared" si="40"/>
        <v>0</v>
      </c>
      <c r="AQ230" s="312"/>
      <c r="AR230" s="332">
        <f t="shared" si="41"/>
        <v>0</v>
      </c>
      <c r="AS230" s="336">
        <f t="shared" si="37"/>
        <v>0</v>
      </c>
    </row>
    <row r="231" spans="1:45" s="7" customFormat="1" ht="12.75" hidden="1" customHeight="1" x14ac:dyDescent="0.45">
      <c r="A231" s="155"/>
      <c r="B231" s="152">
        <v>3</v>
      </c>
      <c r="C231" s="156" t="s">
        <v>135</v>
      </c>
      <c r="D231" s="156" t="s">
        <v>174</v>
      </c>
      <c r="E231" s="156"/>
      <c r="F231" s="156"/>
      <c r="G231" s="156"/>
      <c r="H231" s="151" t="s">
        <v>1715</v>
      </c>
      <c r="I231" s="151" t="s">
        <v>1716</v>
      </c>
      <c r="J231" s="157"/>
      <c r="K231" s="163"/>
      <c r="L231" s="151" t="s">
        <v>348</v>
      </c>
      <c r="M231" s="159" t="s">
        <v>349</v>
      </c>
      <c r="N231" s="160" t="s">
        <v>1717</v>
      </c>
      <c r="O231" s="159" t="s">
        <v>1718</v>
      </c>
      <c r="P231" s="159" t="s">
        <v>1719</v>
      </c>
      <c r="Q231" s="160" t="s">
        <v>1720</v>
      </c>
      <c r="R231" s="53" t="s">
        <v>1721</v>
      </c>
      <c r="S231" s="160" t="s">
        <v>1511</v>
      </c>
      <c r="T231" s="159" t="s">
        <v>1722</v>
      </c>
      <c r="U231" s="159" t="s">
        <v>1723</v>
      </c>
      <c r="V231" s="176" t="s">
        <v>1724</v>
      </c>
      <c r="W231" s="152">
        <v>1984</v>
      </c>
      <c r="X231" s="152">
        <v>1401</v>
      </c>
      <c r="Y231" s="152"/>
      <c r="Z231" s="177"/>
      <c r="AA231" s="177"/>
      <c r="AB231" s="177"/>
      <c r="AC231" s="177"/>
      <c r="AD231" s="177"/>
      <c r="AE231" s="177"/>
      <c r="AF231" s="177"/>
      <c r="AG231" s="177"/>
      <c r="AH231" s="177"/>
      <c r="AI231" s="177"/>
      <c r="AJ231" s="177"/>
      <c r="AK231" s="257">
        <v>1</v>
      </c>
      <c r="AL231" s="271"/>
      <c r="AM231" s="277">
        <f>X231*P3_Reinigen_daken_incl._extra_maatregelen_veilig_werken_volgens_VCA_eventuele_vergunningen_leges_voorrijkosten_adminstratieve_kosten_fotorapportage_en_kleine_reparaties</f>
        <v>0</v>
      </c>
      <c r="AN231" s="279">
        <f>Y231*P3_Reinigen_goten_incl._extra_maatregelen_veilig_werken_volgens_VCA__eventuele_vergunningen_leges___voorrijkosten__adminstratieve_kosten__fotorapportage_en_kleine_reparaties</f>
        <v>0</v>
      </c>
      <c r="AO231" s="279">
        <f>(AE231*P3_Reinigen_Lichtkoepel_50X50)+('Perceel 2'!AF231*P3_Reinigen_Lichtkoepel_60x200)+('Perceel 2'!AG231*P3_Reinigen_Lichtkoepel_180x180)+('Perceel 2'!AH231*P3_Reinigen_Lichtstraten_groter_dan_180x180)</f>
        <v>0</v>
      </c>
      <c r="AP231" s="279">
        <f t="shared" si="40"/>
        <v>0</v>
      </c>
      <c r="AQ231" s="312"/>
      <c r="AR231" s="332">
        <f t="shared" si="41"/>
        <v>0</v>
      </c>
      <c r="AS231" s="336">
        <f t="shared" si="37"/>
        <v>0</v>
      </c>
    </row>
    <row r="232" spans="1:45" s="7" customFormat="1" ht="25.5" hidden="1" x14ac:dyDescent="0.45">
      <c r="A232" s="155"/>
      <c r="B232" s="152">
        <v>3</v>
      </c>
      <c r="C232" s="156" t="s">
        <v>135</v>
      </c>
      <c r="D232" s="156" t="s">
        <v>136</v>
      </c>
      <c r="E232" s="156"/>
      <c r="F232" s="156"/>
      <c r="G232" s="156"/>
      <c r="H232" s="151" t="s">
        <v>1725</v>
      </c>
      <c r="I232" s="151" t="s">
        <v>1726</v>
      </c>
      <c r="J232" s="157"/>
      <c r="K232" s="163"/>
      <c r="L232" s="163" t="s">
        <v>154</v>
      </c>
      <c r="M232" s="166" t="s">
        <v>544</v>
      </c>
      <c r="N232" s="164">
        <v>2365</v>
      </c>
      <c r="O232" s="159" t="s">
        <v>1727</v>
      </c>
      <c r="P232" s="159" t="s">
        <v>1728</v>
      </c>
      <c r="Q232" s="159" t="s">
        <v>1729</v>
      </c>
      <c r="R232" s="42" t="s">
        <v>1608</v>
      </c>
      <c r="S232" s="159" t="s">
        <v>1511</v>
      </c>
      <c r="T232" s="159" t="s">
        <v>1730</v>
      </c>
      <c r="U232" s="242" t="s">
        <v>1731</v>
      </c>
      <c r="V232" s="243" t="s">
        <v>1732</v>
      </c>
      <c r="W232" s="152">
        <v>2017</v>
      </c>
      <c r="X232" s="152">
        <v>894</v>
      </c>
      <c r="Y232" s="152"/>
      <c r="Z232" s="177"/>
      <c r="AA232" s="177" t="s">
        <v>150</v>
      </c>
      <c r="AB232" s="177">
        <v>7</v>
      </c>
      <c r="AC232" s="177">
        <v>55</v>
      </c>
      <c r="AD232" s="177"/>
      <c r="AE232" s="177"/>
      <c r="AF232" s="177"/>
      <c r="AG232" s="177"/>
      <c r="AH232" s="177"/>
      <c r="AI232" s="177" t="s">
        <v>1065</v>
      </c>
      <c r="AJ232" s="177"/>
      <c r="AK232" s="257">
        <v>1</v>
      </c>
      <c r="AL232" s="271"/>
      <c r="AM232" s="277">
        <f>X232*P3_reinigen_daken_met_vaste_dakveiligheid</f>
        <v>0</v>
      </c>
      <c r="AN232" s="279">
        <f>Y232*P3_reinigen_goten_met_vaste_dakveiligheid</f>
        <v>0</v>
      </c>
      <c r="AO232" s="279">
        <f>(AE232*P3_Reinigen_Lichtkoepel_50X50)+('Perceel 2'!AF232*P3_Reinigen_Lichtkoepel_60x200)+('Perceel 2'!AG232*P3_Reinigen_Lichtkoepel_180x180)+('Perceel 2'!AH232*P3_Reinigen_Lichtstraten_groter_dan_180x180)</f>
        <v>0</v>
      </c>
      <c r="AP232" s="279">
        <f t="shared" si="40"/>
        <v>0</v>
      </c>
      <c r="AQ232" s="305"/>
      <c r="AR232" s="332">
        <f t="shared" si="41"/>
        <v>0</v>
      </c>
      <c r="AS232" s="336">
        <f t="shared" si="37"/>
        <v>0</v>
      </c>
    </row>
    <row r="233" spans="1:45" s="7" customFormat="1" ht="25.5" hidden="1" customHeight="1" x14ac:dyDescent="0.45">
      <c r="A233" s="155"/>
      <c r="B233" s="152">
        <v>3</v>
      </c>
      <c r="C233" s="156" t="s">
        <v>135</v>
      </c>
      <c r="D233" s="156" t="s">
        <v>136</v>
      </c>
      <c r="E233" s="156"/>
      <c r="F233" s="156"/>
      <c r="G233" s="156"/>
      <c r="H233" s="151" t="s">
        <v>1733</v>
      </c>
      <c r="I233" s="151" t="s">
        <v>1734</v>
      </c>
      <c r="J233" s="157"/>
      <c r="K233" s="163"/>
      <c r="L233" s="151" t="s">
        <v>139</v>
      </c>
      <c r="M233" s="159" t="s">
        <v>140</v>
      </c>
      <c r="N233" s="160" t="s">
        <v>1735</v>
      </c>
      <c r="O233" s="159" t="s">
        <v>1736</v>
      </c>
      <c r="P233" s="159" t="s">
        <v>1737</v>
      </c>
      <c r="Q233" s="160" t="s">
        <v>1720</v>
      </c>
      <c r="R233" s="53" t="s">
        <v>1721</v>
      </c>
      <c r="S233" s="160" t="s">
        <v>1511</v>
      </c>
      <c r="T233" s="159" t="s">
        <v>1738</v>
      </c>
      <c r="U233" s="159" t="s">
        <v>1739</v>
      </c>
      <c r="V233" s="176" t="s">
        <v>1740</v>
      </c>
      <c r="W233" s="152" t="s">
        <v>1741</v>
      </c>
      <c r="X233" s="152">
        <v>778</v>
      </c>
      <c r="Y233" s="152"/>
      <c r="Z233" s="177" t="s">
        <v>311</v>
      </c>
      <c r="AA233" s="177"/>
      <c r="AB233" s="177"/>
      <c r="AC233" s="177"/>
      <c r="AD233" s="177"/>
      <c r="AE233" s="177"/>
      <c r="AF233" s="177"/>
      <c r="AG233" s="177"/>
      <c r="AH233" s="177"/>
      <c r="AI233" s="177"/>
      <c r="AJ233" s="177"/>
      <c r="AK233" s="257">
        <v>1</v>
      </c>
      <c r="AL233" s="271"/>
      <c r="AM233" s="277">
        <f>X233*P3_Reinigen_daken_incl._extra_maatregelen_veilig_werken_volgens_VCA_eventuele_vergunningen_leges_voorrijkosten_adminstratieve_kosten_fotorapportage_en_kleine_reparaties</f>
        <v>0</v>
      </c>
      <c r="AN233" s="279">
        <f>Y233*P3_Reinigen_goten_incl._extra_maatregelen_veilig_werken_volgens_VCA__eventuele_vergunningen_leges___voorrijkosten__adminstratieve_kosten__fotorapportage_en_kleine_reparaties</f>
        <v>0</v>
      </c>
      <c r="AO233" s="279">
        <f>(AE233*P3_Reinigen_Lichtkoepel_50X50)+('Perceel 2'!AF233*P3_Reinigen_Lichtkoepel_60x200)+('Perceel 2'!AG233*P3_Reinigen_Lichtkoepel_180x180)+('Perceel 2'!AH233*P3_Reinigen_Lichtstraten_groter_dan_180x180)</f>
        <v>0</v>
      </c>
      <c r="AP233" s="279">
        <f t="shared" si="40"/>
        <v>0</v>
      </c>
      <c r="AQ233" s="312"/>
      <c r="AR233" s="332">
        <f t="shared" si="41"/>
        <v>0</v>
      </c>
      <c r="AS233" s="336">
        <f t="shared" si="37"/>
        <v>0</v>
      </c>
    </row>
    <row r="234" spans="1:45" s="7" customFormat="1" ht="25.5" hidden="1" customHeight="1" x14ac:dyDescent="0.45">
      <c r="A234" s="161"/>
      <c r="B234" s="152">
        <v>3</v>
      </c>
      <c r="C234" s="156" t="s">
        <v>135</v>
      </c>
      <c r="D234" s="156" t="s">
        <v>1391</v>
      </c>
      <c r="E234" s="156"/>
      <c r="F234" s="156"/>
      <c r="G234" s="156"/>
      <c r="H234" s="151" t="s">
        <v>1742</v>
      </c>
      <c r="I234" s="163" t="s">
        <v>1743</v>
      </c>
      <c r="J234" s="157"/>
      <c r="K234" s="163"/>
      <c r="L234" s="163" t="s">
        <v>154</v>
      </c>
      <c r="M234" s="166" t="s">
        <v>155</v>
      </c>
      <c r="N234" s="164">
        <v>1278</v>
      </c>
      <c r="O234" s="159" t="s">
        <v>1744</v>
      </c>
      <c r="P234" s="159" t="s">
        <v>1745</v>
      </c>
      <c r="Q234" s="159" t="s">
        <v>1746</v>
      </c>
      <c r="R234" s="42" t="s">
        <v>1704</v>
      </c>
      <c r="S234" s="159" t="s">
        <v>1511</v>
      </c>
      <c r="T234" s="159" t="s">
        <v>1561</v>
      </c>
      <c r="U234" s="159" t="s">
        <v>1562</v>
      </c>
      <c r="V234" s="176" t="s">
        <v>1563</v>
      </c>
      <c r="W234" s="152">
        <v>1990</v>
      </c>
      <c r="X234" s="152">
        <f>251+817</f>
        <v>1068</v>
      </c>
      <c r="Y234" s="152"/>
      <c r="Z234" s="177"/>
      <c r="AA234" s="177"/>
      <c r="AB234" s="177"/>
      <c r="AC234" s="177"/>
      <c r="AD234" s="177"/>
      <c r="AE234" s="177"/>
      <c r="AF234" s="177"/>
      <c r="AG234" s="177"/>
      <c r="AH234" s="177"/>
      <c r="AI234" s="177"/>
      <c r="AJ234" s="177"/>
      <c r="AK234" s="177">
        <v>1</v>
      </c>
      <c r="AL234" s="276"/>
      <c r="AM234" s="277">
        <f>X234*P3_Reinigen_daken_incl._extra_maatregelen_veilig_werken_volgens_VCA_eventuele_vergunningen_leges_voorrijkosten_adminstratieve_kosten_fotorapportage_en_kleine_reparaties</f>
        <v>0</v>
      </c>
      <c r="AN234" s="279">
        <f>Y234*P3_Reinigen_goten_incl._extra_maatregelen_veilig_werken_volgens_VCA__eventuele_vergunningen_leges___voorrijkosten__adminstratieve_kosten__fotorapportage_en_kleine_reparaties</f>
        <v>0</v>
      </c>
      <c r="AO234" s="279">
        <f>(AE234*P3_Reinigen_Lichtkoepel_50X50)+('Perceel 2'!AF234*P3_Reinigen_Lichtkoepel_60x200)+('Perceel 2'!AG234*P3_Reinigen_Lichtkoepel_180x180)+('Perceel 2'!AH234*P3_Reinigen_Lichtstraten_groter_dan_180x180)</f>
        <v>0</v>
      </c>
      <c r="AP234" s="279">
        <f t="shared" si="40"/>
        <v>0</v>
      </c>
      <c r="AQ234" s="312"/>
      <c r="AR234" s="332">
        <f t="shared" si="41"/>
        <v>0</v>
      </c>
      <c r="AS234" s="336">
        <f t="shared" si="37"/>
        <v>0</v>
      </c>
    </row>
    <row r="235" spans="1:45" s="7" customFormat="1" ht="51" hidden="1" x14ac:dyDescent="0.45">
      <c r="A235" s="155"/>
      <c r="B235" s="152">
        <v>3</v>
      </c>
      <c r="C235" s="156" t="s">
        <v>135</v>
      </c>
      <c r="D235" s="156" t="s">
        <v>136</v>
      </c>
      <c r="E235" s="156"/>
      <c r="F235" s="156"/>
      <c r="G235" s="156"/>
      <c r="H235" s="151" t="s">
        <v>1747</v>
      </c>
      <c r="I235" s="151" t="s">
        <v>1748</v>
      </c>
      <c r="J235" s="157"/>
      <c r="K235" s="163"/>
      <c r="L235" s="163" t="s">
        <v>154</v>
      </c>
      <c r="M235" s="166" t="s">
        <v>544</v>
      </c>
      <c r="N235" s="164">
        <v>1175</v>
      </c>
      <c r="O235" s="159" t="s">
        <v>1749</v>
      </c>
      <c r="P235" s="159" t="s">
        <v>1750</v>
      </c>
      <c r="Q235" s="159"/>
      <c r="R235" s="42" t="s">
        <v>1704</v>
      </c>
      <c r="S235" s="159" t="s">
        <v>1511</v>
      </c>
      <c r="T235" s="159" t="s">
        <v>169</v>
      </c>
      <c r="U235" s="159" t="s">
        <v>170</v>
      </c>
      <c r="V235" s="176" t="s">
        <v>171</v>
      </c>
      <c r="W235" s="152">
        <v>1994</v>
      </c>
      <c r="X235" s="152">
        <v>454</v>
      </c>
      <c r="Y235" s="152"/>
      <c r="Z235" s="177"/>
      <c r="AA235" s="177"/>
      <c r="AB235" s="177"/>
      <c r="AC235" s="177"/>
      <c r="AD235" s="177"/>
      <c r="AE235" s="177"/>
      <c r="AF235" s="177"/>
      <c r="AG235" s="177"/>
      <c r="AH235" s="177"/>
      <c r="AI235" s="177"/>
      <c r="AJ235" s="177"/>
      <c r="AK235" s="177">
        <v>1</v>
      </c>
      <c r="AL235" s="276"/>
      <c r="AM235" s="277">
        <f>X235*P3_Reinigen_daken_incl._extra_maatregelen_veilig_werken_volgens_VCA_eventuele_vergunningen_leges_voorrijkosten_adminstratieve_kosten_fotorapportage_en_kleine_reparaties</f>
        <v>0</v>
      </c>
      <c r="AN235" s="279">
        <f>Y235*P3_Reinigen_goten_incl._extra_maatregelen_veilig_werken_volgens_VCA__eventuele_vergunningen_leges___voorrijkosten__adminstratieve_kosten__fotorapportage_en_kleine_reparaties</f>
        <v>0</v>
      </c>
      <c r="AO235" s="279">
        <f>(AE235*P3_Reinigen_Lichtkoepel_50X50)+('Perceel 2'!AF235*P3_Reinigen_Lichtkoepel_60x200)+('Perceel 2'!AG235*P3_Reinigen_Lichtkoepel_180x180)+('Perceel 2'!AH235*P3_Reinigen_Lichtstraten_groter_dan_180x180)</f>
        <v>0</v>
      </c>
      <c r="AP235" s="279">
        <f t="shared" si="40"/>
        <v>0</v>
      </c>
      <c r="AQ235" s="312"/>
      <c r="AR235" s="332">
        <f t="shared" si="41"/>
        <v>0</v>
      </c>
      <c r="AS235" s="336">
        <f t="shared" si="37"/>
        <v>0</v>
      </c>
    </row>
    <row r="236" spans="1:45" s="7" customFormat="1" ht="37.5" hidden="1" customHeight="1" x14ac:dyDescent="0.45">
      <c r="A236" s="155"/>
      <c r="B236" s="152">
        <v>3</v>
      </c>
      <c r="C236" s="156" t="s">
        <v>135</v>
      </c>
      <c r="D236" s="156" t="s">
        <v>136</v>
      </c>
      <c r="E236" s="156"/>
      <c r="F236" s="156"/>
      <c r="G236" s="156"/>
      <c r="H236" s="151" t="s">
        <v>1751</v>
      </c>
      <c r="I236" s="151" t="s">
        <v>1752</v>
      </c>
      <c r="J236" s="157"/>
      <c r="K236" s="163"/>
      <c r="L236" s="163" t="s">
        <v>154</v>
      </c>
      <c r="M236" s="166" t="s">
        <v>544</v>
      </c>
      <c r="N236" s="159" t="s">
        <v>1753</v>
      </c>
      <c r="O236" s="159" t="s">
        <v>1754</v>
      </c>
      <c r="P236" s="160" t="s">
        <v>1755</v>
      </c>
      <c r="Q236" s="160" t="s">
        <v>1756</v>
      </c>
      <c r="R236" s="53" t="s">
        <v>942</v>
      </c>
      <c r="S236" s="160" t="s">
        <v>340</v>
      </c>
      <c r="T236" s="159" t="s">
        <v>1757</v>
      </c>
      <c r="U236" s="159" t="s">
        <v>1758</v>
      </c>
      <c r="V236" s="176" t="s">
        <v>1759</v>
      </c>
      <c r="W236" s="152">
        <v>2002</v>
      </c>
      <c r="X236" s="152">
        <v>875</v>
      </c>
      <c r="Y236" s="152"/>
      <c r="Z236" s="177" t="s">
        <v>135</v>
      </c>
      <c r="AA236" s="177" t="s">
        <v>150</v>
      </c>
      <c r="AB236" s="177">
        <f>11+7</f>
        <v>18</v>
      </c>
      <c r="AC236" s="177">
        <f>75+51</f>
        <v>126</v>
      </c>
      <c r="AD236" s="177" t="s">
        <v>1760</v>
      </c>
      <c r="AE236" s="177"/>
      <c r="AF236" s="177"/>
      <c r="AG236" s="177"/>
      <c r="AH236" s="177"/>
      <c r="AI236" s="177"/>
      <c r="AJ236" s="177"/>
      <c r="AK236" s="257">
        <v>1</v>
      </c>
      <c r="AL236" s="273"/>
      <c r="AM236" s="277">
        <f>X236*P3_reinigen_daken_met_vaste_dakveiligheid</f>
        <v>0</v>
      </c>
      <c r="AN236" s="279">
        <f>Y236*P3_reinigen_goten_met_vaste_dakveiligheid</f>
        <v>0</v>
      </c>
      <c r="AO236" s="279">
        <f>(AE236*P3_Reinigen_Lichtkoepel_50X50)+('Perceel 2'!AF236*P3_Reinigen_Lichtkoepel_60x200)+('Perceel 2'!AG236*P3_Reinigen_Lichtkoepel_180x180)+('Perceel 2'!AH236*P3_Reinigen_Lichtstraten_groter_dan_180x180)</f>
        <v>0</v>
      </c>
      <c r="AP236" s="279">
        <f t="shared" si="40"/>
        <v>0</v>
      </c>
      <c r="AQ236" s="305"/>
      <c r="AR236" s="332">
        <f t="shared" si="41"/>
        <v>0</v>
      </c>
      <c r="AS236" s="336">
        <f t="shared" si="37"/>
        <v>0</v>
      </c>
    </row>
    <row r="237" spans="1:45" s="7" customFormat="1" ht="50.1" hidden="1" customHeight="1" x14ac:dyDescent="0.45">
      <c r="A237" s="155"/>
      <c r="B237" s="152">
        <v>3</v>
      </c>
      <c r="C237" s="156" t="s">
        <v>135</v>
      </c>
      <c r="D237" s="156" t="s">
        <v>136</v>
      </c>
      <c r="E237" s="156"/>
      <c r="F237" s="156"/>
      <c r="G237" s="156"/>
      <c r="H237" s="203" t="s">
        <v>1761</v>
      </c>
      <c r="I237" s="151" t="s">
        <v>1762</v>
      </c>
      <c r="J237" s="157"/>
      <c r="K237" s="163"/>
      <c r="L237" s="163" t="s">
        <v>154</v>
      </c>
      <c r="M237" s="166" t="s">
        <v>544</v>
      </c>
      <c r="N237" s="164">
        <v>2364</v>
      </c>
      <c r="O237" s="159" t="s">
        <v>1763</v>
      </c>
      <c r="P237" s="159" t="s">
        <v>1764</v>
      </c>
      <c r="Q237" s="159" t="s">
        <v>1756</v>
      </c>
      <c r="R237" s="42" t="s">
        <v>942</v>
      </c>
      <c r="S237" s="159" t="s">
        <v>340</v>
      </c>
      <c r="T237" s="159" t="s">
        <v>1765</v>
      </c>
      <c r="U237" s="159" t="s">
        <v>1766</v>
      </c>
      <c r="V237" s="176" t="s">
        <v>1767</v>
      </c>
      <c r="W237" s="152">
        <v>2014</v>
      </c>
      <c r="X237" s="152">
        <v>520</v>
      </c>
      <c r="Y237" s="152"/>
      <c r="Z237" s="189"/>
      <c r="AA237" s="177" t="s">
        <v>150</v>
      </c>
      <c r="AB237" s="177">
        <v>18</v>
      </c>
      <c r="AC237" s="177">
        <v>87</v>
      </c>
      <c r="AD237" s="177" t="s">
        <v>1016</v>
      </c>
      <c r="AE237" s="177"/>
      <c r="AF237" s="177"/>
      <c r="AG237" s="177"/>
      <c r="AH237" s="177"/>
      <c r="AI237" s="177"/>
      <c r="AJ237" s="177"/>
      <c r="AK237" s="257">
        <v>1</v>
      </c>
      <c r="AL237" s="271"/>
      <c r="AM237" s="277">
        <f>X237*P3_reinigen_daken_met_vaste_dakveiligheid</f>
        <v>0</v>
      </c>
      <c r="AN237" s="279">
        <f>Y237*P3_reinigen_goten_met_vaste_dakveiligheid</f>
        <v>0</v>
      </c>
      <c r="AO237" s="279">
        <f>(AE237*P3_Reinigen_Lichtkoepel_50X50)+('Perceel 2'!AF237*P3_Reinigen_Lichtkoepel_60x200)+('Perceel 2'!AG237*P3_Reinigen_Lichtkoepel_180x180)+('Perceel 2'!AH237*P3_Reinigen_Lichtstraten_groter_dan_180x180)</f>
        <v>0</v>
      </c>
      <c r="AP237" s="279">
        <f t="shared" si="40"/>
        <v>0</v>
      </c>
      <c r="AQ237" s="305"/>
      <c r="AR237" s="332">
        <f t="shared" si="41"/>
        <v>0</v>
      </c>
      <c r="AS237" s="336">
        <f t="shared" si="37"/>
        <v>0</v>
      </c>
    </row>
    <row r="238" spans="1:45" s="7" customFormat="1" ht="38.25" hidden="1" x14ac:dyDescent="0.45">
      <c r="A238" s="155"/>
      <c r="B238" s="152">
        <v>3</v>
      </c>
      <c r="C238" s="156" t="s">
        <v>135</v>
      </c>
      <c r="D238" s="156" t="s">
        <v>136</v>
      </c>
      <c r="E238" s="156"/>
      <c r="F238" s="156"/>
      <c r="G238" s="156"/>
      <c r="H238" s="162" t="s">
        <v>1768</v>
      </c>
      <c r="I238" s="162" t="s">
        <v>1769</v>
      </c>
      <c r="J238" s="157"/>
      <c r="K238" s="163"/>
      <c r="L238" s="163" t="s">
        <v>191</v>
      </c>
      <c r="M238" s="166" t="s">
        <v>890</v>
      </c>
      <c r="N238" s="224" t="s">
        <v>1770</v>
      </c>
      <c r="O238" s="159" t="s">
        <v>1771</v>
      </c>
      <c r="P238" s="159" t="s">
        <v>1772</v>
      </c>
      <c r="Q238" s="159" t="s">
        <v>1773</v>
      </c>
      <c r="R238" s="42" t="s">
        <v>1544</v>
      </c>
      <c r="S238" s="159" t="s">
        <v>1511</v>
      </c>
      <c r="T238" s="159" t="s">
        <v>198</v>
      </c>
      <c r="U238" s="159" t="s">
        <v>896</v>
      </c>
      <c r="V238" s="209" t="s">
        <v>200</v>
      </c>
      <c r="W238" s="152">
        <v>2011</v>
      </c>
      <c r="X238" s="152">
        <v>47</v>
      </c>
      <c r="Y238" s="152"/>
      <c r="Z238" s="177"/>
      <c r="AA238" s="177"/>
      <c r="AB238" s="177"/>
      <c r="AC238" s="177"/>
      <c r="AD238" s="177"/>
      <c r="AE238" s="177"/>
      <c r="AF238" s="177"/>
      <c r="AG238" s="177"/>
      <c r="AH238" s="177"/>
      <c r="AI238" s="177"/>
      <c r="AJ238" s="177"/>
      <c r="AK238" s="177">
        <v>1</v>
      </c>
      <c r="AL238" s="272" t="s">
        <v>201</v>
      </c>
      <c r="AM238" s="277">
        <f t="shared" ref="AM238:AM244" si="42">X238*P3_Reinigen_daken_incl._extra_maatregelen_veilig_werken_volgens_VCA_eventuele_vergunningen_leges_voorrijkosten_adminstratieve_kosten_fotorapportage_en_kleine_reparaties</f>
        <v>0</v>
      </c>
      <c r="AN238" s="279">
        <f t="shared" ref="AN238:AN244" si="43">Y238*P3_Reinigen_goten_incl._extra_maatregelen_veilig_werken_volgens_VCA__eventuele_vergunningen_leges___voorrijkosten__adminstratieve_kosten__fotorapportage_en_kleine_reparaties</f>
        <v>0</v>
      </c>
      <c r="AO238" s="279">
        <f>(AE238*P3_Reinigen_Lichtkoepel_50X50)+('Perceel 2'!AF238*P3_Reinigen_Lichtkoepel_60x200)+('Perceel 2'!AG238*P3_Reinigen_Lichtkoepel_180x180)+('Perceel 2'!AH238*P3_Reinigen_Lichtstraten_groter_dan_180x180)</f>
        <v>0</v>
      </c>
      <c r="AP238" s="279">
        <f t="shared" si="40"/>
        <v>0</v>
      </c>
      <c r="AQ238" s="312"/>
      <c r="AR238" s="332">
        <f t="shared" si="41"/>
        <v>0</v>
      </c>
      <c r="AS238" s="336">
        <f t="shared" si="37"/>
        <v>0</v>
      </c>
    </row>
    <row r="239" spans="1:45" s="7" customFormat="1" ht="38.25" hidden="1" x14ac:dyDescent="0.45">
      <c r="A239" s="155"/>
      <c r="B239" s="152">
        <v>3</v>
      </c>
      <c r="C239" s="156" t="s">
        <v>135</v>
      </c>
      <c r="D239" s="156" t="s">
        <v>136</v>
      </c>
      <c r="E239" s="156"/>
      <c r="F239" s="156"/>
      <c r="G239" s="156"/>
      <c r="H239" s="162" t="s">
        <v>1774</v>
      </c>
      <c r="I239" s="162" t="s">
        <v>1775</v>
      </c>
      <c r="J239" s="157"/>
      <c r="K239" s="163"/>
      <c r="L239" s="163" t="s">
        <v>191</v>
      </c>
      <c r="M239" s="166" t="s">
        <v>890</v>
      </c>
      <c r="N239" s="224" t="s">
        <v>1776</v>
      </c>
      <c r="O239" s="159" t="s">
        <v>1777</v>
      </c>
      <c r="P239" s="159" t="s">
        <v>1778</v>
      </c>
      <c r="Q239" s="159" t="s">
        <v>1779</v>
      </c>
      <c r="R239" s="42" t="s">
        <v>1544</v>
      </c>
      <c r="S239" s="159" t="s">
        <v>1511</v>
      </c>
      <c r="T239" s="159" t="s">
        <v>198</v>
      </c>
      <c r="U239" s="159" t="s">
        <v>896</v>
      </c>
      <c r="V239" s="209" t="s">
        <v>200</v>
      </c>
      <c r="W239" s="152">
        <v>2010</v>
      </c>
      <c r="X239" s="152">
        <v>425</v>
      </c>
      <c r="Y239" s="152"/>
      <c r="Z239" s="177"/>
      <c r="AA239" s="177"/>
      <c r="AB239" s="177"/>
      <c r="AC239" s="177"/>
      <c r="AD239" s="177"/>
      <c r="AE239" s="177"/>
      <c r="AF239" s="177"/>
      <c r="AG239" s="177"/>
      <c r="AH239" s="177"/>
      <c r="AI239" s="177"/>
      <c r="AJ239" s="177"/>
      <c r="AK239" s="177">
        <v>1</v>
      </c>
      <c r="AL239" s="272" t="s">
        <v>201</v>
      </c>
      <c r="AM239" s="277">
        <f t="shared" si="42"/>
        <v>0</v>
      </c>
      <c r="AN239" s="279">
        <f t="shared" si="43"/>
        <v>0</v>
      </c>
      <c r="AO239" s="279">
        <f>(AE239*P3_Reinigen_Lichtkoepel_50X50)+('Perceel 2'!AF239*P3_Reinigen_Lichtkoepel_60x200)+('Perceel 2'!AG239*P3_Reinigen_Lichtkoepel_180x180)+('Perceel 2'!AH239*P3_Reinigen_Lichtstraten_groter_dan_180x180)</f>
        <v>0</v>
      </c>
      <c r="AP239" s="279">
        <f t="shared" si="40"/>
        <v>0</v>
      </c>
      <c r="AQ239" s="312"/>
      <c r="AR239" s="332">
        <f t="shared" si="41"/>
        <v>0</v>
      </c>
      <c r="AS239" s="336">
        <f t="shared" si="37"/>
        <v>0</v>
      </c>
    </row>
    <row r="240" spans="1:45" s="7" customFormat="1" ht="38.25" hidden="1" x14ac:dyDescent="0.45">
      <c r="A240" s="155"/>
      <c r="B240" s="152">
        <v>3</v>
      </c>
      <c r="C240" s="156" t="s">
        <v>135</v>
      </c>
      <c r="D240" s="156" t="s">
        <v>136</v>
      </c>
      <c r="E240" s="156"/>
      <c r="F240" s="156"/>
      <c r="G240" s="156"/>
      <c r="H240" s="203" t="s">
        <v>1780</v>
      </c>
      <c r="I240" s="163"/>
      <c r="J240" s="157"/>
      <c r="K240" s="163"/>
      <c r="L240" s="163" t="s">
        <v>191</v>
      </c>
      <c r="M240" s="166" t="s">
        <v>890</v>
      </c>
      <c r="N240" s="224" t="s">
        <v>1781</v>
      </c>
      <c r="O240" s="159" t="s">
        <v>1782</v>
      </c>
      <c r="P240" s="159" t="s">
        <v>1783</v>
      </c>
      <c r="Q240" s="159" t="s">
        <v>1784</v>
      </c>
      <c r="R240" s="42" t="s">
        <v>1544</v>
      </c>
      <c r="S240" s="159" t="s">
        <v>1511</v>
      </c>
      <c r="T240" s="159" t="s">
        <v>198</v>
      </c>
      <c r="U240" s="159" t="s">
        <v>896</v>
      </c>
      <c r="V240" s="209" t="s">
        <v>200</v>
      </c>
      <c r="W240" s="152">
        <v>2010</v>
      </c>
      <c r="X240" s="152">
        <v>715</v>
      </c>
      <c r="Y240" s="152"/>
      <c r="Z240" s="177"/>
      <c r="AA240" s="177"/>
      <c r="AB240" s="177"/>
      <c r="AC240" s="177"/>
      <c r="AD240" s="177"/>
      <c r="AE240" s="177"/>
      <c r="AF240" s="177"/>
      <c r="AG240" s="177"/>
      <c r="AH240" s="177"/>
      <c r="AI240" s="177"/>
      <c r="AJ240" s="177"/>
      <c r="AK240" s="177">
        <v>1</v>
      </c>
      <c r="AL240" s="272" t="s">
        <v>201</v>
      </c>
      <c r="AM240" s="277">
        <f t="shared" si="42"/>
        <v>0</v>
      </c>
      <c r="AN240" s="279">
        <f t="shared" si="43"/>
        <v>0</v>
      </c>
      <c r="AO240" s="279">
        <f>(AE240*P3_Reinigen_Lichtkoepel_50X50)+('Perceel 2'!AF240*P3_Reinigen_Lichtkoepel_60x200)+('Perceel 2'!AG240*P3_Reinigen_Lichtkoepel_180x180)+('Perceel 2'!AH240*P3_Reinigen_Lichtstraten_groter_dan_180x180)</f>
        <v>0</v>
      </c>
      <c r="AP240" s="279">
        <f t="shared" si="40"/>
        <v>0</v>
      </c>
      <c r="AQ240" s="312"/>
      <c r="AR240" s="332">
        <f t="shared" si="41"/>
        <v>0</v>
      </c>
      <c r="AS240" s="336">
        <f t="shared" si="37"/>
        <v>0</v>
      </c>
    </row>
    <row r="241" spans="1:45" s="7" customFormat="1" ht="38.25" hidden="1" x14ac:dyDescent="0.45">
      <c r="A241" s="155"/>
      <c r="B241" s="152">
        <v>3</v>
      </c>
      <c r="C241" s="156" t="s">
        <v>135</v>
      </c>
      <c r="D241" s="156" t="s">
        <v>136</v>
      </c>
      <c r="E241" s="156"/>
      <c r="F241" s="156"/>
      <c r="G241" s="156"/>
      <c r="H241" s="162" t="s">
        <v>1785</v>
      </c>
      <c r="I241" s="162" t="s">
        <v>1786</v>
      </c>
      <c r="J241" s="157"/>
      <c r="K241" s="163"/>
      <c r="L241" s="163" t="s">
        <v>191</v>
      </c>
      <c r="M241" s="166" t="s">
        <v>890</v>
      </c>
      <c r="N241" s="224" t="s">
        <v>1787</v>
      </c>
      <c r="O241" s="159" t="s">
        <v>1788</v>
      </c>
      <c r="P241" s="159" t="s">
        <v>1789</v>
      </c>
      <c r="Q241" s="159" t="s">
        <v>1790</v>
      </c>
      <c r="R241" s="42" t="s">
        <v>1544</v>
      </c>
      <c r="S241" s="159" t="s">
        <v>1511</v>
      </c>
      <c r="T241" s="159" t="s">
        <v>198</v>
      </c>
      <c r="U241" s="159" t="s">
        <v>896</v>
      </c>
      <c r="V241" s="209" t="s">
        <v>200</v>
      </c>
      <c r="W241" s="152">
        <v>2012</v>
      </c>
      <c r="X241" s="152">
        <v>53</v>
      </c>
      <c r="Y241" s="152"/>
      <c r="Z241" s="177"/>
      <c r="AA241" s="177"/>
      <c r="AB241" s="177"/>
      <c r="AC241" s="177"/>
      <c r="AD241" s="177"/>
      <c r="AE241" s="177"/>
      <c r="AF241" s="177"/>
      <c r="AG241" s="177"/>
      <c r="AH241" s="177"/>
      <c r="AI241" s="177"/>
      <c r="AJ241" s="177"/>
      <c r="AK241" s="177">
        <v>1</v>
      </c>
      <c r="AL241" s="272" t="s">
        <v>201</v>
      </c>
      <c r="AM241" s="277">
        <f t="shared" si="42"/>
        <v>0</v>
      </c>
      <c r="AN241" s="279">
        <f t="shared" si="43"/>
        <v>0</v>
      </c>
      <c r="AO241" s="279">
        <f>(AE241*P3_Reinigen_Lichtkoepel_50X50)+('Perceel 2'!AF241*P3_Reinigen_Lichtkoepel_60x200)+('Perceel 2'!AG241*P3_Reinigen_Lichtkoepel_180x180)+('Perceel 2'!AH241*P3_Reinigen_Lichtstraten_groter_dan_180x180)</f>
        <v>0</v>
      </c>
      <c r="AP241" s="279">
        <f t="shared" si="40"/>
        <v>0</v>
      </c>
      <c r="AQ241" s="312"/>
      <c r="AR241" s="332">
        <f t="shared" si="41"/>
        <v>0</v>
      </c>
      <c r="AS241" s="336">
        <f t="shared" si="37"/>
        <v>0</v>
      </c>
    </row>
    <row r="242" spans="1:45" s="7" customFormat="1" hidden="1" x14ac:dyDescent="0.45">
      <c r="A242" s="155"/>
      <c r="B242" s="165">
        <v>3</v>
      </c>
      <c r="C242" s="156" t="s">
        <v>135</v>
      </c>
      <c r="D242" s="156" t="s">
        <v>136</v>
      </c>
      <c r="E242" s="156"/>
      <c r="F242" s="156"/>
      <c r="G242" s="156"/>
      <c r="H242" s="151" t="s">
        <v>1791</v>
      </c>
      <c r="I242" s="151" t="s">
        <v>1792</v>
      </c>
      <c r="J242" s="157"/>
      <c r="K242" s="163"/>
      <c r="L242" s="163" t="s">
        <v>154</v>
      </c>
      <c r="M242" s="163" t="s">
        <v>155</v>
      </c>
      <c r="N242" s="160" t="s">
        <v>1793</v>
      </c>
      <c r="O242" s="159" t="s">
        <v>1794</v>
      </c>
      <c r="P242" s="160" t="s">
        <v>1795</v>
      </c>
      <c r="Q242" s="160" t="s">
        <v>1796</v>
      </c>
      <c r="R242" s="53" t="s">
        <v>1704</v>
      </c>
      <c r="S242" s="160" t="s">
        <v>1511</v>
      </c>
      <c r="T242" s="159" t="s">
        <v>1797</v>
      </c>
      <c r="U242" s="159" t="s">
        <v>1798</v>
      </c>
      <c r="V242" s="176" t="s">
        <v>1799</v>
      </c>
      <c r="W242" s="152">
        <v>1999</v>
      </c>
      <c r="X242" s="152">
        <v>725</v>
      </c>
      <c r="Y242" s="152"/>
      <c r="Z242" s="177"/>
      <c r="AA242" s="177"/>
      <c r="AB242" s="177"/>
      <c r="AC242" s="177"/>
      <c r="AD242" s="177"/>
      <c r="AE242" s="177"/>
      <c r="AF242" s="177"/>
      <c r="AG242" s="177"/>
      <c r="AH242" s="177"/>
      <c r="AI242" s="177"/>
      <c r="AJ242" s="177"/>
      <c r="AK242" s="257">
        <v>1</v>
      </c>
      <c r="AL242" s="273"/>
      <c r="AM242" s="277">
        <f t="shared" si="42"/>
        <v>0</v>
      </c>
      <c r="AN242" s="279">
        <f t="shared" si="43"/>
        <v>0</v>
      </c>
      <c r="AO242" s="279">
        <f>(AE242*P3_Reinigen_Lichtkoepel_50X50)+('Perceel 2'!AF242*P3_Reinigen_Lichtkoepel_60x200)+('Perceel 2'!AG242*P3_Reinigen_Lichtkoepel_180x180)+('Perceel 2'!AH242*P3_Reinigen_Lichtstraten_groter_dan_180x180)</f>
        <v>0</v>
      </c>
      <c r="AP242" s="279">
        <f t="shared" si="40"/>
        <v>0</v>
      </c>
      <c r="AQ242" s="312"/>
      <c r="AR242" s="332">
        <f t="shared" si="41"/>
        <v>0</v>
      </c>
      <c r="AS242" s="336">
        <f t="shared" si="37"/>
        <v>0</v>
      </c>
    </row>
    <row r="243" spans="1:45" s="7" customFormat="1" ht="25.5" hidden="1" customHeight="1" x14ac:dyDescent="0.45">
      <c r="A243" s="155"/>
      <c r="B243" s="152">
        <v>3</v>
      </c>
      <c r="C243" s="156" t="s">
        <v>135</v>
      </c>
      <c r="D243" s="156" t="s">
        <v>174</v>
      </c>
      <c r="E243" s="156"/>
      <c r="F243" s="156"/>
      <c r="G243" s="156"/>
      <c r="H243" s="151" t="s">
        <v>1800</v>
      </c>
      <c r="I243" s="159" t="s">
        <v>1801</v>
      </c>
      <c r="J243" s="157"/>
      <c r="K243" s="163"/>
      <c r="L243" s="151" t="s">
        <v>348</v>
      </c>
      <c r="M243" s="159" t="s">
        <v>349</v>
      </c>
      <c r="N243" s="159" t="s">
        <v>1802</v>
      </c>
      <c r="O243" s="159" t="s">
        <v>1803</v>
      </c>
      <c r="P243" s="159" t="s">
        <v>1804</v>
      </c>
      <c r="Q243" s="159" t="s">
        <v>1805</v>
      </c>
      <c r="R243" s="42" t="s">
        <v>1721</v>
      </c>
      <c r="S243" s="159" t="s">
        <v>1511</v>
      </c>
      <c r="T243" s="159" t="s">
        <v>1806</v>
      </c>
      <c r="U243" s="159" t="s">
        <v>1807</v>
      </c>
      <c r="V243" s="176" t="s">
        <v>1808</v>
      </c>
      <c r="W243" s="152">
        <v>1984</v>
      </c>
      <c r="X243" s="152">
        <v>1195</v>
      </c>
      <c r="Y243" s="152"/>
      <c r="Z243" s="177"/>
      <c r="AA243" s="177"/>
      <c r="AB243" s="177"/>
      <c r="AC243" s="177"/>
      <c r="AD243" s="177"/>
      <c r="AE243" s="177"/>
      <c r="AF243" s="177"/>
      <c r="AG243" s="177"/>
      <c r="AH243" s="177"/>
      <c r="AI243" s="177"/>
      <c r="AJ243" s="177"/>
      <c r="AK243" s="177">
        <v>1</v>
      </c>
      <c r="AL243" s="276"/>
      <c r="AM243" s="277">
        <f t="shared" si="42"/>
        <v>0</v>
      </c>
      <c r="AN243" s="279">
        <f t="shared" si="43"/>
        <v>0</v>
      </c>
      <c r="AO243" s="279">
        <f>(AE243*P3_Reinigen_Lichtkoepel_50X50)+('Perceel 2'!AF243*P3_Reinigen_Lichtkoepel_60x200)+('Perceel 2'!AG243*P3_Reinigen_Lichtkoepel_180x180)+('Perceel 2'!AH243*P3_Reinigen_Lichtstraten_groter_dan_180x180)</f>
        <v>0</v>
      </c>
      <c r="AP243" s="279">
        <f t="shared" si="40"/>
        <v>0</v>
      </c>
      <c r="AQ243" s="312"/>
      <c r="AR243" s="332">
        <f t="shared" si="41"/>
        <v>0</v>
      </c>
      <c r="AS243" s="336">
        <f t="shared" si="37"/>
        <v>0</v>
      </c>
    </row>
    <row r="244" spans="1:45" s="7" customFormat="1" ht="12.75" hidden="1" customHeight="1" x14ac:dyDescent="0.45">
      <c r="A244" s="155"/>
      <c r="B244" s="152">
        <v>3</v>
      </c>
      <c r="C244" s="156" t="s">
        <v>135</v>
      </c>
      <c r="D244" s="156" t="s">
        <v>174</v>
      </c>
      <c r="E244" s="156"/>
      <c r="F244" s="156"/>
      <c r="G244" s="156"/>
      <c r="H244" s="151" t="s">
        <v>1809</v>
      </c>
      <c r="I244" s="151" t="s">
        <v>1810</v>
      </c>
      <c r="J244" s="157"/>
      <c r="K244" s="163"/>
      <c r="L244" s="151" t="s">
        <v>348</v>
      </c>
      <c r="M244" s="159" t="s">
        <v>349</v>
      </c>
      <c r="N244" s="160" t="s">
        <v>1811</v>
      </c>
      <c r="O244" s="159" t="s">
        <v>1812</v>
      </c>
      <c r="P244" s="160" t="s">
        <v>1813</v>
      </c>
      <c r="Q244" s="160" t="s">
        <v>1814</v>
      </c>
      <c r="R244" s="53" t="s">
        <v>1510</v>
      </c>
      <c r="S244" s="160" t="s">
        <v>1511</v>
      </c>
      <c r="T244" s="159" t="s">
        <v>1815</v>
      </c>
      <c r="U244" s="159" t="s">
        <v>1816</v>
      </c>
      <c r="V244" s="176" t="s">
        <v>1817</v>
      </c>
      <c r="W244" s="152" t="s">
        <v>1818</v>
      </c>
      <c r="X244" s="152">
        <v>1130</v>
      </c>
      <c r="Y244" s="152"/>
      <c r="Z244" s="177"/>
      <c r="AA244" s="177"/>
      <c r="AB244" s="177"/>
      <c r="AC244" s="177"/>
      <c r="AD244" s="177"/>
      <c r="AE244" s="177"/>
      <c r="AF244" s="177"/>
      <c r="AG244" s="177"/>
      <c r="AH244" s="177"/>
      <c r="AI244" s="177"/>
      <c r="AJ244" s="177"/>
      <c r="AK244" s="257">
        <v>2</v>
      </c>
      <c r="AL244" s="271"/>
      <c r="AM244" s="277">
        <f t="shared" si="42"/>
        <v>0</v>
      </c>
      <c r="AN244" s="279">
        <f t="shared" si="43"/>
        <v>0</v>
      </c>
      <c r="AO244" s="279">
        <f>(AE244*P3_Reinigen_Lichtkoepel_50X50)+('Perceel 2'!AF244*P3_Reinigen_Lichtkoepel_60x200)+('Perceel 2'!AG244*P3_Reinigen_Lichtkoepel_180x180)+('Perceel 2'!AH244*P3_Reinigen_Lichtstraten_groter_dan_180x180)</f>
        <v>0</v>
      </c>
      <c r="AP244" s="279">
        <f t="shared" si="40"/>
        <v>0</v>
      </c>
      <c r="AQ244" s="312"/>
      <c r="AR244" s="332">
        <f t="shared" si="41"/>
        <v>0</v>
      </c>
      <c r="AS244" s="336">
        <f t="shared" si="37"/>
        <v>0</v>
      </c>
    </row>
    <row r="245" spans="1:45" s="7" customFormat="1" ht="38.450000000000003" hidden="1" customHeight="1" x14ac:dyDescent="0.45">
      <c r="A245" s="155"/>
      <c r="B245" s="152">
        <v>3</v>
      </c>
      <c r="C245" s="156" t="s">
        <v>135</v>
      </c>
      <c r="D245" s="156" t="s">
        <v>174</v>
      </c>
      <c r="E245" s="156"/>
      <c r="F245" s="156"/>
      <c r="G245" s="156"/>
      <c r="H245" s="151" t="s">
        <v>1819</v>
      </c>
      <c r="I245" s="151" t="s">
        <v>1820</v>
      </c>
      <c r="J245" s="157"/>
      <c r="K245" s="163"/>
      <c r="L245" s="151" t="s">
        <v>348</v>
      </c>
      <c r="M245" s="159" t="s">
        <v>349</v>
      </c>
      <c r="N245" s="195">
        <v>1287</v>
      </c>
      <c r="O245" s="159" t="s">
        <v>1821</v>
      </c>
      <c r="P245" s="159" t="s">
        <v>1822</v>
      </c>
      <c r="Q245" s="160" t="s">
        <v>1823</v>
      </c>
      <c r="R245" s="53" t="s">
        <v>1679</v>
      </c>
      <c r="S245" s="160" t="s">
        <v>1511</v>
      </c>
      <c r="T245" s="159" t="s">
        <v>1824</v>
      </c>
      <c r="U245" s="159" t="s">
        <v>1825</v>
      </c>
      <c r="V245" s="176" t="s">
        <v>1826</v>
      </c>
      <c r="W245" s="152">
        <v>2005</v>
      </c>
      <c r="X245" s="152">
        <v>1394</v>
      </c>
      <c r="Y245" s="152"/>
      <c r="Z245" s="177"/>
      <c r="AA245" s="177" t="s">
        <v>150</v>
      </c>
      <c r="AB245" s="177">
        <v>29</v>
      </c>
      <c r="AC245" s="177"/>
      <c r="AD245" s="177"/>
      <c r="AE245" s="177"/>
      <c r="AF245" s="177"/>
      <c r="AG245" s="177"/>
      <c r="AH245" s="177"/>
      <c r="AI245" s="177"/>
      <c r="AJ245" s="177"/>
      <c r="AK245" s="257">
        <v>1</v>
      </c>
      <c r="AL245" s="271"/>
      <c r="AM245" s="277">
        <f>X245*P3_reinigen_daken_met_vaste_dakveiligheid</f>
        <v>0</v>
      </c>
      <c r="AN245" s="279">
        <f>Y245*P3_reinigen_goten_met_vaste_dakveiligheid</f>
        <v>0</v>
      </c>
      <c r="AO245" s="279">
        <f>(AE245*P3_Reinigen_Lichtkoepel_50X50)+('Perceel 2'!AF245*P3_Reinigen_Lichtkoepel_60x200)+('Perceel 2'!AG245*P3_Reinigen_Lichtkoepel_180x180)+('Perceel 2'!AH245*P3_Reinigen_Lichtstraten_groter_dan_180x180)</f>
        <v>0</v>
      </c>
      <c r="AP245" s="279">
        <f t="shared" si="40"/>
        <v>0</v>
      </c>
      <c r="AQ245" s="305"/>
      <c r="AR245" s="332">
        <f t="shared" si="41"/>
        <v>0</v>
      </c>
      <c r="AS245" s="336">
        <f t="shared" si="37"/>
        <v>0</v>
      </c>
    </row>
    <row r="246" spans="1:45" s="7" customFormat="1" ht="25.5" hidden="1" x14ac:dyDescent="0.45">
      <c r="A246" s="155"/>
      <c r="B246" s="152">
        <v>3</v>
      </c>
      <c r="C246" s="156" t="s">
        <v>135</v>
      </c>
      <c r="D246" s="156" t="s">
        <v>136</v>
      </c>
      <c r="E246" s="156"/>
      <c r="F246" s="156"/>
      <c r="G246" s="156"/>
      <c r="H246" s="151" t="s">
        <v>1827</v>
      </c>
      <c r="I246" s="151" t="s">
        <v>1828</v>
      </c>
      <c r="J246" s="157"/>
      <c r="K246" s="163"/>
      <c r="L246" s="151" t="s">
        <v>139</v>
      </c>
      <c r="M246" s="159" t="s">
        <v>140</v>
      </c>
      <c r="N246" s="159" t="s">
        <v>1829</v>
      </c>
      <c r="O246" s="159" t="s">
        <v>1830</v>
      </c>
      <c r="P246" s="159" t="s">
        <v>1831</v>
      </c>
      <c r="Q246" s="160" t="s">
        <v>1832</v>
      </c>
      <c r="R246" s="53" t="s">
        <v>942</v>
      </c>
      <c r="S246" s="160" t="s">
        <v>340</v>
      </c>
      <c r="T246" s="159" t="s">
        <v>1833</v>
      </c>
      <c r="U246" s="159" t="s">
        <v>1834</v>
      </c>
      <c r="V246" s="176" t="s">
        <v>400</v>
      </c>
      <c r="W246" s="152">
        <v>2001</v>
      </c>
      <c r="X246" s="152">
        <v>1076</v>
      </c>
      <c r="Y246" s="152"/>
      <c r="Z246" s="177" t="s">
        <v>311</v>
      </c>
      <c r="AA246" s="177"/>
      <c r="AB246" s="177"/>
      <c r="AC246" s="177"/>
      <c r="AD246" s="177"/>
      <c r="AE246" s="177"/>
      <c r="AF246" s="177"/>
      <c r="AG246" s="177"/>
      <c r="AH246" s="177"/>
      <c r="AI246" s="177"/>
      <c r="AJ246" s="177"/>
      <c r="AK246" s="257">
        <v>1</v>
      </c>
      <c r="AL246" s="271"/>
      <c r="AM246" s="277">
        <f>X246*P3_Reinigen_daken_incl._extra_maatregelen_veilig_werken_volgens_VCA_eventuele_vergunningen_leges_voorrijkosten_adminstratieve_kosten_fotorapportage_en_kleine_reparaties</f>
        <v>0</v>
      </c>
      <c r="AN246" s="279">
        <f>Y246*P3_Reinigen_goten_incl._extra_maatregelen_veilig_werken_volgens_VCA__eventuele_vergunningen_leges___voorrijkosten__adminstratieve_kosten__fotorapportage_en_kleine_reparaties</f>
        <v>0</v>
      </c>
      <c r="AO246" s="279">
        <f>(AE246*P3_Reinigen_Lichtkoepel_50X50)+('Perceel 2'!AF246*P3_Reinigen_Lichtkoepel_60x200)+('Perceel 2'!AG246*P3_Reinigen_Lichtkoepel_180x180)+('Perceel 2'!AH246*P3_Reinigen_Lichtstraten_groter_dan_180x180)</f>
        <v>0</v>
      </c>
      <c r="AP246" s="279">
        <f t="shared" si="40"/>
        <v>0</v>
      </c>
      <c r="AQ246" s="312"/>
      <c r="AR246" s="332">
        <f t="shared" si="41"/>
        <v>0</v>
      </c>
      <c r="AS246" s="336">
        <f t="shared" si="37"/>
        <v>0</v>
      </c>
    </row>
    <row r="247" spans="1:45" s="7" customFormat="1" ht="38.25" hidden="1" x14ac:dyDescent="0.45">
      <c r="A247" s="211"/>
      <c r="B247" s="212">
        <v>3</v>
      </c>
      <c r="C247" s="171" t="s">
        <v>135</v>
      </c>
      <c r="D247" s="171" t="s">
        <v>136</v>
      </c>
      <c r="E247" s="171" t="s">
        <v>174</v>
      </c>
      <c r="F247" s="171"/>
      <c r="G247" s="171"/>
      <c r="H247" s="15"/>
      <c r="I247" s="15"/>
      <c r="J247" s="16"/>
      <c r="K247" s="16"/>
      <c r="L247" s="196" t="s">
        <v>348</v>
      </c>
      <c r="M247" s="171" t="s">
        <v>1621</v>
      </c>
      <c r="N247" s="211" t="s">
        <v>1835</v>
      </c>
      <c r="O247" s="171" t="s">
        <v>1836</v>
      </c>
      <c r="P247" s="171" t="s">
        <v>1837</v>
      </c>
      <c r="Q247" s="211"/>
      <c r="R247" s="58"/>
      <c r="S247" s="211"/>
      <c r="T247" s="171"/>
      <c r="U247" s="171"/>
      <c r="V247" s="171"/>
      <c r="W247" s="211"/>
      <c r="X247" s="261">
        <v>2169</v>
      </c>
      <c r="Y247" s="211"/>
      <c r="Z247" s="171"/>
      <c r="AA247" s="171" t="s">
        <v>150</v>
      </c>
      <c r="AB247" s="171">
        <v>33</v>
      </c>
      <c r="AC247" s="171">
        <v>259</v>
      </c>
      <c r="AD247" s="171"/>
      <c r="AE247" s="171"/>
      <c r="AF247" s="171"/>
      <c r="AG247" s="171"/>
      <c r="AH247" s="171"/>
      <c r="AI247" s="171"/>
      <c r="AJ247" s="171"/>
      <c r="AK247" s="261">
        <v>1</v>
      </c>
      <c r="AL247" s="274"/>
      <c r="AM247" s="277">
        <f>X247*P3_reinigen_daken_met_vaste_dakveiligheid</f>
        <v>0</v>
      </c>
      <c r="AN247" s="279">
        <f>Y247*P3_reinigen_goten_met_vaste_dakveiligheid</f>
        <v>0</v>
      </c>
      <c r="AO247" s="279">
        <f>(AE247*P3_Reinigen_Lichtkoepel_50X50)+('Perceel 2'!AF247*P3_Reinigen_Lichtkoepel_60x200)+('Perceel 2'!AG247*P3_Reinigen_Lichtkoepel_180x180)+('Perceel 2'!AH247*P3_Reinigen_Lichtstraten_groter_dan_180x180)</f>
        <v>0</v>
      </c>
      <c r="AP247" s="279">
        <f t="shared" si="40"/>
        <v>0</v>
      </c>
      <c r="AQ247" s="305"/>
      <c r="AR247" s="332">
        <f t="shared" si="41"/>
        <v>0</v>
      </c>
      <c r="AS247" s="336">
        <f t="shared" si="37"/>
        <v>0</v>
      </c>
    </row>
    <row r="248" spans="1:45" s="7" customFormat="1" ht="76.5" hidden="1" customHeight="1" x14ac:dyDescent="0.45">
      <c r="A248" s="182"/>
      <c r="B248" s="185">
        <v>3</v>
      </c>
      <c r="C248" s="175" t="s">
        <v>135</v>
      </c>
      <c r="D248" s="175" t="s">
        <v>136</v>
      </c>
      <c r="E248" s="175"/>
      <c r="F248" s="175"/>
      <c r="G248" s="175"/>
      <c r="H248" s="174" t="s">
        <v>1838</v>
      </c>
      <c r="I248" s="174" t="s">
        <v>1839</v>
      </c>
      <c r="J248" s="197"/>
      <c r="K248" s="197"/>
      <c r="L248" s="174"/>
      <c r="M248" s="191" t="s">
        <v>544</v>
      </c>
      <c r="N248" s="182">
        <v>1199</v>
      </c>
      <c r="O248" s="175" t="s">
        <v>1840</v>
      </c>
      <c r="P248" s="182" t="s">
        <v>1841</v>
      </c>
      <c r="Q248" s="182" t="s">
        <v>1842</v>
      </c>
      <c r="R248" s="50" t="s">
        <v>1843</v>
      </c>
      <c r="S248" s="182" t="s">
        <v>869</v>
      </c>
      <c r="T248" s="175" t="s">
        <v>169</v>
      </c>
      <c r="U248" s="175" t="s">
        <v>170</v>
      </c>
      <c r="V248" s="175" t="s">
        <v>171</v>
      </c>
      <c r="W248" s="182">
        <v>2016</v>
      </c>
      <c r="X248" s="255">
        <f>X247*32%</f>
        <v>694.08</v>
      </c>
      <c r="Y248" s="182"/>
      <c r="Z248" s="175" t="s">
        <v>311</v>
      </c>
      <c r="AA248" s="175" t="s">
        <v>150</v>
      </c>
      <c r="AB248" s="175"/>
      <c r="AC248" s="175"/>
      <c r="AD248" s="175"/>
      <c r="AE248" s="175"/>
      <c r="AF248" s="175"/>
      <c r="AG248" s="175"/>
      <c r="AH248" s="175"/>
      <c r="AI248" s="175" t="s">
        <v>345</v>
      </c>
      <c r="AJ248" s="175"/>
      <c r="AK248" s="255">
        <v>1</v>
      </c>
      <c r="AL248" s="274"/>
      <c r="AM248" s="277">
        <f>X248*P3_reinigen_daken_met_vaste_dakveiligheid</f>
        <v>0</v>
      </c>
      <c r="AN248" s="279">
        <f>Y248*P3_reinigen_goten_met_vaste_dakveiligheid</f>
        <v>0</v>
      </c>
      <c r="AO248" s="279">
        <f>(AE248*P3_Reinigen_Lichtkoepel_50X50)+('Perceel 2'!AF248*P3_Reinigen_Lichtkoepel_60x200)+('Perceel 2'!AG248*P3_Reinigen_Lichtkoepel_180x180)+('Perceel 2'!AH248*P3_Reinigen_Lichtstraten_groter_dan_180x180)</f>
        <v>0</v>
      </c>
      <c r="AP248" s="279">
        <f t="shared" si="40"/>
        <v>0</v>
      </c>
      <c r="AQ248" s="307">
        <f>AQ247*32%</f>
        <v>0</v>
      </c>
      <c r="AR248" s="332">
        <f t="shared" si="41"/>
        <v>0</v>
      </c>
      <c r="AS248" s="336">
        <f t="shared" si="37"/>
        <v>0</v>
      </c>
    </row>
    <row r="249" spans="1:45" s="7" customFormat="1" ht="38.450000000000003" hidden="1" customHeight="1" x14ac:dyDescent="0.45">
      <c r="A249" s="182"/>
      <c r="B249" s="185">
        <v>3</v>
      </c>
      <c r="C249" s="175" t="s">
        <v>135</v>
      </c>
      <c r="D249" s="175" t="s">
        <v>174</v>
      </c>
      <c r="E249" s="175"/>
      <c r="F249" s="175"/>
      <c r="G249" s="175"/>
      <c r="H249" s="174" t="s">
        <v>1844</v>
      </c>
      <c r="I249" s="174" t="s">
        <v>1845</v>
      </c>
      <c r="J249" s="197"/>
      <c r="K249" s="197"/>
      <c r="L249" s="174"/>
      <c r="M249" s="175" t="s">
        <v>349</v>
      </c>
      <c r="N249" s="182">
        <v>1292</v>
      </c>
      <c r="O249" s="175" t="s">
        <v>1846</v>
      </c>
      <c r="P249" s="182" t="s">
        <v>1847</v>
      </c>
      <c r="Q249" s="182" t="s">
        <v>1842</v>
      </c>
      <c r="R249" s="50" t="s">
        <v>1843</v>
      </c>
      <c r="S249" s="182" t="s">
        <v>869</v>
      </c>
      <c r="T249" s="175" t="s">
        <v>1848</v>
      </c>
      <c r="U249" s="175" t="s">
        <v>1849</v>
      </c>
      <c r="V249" s="175" t="s">
        <v>1850</v>
      </c>
      <c r="W249" s="182">
        <v>2016</v>
      </c>
      <c r="X249" s="255">
        <f>X247*68%</f>
        <v>1474.92</v>
      </c>
      <c r="Y249" s="182"/>
      <c r="Z249" s="175"/>
      <c r="AA249" s="175" t="s">
        <v>150</v>
      </c>
      <c r="AB249" s="175"/>
      <c r="AC249" s="175"/>
      <c r="AD249" s="175"/>
      <c r="AE249" s="175"/>
      <c r="AF249" s="175"/>
      <c r="AG249" s="175"/>
      <c r="AH249" s="175"/>
      <c r="AI249" s="175" t="s">
        <v>345</v>
      </c>
      <c r="AJ249" s="175"/>
      <c r="AK249" s="255">
        <v>1</v>
      </c>
      <c r="AL249" s="274"/>
      <c r="AM249" s="277">
        <f>X249*P3_reinigen_daken_met_vaste_dakveiligheid</f>
        <v>0</v>
      </c>
      <c r="AN249" s="279">
        <f>Y249*P3_reinigen_goten_met_vaste_dakveiligheid</f>
        <v>0</v>
      </c>
      <c r="AO249" s="279">
        <f>(AE249*P3_Reinigen_Lichtkoepel_50X50)+('Perceel 2'!AF249*P3_Reinigen_Lichtkoepel_60x200)+('Perceel 2'!AG249*P3_Reinigen_Lichtkoepel_180x180)+('Perceel 2'!AH249*P3_Reinigen_Lichtstraten_groter_dan_180x180)</f>
        <v>0</v>
      </c>
      <c r="AP249" s="279">
        <f t="shared" si="40"/>
        <v>0</v>
      </c>
      <c r="AQ249" s="307">
        <f>AQ247*68%</f>
        <v>0</v>
      </c>
      <c r="AR249" s="332">
        <f t="shared" si="41"/>
        <v>0</v>
      </c>
      <c r="AS249" s="336">
        <f t="shared" si="37"/>
        <v>0</v>
      </c>
    </row>
    <row r="250" spans="1:45" s="7" customFormat="1" ht="38.450000000000003" hidden="1" customHeight="1" x14ac:dyDescent="0.45">
      <c r="A250" s="159"/>
      <c r="B250" s="152">
        <v>3</v>
      </c>
      <c r="C250" s="156" t="s">
        <v>135</v>
      </c>
      <c r="D250" s="156" t="s">
        <v>136</v>
      </c>
      <c r="E250" s="156"/>
      <c r="F250" s="156"/>
      <c r="G250" s="156"/>
      <c r="H250" s="151" t="s">
        <v>1851</v>
      </c>
      <c r="I250" s="163" t="s">
        <v>1852</v>
      </c>
      <c r="J250" s="157"/>
      <c r="K250" s="163"/>
      <c r="L250" s="151" t="s">
        <v>280</v>
      </c>
      <c r="M250" s="159" t="s">
        <v>669</v>
      </c>
      <c r="N250" s="164">
        <v>9008</v>
      </c>
      <c r="O250" s="159" t="s">
        <v>1853</v>
      </c>
      <c r="P250" s="159" t="s">
        <v>1854</v>
      </c>
      <c r="Q250" s="159" t="s">
        <v>1855</v>
      </c>
      <c r="R250" s="41" t="s">
        <v>1856</v>
      </c>
      <c r="S250" s="159" t="s">
        <v>869</v>
      </c>
      <c r="T250" s="159"/>
      <c r="U250" s="159"/>
      <c r="V250" s="159"/>
      <c r="W250" s="159">
        <v>2023</v>
      </c>
      <c r="X250" s="177">
        <v>180</v>
      </c>
      <c r="Y250" s="159"/>
      <c r="Z250" s="159"/>
      <c r="AA250" s="159"/>
      <c r="AB250" s="159"/>
      <c r="AC250" s="159"/>
      <c r="AD250" s="159"/>
      <c r="AE250" s="159"/>
      <c r="AF250" s="159"/>
      <c r="AG250" s="159"/>
      <c r="AH250" s="159"/>
      <c r="AI250" s="159"/>
      <c r="AJ250" s="159"/>
      <c r="AK250" s="177">
        <v>1</v>
      </c>
      <c r="AL250" s="272"/>
      <c r="AM250" s="277">
        <f>X250*P3_Reinigen_daken_incl._extra_maatregelen_veilig_werken_volgens_VCA_eventuele_vergunningen_leges_voorrijkosten_adminstratieve_kosten_fotorapportage_en_kleine_reparaties</f>
        <v>0</v>
      </c>
      <c r="AN250" s="279">
        <f>Y250*P3_Reinigen_goten_incl._extra_maatregelen_veilig_werken_volgens_VCA__eventuele_vergunningen_leges___voorrijkosten__adminstratieve_kosten__fotorapportage_en_kleine_reparaties</f>
        <v>0</v>
      </c>
      <c r="AO250" s="279">
        <f>(AE250*P3_Reinigen_Lichtkoepel_50X50)+('Perceel 2'!AF250*P3_Reinigen_Lichtkoepel_60x200)+('Perceel 2'!AG250*P3_Reinigen_Lichtkoepel_180x180)+('Perceel 2'!AH250*P3_Reinigen_Lichtstraten_groter_dan_180x180)</f>
        <v>0</v>
      </c>
      <c r="AP250" s="279">
        <f t="shared" si="40"/>
        <v>0</v>
      </c>
      <c r="AQ250" s="312"/>
      <c r="AR250" s="332">
        <f t="shared" si="41"/>
        <v>0</v>
      </c>
      <c r="AS250" s="336">
        <f t="shared" si="37"/>
        <v>0</v>
      </c>
    </row>
    <row r="251" spans="1:45" s="7" customFormat="1" ht="204" hidden="1" x14ac:dyDescent="0.45">
      <c r="A251" s="166"/>
      <c r="B251" s="152">
        <v>3</v>
      </c>
      <c r="C251" s="156" t="s">
        <v>135</v>
      </c>
      <c r="D251" s="156" t="s">
        <v>136</v>
      </c>
      <c r="E251" s="156"/>
      <c r="F251" s="156"/>
      <c r="G251" s="156"/>
      <c r="H251" s="163" t="s">
        <v>1857</v>
      </c>
      <c r="I251" s="163"/>
      <c r="J251" s="163"/>
      <c r="K251" s="163"/>
      <c r="L251" s="163" t="s">
        <v>191</v>
      </c>
      <c r="M251" s="166" t="s">
        <v>890</v>
      </c>
      <c r="N251" s="233">
        <v>2212</v>
      </c>
      <c r="O251" s="166" t="s">
        <v>1858</v>
      </c>
      <c r="P251" s="166" t="s">
        <v>1859</v>
      </c>
      <c r="Q251" s="166" t="s">
        <v>1860</v>
      </c>
      <c r="R251" s="52" t="s">
        <v>1843</v>
      </c>
      <c r="S251" s="166" t="s">
        <v>869</v>
      </c>
      <c r="T251" s="166" t="s">
        <v>722</v>
      </c>
      <c r="U251" s="236" t="s">
        <v>723</v>
      </c>
      <c r="V251" s="237" t="s">
        <v>724</v>
      </c>
      <c r="W251" s="166">
        <v>2024</v>
      </c>
      <c r="X251" s="189">
        <v>2654</v>
      </c>
      <c r="Y251" s="166"/>
      <c r="Z251" s="166"/>
      <c r="AA251" s="166" t="s">
        <v>150</v>
      </c>
      <c r="AB251" s="166">
        <v>45</v>
      </c>
      <c r="AC251" s="166">
        <f>57+194+144</f>
        <v>395</v>
      </c>
      <c r="AD251" s="166" t="s">
        <v>1861</v>
      </c>
      <c r="AE251" s="166"/>
      <c r="AF251" s="166"/>
      <c r="AG251" s="166"/>
      <c r="AH251" s="166"/>
      <c r="AI251" s="166" t="s">
        <v>1862</v>
      </c>
      <c r="AJ251" s="166" t="s">
        <v>1863</v>
      </c>
      <c r="AK251" s="189">
        <v>1</v>
      </c>
      <c r="AL251" s="273"/>
      <c r="AM251" s="277">
        <f>X251*P3_reinigen_daken_met_vaste_dakveiligheid</f>
        <v>0</v>
      </c>
      <c r="AN251" s="279">
        <f>Y251*P3_reinigen_goten_met_vaste_dakveiligheid</f>
        <v>0</v>
      </c>
      <c r="AO251" s="279">
        <f>(AE251*P3_Reinigen_Lichtkoepel_50X50)+('Perceel 2'!AF251*P3_Reinigen_Lichtkoepel_60x200)+('Perceel 2'!AG251*P3_Reinigen_Lichtkoepel_180x180)+('Perceel 2'!AH251*P3_Reinigen_Lichtstraten_groter_dan_180x180)</f>
        <v>0</v>
      </c>
      <c r="AP251" s="279">
        <f t="shared" si="40"/>
        <v>0</v>
      </c>
      <c r="AQ251" s="305"/>
      <c r="AR251" s="332">
        <f t="shared" si="41"/>
        <v>0</v>
      </c>
      <c r="AS251" s="336">
        <f t="shared" si="37"/>
        <v>0</v>
      </c>
    </row>
    <row r="252" spans="1:45" s="7" customFormat="1" ht="38.25" hidden="1" x14ac:dyDescent="0.45">
      <c r="A252" s="155"/>
      <c r="B252" s="152">
        <v>3</v>
      </c>
      <c r="C252" s="156" t="s">
        <v>135</v>
      </c>
      <c r="D252" s="156" t="s">
        <v>136</v>
      </c>
      <c r="E252" s="156"/>
      <c r="F252" s="156"/>
      <c r="G252" s="156"/>
      <c r="H252" s="151" t="s">
        <v>1864</v>
      </c>
      <c r="I252" s="151" t="s">
        <v>1865</v>
      </c>
      <c r="J252" s="157"/>
      <c r="K252" s="163"/>
      <c r="L252" s="163" t="s">
        <v>154</v>
      </c>
      <c r="M252" s="166" t="s">
        <v>544</v>
      </c>
      <c r="N252" s="160" t="s">
        <v>1866</v>
      </c>
      <c r="O252" s="159" t="s">
        <v>1867</v>
      </c>
      <c r="P252" s="160" t="s">
        <v>1868</v>
      </c>
      <c r="Q252" s="160" t="s">
        <v>1869</v>
      </c>
      <c r="R252" s="56" t="s">
        <v>1510</v>
      </c>
      <c r="S252" s="160" t="s">
        <v>1511</v>
      </c>
      <c r="T252" s="159" t="s">
        <v>722</v>
      </c>
      <c r="U252" s="168" t="s">
        <v>723</v>
      </c>
      <c r="V252" s="209" t="s">
        <v>724</v>
      </c>
      <c r="W252" s="152">
        <v>1985</v>
      </c>
      <c r="X252" s="152">
        <v>2046</v>
      </c>
      <c r="Y252" s="152"/>
      <c r="Z252" s="177" t="s">
        <v>311</v>
      </c>
      <c r="AA252" s="177" t="s">
        <v>150</v>
      </c>
      <c r="AB252" s="177">
        <v>18</v>
      </c>
      <c r="AC252" s="177">
        <v>157</v>
      </c>
      <c r="AD252" s="177"/>
      <c r="AE252" s="177"/>
      <c r="AF252" s="177"/>
      <c r="AG252" s="177"/>
      <c r="AH252" s="177"/>
      <c r="AI252" s="177"/>
      <c r="AJ252" s="177" t="s">
        <v>1870</v>
      </c>
      <c r="AK252" s="257">
        <v>1</v>
      </c>
      <c r="AL252" s="271"/>
      <c r="AM252" s="277">
        <f>X252*P3_reinigen_daken_met_vaste_dakveiligheid</f>
        <v>0</v>
      </c>
      <c r="AN252" s="279">
        <f>Y252*P3_reinigen_goten_met_vaste_dakveiligheid</f>
        <v>0</v>
      </c>
      <c r="AO252" s="279">
        <f>(AE252*P3_Reinigen_Lichtkoepel_50X50)+('Perceel 2'!AF252*P3_Reinigen_Lichtkoepel_60x200)+('Perceel 2'!AG252*P3_Reinigen_Lichtkoepel_180x180)+('Perceel 2'!AH252*P3_Reinigen_Lichtstraten_groter_dan_180x180)</f>
        <v>0</v>
      </c>
      <c r="AP252" s="279">
        <f t="shared" si="40"/>
        <v>0</v>
      </c>
      <c r="AQ252" s="305"/>
      <c r="AR252" s="332">
        <f t="shared" si="41"/>
        <v>0</v>
      </c>
      <c r="AS252" s="336">
        <f t="shared" si="37"/>
        <v>0</v>
      </c>
    </row>
    <row r="253" spans="1:45" s="7" customFormat="1" ht="51" hidden="1" x14ac:dyDescent="0.45">
      <c r="A253" s="238"/>
      <c r="B253" s="212">
        <v>3</v>
      </c>
      <c r="C253" s="171" t="s">
        <v>135</v>
      </c>
      <c r="D253" s="171" t="s">
        <v>136</v>
      </c>
      <c r="E253" s="171" t="s">
        <v>174</v>
      </c>
      <c r="F253" s="171"/>
      <c r="G253" s="171"/>
      <c r="H253" s="15"/>
      <c r="I253" s="15"/>
      <c r="J253" s="16"/>
      <c r="K253" s="16"/>
      <c r="L253" s="196" t="s">
        <v>348</v>
      </c>
      <c r="M253" s="239" t="s">
        <v>1871</v>
      </c>
      <c r="N253" s="211" t="s">
        <v>1872</v>
      </c>
      <c r="O253" s="171" t="s">
        <v>1873</v>
      </c>
      <c r="P253" s="211" t="s">
        <v>1874</v>
      </c>
      <c r="Q253" s="211" t="s">
        <v>1875</v>
      </c>
      <c r="R253" s="58" t="s">
        <v>1876</v>
      </c>
      <c r="S253" s="211" t="s">
        <v>1511</v>
      </c>
      <c r="T253" s="171"/>
      <c r="U253" s="171"/>
      <c r="V253" s="171"/>
      <c r="W253" s="211">
        <v>1999</v>
      </c>
      <c r="X253" s="261">
        <v>2157</v>
      </c>
      <c r="Y253" s="211"/>
      <c r="Z253" s="171"/>
      <c r="AA253" s="171"/>
      <c r="AB253" s="171"/>
      <c r="AC253" s="171"/>
      <c r="AD253" s="171"/>
      <c r="AE253" s="171"/>
      <c r="AF253" s="171"/>
      <c r="AG253" s="171"/>
      <c r="AH253" s="171"/>
      <c r="AI253" s="171"/>
      <c r="AJ253" s="171"/>
      <c r="AK253" s="261">
        <v>1</v>
      </c>
      <c r="AL253" s="271"/>
      <c r="AM253" s="325"/>
      <c r="AN253" s="312"/>
      <c r="AO253" s="312"/>
      <c r="AP253" s="312"/>
      <c r="AQ253" s="312"/>
      <c r="AR253" s="341"/>
      <c r="AS253" s="344"/>
    </row>
    <row r="254" spans="1:45" s="7" customFormat="1" ht="25.5" hidden="1" customHeight="1" x14ac:dyDescent="0.45">
      <c r="A254" s="182"/>
      <c r="B254" s="185">
        <v>3</v>
      </c>
      <c r="C254" s="175" t="s">
        <v>135</v>
      </c>
      <c r="D254" s="175" t="s">
        <v>174</v>
      </c>
      <c r="E254" s="175"/>
      <c r="F254" s="175"/>
      <c r="G254" s="175"/>
      <c r="H254" s="174" t="s">
        <v>1877</v>
      </c>
      <c r="I254" s="174" t="s">
        <v>1878</v>
      </c>
      <c r="J254" s="197"/>
      <c r="K254" s="197"/>
      <c r="L254" s="174"/>
      <c r="M254" s="175" t="s">
        <v>349</v>
      </c>
      <c r="N254" s="182" t="s">
        <v>1879</v>
      </c>
      <c r="O254" s="175" t="s">
        <v>1880</v>
      </c>
      <c r="P254" s="182" t="s">
        <v>1881</v>
      </c>
      <c r="Q254" s="182" t="s">
        <v>1875</v>
      </c>
      <c r="R254" s="50" t="s">
        <v>1876</v>
      </c>
      <c r="S254" s="182" t="s">
        <v>1511</v>
      </c>
      <c r="T254" s="175" t="s">
        <v>1882</v>
      </c>
      <c r="U254" s="175" t="s">
        <v>1883</v>
      </c>
      <c r="V254" s="175" t="s">
        <v>1884</v>
      </c>
      <c r="W254" s="182">
        <v>1999</v>
      </c>
      <c r="X254" s="255">
        <f>X253*76%</f>
        <v>1639.32</v>
      </c>
      <c r="Y254" s="182"/>
      <c r="Z254" s="175"/>
      <c r="AA254" s="175"/>
      <c r="AB254" s="175"/>
      <c r="AC254" s="175"/>
      <c r="AD254" s="175"/>
      <c r="AE254" s="175"/>
      <c r="AF254" s="175"/>
      <c r="AG254" s="175"/>
      <c r="AH254" s="175"/>
      <c r="AI254" s="191" t="s">
        <v>1885</v>
      </c>
      <c r="AJ254" s="191" t="s">
        <v>1886</v>
      </c>
      <c r="AK254" s="255">
        <v>1</v>
      </c>
      <c r="AL254" s="271"/>
      <c r="AM254" s="277">
        <f t="shared" ref="AM254:AM259" si="44">X254*P3_Reinigen_daken_incl._extra_maatregelen_veilig_werken_volgens_VCA_eventuele_vergunningen_leges_voorrijkosten_adminstratieve_kosten_fotorapportage_en_kleine_reparaties</f>
        <v>0</v>
      </c>
      <c r="AN254" s="279">
        <f t="shared" ref="AN254:AN259" si="45">Y254*P3_Reinigen_goten_incl._extra_maatregelen_veilig_werken_volgens_VCA__eventuele_vergunningen_leges___voorrijkosten__adminstratieve_kosten__fotorapportage_en_kleine_reparaties</f>
        <v>0</v>
      </c>
      <c r="AO254" s="279">
        <f>(AE254*P3_Reinigen_Lichtkoepel_50X50)+('Perceel 2'!AF254*P3_Reinigen_Lichtkoepel_60x200)+('Perceel 2'!AG254*P3_Reinigen_Lichtkoepel_180x180)+('Perceel 2'!AH254*P3_Reinigen_Lichtstraten_groter_dan_180x180)</f>
        <v>0</v>
      </c>
      <c r="AP254" s="279">
        <f t="shared" ref="AP254:AP264" si="46">(X254+Y254)*P3_Inspecteren_daken_en_goten_1x_per_jaar_gelijktijdig_met_reiniging_inclusief_inspectierapport_en_een_managementrapport</f>
        <v>0</v>
      </c>
      <c r="AQ254" s="312"/>
      <c r="AR254" s="332">
        <f t="shared" ref="AR254:AR264" si="47">AQ254*P3_keuren_dakveiligheid_per_man_uur</f>
        <v>0</v>
      </c>
      <c r="AS254" s="336">
        <f t="shared" ref="AS254:AS264" si="48">(AM254*AK254)+(Y254*AK254)+AO254+AP254+AR254</f>
        <v>0</v>
      </c>
    </row>
    <row r="255" spans="1:45" s="7" customFormat="1" ht="57" hidden="1" customHeight="1" x14ac:dyDescent="0.45">
      <c r="A255" s="182"/>
      <c r="B255" s="185">
        <v>3</v>
      </c>
      <c r="C255" s="175" t="s">
        <v>135</v>
      </c>
      <c r="D255" s="175" t="s">
        <v>136</v>
      </c>
      <c r="E255" s="175"/>
      <c r="F255" s="175"/>
      <c r="G255" s="175"/>
      <c r="H255" s="174" t="s">
        <v>1887</v>
      </c>
      <c r="I255" s="174" t="s">
        <v>1888</v>
      </c>
      <c r="J255" s="197"/>
      <c r="K255" s="197"/>
      <c r="L255" s="174"/>
      <c r="M255" s="197" t="s">
        <v>281</v>
      </c>
      <c r="N255" s="182" t="s">
        <v>1889</v>
      </c>
      <c r="O255" s="175" t="s">
        <v>1890</v>
      </c>
      <c r="P255" s="182" t="s">
        <v>1891</v>
      </c>
      <c r="Q255" s="182" t="s">
        <v>1875</v>
      </c>
      <c r="R255" s="50" t="s">
        <v>1876</v>
      </c>
      <c r="S255" s="182" t="s">
        <v>1511</v>
      </c>
      <c r="T255" s="175" t="s">
        <v>1892</v>
      </c>
      <c r="U255" s="175" t="s">
        <v>1893</v>
      </c>
      <c r="V255" s="187" t="s">
        <v>1894</v>
      </c>
      <c r="W255" s="182">
        <v>1999</v>
      </c>
      <c r="X255" s="255">
        <f>X253*4%</f>
        <v>86.28</v>
      </c>
      <c r="Y255" s="182"/>
      <c r="Z255" s="175"/>
      <c r="AA255" s="175"/>
      <c r="AB255" s="175"/>
      <c r="AC255" s="175"/>
      <c r="AD255" s="175"/>
      <c r="AE255" s="175"/>
      <c r="AF255" s="175"/>
      <c r="AG255" s="175"/>
      <c r="AH255" s="175"/>
      <c r="AI255" s="191" t="s">
        <v>1885</v>
      </c>
      <c r="AJ255" s="191" t="s">
        <v>1886</v>
      </c>
      <c r="AK255" s="255">
        <v>1</v>
      </c>
      <c r="AL255" s="271"/>
      <c r="AM255" s="277">
        <f t="shared" si="44"/>
        <v>0</v>
      </c>
      <c r="AN255" s="279">
        <f t="shared" si="45"/>
        <v>0</v>
      </c>
      <c r="AO255" s="279">
        <f>(AE255*P3_Reinigen_Lichtkoepel_50X50)+('Perceel 2'!AF255*P3_Reinigen_Lichtkoepel_60x200)+('Perceel 2'!AG255*P3_Reinigen_Lichtkoepel_180x180)+('Perceel 2'!AH255*P3_Reinigen_Lichtstraten_groter_dan_180x180)</f>
        <v>0</v>
      </c>
      <c r="AP255" s="279">
        <f t="shared" si="46"/>
        <v>0</v>
      </c>
      <c r="AQ255" s="312"/>
      <c r="AR255" s="332">
        <f t="shared" si="47"/>
        <v>0</v>
      </c>
      <c r="AS255" s="336">
        <f t="shared" si="48"/>
        <v>0</v>
      </c>
    </row>
    <row r="256" spans="1:45" s="7" customFormat="1" ht="51" hidden="1" x14ac:dyDescent="0.45">
      <c r="A256" s="182"/>
      <c r="B256" s="185">
        <v>3</v>
      </c>
      <c r="C256" s="175" t="s">
        <v>135</v>
      </c>
      <c r="D256" s="175" t="s">
        <v>136</v>
      </c>
      <c r="E256" s="175"/>
      <c r="F256" s="175"/>
      <c r="G256" s="175"/>
      <c r="H256" s="174" t="s">
        <v>1895</v>
      </c>
      <c r="I256" s="174" t="s">
        <v>1896</v>
      </c>
      <c r="J256" s="197"/>
      <c r="K256" s="197"/>
      <c r="L256" s="174"/>
      <c r="M256" s="191" t="s">
        <v>544</v>
      </c>
      <c r="N256" s="182" t="s">
        <v>1897</v>
      </c>
      <c r="O256" s="175" t="s">
        <v>1898</v>
      </c>
      <c r="P256" s="182" t="s">
        <v>1899</v>
      </c>
      <c r="Q256" s="182" t="s">
        <v>1875</v>
      </c>
      <c r="R256" s="50" t="s">
        <v>1876</v>
      </c>
      <c r="S256" s="182" t="s">
        <v>1511</v>
      </c>
      <c r="T256" s="175" t="s">
        <v>169</v>
      </c>
      <c r="U256" s="175" t="s">
        <v>170</v>
      </c>
      <c r="V256" s="175" t="s">
        <v>171</v>
      </c>
      <c r="W256" s="182">
        <v>1999</v>
      </c>
      <c r="X256" s="255">
        <f>X253*20%</f>
        <v>431.40000000000003</v>
      </c>
      <c r="Y256" s="182"/>
      <c r="Z256" s="175"/>
      <c r="AA256" s="175"/>
      <c r="AB256" s="175"/>
      <c r="AC256" s="175"/>
      <c r="AD256" s="175"/>
      <c r="AE256" s="175"/>
      <c r="AF256" s="175"/>
      <c r="AG256" s="175"/>
      <c r="AH256" s="175"/>
      <c r="AI256" s="175"/>
      <c r="AJ256" s="175"/>
      <c r="AK256" s="255">
        <v>1</v>
      </c>
      <c r="AL256" s="271"/>
      <c r="AM256" s="277">
        <f t="shared" si="44"/>
        <v>0</v>
      </c>
      <c r="AN256" s="279">
        <f t="shared" si="45"/>
        <v>0</v>
      </c>
      <c r="AO256" s="279">
        <f>(AE256*P3_Reinigen_Lichtkoepel_50X50)+('Perceel 2'!AF256*P3_Reinigen_Lichtkoepel_60x200)+('Perceel 2'!AG256*P3_Reinigen_Lichtkoepel_180x180)+('Perceel 2'!AH256*P3_Reinigen_Lichtstraten_groter_dan_180x180)</f>
        <v>0</v>
      </c>
      <c r="AP256" s="279">
        <f t="shared" si="46"/>
        <v>0</v>
      </c>
      <c r="AQ256" s="312"/>
      <c r="AR256" s="332">
        <f t="shared" si="47"/>
        <v>0</v>
      </c>
      <c r="AS256" s="336">
        <f t="shared" si="48"/>
        <v>0</v>
      </c>
    </row>
    <row r="257" spans="1:45" s="7" customFormat="1" ht="51" hidden="1" x14ac:dyDescent="0.45">
      <c r="A257" s="155"/>
      <c r="B257" s="152">
        <v>3</v>
      </c>
      <c r="C257" s="156" t="s">
        <v>135</v>
      </c>
      <c r="D257" s="156" t="s">
        <v>136</v>
      </c>
      <c r="E257" s="156"/>
      <c r="F257" s="156"/>
      <c r="G257" s="156"/>
      <c r="H257" s="151" t="s">
        <v>1900</v>
      </c>
      <c r="I257" s="151" t="s">
        <v>1901</v>
      </c>
      <c r="J257" s="157"/>
      <c r="K257" s="163"/>
      <c r="L257" s="163" t="s">
        <v>154</v>
      </c>
      <c r="M257" s="166" t="s">
        <v>544</v>
      </c>
      <c r="N257" s="160" t="s">
        <v>1902</v>
      </c>
      <c r="O257" s="159" t="s">
        <v>1903</v>
      </c>
      <c r="P257" s="160" t="s">
        <v>1904</v>
      </c>
      <c r="Q257" s="160" t="s">
        <v>1905</v>
      </c>
      <c r="R257" s="53" t="s">
        <v>1721</v>
      </c>
      <c r="S257" s="160" t="s">
        <v>1511</v>
      </c>
      <c r="T257" s="159" t="s">
        <v>169</v>
      </c>
      <c r="U257" s="159" t="s">
        <v>1906</v>
      </c>
      <c r="V257" s="176" t="s">
        <v>171</v>
      </c>
      <c r="W257" s="152">
        <v>1984</v>
      </c>
      <c r="X257" s="152">
        <v>936</v>
      </c>
      <c r="Y257" s="152"/>
      <c r="Z257" s="177" t="s">
        <v>311</v>
      </c>
      <c r="AA257" s="177"/>
      <c r="AB257" s="177"/>
      <c r="AC257" s="177"/>
      <c r="AD257" s="177"/>
      <c r="AE257" s="177"/>
      <c r="AF257" s="177"/>
      <c r="AG257" s="177"/>
      <c r="AH257" s="177"/>
      <c r="AI257" s="177"/>
      <c r="AJ257" s="177"/>
      <c r="AK257" s="257">
        <v>1</v>
      </c>
      <c r="AL257" s="271"/>
      <c r="AM257" s="277">
        <f t="shared" si="44"/>
        <v>0</v>
      </c>
      <c r="AN257" s="279">
        <f t="shared" si="45"/>
        <v>0</v>
      </c>
      <c r="AO257" s="279">
        <f>(AE257*P3_Reinigen_Lichtkoepel_50X50)+('Perceel 2'!AF257*P3_Reinigen_Lichtkoepel_60x200)+('Perceel 2'!AG257*P3_Reinigen_Lichtkoepel_180x180)+('Perceel 2'!AH257*P3_Reinigen_Lichtstraten_groter_dan_180x180)</f>
        <v>0</v>
      </c>
      <c r="AP257" s="279">
        <f t="shared" si="46"/>
        <v>0</v>
      </c>
      <c r="AQ257" s="312"/>
      <c r="AR257" s="332">
        <f t="shared" si="47"/>
        <v>0</v>
      </c>
      <c r="AS257" s="336">
        <f t="shared" si="48"/>
        <v>0</v>
      </c>
    </row>
    <row r="258" spans="1:45" s="7" customFormat="1" ht="76.5" hidden="1" customHeight="1" x14ac:dyDescent="0.45">
      <c r="A258" s="161"/>
      <c r="B258" s="152">
        <v>3</v>
      </c>
      <c r="C258" s="156" t="s">
        <v>135</v>
      </c>
      <c r="D258" s="156" t="s">
        <v>136</v>
      </c>
      <c r="E258" s="156"/>
      <c r="F258" s="156"/>
      <c r="G258" s="156"/>
      <c r="H258" s="151" t="s">
        <v>1907</v>
      </c>
      <c r="I258" s="151" t="s">
        <v>1908</v>
      </c>
      <c r="J258" s="157"/>
      <c r="K258" s="163"/>
      <c r="L258" s="151" t="s">
        <v>348</v>
      </c>
      <c r="M258" s="159" t="s">
        <v>349</v>
      </c>
      <c r="N258" s="159" t="s">
        <v>1909</v>
      </c>
      <c r="O258" s="159" t="s">
        <v>1910</v>
      </c>
      <c r="P258" s="159" t="s">
        <v>1911</v>
      </c>
      <c r="Q258" s="159" t="s">
        <v>1905</v>
      </c>
      <c r="R258" s="42" t="s">
        <v>1721</v>
      </c>
      <c r="S258" s="159" t="s">
        <v>1511</v>
      </c>
      <c r="T258" s="159" t="s">
        <v>1912</v>
      </c>
      <c r="U258" s="159" t="s">
        <v>1562</v>
      </c>
      <c r="V258" s="176" t="s">
        <v>1563</v>
      </c>
      <c r="W258" s="152">
        <v>1986</v>
      </c>
      <c r="X258" s="152">
        <v>1273</v>
      </c>
      <c r="Y258" s="152"/>
      <c r="Z258" s="152"/>
      <c r="AA258" s="152"/>
      <c r="AB258" s="152"/>
      <c r="AC258" s="152"/>
      <c r="AD258" s="152"/>
      <c r="AE258" s="152"/>
      <c r="AF258" s="152"/>
      <c r="AG258" s="152"/>
      <c r="AH258" s="152"/>
      <c r="AI258" s="152"/>
      <c r="AJ258" s="152"/>
      <c r="AK258" s="177">
        <v>1</v>
      </c>
      <c r="AL258" s="272"/>
      <c r="AM258" s="277">
        <f t="shared" si="44"/>
        <v>0</v>
      </c>
      <c r="AN258" s="279">
        <f t="shared" si="45"/>
        <v>0</v>
      </c>
      <c r="AO258" s="279">
        <f>(AE258*P3_Reinigen_Lichtkoepel_50X50)+('Perceel 2'!AF258*P3_Reinigen_Lichtkoepel_60x200)+('Perceel 2'!AG258*P3_Reinigen_Lichtkoepel_180x180)+('Perceel 2'!AH258*P3_Reinigen_Lichtstraten_groter_dan_180x180)</f>
        <v>0</v>
      </c>
      <c r="AP258" s="279">
        <f t="shared" si="46"/>
        <v>0</v>
      </c>
      <c r="AQ258" s="312"/>
      <c r="AR258" s="332">
        <f t="shared" si="47"/>
        <v>0</v>
      </c>
      <c r="AS258" s="336">
        <f t="shared" si="48"/>
        <v>0</v>
      </c>
    </row>
    <row r="259" spans="1:45" s="7" customFormat="1" ht="32.25" hidden="1" customHeight="1" x14ac:dyDescent="0.45">
      <c r="A259" s="155"/>
      <c r="B259" s="152">
        <v>3</v>
      </c>
      <c r="C259" s="156" t="s">
        <v>135</v>
      </c>
      <c r="D259" s="156" t="s">
        <v>136</v>
      </c>
      <c r="E259" s="156"/>
      <c r="F259" s="156"/>
      <c r="G259" s="156"/>
      <c r="H259" s="151" t="s">
        <v>1913</v>
      </c>
      <c r="I259" s="151" t="s">
        <v>1914</v>
      </c>
      <c r="J259" s="157"/>
      <c r="K259" s="163"/>
      <c r="L259" s="163" t="s">
        <v>154</v>
      </c>
      <c r="M259" s="163" t="s">
        <v>155</v>
      </c>
      <c r="N259" s="160" t="s">
        <v>1915</v>
      </c>
      <c r="O259" s="159" t="s">
        <v>1916</v>
      </c>
      <c r="P259" s="159" t="s">
        <v>1917</v>
      </c>
      <c r="Q259" s="160" t="s">
        <v>1918</v>
      </c>
      <c r="R259" s="53" t="s">
        <v>942</v>
      </c>
      <c r="S259" s="160" t="s">
        <v>340</v>
      </c>
      <c r="T259" s="159" t="s">
        <v>1919</v>
      </c>
      <c r="U259" s="159" t="s">
        <v>1920</v>
      </c>
      <c r="V259" s="176" t="s">
        <v>1921</v>
      </c>
      <c r="W259" s="152">
        <v>2004</v>
      </c>
      <c r="X259" s="152">
        <v>508</v>
      </c>
      <c r="Y259" s="152"/>
      <c r="Z259" s="177"/>
      <c r="AA259" s="177"/>
      <c r="AB259" s="177"/>
      <c r="AC259" s="177"/>
      <c r="AD259" s="177"/>
      <c r="AE259" s="177"/>
      <c r="AF259" s="177"/>
      <c r="AG259" s="177"/>
      <c r="AH259" s="177"/>
      <c r="AI259" s="177"/>
      <c r="AJ259" s="177"/>
      <c r="AK259" s="257">
        <v>1</v>
      </c>
      <c r="AL259" s="271"/>
      <c r="AM259" s="277">
        <f t="shared" si="44"/>
        <v>0</v>
      </c>
      <c r="AN259" s="279">
        <f t="shared" si="45"/>
        <v>0</v>
      </c>
      <c r="AO259" s="279">
        <f>(AE259*P3_Reinigen_Lichtkoepel_50X50)+('Perceel 2'!AF259*P3_Reinigen_Lichtkoepel_60x200)+('Perceel 2'!AG259*P3_Reinigen_Lichtkoepel_180x180)+('Perceel 2'!AH259*P3_Reinigen_Lichtstraten_groter_dan_180x180)</f>
        <v>0</v>
      </c>
      <c r="AP259" s="279">
        <f t="shared" si="46"/>
        <v>0</v>
      </c>
      <c r="AQ259" s="312"/>
      <c r="AR259" s="332">
        <f t="shared" si="47"/>
        <v>0</v>
      </c>
      <c r="AS259" s="336">
        <f t="shared" si="48"/>
        <v>0</v>
      </c>
    </row>
    <row r="260" spans="1:45" s="7" customFormat="1" ht="25.5" hidden="1" x14ac:dyDescent="0.45">
      <c r="A260" s="161"/>
      <c r="B260" s="152">
        <v>3</v>
      </c>
      <c r="C260" s="156" t="s">
        <v>135</v>
      </c>
      <c r="D260" s="156" t="s">
        <v>1391</v>
      </c>
      <c r="E260" s="156"/>
      <c r="F260" s="156"/>
      <c r="G260" s="156"/>
      <c r="H260" s="151" t="s">
        <v>1922</v>
      </c>
      <c r="I260" s="163" t="s">
        <v>1923</v>
      </c>
      <c r="J260" s="157"/>
      <c r="K260" s="163"/>
      <c r="L260" s="163" t="s">
        <v>154</v>
      </c>
      <c r="M260" s="163" t="s">
        <v>155</v>
      </c>
      <c r="N260" s="164">
        <v>2030</v>
      </c>
      <c r="O260" s="159" t="s">
        <v>1924</v>
      </c>
      <c r="P260" s="159" t="s">
        <v>1925</v>
      </c>
      <c r="Q260" s="159" t="s">
        <v>1926</v>
      </c>
      <c r="R260" s="42" t="s">
        <v>942</v>
      </c>
      <c r="S260" s="159" t="s">
        <v>340</v>
      </c>
      <c r="T260" s="159" t="s">
        <v>1927</v>
      </c>
      <c r="U260" s="159" t="s">
        <v>1928</v>
      </c>
      <c r="V260" s="176" t="s">
        <v>1929</v>
      </c>
      <c r="W260" s="152">
        <v>2006</v>
      </c>
      <c r="X260" s="152">
        <f>1008+110+157+25+105</f>
        <v>1405</v>
      </c>
      <c r="Y260" s="152"/>
      <c r="Z260" s="177"/>
      <c r="AA260" s="177" t="s">
        <v>311</v>
      </c>
      <c r="AB260" s="177">
        <f>12+1+3+4+1</f>
        <v>21</v>
      </c>
      <c r="AC260" s="177"/>
      <c r="AD260" s="177" t="s">
        <v>1930</v>
      </c>
      <c r="AE260" s="177"/>
      <c r="AF260" s="177"/>
      <c r="AG260" s="177"/>
      <c r="AH260" s="177"/>
      <c r="AI260" s="177"/>
      <c r="AJ260" s="177"/>
      <c r="AK260" s="177">
        <v>1</v>
      </c>
      <c r="AL260" s="318"/>
      <c r="AM260" s="277">
        <f>X260*P3_reinigen_daken_met_vaste_dakveiligheid</f>
        <v>0</v>
      </c>
      <c r="AN260" s="279">
        <f>Y260*P3_reinigen_goten_met_vaste_dakveiligheid</f>
        <v>0</v>
      </c>
      <c r="AO260" s="279">
        <f>(AE260*P3_Reinigen_Lichtkoepel_50X50)+('Perceel 2'!AF260*P3_Reinigen_Lichtkoepel_60x200)+('Perceel 2'!AG260*P3_Reinigen_Lichtkoepel_180x180)+('Perceel 2'!AH260*P3_Reinigen_Lichtstraten_groter_dan_180x180)</f>
        <v>0</v>
      </c>
      <c r="AP260" s="279">
        <f t="shared" si="46"/>
        <v>0</v>
      </c>
      <c r="AQ260" s="305"/>
      <c r="AR260" s="332">
        <f t="shared" si="47"/>
        <v>0</v>
      </c>
      <c r="AS260" s="336">
        <f t="shared" si="48"/>
        <v>0</v>
      </c>
    </row>
    <row r="261" spans="1:45" s="7" customFormat="1" ht="30.95" hidden="1" customHeight="1" x14ac:dyDescent="0.45">
      <c r="A261" s="155"/>
      <c r="B261" s="152">
        <v>3</v>
      </c>
      <c r="C261" s="156" t="s">
        <v>135</v>
      </c>
      <c r="D261" s="156" t="s">
        <v>174</v>
      </c>
      <c r="E261" s="156"/>
      <c r="F261" s="156"/>
      <c r="G261" s="156"/>
      <c r="H261" s="151" t="s">
        <v>1931</v>
      </c>
      <c r="I261" s="151" t="s">
        <v>1932</v>
      </c>
      <c r="J261" s="157"/>
      <c r="K261" s="163"/>
      <c r="L261" s="151" t="s">
        <v>348</v>
      </c>
      <c r="M261" s="159" t="s">
        <v>349</v>
      </c>
      <c r="N261" s="160" t="s">
        <v>1933</v>
      </c>
      <c r="O261" s="159" t="s">
        <v>1934</v>
      </c>
      <c r="P261" s="160" t="s">
        <v>1935</v>
      </c>
      <c r="Q261" s="160" t="s">
        <v>1918</v>
      </c>
      <c r="R261" s="53" t="s">
        <v>942</v>
      </c>
      <c r="S261" s="160" t="s">
        <v>340</v>
      </c>
      <c r="T261" s="159" t="s">
        <v>1936</v>
      </c>
      <c r="U261" s="159" t="s">
        <v>1937</v>
      </c>
      <c r="V261" s="176" t="s">
        <v>1938</v>
      </c>
      <c r="W261" s="152">
        <v>1999</v>
      </c>
      <c r="X261" s="152">
        <v>1232</v>
      </c>
      <c r="Y261" s="152"/>
      <c r="Z261" s="177"/>
      <c r="AA261" s="177"/>
      <c r="AB261" s="177"/>
      <c r="AC261" s="177"/>
      <c r="AD261" s="177"/>
      <c r="AE261" s="177"/>
      <c r="AF261" s="177"/>
      <c r="AG261" s="177"/>
      <c r="AH261" s="177"/>
      <c r="AI261" s="177"/>
      <c r="AJ261" s="177"/>
      <c r="AK261" s="257">
        <v>1</v>
      </c>
      <c r="AL261" s="271"/>
      <c r="AM261" s="277">
        <f>X261*P3_Reinigen_daken_incl._extra_maatregelen_veilig_werken_volgens_VCA_eventuele_vergunningen_leges_voorrijkosten_adminstratieve_kosten_fotorapportage_en_kleine_reparaties</f>
        <v>0</v>
      </c>
      <c r="AN261" s="279">
        <f>Y261*P3_Reinigen_goten_incl._extra_maatregelen_veilig_werken_volgens_VCA__eventuele_vergunningen_leges___voorrijkosten__adminstratieve_kosten__fotorapportage_en_kleine_reparaties</f>
        <v>0</v>
      </c>
      <c r="AO261" s="279">
        <f>(AE261*P3_Reinigen_Lichtkoepel_50X50)+('Perceel 2'!AF261*P3_Reinigen_Lichtkoepel_60x200)+('Perceel 2'!AG261*P3_Reinigen_Lichtkoepel_180x180)+('Perceel 2'!AH261*P3_Reinigen_Lichtstraten_groter_dan_180x180)</f>
        <v>0</v>
      </c>
      <c r="AP261" s="279">
        <f t="shared" si="46"/>
        <v>0</v>
      </c>
      <c r="AQ261" s="312"/>
      <c r="AR261" s="332">
        <f t="shared" si="47"/>
        <v>0</v>
      </c>
      <c r="AS261" s="336">
        <f t="shared" si="48"/>
        <v>0</v>
      </c>
    </row>
    <row r="262" spans="1:45" s="7" customFormat="1" ht="51" hidden="1" x14ac:dyDescent="0.45">
      <c r="A262" s="155"/>
      <c r="B262" s="152">
        <v>3</v>
      </c>
      <c r="C262" s="156" t="s">
        <v>135</v>
      </c>
      <c r="D262" s="156" t="s">
        <v>136</v>
      </c>
      <c r="E262" s="156"/>
      <c r="F262" s="156"/>
      <c r="G262" s="156"/>
      <c r="H262" s="151" t="s">
        <v>1939</v>
      </c>
      <c r="I262" s="151" t="s">
        <v>1940</v>
      </c>
      <c r="J262" s="157"/>
      <c r="K262" s="163"/>
      <c r="L262" s="163" t="s">
        <v>154</v>
      </c>
      <c r="M262" s="166" t="s">
        <v>544</v>
      </c>
      <c r="N262" s="160" t="s">
        <v>1941</v>
      </c>
      <c r="O262" s="159" t="s">
        <v>1942</v>
      </c>
      <c r="P262" s="160" t="s">
        <v>1943</v>
      </c>
      <c r="Q262" s="160" t="s">
        <v>1918</v>
      </c>
      <c r="R262" s="53" t="s">
        <v>942</v>
      </c>
      <c r="S262" s="160" t="s">
        <v>340</v>
      </c>
      <c r="T262" s="159" t="s">
        <v>169</v>
      </c>
      <c r="U262" s="159" t="s">
        <v>170</v>
      </c>
      <c r="V262" s="176" t="s">
        <v>171</v>
      </c>
      <c r="W262" s="152">
        <v>1999</v>
      </c>
      <c r="X262" s="152">
        <v>438</v>
      </c>
      <c r="Y262" s="152"/>
      <c r="Z262" s="177" t="s">
        <v>311</v>
      </c>
      <c r="AA262" s="177"/>
      <c r="AB262" s="177"/>
      <c r="AC262" s="177"/>
      <c r="AD262" s="177"/>
      <c r="AE262" s="177"/>
      <c r="AF262" s="177"/>
      <c r="AG262" s="177"/>
      <c r="AH262" s="177"/>
      <c r="AI262" s="177"/>
      <c r="AJ262" s="177"/>
      <c r="AK262" s="257">
        <v>1</v>
      </c>
      <c r="AL262" s="271"/>
      <c r="AM262" s="277">
        <f>X262*P3_Reinigen_daken_incl._extra_maatregelen_veilig_werken_volgens_VCA_eventuele_vergunningen_leges_voorrijkosten_adminstratieve_kosten_fotorapportage_en_kleine_reparaties</f>
        <v>0</v>
      </c>
      <c r="AN262" s="279">
        <f>Y262*P3_Reinigen_goten_incl._extra_maatregelen_veilig_werken_volgens_VCA__eventuele_vergunningen_leges___voorrijkosten__adminstratieve_kosten__fotorapportage_en_kleine_reparaties</f>
        <v>0</v>
      </c>
      <c r="AO262" s="279">
        <f>(AE262*P3_Reinigen_Lichtkoepel_50X50)+('Perceel 2'!AF262*P3_Reinigen_Lichtkoepel_60x200)+('Perceel 2'!AG262*P3_Reinigen_Lichtkoepel_180x180)+('Perceel 2'!AH262*P3_Reinigen_Lichtstraten_groter_dan_180x180)</f>
        <v>0</v>
      </c>
      <c r="AP262" s="279">
        <f t="shared" si="46"/>
        <v>0</v>
      </c>
      <c r="AQ262" s="312"/>
      <c r="AR262" s="332">
        <f t="shared" si="47"/>
        <v>0</v>
      </c>
      <c r="AS262" s="336">
        <f t="shared" si="48"/>
        <v>0</v>
      </c>
    </row>
    <row r="263" spans="1:45" s="7" customFormat="1" ht="25.5" hidden="1" x14ac:dyDescent="0.45">
      <c r="A263" s="155"/>
      <c r="B263" s="152">
        <v>3</v>
      </c>
      <c r="C263" s="156" t="s">
        <v>135</v>
      </c>
      <c r="D263" s="156" t="s">
        <v>347</v>
      </c>
      <c r="E263" s="156"/>
      <c r="F263" s="156"/>
      <c r="G263" s="156"/>
      <c r="H263" s="151" t="s">
        <v>1944</v>
      </c>
      <c r="I263" s="151" t="s">
        <v>1945</v>
      </c>
      <c r="J263" s="157"/>
      <c r="K263" s="163"/>
      <c r="L263" s="151" t="s">
        <v>348</v>
      </c>
      <c r="M263" s="159" t="s">
        <v>349</v>
      </c>
      <c r="N263" s="160" t="s">
        <v>1946</v>
      </c>
      <c r="O263" s="159" t="s">
        <v>1947</v>
      </c>
      <c r="P263" s="159" t="s">
        <v>1948</v>
      </c>
      <c r="Q263" s="160" t="s">
        <v>1949</v>
      </c>
      <c r="R263" s="53" t="s">
        <v>1950</v>
      </c>
      <c r="S263" s="160" t="s">
        <v>340</v>
      </c>
      <c r="T263" s="159" t="s">
        <v>1951</v>
      </c>
      <c r="U263" s="159" t="s">
        <v>1952</v>
      </c>
      <c r="V263" s="176" t="s">
        <v>1953</v>
      </c>
      <c r="W263" s="152">
        <v>2011</v>
      </c>
      <c r="X263" s="152">
        <v>2177</v>
      </c>
      <c r="Y263" s="152"/>
      <c r="Z263" s="177"/>
      <c r="AA263" s="177" t="s">
        <v>150</v>
      </c>
      <c r="AB263" s="177">
        <v>17</v>
      </c>
      <c r="AC263" s="177">
        <v>173</v>
      </c>
      <c r="AD263" s="177"/>
      <c r="AE263" s="177"/>
      <c r="AF263" s="177"/>
      <c r="AG263" s="177"/>
      <c r="AH263" s="177"/>
      <c r="AI263" s="177"/>
      <c r="AJ263" s="177"/>
      <c r="AK263" s="257">
        <v>1</v>
      </c>
      <c r="AL263" s="271"/>
      <c r="AM263" s="277">
        <f>X263*P3_reinigen_daken_met_vaste_dakveiligheid</f>
        <v>0</v>
      </c>
      <c r="AN263" s="279">
        <f>Y263*P3_reinigen_goten_met_vaste_dakveiligheid</f>
        <v>0</v>
      </c>
      <c r="AO263" s="279">
        <f>(AE263*P3_Reinigen_Lichtkoepel_50X50)+('Perceel 2'!AF263*P3_Reinigen_Lichtkoepel_60x200)+('Perceel 2'!AG263*P3_Reinigen_Lichtkoepel_180x180)+('Perceel 2'!AH263*P3_Reinigen_Lichtstraten_groter_dan_180x180)</f>
        <v>0</v>
      </c>
      <c r="AP263" s="279">
        <f t="shared" si="46"/>
        <v>0</v>
      </c>
      <c r="AQ263" s="305"/>
      <c r="AR263" s="332">
        <f t="shared" si="47"/>
        <v>0</v>
      </c>
      <c r="AS263" s="336">
        <f t="shared" si="48"/>
        <v>0</v>
      </c>
    </row>
    <row r="264" spans="1:45" s="7" customFormat="1" ht="66.95" hidden="1" customHeight="1" thickBot="1" x14ac:dyDescent="0.5">
      <c r="A264" s="160"/>
      <c r="B264" s="165">
        <v>3</v>
      </c>
      <c r="C264" s="156" t="s">
        <v>135</v>
      </c>
      <c r="D264" s="156" t="s">
        <v>136</v>
      </c>
      <c r="E264" s="156"/>
      <c r="F264" s="156"/>
      <c r="G264" s="156"/>
      <c r="H264" s="151" t="s">
        <v>1954</v>
      </c>
      <c r="I264" s="151" t="s">
        <v>1955</v>
      </c>
      <c r="J264" s="157"/>
      <c r="K264" s="163"/>
      <c r="L264" s="151"/>
      <c r="M264" s="166" t="s">
        <v>544</v>
      </c>
      <c r="N264" s="160" t="s">
        <v>1956</v>
      </c>
      <c r="O264" s="159" t="s">
        <v>1957</v>
      </c>
      <c r="P264" s="160" t="s">
        <v>1958</v>
      </c>
      <c r="Q264" s="160" t="s">
        <v>1959</v>
      </c>
      <c r="R264" s="53" t="s">
        <v>942</v>
      </c>
      <c r="S264" s="160" t="s">
        <v>340</v>
      </c>
      <c r="T264" s="159" t="s">
        <v>169</v>
      </c>
      <c r="U264" s="159" t="s">
        <v>170</v>
      </c>
      <c r="V264" s="159" t="s">
        <v>171</v>
      </c>
      <c r="W264" s="160">
        <v>2005</v>
      </c>
      <c r="X264" s="257">
        <v>425</v>
      </c>
      <c r="Y264" s="160"/>
      <c r="Z264" s="159" t="s">
        <v>311</v>
      </c>
      <c r="AA264" s="159" t="s">
        <v>150</v>
      </c>
      <c r="AB264" s="159">
        <v>13</v>
      </c>
      <c r="AC264" s="159"/>
      <c r="AD264" s="159"/>
      <c r="AE264" s="159"/>
      <c r="AF264" s="159"/>
      <c r="AG264" s="159"/>
      <c r="AH264" s="159"/>
      <c r="AI264" s="166" t="s">
        <v>1960</v>
      </c>
      <c r="AJ264" s="166" t="s">
        <v>346</v>
      </c>
      <c r="AK264" s="257">
        <v>1</v>
      </c>
      <c r="AL264" s="272" t="s">
        <v>1961</v>
      </c>
      <c r="AM264" s="300">
        <f>X264*P3_reinigen_daken_met_vaste_dakveiligheid</f>
        <v>0</v>
      </c>
      <c r="AN264" s="301">
        <f>Y264*P3_reinigen_goten_met_vaste_dakveiligheid</f>
        <v>0</v>
      </c>
      <c r="AO264" s="301">
        <f>(AE264*P3_Reinigen_Lichtkoepel_50X50)+('Perceel 2'!AF264*P3_Reinigen_Lichtkoepel_60x200)+('Perceel 2'!AG264*P3_Reinigen_Lichtkoepel_180x180)+('Perceel 2'!AH264*P3_Reinigen_Lichtstraten_groter_dan_180x180)</f>
        <v>0</v>
      </c>
      <c r="AP264" s="301">
        <f t="shared" si="46"/>
        <v>0</v>
      </c>
      <c r="AQ264" s="326"/>
      <c r="AR264" s="334">
        <f t="shared" si="47"/>
        <v>0</v>
      </c>
      <c r="AS264" s="338">
        <f t="shared" si="48"/>
        <v>0</v>
      </c>
    </row>
    <row r="265" spans="1:45" s="7" customFormat="1" hidden="1" x14ac:dyDescent="0.45">
      <c r="A265" s="8"/>
      <c r="B265" s="40">
        <v>3</v>
      </c>
      <c r="C265" s="1" t="s">
        <v>135</v>
      </c>
      <c r="D265" s="1"/>
      <c r="E265" s="1"/>
      <c r="F265" s="1"/>
      <c r="G265" s="1"/>
      <c r="H265" s="38"/>
      <c r="I265" s="38"/>
      <c r="J265" s="38"/>
      <c r="K265" s="38"/>
      <c r="L265" s="38"/>
      <c r="M265" s="19"/>
      <c r="N265" s="1" t="s">
        <v>1962</v>
      </c>
      <c r="O265" s="291" t="s">
        <v>1963</v>
      </c>
      <c r="P265" s="1"/>
      <c r="Q265" s="1"/>
      <c r="R265" s="1"/>
      <c r="S265" s="1"/>
      <c r="T265" s="19"/>
      <c r="U265" s="19"/>
      <c r="V265" s="19"/>
      <c r="W265" s="30"/>
      <c r="X265" s="313">
        <f>+X205+X207+X208+X209+X210+X211+X212+X213+X214+X215+X216+X217+X219+X220+X221+X223+X224+X225+X226+X227+X228+X229+X230+X231+X232+X233+X234+X235+X236+X237+X238+X239+X240+X241+X242+X243+X244+X245+X246+X248+X249+X250+X251+X252+X254+X255+X256+X257+X258+X259+X260+X261+X262+X263+X264</f>
        <v>57978</v>
      </c>
      <c r="Y265" s="313">
        <f>+Y205+Y207+Y208+Y209+Y210+Y211+Y212+Y213+Y214+Y215+Y216+Y217+Y219+Y220+Y221+Y223+Y224+Y225+Y226+Y227+Y228+Y229+Y230+Y231+Y232+Y233+Y234+Y235+Y236+Y237+Y238+Y239+Y240+Y241+Y242+Y243+Y244+Y245+Y246+Y248+Y249+Y250+Y251+Y252+Y254+Y255+Y256+Y257+Y258+Y259+Y260+Y261+Y262+Y263+Y264</f>
        <v>256</v>
      </c>
      <c r="Z265" s="39"/>
      <c r="AA265" s="39"/>
      <c r="AB265" s="313">
        <f t="shared" ref="AB265:AC265" si="49">+AB205+AB207+AB208+AB209+AB210+AB211+AB212+AB213+AB214+AB215+AB216+AB217+AB219+AB220+AB221+AB223+AB224+AB225+AB226+AB227+AB228+AB229+AB230+AB231+AB232+AB233+AB234+AB235+AB236+AB237+AB238+AB239+AB240+AB241+AB242+AB243+AB244+AB245+AB246+AB248+AB249+AB250+AB251+AB252+AB254+AB255+AB256+AB257+AB258+AB259+AB260+AB261+AB262+AB263+AB264</f>
        <v>411</v>
      </c>
      <c r="AC265" s="313">
        <f t="shared" si="49"/>
        <v>2261.6</v>
      </c>
      <c r="AD265" s="39"/>
      <c r="AE265" s="39"/>
      <c r="AF265" s="39"/>
      <c r="AG265" s="39"/>
      <c r="AH265" s="39"/>
      <c r="AI265" s="39"/>
      <c r="AJ265" s="39"/>
      <c r="AK265" s="283"/>
      <c r="AM265" s="314">
        <f t="shared" ref="AM265:AS265" si="50">+AM205+AM207+AM208+AM209+AM210+AM211+AM212+AM213+AM214+AM215+AM216+AM217+AM219+AM220+AM221+AM223+AM224+AM225+AM226+AM227+AM228+AM229+AM230+AM231+AM232+AM233+AM234+AM235+AM236+AM237+AM238+AM239+AM240+AM241+AM242+AM243+AM244+AM245+AM246+AM248+AM249+AM250+AM251+AM252+AM254+AM255+AM256+AM257+AM258+AM259+AM260+AM261+AM262+AM263+AM264</f>
        <v>0</v>
      </c>
      <c r="AN265" s="314">
        <f t="shared" si="50"/>
        <v>0</v>
      </c>
      <c r="AO265" s="314">
        <f t="shared" si="50"/>
        <v>0</v>
      </c>
      <c r="AP265" s="314">
        <f t="shared" si="50"/>
        <v>0</v>
      </c>
      <c r="AQ265" s="315">
        <f t="shared" si="50"/>
        <v>0</v>
      </c>
      <c r="AR265" s="314">
        <f t="shared" si="50"/>
        <v>0</v>
      </c>
      <c r="AS265" s="314">
        <f t="shared" si="50"/>
        <v>256</v>
      </c>
    </row>
    <row r="266" spans="1:45" s="7" customFormat="1" hidden="1" x14ac:dyDescent="0.45">
      <c r="A266" s="8"/>
      <c r="B266" s="40"/>
      <c r="C266" s="1"/>
      <c r="D266" s="1"/>
      <c r="E266" s="1"/>
      <c r="F266" s="1"/>
      <c r="G266" s="1"/>
      <c r="H266" s="38"/>
      <c r="I266" s="38"/>
      <c r="J266" s="38"/>
      <c r="K266" s="38"/>
      <c r="L266" s="38"/>
      <c r="M266" s="19"/>
      <c r="N266" s="1"/>
      <c r="O266" s="291"/>
      <c r="P266" s="1"/>
      <c r="Q266" s="1"/>
      <c r="R266" s="1"/>
      <c r="S266" s="1"/>
      <c r="T266" s="19"/>
      <c r="U266" s="19"/>
      <c r="V266" s="19"/>
      <c r="W266" s="30"/>
      <c r="X266" s="313"/>
      <c r="Y266" s="313"/>
      <c r="Z266" s="39"/>
      <c r="AA266" s="39"/>
      <c r="AB266" s="313"/>
      <c r="AC266" s="313"/>
      <c r="AD266" s="39"/>
      <c r="AE266" s="39"/>
      <c r="AF266" s="39"/>
      <c r="AG266" s="39"/>
      <c r="AH266" s="39"/>
      <c r="AI266" s="39"/>
      <c r="AJ266" s="39"/>
      <c r="AK266" s="283"/>
      <c r="AM266" s="314"/>
      <c r="AN266" s="314"/>
      <c r="AO266" s="314"/>
      <c r="AP266" s="314"/>
      <c r="AQ266" s="315"/>
      <c r="AR266" s="314"/>
      <c r="AS266" s="314"/>
    </row>
    <row r="267" spans="1:45" s="7" customFormat="1" hidden="1" x14ac:dyDescent="0.45">
      <c r="A267" s="8"/>
      <c r="B267" s="40"/>
      <c r="C267" s="1" t="s">
        <v>1964</v>
      </c>
      <c r="D267" s="1"/>
      <c r="E267" s="1"/>
      <c r="F267" s="1"/>
      <c r="G267" s="1"/>
      <c r="H267" s="38"/>
      <c r="I267" s="38"/>
      <c r="J267" s="38"/>
      <c r="K267" s="38"/>
      <c r="L267" s="38"/>
      <c r="M267" s="19"/>
      <c r="N267" s="1"/>
      <c r="O267" s="291" t="s">
        <v>1965</v>
      </c>
      <c r="P267" s="1"/>
      <c r="Q267" s="1"/>
      <c r="R267" s="1"/>
      <c r="S267" s="1"/>
      <c r="T267" s="19"/>
      <c r="U267" s="19"/>
      <c r="V267" s="19"/>
      <c r="W267" s="30"/>
      <c r="X267" s="313">
        <f>X265+X193+X97</f>
        <v>227473</v>
      </c>
      <c r="Y267" s="313">
        <f>Y265+Y193+Y97</f>
        <v>1543</v>
      </c>
      <c r="Z267" s="39"/>
      <c r="AA267" s="39"/>
      <c r="AB267" s="313">
        <f>AB265+AB193+AB97</f>
        <v>1667</v>
      </c>
      <c r="AC267" s="313">
        <f>AC265+AC193+AC97</f>
        <v>7811.6</v>
      </c>
      <c r="AD267" s="39"/>
      <c r="AE267" s="39"/>
      <c r="AF267" s="39"/>
      <c r="AG267" s="39"/>
      <c r="AH267" s="39"/>
      <c r="AI267" s="39"/>
      <c r="AJ267" s="39"/>
      <c r="AK267" s="283"/>
      <c r="AM267" s="314"/>
      <c r="AN267" s="314"/>
      <c r="AO267" s="314"/>
      <c r="AP267" s="314"/>
      <c r="AQ267" s="315"/>
      <c r="AR267" s="314"/>
      <c r="AS267" s="314"/>
    </row>
    <row r="268" spans="1:45" s="7" customFormat="1" hidden="1" x14ac:dyDescent="0.45">
      <c r="A268" s="8"/>
      <c r="B268" s="40"/>
      <c r="C268" s="1"/>
      <c r="D268" s="1"/>
      <c r="E268" s="1"/>
      <c r="F268" s="1"/>
      <c r="G268" s="1"/>
      <c r="H268" s="38"/>
      <c r="I268" s="38"/>
      <c r="J268" s="38"/>
      <c r="K268" s="38"/>
      <c r="L268" s="38"/>
      <c r="M268" s="19"/>
      <c r="N268" s="1"/>
      <c r="O268" s="291"/>
      <c r="P268" s="1"/>
      <c r="Q268" s="1"/>
      <c r="R268" s="1"/>
      <c r="S268" s="1"/>
      <c r="T268" s="19"/>
      <c r="U268" s="19"/>
      <c r="V268" s="19"/>
      <c r="W268" s="30"/>
      <c r="X268" s="313"/>
      <c r="Y268" s="313"/>
      <c r="Z268" s="39"/>
      <c r="AA268" s="39"/>
      <c r="AB268" s="313"/>
      <c r="AC268" s="313"/>
      <c r="AD268" s="39"/>
      <c r="AE268" s="39"/>
      <c r="AF268" s="39"/>
      <c r="AG268" s="39"/>
      <c r="AH268" s="39"/>
      <c r="AI268" s="39"/>
      <c r="AJ268" s="39"/>
      <c r="AK268" s="283"/>
      <c r="AM268" s="314"/>
      <c r="AN268" s="314"/>
      <c r="AO268" s="314"/>
      <c r="AP268" s="314"/>
      <c r="AQ268" s="315"/>
      <c r="AR268" s="314"/>
      <c r="AS268" s="314"/>
    </row>
    <row r="269" spans="1:45" s="7" customFormat="1" hidden="1" x14ac:dyDescent="0.45">
      <c r="A269" s="8"/>
      <c r="B269" s="40"/>
      <c r="C269" s="1"/>
      <c r="D269" s="1"/>
      <c r="E269" s="1"/>
      <c r="F269" s="1"/>
      <c r="G269" s="1"/>
      <c r="H269" s="38"/>
      <c r="I269" s="38"/>
      <c r="J269" s="38"/>
      <c r="K269" s="38"/>
      <c r="L269" s="38"/>
      <c r="M269" s="19"/>
      <c r="N269" s="1"/>
      <c r="O269" s="291"/>
      <c r="P269" s="1"/>
      <c r="Q269" s="1"/>
      <c r="R269" s="1"/>
      <c r="S269" s="1"/>
      <c r="T269" s="19"/>
      <c r="U269" s="19"/>
      <c r="V269" s="19"/>
      <c r="W269" s="30"/>
      <c r="X269" s="313"/>
      <c r="Y269" s="313"/>
      <c r="Z269" s="39"/>
      <c r="AA269" s="39"/>
      <c r="AB269" s="313"/>
      <c r="AC269" s="313"/>
      <c r="AD269" s="39"/>
      <c r="AE269" s="39"/>
      <c r="AF269" s="39"/>
      <c r="AG269" s="39"/>
      <c r="AH269" s="39"/>
      <c r="AI269" s="39"/>
      <c r="AJ269" s="39"/>
      <c r="AK269" s="283"/>
      <c r="AM269" s="314"/>
      <c r="AN269" s="314"/>
      <c r="AO269" s="314"/>
      <c r="AP269" s="314"/>
      <c r="AQ269" s="315"/>
      <c r="AR269" s="314"/>
      <c r="AS269" s="314"/>
    </row>
    <row r="270" spans="1:45" s="7" customFormat="1" hidden="1" x14ac:dyDescent="0.45">
      <c r="A270" s="8"/>
      <c r="B270" s="40"/>
      <c r="C270" s="1"/>
      <c r="D270" s="1"/>
      <c r="E270" s="1"/>
      <c r="F270" s="1"/>
      <c r="G270" s="1"/>
      <c r="H270" s="38"/>
      <c r="I270" s="38"/>
      <c r="J270" s="38"/>
      <c r="K270" s="38"/>
      <c r="L270" s="38"/>
      <c r="M270" s="19"/>
      <c r="N270" s="1"/>
      <c r="O270" s="291"/>
      <c r="P270" s="1"/>
      <c r="Q270" s="1"/>
      <c r="R270" s="1"/>
      <c r="S270" s="1"/>
      <c r="T270" s="19"/>
      <c r="U270" s="19"/>
      <c r="V270" s="19"/>
      <c r="W270" s="30"/>
      <c r="X270" s="313"/>
      <c r="Y270" s="313"/>
      <c r="Z270" s="39"/>
      <c r="AA270" s="39"/>
      <c r="AB270" s="313"/>
      <c r="AC270" s="313"/>
      <c r="AD270" s="39"/>
      <c r="AE270" s="39"/>
      <c r="AF270" s="39"/>
      <c r="AG270" s="39"/>
      <c r="AH270" s="39"/>
      <c r="AI270" s="39"/>
      <c r="AJ270" s="39"/>
      <c r="AK270" s="283"/>
      <c r="AM270" s="314"/>
      <c r="AN270" s="314"/>
      <c r="AO270" s="314"/>
      <c r="AP270" s="314"/>
      <c r="AQ270" s="315"/>
      <c r="AR270" s="314"/>
      <c r="AS270" s="314"/>
    </row>
    <row r="271" spans="1:45" s="7" customFormat="1" hidden="1" x14ac:dyDescent="0.45">
      <c r="A271" s="8"/>
      <c r="B271" s="40"/>
      <c r="C271" s="1"/>
      <c r="D271" s="1"/>
      <c r="E271" s="1"/>
      <c r="F271" s="1"/>
      <c r="G271" s="1"/>
      <c r="H271" s="38"/>
      <c r="I271" s="38"/>
      <c r="J271" s="38"/>
      <c r="K271" s="38"/>
      <c r="L271" s="38"/>
      <c r="M271" s="19"/>
      <c r="N271" s="1"/>
      <c r="O271" s="291"/>
      <c r="P271" s="1"/>
      <c r="Q271" s="1"/>
      <c r="R271" s="1"/>
      <c r="S271" s="1"/>
      <c r="T271" s="19"/>
      <c r="U271" s="19"/>
      <c r="V271" s="19"/>
      <c r="W271" s="30"/>
      <c r="X271" s="313"/>
      <c r="Y271" s="313"/>
      <c r="Z271" s="39"/>
      <c r="AA271" s="39"/>
      <c r="AB271" s="313"/>
      <c r="AC271" s="313"/>
      <c r="AD271" s="39"/>
      <c r="AE271" s="39"/>
      <c r="AF271" s="39"/>
      <c r="AG271" s="39"/>
      <c r="AH271" s="39"/>
      <c r="AI271" s="39"/>
      <c r="AJ271" s="39"/>
      <c r="AK271" s="283"/>
      <c r="AM271" s="314"/>
      <c r="AN271" s="314"/>
      <c r="AO271" s="314"/>
      <c r="AP271" s="314"/>
      <c r="AQ271" s="315"/>
      <c r="AR271" s="314"/>
      <c r="AS271" s="314"/>
    </row>
    <row r="272" spans="1:45" s="7" customFormat="1" hidden="1" x14ac:dyDescent="0.45">
      <c r="A272" s="8"/>
      <c r="B272" s="40"/>
      <c r="C272" s="1"/>
      <c r="D272" s="1"/>
      <c r="E272" s="1"/>
      <c r="F272" s="1"/>
      <c r="G272" s="1"/>
      <c r="H272" s="38"/>
      <c r="I272" s="38"/>
      <c r="J272" s="38"/>
      <c r="K272" s="38"/>
      <c r="L272" s="38"/>
      <c r="M272" s="19"/>
      <c r="N272" s="1"/>
      <c r="O272" s="1"/>
      <c r="P272" s="1"/>
      <c r="Q272" s="1"/>
      <c r="R272" s="1"/>
      <c r="S272" s="1"/>
      <c r="T272" s="19"/>
      <c r="U272" s="19"/>
      <c r="V272" s="19"/>
      <c r="W272" s="30"/>
      <c r="X272" s="30"/>
      <c r="Y272" s="30"/>
      <c r="Z272" s="39"/>
      <c r="AA272" s="39"/>
      <c r="AB272" s="39"/>
      <c r="AC272" s="39"/>
      <c r="AD272" s="39"/>
      <c r="AE272" s="39"/>
      <c r="AF272" s="39"/>
      <c r="AG272" s="39"/>
      <c r="AH272" s="39"/>
      <c r="AI272" s="39"/>
      <c r="AJ272" s="39"/>
      <c r="AK272" s="283"/>
      <c r="AM272" s="278"/>
      <c r="AN272" s="278"/>
      <c r="AO272" s="278"/>
      <c r="AP272" s="278"/>
      <c r="AR272" s="278"/>
      <c r="AS272" s="278"/>
    </row>
    <row r="273" spans="1:45" s="39" customFormat="1" hidden="1" x14ac:dyDescent="0.45">
      <c r="A273" s="8"/>
      <c r="B273" s="40"/>
      <c r="C273" s="1"/>
      <c r="D273" s="1"/>
      <c r="E273" s="1"/>
      <c r="F273" s="1"/>
      <c r="G273" s="1"/>
      <c r="H273" s="38"/>
      <c r="I273" s="38"/>
      <c r="J273" s="38"/>
      <c r="K273" s="38"/>
      <c r="L273" s="38"/>
      <c r="M273" s="19"/>
      <c r="N273" s="1"/>
      <c r="O273" s="1"/>
      <c r="P273" s="1"/>
      <c r="Q273" s="1"/>
      <c r="R273" s="1"/>
      <c r="S273" s="1"/>
      <c r="T273" s="19"/>
      <c r="U273" s="19"/>
      <c r="V273" s="19"/>
      <c r="W273" s="30"/>
      <c r="X273" s="30"/>
      <c r="Y273" s="30"/>
      <c r="AK273" s="283"/>
      <c r="AL273" s="7"/>
      <c r="AM273" s="278"/>
      <c r="AN273" s="278"/>
      <c r="AO273" s="278"/>
      <c r="AP273" s="278"/>
      <c r="AQ273" s="7"/>
      <c r="AR273" s="278"/>
      <c r="AS273" s="278"/>
    </row>
    <row r="274" spans="1:45" s="39" customFormat="1" hidden="1" x14ac:dyDescent="0.45">
      <c r="A274" s="8"/>
      <c r="B274" s="40"/>
      <c r="C274" s="1" t="s">
        <v>1966</v>
      </c>
      <c r="D274" s="1"/>
      <c r="E274" s="1"/>
      <c r="F274" s="1"/>
      <c r="G274" s="1"/>
      <c r="H274" s="38"/>
      <c r="I274" s="38"/>
      <c r="J274" s="38"/>
      <c r="K274" s="38"/>
      <c r="L274" s="38"/>
      <c r="M274" s="19"/>
      <c r="N274" s="1"/>
      <c r="O274" s="1"/>
      <c r="P274" s="1"/>
      <c r="Q274" s="1"/>
      <c r="R274" s="1">
        <v>227473</v>
      </c>
      <c r="S274" s="1" t="s">
        <v>40</v>
      </c>
      <c r="T274" s="19"/>
      <c r="U274" s="19"/>
      <c r="V274" s="19"/>
      <c r="W274" s="321">
        <v>1</v>
      </c>
      <c r="X274" s="321">
        <v>1</v>
      </c>
      <c r="Y274" s="293">
        <v>280000</v>
      </c>
      <c r="Z274" s="323">
        <v>195000</v>
      </c>
      <c r="AA274" s="322">
        <v>85000</v>
      </c>
      <c r="AK274" s="283"/>
      <c r="AL274" s="7"/>
      <c r="AM274" s="278"/>
      <c r="AN274" s="278"/>
      <c r="AO274" s="278"/>
      <c r="AP274" s="278"/>
      <c r="AQ274" s="7"/>
      <c r="AR274" s="278"/>
      <c r="AS274" s="278"/>
    </row>
    <row r="275" spans="1:45" s="39" customFormat="1" hidden="1" x14ac:dyDescent="0.45">
      <c r="A275" s="8"/>
      <c r="B275" s="40"/>
      <c r="C275" s="1" t="s">
        <v>1966</v>
      </c>
      <c r="D275" s="1"/>
      <c r="E275" s="1"/>
      <c r="F275" s="1"/>
      <c r="G275" s="1"/>
      <c r="H275" s="38"/>
      <c r="I275" s="38"/>
      <c r="J275" s="38"/>
      <c r="K275" s="38"/>
      <c r="L275" s="38"/>
      <c r="M275" s="19"/>
      <c r="N275" s="1"/>
      <c r="O275" s="1"/>
      <c r="P275" s="1"/>
      <c r="Q275" s="1">
        <v>1</v>
      </c>
      <c r="R275" s="1">
        <f>X97</f>
        <v>73772</v>
      </c>
      <c r="S275" s="1">
        <f>R274*W275</f>
        <v>73771.768629999991</v>
      </c>
      <c r="T275" s="19"/>
      <c r="U275" s="19"/>
      <c r="V275" s="19"/>
      <c r="W275" s="320">
        <v>0.32430999999999999</v>
      </c>
      <c r="X275" s="320">
        <v>0.32429999999999998</v>
      </c>
      <c r="Y275" s="293">
        <f>Y274*X275</f>
        <v>90804</v>
      </c>
      <c r="Z275" s="323">
        <f>Z274*X275</f>
        <v>63238.499999999993</v>
      </c>
      <c r="AA275" s="322">
        <f>AA274*X275</f>
        <v>27565.499999999996</v>
      </c>
      <c r="AK275" s="283"/>
      <c r="AL275" s="7"/>
      <c r="AM275" s="278"/>
      <c r="AN275" s="278"/>
      <c r="AO275" s="278"/>
      <c r="AP275" s="278"/>
      <c r="AQ275" s="7"/>
      <c r="AR275" s="278"/>
      <c r="AS275" s="278"/>
    </row>
    <row r="276" spans="1:45" s="39" customFormat="1" hidden="1" x14ac:dyDescent="0.45">
      <c r="A276" s="8"/>
      <c r="B276" s="40"/>
      <c r="C276" s="1" t="s">
        <v>1966</v>
      </c>
      <c r="D276" s="1"/>
      <c r="E276" s="1"/>
      <c r="F276" s="1"/>
      <c r="G276" s="1"/>
      <c r="H276" s="38"/>
      <c r="I276" s="38"/>
      <c r="J276" s="38"/>
      <c r="K276" s="38"/>
      <c r="L276" s="38"/>
      <c r="M276" s="19"/>
      <c r="N276" s="1"/>
      <c r="O276" s="1"/>
      <c r="P276" s="1"/>
      <c r="Q276" s="1">
        <v>2</v>
      </c>
      <c r="R276" s="319">
        <f>X193</f>
        <v>95723</v>
      </c>
      <c r="S276" s="1">
        <f>R274*W276</f>
        <v>95722.994792807003</v>
      </c>
      <c r="T276" s="19"/>
      <c r="U276" s="19"/>
      <c r="V276" s="19"/>
      <c r="W276" s="320">
        <v>0.42081035900000002</v>
      </c>
      <c r="X276" s="320">
        <v>0.42080000000000001</v>
      </c>
      <c r="Y276" s="293">
        <f>Y274*X276</f>
        <v>117824</v>
      </c>
      <c r="Z276" s="323">
        <f>Z274*X276</f>
        <v>82056</v>
      </c>
      <c r="AA276" s="322">
        <f>AA274*X276</f>
        <v>35768</v>
      </c>
      <c r="AK276" s="283"/>
      <c r="AL276" s="7"/>
      <c r="AM276" s="278"/>
      <c r="AN276" s="278"/>
      <c r="AO276" s="278"/>
      <c r="AP276" s="278"/>
      <c r="AQ276" s="7"/>
      <c r="AR276" s="278"/>
      <c r="AS276" s="278"/>
    </row>
    <row r="277" spans="1:45" s="39" customFormat="1" hidden="1" x14ac:dyDescent="0.45">
      <c r="A277" s="8"/>
      <c r="B277" s="40"/>
      <c r="C277" s="1" t="s">
        <v>1966</v>
      </c>
      <c r="D277" s="1"/>
      <c r="E277" s="1"/>
      <c r="F277" s="1"/>
      <c r="G277" s="1"/>
      <c r="H277" s="38"/>
      <c r="I277" s="38"/>
      <c r="J277" s="38"/>
      <c r="K277" s="38"/>
      <c r="L277" s="38"/>
      <c r="M277" s="19"/>
      <c r="N277" s="1"/>
      <c r="O277" s="1"/>
      <c r="P277" s="1"/>
      <c r="Q277" s="1">
        <v>3</v>
      </c>
      <c r="R277" s="319">
        <f>X265</f>
        <v>57978</v>
      </c>
      <c r="S277" s="1">
        <f>R274*W277</f>
        <v>57978.318240000001</v>
      </c>
      <c r="T277" s="19"/>
      <c r="U277" s="19"/>
      <c r="V277" s="19"/>
      <c r="W277" s="320">
        <v>0.25488</v>
      </c>
      <c r="X277" s="320">
        <v>0.25490000000000002</v>
      </c>
      <c r="Y277" s="293">
        <f>Y274*X277</f>
        <v>71372</v>
      </c>
      <c r="Z277" s="323">
        <f>Z274*X277</f>
        <v>49705.5</v>
      </c>
      <c r="AA277" s="322">
        <f>+AA274*X277</f>
        <v>21666.5</v>
      </c>
      <c r="AK277" s="283"/>
      <c r="AL277" s="7"/>
      <c r="AM277" s="278"/>
      <c r="AN277" s="278"/>
      <c r="AO277" s="278"/>
      <c r="AP277" s="278"/>
      <c r="AQ277" s="7"/>
      <c r="AR277" s="278"/>
      <c r="AS277" s="278"/>
    </row>
    <row r="278" spans="1:45" s="39" customFormat="1" hidden="1" x14ac:dyDescent="0.45">
      <c r="A278" s="8"/>
      <c r="B278" s="40"/>
      <c r="C278" s="1" t="s">
        <v>1966</v>
      </c>
      <c r="D278" s="1"/>
      <c r="E278" s="1"/>
      <c r="F278" s="1"/>
      <c r="G278" s="1"/>
      <c r="H278" s="38"/>
      <c r="I278" s="38"/>
      <c r="J278" s="38"/>
      <c r="K278" s="38"/>
      <c r="L278" s="38"/>
      <c r="M278" s="19"/>
      <c r="N278" s="1"/>
      <c r="O278" s="1"/>
      <c r="P278" s="1"/>
      <c r="Q278" s="1"/>
      <c r="R278" s="313">
        <f t="shared" ref="R278:S278" si="51">R275+R276+R277</f>
        <v>227473</v>
      </c>
      <c r="S278" s="313">
        <f t="shared" si="51"/>
        <v>227473.08166280697</v>
      </c>
      <c r="T278" s="19"/>
      <c r="U278" s="19"/>
      <c r="V278" s="19"/>
      <c r="W278" s="320">
        <f>W275+W276+W277</f>
        <v>1.0000003589999999</v>
      </c>
      <c r="X278" s="320">
        <f>X275+X276+X277</f>
        <v>1</v>
      </c>
      <c r="Y278" s="293">
        <f>SUM(Y275:Y277)</f>
        <v>280000</v>
      </c>
      <c r="Z278" s="323">
        <f>SUM(Z275:Z277)</f>
        <v>195000</v>
      </c>
      <c r="AA278" s="322">
        <f>SUM(AA275:AA277)</f>
        <v>85000</v>
      </c>
      <c r="AK278" s="283"/>
      <c r="AL278" s="7"/>
      <c r="AM278" s="278"/>
      <c r="AN278" s="278"/>
      <c r="AO278" s="278"/>
      <c r="AP278" s="278"/>
      <c r="AQ278" s="7"/>
      <c r="AR278" s="278"/>
      <c r="AS278" s="278"/>
    </row>
    <row r="279" spans="1:45" s="39" customFormat="1" hidden="1" x14ac:dyDescent="0.45">
      <c r="A279" s="8"/>
      <c r="B279" s="40"/>
      <c r="C279" s="1"/>
      <c r="D279" s="1"/>
      <c r="E279" s="1"/>
      <c r="F279" s="1"/>
      <c r="G279" s="1"/>
      <c r="H279" s="38"/>
      <c r="I279" s="38"/>
      <c r="J279" s="38"/>
      <c r="K279" s="38"/>
      <c r="L279" s="38"/>
      <c r="M279" s="19"/>
      <c r="N279" s="1"/>
      <c r="O279" s="1"/>
      <c r="P279" s="1"/>
      <c r="Q279" s="1"/>
      <c r="R279" s="1"/>
      <c r="S279" s="1"/>
      <c r="T279" s="19"/>
      <c r="U279" s="19"/>
      <c r="V279" s="19"/>
      <c r="W279" s="30"/>
      <c r="X279" s="30"/>
      <c r="Y279" s="30"/>
      <c r="AK279" s="283"/>
      <c r="AL279" s="7"/>
      <c r="AM279" s="278"/>
      <c r="AN279" s="278"/>
      <c r="AO279" s="278"/>
      <c r="AP279" s="278"/>
      <c r="AQ279" s="7"/>
      <c r="AR279" s="278"/>
      <c r="AS279" s="278"/>
    </row>
    <row r="280" spans="1:45" s="39" customFormat="1" hidden="1" x14ac:dyDescent="0.45">
      <c r="A280" s="8"/>
      <c r="B280" s="40"/>
      <c r="C280" s="1"/>
      <c r="D280" s="1"/>
      <c r="E280" s="1"/>
      <c r="F280" s="1"/>
      <c r="G280" s="1"/>
      <c r="H280" s="38"/>
      <c r="I280" s="38"/>
      <c r="J280" s="38"/>
      <c r="K280" s="38"/>
      <c r="L280" s="38"/>
      <c r="M280" s="19"/>
      <c r="N280" s="1"/>
      <c r="O280" s="1"/>
      <c r="P280" s="1"/>
      <c r="Q280" s="1"/>
      <c r="R280" s="1"/>
      <c r="S280" s="1"/>
      <c r="T280" s="19"/>
      <c r="U280" s="19"/>
      <c r="V280" s="19"/>
      <c r="W280" s="30"/>
      <c r="X280" s="30"/>
      <c r="Y280" s="30"/>
      <c r="AK280" s="283"/>
      <c r="AL280" s="7"/>
      <c r="AM280" s="278"/>
      <c r="AN280" s="278"/>
      <c r="AO280" s="278"/>
      <c r="AP280" s="278"/>
      <c r="AQ280" s="7"/>
      <c r="AR280" s="278"/>
      <c r="AS280" s="278"/>
    </row>
    <row r="281" spans="1:45" s="39" customFormat="1" hidden="1" x14ac:dyDescent="0.45">
      <c r="A281" s="8"/>
      <c r="B281" s="40"/>
      <c r="C281" s="1"/>
      <c r="D281" s="1"/>
      <c r="E281" s="1"/>
      <c r="F281" s="1"/>
      <c r="G281" s="1"/>
      <c r="H281" s="38"/>
      <c r="I281" s="38"/>
      <c r="J281" s="38"/>
      <c r="K281" s="38"/>
      <c r="L281" s="38"/>
      <c r="M281" s="19"/>
      <c r="N281" s="1"/>
      <c r="O281" s="1"/>
      <c r="P281" s="1"/>
      <c r="Q281" s="1"/>
      <c r="R281" s="1"/>
      <c r="S281" s="1"/>
      <c r="T281" s="19"/>
      <c r="U281" s="19"/>
      <c r="V281" s="19"/>
      <c r="W281" s="30"/>
      <c r="X281" s="30"/>
      <c r="Y281" s="30"/>
      <c r="AK281" s="283"/>
      <c r="AL281" s="7"/>
      <c r="AM281" s="278"/>
      <c r="AN281" s="278"/>
      <c r="AO281" s="278"/>
      <c r="AP281" s="278"/>
      <c r="AQ281" s="7"/>
      <c r="AR281" s="278"/>
      <c r="AS281" s="278"/>
    </row>
    <row r="282" spans="1:45" s="39" customFormat="1" hidden="1" x14ac:dyDescent="0.45">
      <c r="A282" s="8"/>
      <c r="B282" s="40"/>
      <c r="C282" s="1"/>
      <c r="D282" s="1"/>
      <c r="E282" s="1"/>
      <c r="F282" s="1"/>
      <c r="G282" s="1"/>
      <c r="H282" s="38"/>
      <c r="I282" s="38"/>
      <c r="J282" s="38"/>
      <c r="K282" s="38"/>
      <c r="L282" s="38"/>
      <c r="M282" s="19"/>
      <c r="N282" s="1"/>
      <c r="O282" s="1"/>
      <c r="P282" s="1"/>
      <c r="Q282" s="1"/>
      <c r="R282" s="1"/>
      <c r="S282" s="1"/>
      <c r="T282" s="19"/>
      <c r="U282" s="19"/>
      <c r="V282" s="19"/>
      <c r="W282" s="30"/>
      <c r="X282" s="30"/>
      <c r="Y282" s="30"/>
      <c r="AK282" s="283"/>
      <c r="AL282" s="7"/>
      <c r="AM282" s="278"/>
      <c r="AN282" s="278"/>
      <c r="AO282" s="278"/>
      <c r="AP282" s="278"/>
      <c r="AQ282" s="7"/>
      <c r="AR282" s="278"/>
      <c r="AS282" s="278"/>
    </row>
    <row r="283" spans="1:45" s="39" customFormat="1" hidden="1" x14ac:dyDescent="0.45">
      <c r="A283" s="8"/>
      <c r="B283" s="40"/>
      <c r="C283" s="1"/>
      <c r="D283" s="1"/>
      <c r="E283" s="1"/>
      <c r="F283" s="1"/>
      <c r="G283" s="1"/>
      <c r="H283" s="38"/>
      <c r="I283" s="38"/>
      <c r="J283" s="38"/>
      <c r="K283" s="38"/>
      <c r="L283" s="38"/>
      <c r="M283" s="19"/>
      <c r="N283" s="1"/>
      <c r="O283" s="1"/>
      <c r="P283" s="1"/>
      <c r="Q283" s="1"/>
      <c r="R283" s="1"/>
      <c r="S283" s="1"/>
      <c r="T283" s="19"/>
      <c r="U283" s="19"/>
      <c r="V283" s="19"/>
      <c r="W283" s="30"/>
      <c r="X283" s="30"/>
      <c r="Y283" s="30"/>
      <c r="AK283" s="283"/>
      <c r="AL283" s="7"/>
      <c r="AM283" s="278"/>
      <c r="AN283" s="278"/>
      <c r="AO283" s="278"/>
      <c r="AP283" s="278"/>
      <c r="AQ283" s="7"/>
      <c r="AR283" s="278"/>
      <c r="AS283" s="278"/>
    </row>
    <row r="284" spans="1:45" s="39" customFormat="1" hidden="1" x14ac:dyDescent="0.45">
      <c r="A284" s="8"/>
      <c r="B284" s="40"/>
      <c r="C284" s="1"/>
      <c r="D284" s="1"/>
      <c r="E284" s="1"/>
      <c r="F284" s="1"/>
      <c r="G284" s="1"/>
      <c r="H284" s="38"/>
      <c r="I284" s="38"/>
      <c r="J284" s="38"/>
      <c r="K284" s="38"/>
      <c r="L284" s="38"/>
      <c r="M284" s="19"/>
      <c r="N284" s="1"/>
      <c r="O284" s="1"/>
      <c r="P284" s="1"/>
      <c r="Q284" s="1"/>
      <c r="R284" s="1"/>
      <c r="S284" s="1"/>
      <c r="T284" s="19"/>
      <c r="U284" s="19"/>
      <c r="V284" s="19"/>
      <c r="W284" s="30"/>
      <c r="X284" s="30"/>
      <c r="Y284" s="30"/>
      <c r="AK284" s="283"/>
      <c r="AL284" s="7"/>
      <c r="AM284" s="278"/>
      <c r="AN284" s="278"/>
      <c r="AO284" s="278"/>
      <c r="AP284" s="278"/>
      <c r="AQ284" s="7"/>
      <c r="AR284" s="278"/>
      <c r="AS284" s="278"/>
    </row>
    <row r="285" spans="1:45" s="39" customFormat="1" hidden="1" x14ac:dyDescent="0.45">
      <c r="A285" s="8"/>
      <c r="B285" s="40"/>
      <c r="C285" s="1"/>
      <c r="D285" s="1"/>
      <c r="E285" s="1"/>
      <c r="F285" s="1"/>
      <c r="G285" s="1"/>
      <c r="H285" s="38"/>
      <c r="I285" s="38"/>
      <c r="J285" s="38"/>
      <c r="K285" s="38"/>
      <c r="L285" s="38"/>
      <c r="M285" s="19"/>
      <c r="N285" s="1"/>
      <c r="O285" s="1"/>
      <c r="P285" s="1"/>
      <c r="Q285" s="1"/>
      <c r="R285" s="1"/>
      <c r="S285" s="1"/>
      <c r="T285" s="19"/>
      <c r="U285" s="19"/>
      <c r="V285" s="19"/>
      <c r="W285" s="30"/>
      <c r="X285" s="30"/>
      <c r="Y285" s="30"/>
      <c r="AK285" s="283"/>
      <c r="AL285" s="7"/>
      <c r="AM285" s="278"/>
      <c r="AN285" s="278"/>
      <c r="AO285" s="278"/>
      <c r="AP285" s="278"/>
      <c r="AQ285" s="7"/>
      <c r="AR285" s="278"/>
      <c r="AS285" s="278"/>
    </row>
    <row r="286" spans="1:45" s="39" customFormat="1" hidden="1" x14ac:dyDescent="0.45">
      <c r="A286" s="8"/>
      <c r="B286" s="40"/>
      <c r="C286" s="1"/>
      <c r="D286" s="1"/>
      <c r="E286" s="1"/>
      <c r="F286" s="1"/>
      <c r="G286" s="1"/>
      <c r="H286" s="38"/>
      <c r="I286" s="38"/>
      <c r="J286" s="38"/>
      <c r="K286" s="38"/>
      <c r="L286" s="38"/>
      <c r="M286" s="19"/>
      <c r="N286" s="1"/>
      <c r="O286" s="1"/>
      <c r="P286" s="1"/>
      <c r="Q286" s="1"/>
      <c r="R286" s="1"/>
      <c r="S286" s="1"/>
      <c r="T286" s="19"/>
      <c r="U286" s="19"/>
      <c r="V286" s="19"/>
      <c r="W286" s="30"/>
      <c r="X286" s="30"/>
      <c r="Y286" s="30"/>
      <c r="AK286" s="283"/>
      <c r="AL286" s="7"/>
      <c r="AM286" s="278"/>
      <c r="AN286" s="278"/>
      <c r="AO286" s="278"/>
      <c r="AP286" s="278"/>
      <c r="AQ286" s="7"/>
      <c r="AR286" s="278"/>
      <c r="AS286" s="278"/>
    </row>
    <row r="287" spans="1:45" s="39" customFormat="1" hidden="1" x14ac:dyDescent="0.45">
      <c r="A287" s="8"/>
      <c r="B287" s="40"/>
      <c r="C287" s="1"/>
      <c r="D287" s="1"/>
      <c r="E287" s="1"/>
      <c r="F287" s="1"/>
      <c r="G287" s="1"/>
      <c r="H287" s="38"/>
      <c r="I287" s="38"/>
      <c r="J287" s="38"/>
      <c r="K287" s="38"/>
      <c r="L287" s="38"/>
      <c r="M287" s="19"/>
      <c r="N287" s="1"/>
      <c r="O287" s="1"/>
      <c r="P287" s="1"/>
      <c r="Q287" s="1"/>
      <c r="R287" s="1"/>
      <c r="S287" s="1"/>
      <c r="T287" s="19"/>
      <c r="U287" s="19"/>
      <c r="V287" s="19"/>
      <c r="W287" s="30"/>
      <c r="X287" s="30"/>
      <c r="Y287" s="30"/>
      <c r="AK287" s="283"/>
      <c r="AL287" s="7"/>
      <c r="AM287" s="278"/>
      <c r="AN287" s="278"/>
      <c r="AO287" s="278"/>
      <c r="AP287" s="278"/>
      <c r="AQ287" s="7"/>
      <c r="AR287" s="278"/>
      <c r="AS287" s="278"/>
    </row>
    <row r="288" spans="1:45" s="39" customFormat="1" hidden="1" x14ac:dyDescent="0.45">
      <c r="A288" s="8"/>
      <c r="B288" s="40"/>
      <c r="C288" s="1"/>
      <c r="D288" s="1"/>
      <c r="E288" s="1"/>
      <c r="F288" s="1"/>
      <c r="G288" s="1"/>
      <c r="H288" s="38"/>
      <c r="I288" s="38"/>
      <c r="J288" s="38"/>
      <c r="K288" s="38"/>
      <c r="L288" s="38"/>
      <c r="M288" s="19"/>
      <c r="N288" s="1"/>
      <c r="O288" s="1"/>
      <c r="P288" s="1"/>
      <c r="Q288" s="1"/>
      <c r="R288" s="1"/>
      <c r="S288" s="1"/>
      <c r="T288" s="19"/>
      <c r="U288" s="19"/>
      <c r="V288" s="19"/>
      <c r="W288" s="30"/>
      <c r="X288" s="30"/>
      <c r="Y288" s="30"/>
      <c r="AK288" s="283"/>
      <c r="AL288" s="7"/>
      <c r="AM288" s="278"/>
      <c r="AN288" s="278"/>
      <c r="AO288" s="278"/>
      <c r="AP288" s="278"/>
      <c r="AQ288" s="7"/>
      <c r="AR288" s="278"/>
      <c r="AS288" s="278"/>
    </row>
    <row r="289" spans="2:45" s="8" customFormat="1" hidden="1" x14ac:dyDescent="0.45">
      <c r="B289" s="40"/>
      <c r="C289" s="1"/>
      <c r="D289" s="1"/>
      <c r="E289" s="1"/>
      <c r="F289" s="1"/>
      <c r="G289" s="1"/>
      <c r="H289" s="38"/>
      <c r="I289" s="38"/>
      <c r="J289" s="38"/>
      <c r="K289" s="38"/>
      <c r="L289" s="38"/>
      <c r="M289" s="19"/>
      <c r="N289" s="1"/>
      <c r="O289" s="1"/>
      <c r="P289" s="1"/>
      <c r="Q289" s="1"/>
      <c r="R289" s="1"/>
      <c r="S289" s="1"/>
      <c r="T289" s="19"/>
      <c r="U289" s="19"/>
      <c r="V289" s="19"/>
      <c r="W289" s="30"/>
      <c r="X289" s="30"/>
      <c r="Y289" s="30"/>
      <c r="Z289" s="39"/>
      <c r="AA289" s="39"/>
      <c r="AB289" s="39"/>
      <c r="AC289" s="39"/>
      <c r="AD289" s="39"/>
      <c r="AE289" s="39"/>
      <c r="AF289" s="39"/>
      <c r="AG289" s="39"/>
      <c r="AH289" s="39"/>
      <c r="AI289" s="39"/>
      <c r="AJ289" s="39"/>
      <c r="AK289" s="283"/>
      <c r="AL289" s="7"/>
      <c r="AM289" s="278"/>
      <c r="AN289" s="278"/>
      <c r="AO289" s="278"/>
      <c r="AP289" s="278"/>
      <c r="AQ289" s="7"/>
      <c r="AR289" s="278"/>
      <c r="AS289" s="278"/>
    </row>
    <row r="290" spans="2:45" s="8" customFormat="1" hidden="1" x14ac:dyDescent="0.45">
      <c r="B290" s="40"/>
      <c r="C290" s="1"/>
      <c r="D290" s="1"/>
      <c r="E290" s="1"/>
      <c r="F290" s="1"/>
      <c r="G290" s="1"/>
      <c r="H290" s="38"/>
      <c r="I290" s="38"/>
      <c r="J290" s="38"/>
      <c r="K290" s="38"/>
      <c r="L290" s="38"/>
      <c r="M290" s="19"/>
      <c r="N290" s="1"/>
      <c r="O290" s="1"/>
      <c r="P290" s="1"/>
      <c r="Q290" s="1"/>
      <c r="R290" s="1"/>
      <c r="S290" s="1"/>
      <c r="T290" s="19"/>
      <c r="U290" s="19"/>
      <c r="V290" s="19"/>
      <c r="W290" s="30"/>
      <c r="X290" s="30"/>
      <c r="Y290" s="30"/>
      <c r="Z290" s="39"/>
      <c r="AA290" s="39"/>
      <c r="AB290" s="39"/>
      <c r="AC290" s="39"/>
      <c r="AD290" s="39"/>
      <c r="AE290" s="39"/>
      <c r="AF290" s="39"/>
      <c r="AG290" s="39"/>
      <c r="AH290" s="39"/>
      <c r="AI290" s="39"/>
      <c r="AJ290" s="39"/>
      <c r="AK290" s="283"/>
      <c r="AL290" s="7"/>
      <c r="AM290" s="278"/>
      <c r="AN290" s="278"/>
      <c r="AO290" s="278"/>
      <c r="AP290" s="278"/>
      <c r="AQ290" s="7"/>
      <c r="AR290" s="278"/>
      <c r="AS290" s="278"/>
    </row>
    <row r="291" spans="2:45" s="8" customFormat="1" hidden="1" x14ac:dyDescent="0.45">
      <c r="B291" s="40"/>
      <c r="C291" s="1"/>
      <c r="D291" s="1"/>
      <c r="E291" s="1"/>
      <c r="F291" s="1"/>
      <c r="G291" s="1"/>
      <c r="H291" s="38"/>
      <c r="I291" s="38"/>
      <c r="J291" s="38"/>
      <c r="K291" s="38"/>
      <c r="L291" s="38"/>
      <c r="M291" s="19"/>
      <c r="N291" s="1"/>
      <c r="O291" s="1"/>
      <c r="P291" s="1"/>
      <c r="Q291" s="1"/>
      <c r="R291" s="1"/>
      <c r="S291" s="1"/>
      <c r="T291" s="19"/>
      <c r="U291" s="19"/>
      <c r="V291" s="19"/>
      <c r="W291" s="30"/>
      <c r="X291" s="30"/>
      <c r="Y291" s="30"/>
      <c r="Z291" s="39"/>
      <c r="AA291" s="39"/>
      <c r="AB291" s="39"/>
      <c r="AC291" s="39"/>
      <c r="AD291" s="39"/>
      <c r="AE291" s="39"/>
      <c r="AF291" s="39"/>
      <c r="AG291" s="39"/>
      <c r="AH291" s="39"/>
      <c r="AI291" s="39"/>
      <c r="AJ291" s="39"/>
      <c r="AK291" s="283"/>
      <c r="AL291" s="7"/>
      <c r="AM291" s="278"/>
      <c r="AN291" s="278"/>
      <c r="AO291" s="278"/>
      <c r="AP291" s="278"/>
      <c r="AQ291" s="7"/>
      <c r="AR291" s="278"/>
      <c r="AS291" s="278"/>
    </row>
    <row r="292" spans="2:45" s="8" customFormat="1" hidden="1" x14ac:dyDescent="0.45">
      <c r="B292" s="40"/>
      <c r="C292" s="1"/>
      <c r="D292" s="1"/>
      <c r="E292" s="1"/>
      <c r="F292" s="1"/>
      <c r="G292" s="1"/>
      <c r="H292" s="38"/>
      <c r="I292" s="38"/>
      <c r="J292" s="38"/>
      <c r="K292" s="38"/>
      <c r="L292" s="38"/>
      <c r="M292" s="19"/>
      <c r="N292" s="1"/>
      <c r="O292" s="1"/>
      <c r="P292" s="1"/>
      <c r="Q292" s="1"/>
      <c r="R292" s="1"/>
      <c r="S292" s="1"/>
      <c r="T292" s="19"/>
      <c r="U292" s="19"/>
      <c r="V292" s="19"/>
      <c r="W292" s="30"/>
      <c r="X292" s="30"/>
      <c r="Y292" s="30"/>
      <c r="Z292" s="39"/>
      <c r="AA292" s="39"/>
      <c r="AB292" s="39"/>
      <c r="AC292" s="39"/>
      <c r="AD292" s="39"/>
      <c r="AE292" s="39"/>
      <c r="AF292" s="39"/>
      <c r="AG292" s="39"/>
      <c r="AH292" s="39"/>
      <c r="AI292" s="39"/>
      <c r="AJ292" s="39"/>
      <c r="AK292" s="283"/>
      <c r="AL292" s="7"/>
      <c r="AM292" s="278"/>
      <c r="AN292" s="278"/>
      <c r="AO292" s="278"/>
      <c r="AP292" s="278"/>
      <c r="AQ292" s="7"/>
      <c r="AR292" s="278"/>
      <c r="AS292" s="278"/>
    </row>
    <row r="293" spans="2:45" s="8" customFormat="1" hidden="1" x14ac:dyDescent="0.45">
      <c r="B293" s="40"/>
      <c r="C293" s="1"/>
      <c r="D293" s="1"/>
      <c r="E293" s="1"/>
      <c r="F293" s="1"/>
      <c r="G293" s="1"/>
      <c r="H293" s="38"/>
      <c r="I293" s="38"/>
      <c r="J293" s="38"/>
      <c r="K293" s="38"/>
      <c r="L293" s="38"/>
      <c r="M293" s="19"/>
      <c r="N293" s="1"/>
      <c r="O293" s="1"/>
      <c r="P293" s="1"/>
      <c r="Q293" s="1"/>
      <c r="R293" s="1"/>
      <c r="S293" s="1"/>
      <c r="T293" s="19"/>
      <c r="U293" s="19"/>
      <c r="V293" s="19"/>
      <c r="W293" s="30"/>
      <c r="X293" s="30"/>
      <c r="Y293" s="30"/>
      <c r="Z293" s="39"/>
      <c r="AA293" s="39"/>
      <c r="AB293" s="39"/>
      <c r="AC293" s="39"/>
      <c r="AD293" s="39"/>
      <c r="AE293" s="39"/>
      <c r="AF293" s="39"/>
      <c r="AG293" s="39"/>
      <c r="AH293" s="39"/>
      <c r="AI293" s="39"/>
      <c r="AJ293" s="39"/>
      <c r="AK293" s="283"/>
      <c r="AL293" s="7"/>
      <c r="AM293" s="278"/>
      <c r="AN293" s="278"/>
      <c r="AO293" s="278"/>
      <c r="AP293" s="278"/>
      <c r="AQ293" s="7"/>
      <c r="AR293" s="278"/>
      <c r="AS293" s="278"/>
    </row>
    <row r="294" spans="2:45" s="8" customFormat="1" hidden="1" x14ac:dyDescent="0.45">
      <c r="B294" s="40"/>
      <c r="C294" s="1"/>
      <c r="D294" s="1"/>
      <c r="E294" s="1"/>
      <c r="F294" s="1"/>
      <c r="G294" s="1"/>
      <c r="H294" s="38"/>
      <c r="I294" s="38"/>
      <c r="J294" s="38"/>
      <c r="K294" s="38"/>
      <c r="L294" s="38"/>
      <c r="M294" s="19"/>
      <c r="N294" s="1"/>
      <c r="O294" s="1"/>
      <c r="P294" s="1"/>
      <c r="Q294" s="1"/>
      <c r="R294" s="1"/>
      <c r="S294" s="1"/>
      <c r="T294" s="19"/>
      <c r="U294" s="19"/>
      <c r="V294" s="19"/>
      <c r="W294" s="30"/>
      <c r="X294" s="30"/>
      <c r="Y294" s="30"/>
      <c r="Z294" s="39"/>
      <c r="AA294" s="39"/>
      <c r="AB294" s="39"/>
      <c r="AC294" s="39"/>
      <c r="AD294" s="39"/>
      <c r="AE294" s="39"/>
      <c r="AF294" s="39"/>
      <c r="AG294" s="39"/>
      <c r="AH294" s="39"/>
      <c r="AI294" s="39"/>
      <c r="AJ294" s="39"/>
      <c r="AK294" s="283"/>
      <c r="AL294" s="7"/>
      <c r="AM294" s="278"/>
      <c r="AN294" s="278"/>
      <c r="AO294" s="278"/>
      <c r="AP294" s="278"/>
      <c r="AQ294" s="7"/>
      <c r="AR294" s="278"/>
      <c r="AS294" s="278"/>
    </row>
    <row r="295" spans="2:45" s="8" customFormat="1" hidden="1" x14ac:dyDescent="0.45">
      <c r="B295" s="40"/>
      <c r="C295" s="1"/>
      <c r="D295" s="1"/>
      <c r="E295" s="1"/>
      <c r="F295" s="1"/>
      <c r="G295" s="1"/>
      <c r="H295" s="38"/>
      <c r="I295" s="38"/>
      <c r="J295" s="38"/>
      <c r="K295" s="38"/>
      <c r="L295" s="38"/>
      <c r="M295" s="19"/>
      <c r="N295" s="1"/>
      <c r="O295" s="1"/>
      <c r="P295" s="1"/>
      <c r="Q295" s="1"/>
      <c r="R295" s="1"/>
      <c r="S295" s="1"/>
      <c r="T295" s="19"/>
      <c r="U295" s="19"/>
      <c r="V295" s="19"/>
      <c r="W295" s="30"/>
      <c r="X295" s="30"/>
      <c r="Y295" s="30"/>
      <c r="Z295" s="39"/>
      <c r="AA295" s="39"/>
      <c r="AB295" s="39"/>
      <c r="AC295" s="39"/>
      <c r="AD295" s="39"/>
      <c r="AE295" s="39"/>
      <c r="AF295" s="39"/>
      <c r="AG295" s="39"/>
      <c r="AH295" s="39"/>
      <c r="AI295" s="39"/>
      <c r="AJ295" s="39"/>
      <c r="AK295" s="283"/>
      <c r="AL295" s="7"/>
      <c r="AM295" s="278"/>
      <c r="AN295" s="278"/>
      <c r="AO295" s="278"/>
      <c r="AP295" s="278"/>
      <c r="AQ295" s="7"/>
      <c r="AR295" s="278"/>
      <c r="AS295" s="278"/>
    </row>
    <row r="296" spans="2:45" s="8" customFormat="1" hidden="1" x14ac:dyDescent="0.45">
      <c r="B296" s="40"/>
      <c r="C296" s="1"/>
      <c r="D296" s="1"/>
      <c r="E296" s="1"/>
      <c r="F296" s="1"/>
      <c r="G296" s="1"/>
      <c r="H296" s="38"/>
      <c r="I296" s="38"/>
      <c r="J296" s="38"/>
      <c r="K296" s="38"/>
      <c r="L296" s="38"/>
      <c r="M296" s="19"/>
      <c r="N296" s="1"/>
      <c r="O296" s="1"/>
      <c r="P296" s="1"/>
      <c r="Q296" s="1"/>
      <c r="R296" s="1"/>
      <c r="S296" s="1"/>
      <c r="T296" s="19"/>
      <c r="U296" s="19"/>
      <c r="V296" s="19"/>
      <c r="W296" s="30"/>
      <c r="X296" s="30"/>
      <c r="Y296" s="30"/>
      <c r="Z296" s="39"/>
      <c r="AA296" s="39"/>
      <c r="AB296" s="39"/>
      <c r="AC296" s="39"/>
      <c r="AD296" s="39"/>
      <c r="AE296" s="39"/>
      <c r="AF296" s="39"/>
      <c r="AG296" s="39"/>
      <c r="AH296" s="39"/>
      <c r="AI296" s="39"/>
      <c r="AJ296" s="39"/>
      <c r="AK296" s="283"/>
      <c r="AL296" s="7"/>
      <c r="AM296" s="278"/>
      <c r="AN296" s="278"/>
      <c r="AO296" s="278"/>
      <c r="AP296" s="278"/>
      <c r="AQ296" s="7"/>
      <c r="AR296" s="278"/>
      <c r="AS296" s="278"/>
    </row>
    <row r="297" spans="2:45" s="8" customFormat="1" hidden="1" x14ac:dyDescent="0.45">
      <c r="B297" s="40"/>
      <c r="C297" s="1"/>
      <c r="D297" s="1"/>
      <c r="E297" s="1"/>
      <c r="F297" s="1"/>
      <c r="G297" s="1"/>
      <c r="H297" s="38"/>
      <c r="I297" s="38"/>
      <c r="J297" s="38"/>
      <c r="K297" s="38"/>
      <c r="L297" s="38"/>
      <c r="M297" s="19"/>
      <c r="N297" s="1"/>
      <c r="O297" s="1"/>
      <c r="P297" s="1"/>
      <c r="Q297" s="1"/>
      <c r="R297" s="1"/>
      <c r="S297" s="1"/>
      <c r="T297" s="19"/>
      <c r="U297" s="19"/>
      <c r="V297" s="19"/>
      <c r="W297" s="30"/>
      <c r="X297" s="30"/>
      <c r="Y297" s="30"/>
      <c r="Z297" s="39"/>
      <c r="AA297" s="39"/>
      <c r="AB297" s="39"/>
      <c r="AC297" s="39"/>
      <c r="AD297" s="39"/>
      <c r="AE297" s="39"/>
      <c r="AF297" s="39"/>
      <c r="AG297" s="39"/>
      <c r="AH297" s="39"/>
      <c r="AI297" s="39"/>
      <c r="AJ297" s="39"/>
      <c r="AK297" s="283"/>
      <c r="AL297" s="7"/>
      <c r="AM297" s="278"/>
      <c r="AN297" s="278"/>
      <c r="AO297" s="278"/>
      <c r="AP297" s="278"/>
      <c r="AQ297" s="7"/>
      <c r="AR297" s="278"/>
      <c r="AS297" s="278"/>
    </row>
    <row r="298" spans="2:45" s="8" customFormat="1" hidden="1" x14ac:dyDescent="0.45">
      <c r="B298" s="40"/>
      <c r="C298" s="1"/>
      <c r="D298" s="1"/>
      <c r="E298" s="1"/>
      <c r="F298" s="1"/>
      <c r="G298" s="1"/>
      <c r="H298" s="38"/>
      <c r="I298" s="38"/>
      <c r="J298" s="38"/>
      <c r="K298" s="38"/>
      <c r="L298" s="38"/>
      <c r="M298" s="19"/>
      <c r="N298" s="1"/>
      <c r="O298" s="1"/>
      <c r="P298" s="1"/>
      <c r="Q298" s="1"/>
      <c r="R298" s="1"/>
      <c r="S298" s="1"/>
      <c r="T298" s="19"/>
      <c r="U298" s="19"/>
      <c r="V298" s="19"/>
      <c r="W298" s="30"/>
      <c r="X298" s="30"/>
      <c r="Y298" s="30"/>
      <c r="Z298" s="39"/>
      <c r="AA298" s="39"/>
      <c r="AB298" s="39"/>
      <c r="AC298" s="39"/>
      <c r="AD298" s="39"/>
      <c r="AE298" s="39"/>
      <c r="AF298" s="39"/>
      <c r="AG298" s="39"/>
      <c r="AH298" s="39"/>
      <c r="AI298" s="39"/>
      <c r="AJ298" s="39"/>
      <c r="AK298" s="283"/>
      <c r="AL298" s="7"/>
      <c r="AM298" s="278"/>
      <c r="AN298" s="278"/>
      <c r="AO298" s="278"/>
      <c r="AP298" s="278"/>
      <c r="AQ298" s="7"/>
      <c r="AR298" s="278"/>
      <c r="AS298" s="278"/>
    </row>
    <row r="299" spans="2:45" s="8" customFormat="1" hidden="1" x14ac:dyDescent="0.45">
      <c r="B299" s="40"/>
      <c r="C299" s="1"/>
      <c r="D299" s="1"/>
      <c r="E299" s="1"/>
      <c r="F299" s="1"/>
      <c r="G299" s="1"/>
      <c r="H299" s="38"/>
      <c r="I299" s="38"/>
      <c r="J299" s="38"/>
      <c r="K299" s="38"/>
      <c r="L299" s="38"/>
      <c r="M299" s="19"/>
      <c r="N299" s="1"/>
      <c r="O299" s="1"/>
      <c r="P299" s="1"/>
      <c r="Q299" s="1"/>
      <c r="R299" s="1"/>
      <c r="S299" s="1"/>
      <c r="T299" s="19"/>
      <c r="U299" s="19"/>
      <c r="V299" s="19"/>
      <c r="W299" s="30"/>
      <c r="X299" s="30"/>
      <c r="Y299" s="30"/>
      <c r="Z299" s="39"/>
      <c r="AA299" s="39"/>
      <c r="AB299" s="39"/>
      <c r="AC299" s="39"/>
      <c r="AD299" s="39"/>
      <c r="AE299" s="39"/>
      <c r="AF299" s="39"/>
      <c r="AG299" s="39"/>
      <c r="AH299" s="39"/>
      <c r="AI299" s="39"/>
      <c r="AJ299" s="39"/>
      <c r="AK299" s="283"/>
      <c r="AL299" s="7"/>
      <c r="AM299" s="278"/>
      <c r="AN299" s="278"/>
      <c r="AO299" s="278"/>
      <c r="AP299" s="278"/>
      <c r="AQ299" s="7"/>
      <c r="AR299" s="278"/>
      <c r="AS299" s="278"/>
    </row>
    <row r="300" spans="2:45" s="8" customFormat="1" hidden="1" x14ac:dyDescent="0.45">
      <c r="B300" s="40"/>
      <c r="C300" s="1"/>
      <c r="D300" s="1"/>
      <c r="E300" s="1"/>
      <c r="F300" s="1"/>
      <c r="G300" s="1"/>
      <c r="H300" s="38"/>
      <c r="I300" s="38"/>
      <c r="J300" s="38"/>
      <c r="K300" s="38"/>
      <c r="L300" s="38"/>
      <c r="M300" s="19"/>
      <c r="N300" s="1"/>
      <c r="O300" s="1"/>
      <c r="P300" s="1"/>
      <c r="Q300" s="1"/>
      <c r="R300" s="1"/>
      <c r="S300" s="1"/>
      <c r="T300" s="19"/>
      <c r="U300" s="19"/>
      <c r="V300" s="19"/>
      <c r="W300" s="30"/>
      <c r="X300" s="30"/>
      <c r="Y300" s="30"/>
      <c r="Z300" s="39"/>
      <c r="AA300" s="39"/>
      <c r="AB300" s="39"/>
      <c r="AC300" s="39"/>
      <c r="AD300" s="39"/>
      <c r="AE300" s="39"/>
      <c r="AF300" s="39"/>
      <c r="AG300" s="39"/>
      <c r="AH300" s="39"/>
      <c r="AI300" s="39"/>
      <c r="AJ300" s="39"/>
      <c r="AK300" s="283"/>
      <c r="AL300" s="7"/>
      <c r="AM300" s="278"/>
      <c r="AN300" s="278"/>
      <c r="AO300" s="278"/>
      <c r="AP300" s="278"/>
      <c r="AQ300" s="7"/>
      <c r="AR300" s="278"/>
      <c r="AS300" s="278"/>
    </row>
    <row r="301" spans="2:45" s="8" customFormat="1" hidden="1" x14ac:dyDescent="0.45">
      <c r="B301" s="40"/>
      <c r="C301" s="1"/>
      <c r="D301" s="1"/>
      <c r="E301" s="1"/>
      <c r="F301" s="1"/>
      <c r="G301" s="1"/>
      <c r="H301" s="38"/>
      <c r="I301" s="38"/>
      <c r="J301" s="38"/>
      <c r="K301" s="38"/>
      <c r="L301" s="38"/>
      <c r="M301" s="19"/>
      <c r="N301" s="1"/>
      <c r="O301" s="1"/>
      <c r="P301" s="1"/>
      <c r="Q301" s="1"/>
      <c r="R301" s="1"/>
      <c r="S301" s="1"/>
      <c r="T301" s="19"/>
      <c r="U301" s="19"/>
      <c r="V301" s="19"/>
      <c r="W301" s="30"/>
      <c r="X301" s="30"/>
      <c r="Y301" s="30"/>
      <c r="Z301" s="39"/>
      <c r="AA301" s="39"/>
      <c r="AB301" s="39"/>
      <c r="AC301" s="39"/>
      <c r="AD301" s="39"/>
      <c r="AE301" s="39"/>
      <c r="AF301" s="39"/>
      <c r="AG301" s="39"/>
      <c r="AH301" s="39"/>
      <c r="AI301" s="39"/>
      <c r="AJ301" s="39"/>
      <c r="AK301" s="283"/>
      <c r="AL301" s="7"/>
      <c r="AM301" s="278"/>
      <c r="AN301" s="278"/>
      <c r="AO301" s="278"/>
      <c r="AP301" s="278"/>
      <c r="AQ301" s="7"/>
      <c r="AR301" s="278"/>
      <c r="AS301" s="278"/>
    </row>
    <row r="302" spans="2:45" s="8" customFormat="1" hidden="1" x14ac:dyDescent="0.45">
      <c r="B302" s="40"/>
      <c r="C302" s="1"/>
      <c r="D302" s="1"/>
      <c r="E302" s="1"/>
      <c r="F302" s="1"/>
      <c r="G302" s="1"/>
      <c r="H302" s="38"/>
      <c r="I302" s="38"/>
      <c r="J302" s="38"/>
      <c r="K302" s="38"/>
      <c r="L302" s="38"/>
      <c r="M302" s="19"/>
      <c r="N302" s="1"/>
      <c r="O302" s="1"/>
      <c r="P302" s="1"/>
      <c r="Q302" s="1"/>
      <c r="R302" s="1"/>
      <c r="S302" s="1"/>
      <c r="T302" s="19"/>
      <c r="U302" s="19"/>
      <c r="V302" s="19"/>
      <c r="W302" s="30"/>
      <c r="X302" s="30"/>
      <c r="Y302" s="30"/>
      <c r="Z302" s="39"/>
      <c r="AA302" s="39"/>
      <c r="AB302" s="39"/>
      <c r="AC302" s="39"/>
      <c r="AD302" s="39"/>
      <c r="AE302" s="39"/>
      <c r="AF302" s="39"/>
      <c r="AG302" s="39"/>
      <c r="AH302" s="39"/>
      <c r="AI302" s="39"/>
      <c r="AJ302" s="39"/>
      <c r="AK302" s="283"/>
      <c r="AL302" s="7"/>
      <c r="AM302" s="278"/>
      <c r="AN302" s="278"/>
      <c r="AO302" s="278"/>
      <c r="AP302" s="278"/>
      <c r="AQ302" s="7"/>
      <c r="AR302" s="278"/>
      <c r="AS302" s="278"/>
    </row>
    <row r="303" spans="2:45" s="8" customFormat="1" hidden="1" x14ac:dyDescent="0.45">
      <c r="B303" s="40"/>
      <c r="C303" s="1"/>
      <c r="D303" s="1"/>
      <c r="E303" s="1"/>
      <c r="F303" s="1"/>
      <c r="G303" s="1"/>
      <c r="H303" s="38"/>
      <c r="I303" s="38"/>
      <c r="J303" s="38"/>
      <c r="K303" s="38"/>
      <c r="L303" s="38"/>
      <c r="M303" s="19"/>
      <c r="N303" s="1"/>
      <c r="O303" s="1"/>
      <c r="P303" s="1"/>
      <c r="Q303" s="1"/>
      <c r="R303" s="1"/>
      <c r="S303" s="1"/>
      <c r="T303" s="19"/>
      <c r="U303" s="19"/>
      <c r="V303" s="19"/>
      <c r="W303" s="30"/>
      <c r="X303" s="30"/>
      <c r="Y303" s="30"/>
      <c r="Z303" s="39"/>
      <c r="AA303" s="39"/>
      <c r="AB303" s="39"/>
      <c r="AC303" s="39"/>
      <c r="AD303" s="39"/>
      <c r="AE303" s="39"/>
      <c r="AF303" s="39"/>
      <c r="AG303" s="39"/>
      <c r="AH303" s="39"/>
      <c r="AI303" s="39"/>
      <c r="AJ303" s="39"/>
      <c r="AK303" s="283"/>
      <c r="AL303" s="7"/>
      <c r="AM303" s="278"/>
      <c r="AN303" s="278"/>
      <c r="AO303" s="278"/>
      <c r="AP303" s="278"/>
      <c r="AQ303" s="7"/>
      <c r="AR303" s="278"/>
      <c r="AS303" s="278"/>
    </row>
    <row r="304" spans="2:45" s="8" customFormat="1" hidden="1" x14ac:dyDescent="0.45">
      <c r="B304" s="40"/>
      <c r="C304" s="1"/>
      <c r="D304" s="1"/>
      <c r="E304" s="1"/>
      <c r="F304" s="1"/>
      <c r="G304" s="1"/>
      <c r="H304" s="38"/>
      <c r="I304" s="38"/>
      <c r="J304" s="38"/>
      <c r="K304" s="38"/>
      <c r="L304" s="38"/>
      <c r="M304" s="19"/>
      <c r="N304" s="1"/>
      <c r="O304" s="1"/>
      <c r="P304" s="1"/>
      <c r="Q304" s="1"/>
      <c r="R304" s="1"/>
      <c r="S304" s="1"/>
      <c r="T304" s="19"/>
      <c r="U304" s="19"/>
      <c r="V304" s="19"/>
      <c r="W304" s="30"/>
      <c r="X304" s="30"/>
      <c r="Y304" s="30"/>
      <c r="Z304" s="39"/>
      <c r="AA304" s="39"/>
      <c r="AB304" s="39"/>
      <c r="AC304" s="39"/>
      <c r="AD304" s="39"/>
      <c r="AE304" s="39"/>
      <c r="AF304" s="39"/>
      <c r="AG304" s="39"/>
      <c r="AH304" s="39"/>
      <c r="AI304" s="39"/>
      <c r="AJ304" s="39"/>
      <c r="AK304" s="283"/>
      <c r="AL304" s="7"/>
      <c r="AM304" s="278"/>
      <c r="AN304" s="278"/>
      <c r="AO304" s="278"/>
      <c r="AP304" s="278"/>
      <c r="AQ304" s="7"/>
      <c r="AR304" s="278"/>
      <c r="AS304" s="278"/>
    </row>
    <row r="305" spans="2:45" s="8" customFormat="1" hidden="1" x14ac:dyDescent="0.45">
      <c r="B305" s="40"/>
      <c r="C305" s="1"/>
      <c r="D305" s="1"/>
      <c r="E305" s="1"/>
      <c r="F305" s="1"/>
      <c r="G305" s="1"/>
      <c r="H305" s="38"/>
      <c r="I305" s="38"/>
      <c r="J305" s="38"/>
      <c r="K305" s="38"/>
      <c r="L305" s="38"/>
      <c r="M305" s="19"/>
      <c r="N305" s="1"/>
      <c r="O305" s="1"/>
      <c r="P305" s="1"/>
      <c r="Q305" s="1"/>
      <c r="R305" s="1"/>
      <c r="S305" s="1"/>
      <c r="T305" s="19"/>
      <c r="U305" s="19"/>
      <c r="V305" s="19"/>
      <c r="W305" s="30"/>
      <c r="X305" s="30"/>
      <c r="Y305" s="30"/>
      <c r="Z305" s="39"/>
      <c r="AA305" s="39"/>
      <c r="AB305" s="39"/>
      <c r="AC305" s="39"/>
      <c r="AD305" s="39"/>
      <c r="AE305" s="39"/>
      <c r="AF305" s="39"/>
      <c r="AG305" s="39"/>
      <c r="AH305" s="39"/>
      <c r="AI305" s="39"/>
      <c r="AJ305" s="39"/>
      <c r="AK305" s="283"/>
      <c r="AL305" s="7"/>
      <c r="AM305" s="278"/>
      <c r="AN305" s="278"/>
      <c r="AO305" s="278"/>
      <c r="AP305" s="278"/>
      <c r="AQ305" s="7"/>
      <c r="AR305" s="278"/>
      <c r="AS305" s="278"/>
    </row>
    <row r="306" spans="2:45" s="8" customFormat="1" hidden="1" x14ac:dyDescent="0.45">
      <c r="B306" s="40"/>
      <c r="C306" s="1"/>
      <c r="D306" s="1"/>
      <c r="E306" s="1"/>
      <c r="F306" s="1"/>
      <c r="G306" s="1"/>
      <c r="H306" s="38"/>
      <c r="I306" s="38"/>
      <c r="J306" s="38"/>
      <c r="K306" s="38"/>
      <c r="L306" s="38"/>
      <c r="M306" s="19"/>
      <c r="N306" s="1"/>
      <c r="O306" s="1"/>
      <c r="P306" s="1"/>
      <c r="Q306" s="1"/>
      <c r="R306" s="1"/>
      <c r="S306" s="1"/>
      <c r="T306" s="19"/>
      <c r="U306" s="19"/>
      <c r="V306" s="19"/>
      <c r="W306" s="30"/>
      <c r="X306" s="30"/>
      <c r="Y306" s="30"/>
      <c r="Z306" s="39"/>
      <c r="AA306" s="39"/>
      <c r="AB306" s="39"/>
      <c r="AC306" s="39"/>
      <c r="AD306" s="39"/>
      <c r="AE306" s="39"/>
      <c r="AF306" s="39"/>
      <c r="AG306" s="39"/>
      <c r="AH306" s="39"/>
      <c r="AI306" s="39"/>
      <c r="AJ306" s="39"/>
      <c r="AK306" s="283"/>
      <c r="AL306" s="7"/>
      <c r="AM306" s="278"/>
      <c r="AN306" s="278"/>
      <c r="AO306" s="278"/>
      <c r="AP306" s="278"/>
      <c r="AQ306" s="7"/>
      <c r="AR306" s="278"/>
      <c r="AS306" s="278"/>
    </row>
    <row r="307" spans="2:45" s="8" customFormat="1" hidden="1" x14ac:dyDescent="0.45">
      <c r="B307" s="40"/>
      <c r="C307" s="1"/>
      <c r="D307" s="1"/>
      <c r="E307" s="1"/>
      <c r="F307" s="1"/>
      <c r="G307" s="1"/>
      <c r="H307" s="38"/>
      <c r="I307" s="38"/>
      <c r="J307" s="38"/>
      <c r="K307" s="38"/>
      <c r="L307" s="38"/>
      <c r="M307" s="19"/>
      <c r="N307" s="1"/>
      <c r="O307" s="1"/>
      <c r="P307" s="1"/>
      <c r="Q307" s="1"/>
      <c r="R307" s="1"/>
      <c r="S307" s="1"/>
      <c r="T307" s="19"/>
      <c r="U307" s="19"/>
      <c r="V307" s="19"/>
      <c r="W307" s="30"/>
      <c r="X307" s="30"/>
      <c r="Y307" s="30"/>
      <c r="Z307" s="39"/>
      <c r="AA307" s="39"/>
      <c r="AB307" s="39"/>
      <c r="AC307" s="39"/>
      <c r="AD307" s="39"/>
      <c r="AE307" s="39"/>
      <c r="AF307" s="39"/>
      <c r="AG307" s="39"/>
      <c r="AH307" s="39"/>
      <c r="AI307" s="39"/>
      <c r="AJ307" s="39"/>
      <c r="AK307" s="283"/>
      <c r="AL307" s="7"/>
      <c r="AM307" s="278"/>
      <c r="AN307" s="278"/>
      <c r="AO307" s="278"/>
      <c r="AP307" s="278"/>
      <c r="AQ307" s="7"/>
      <c r="AR307" s="278"/>
      <c r="AS307" s="278"/>
    </row>
    <row r="308" spans="2:45" s="8" customFormat="1" hidden="1" x14ac:dyDescent="0.45">
      <c r="B308" s="40"/>
      <c r="C308" s="1"/>
      <c r="D308" s="1"/>
      <c r="E308" s="1"/>
      <c r="F308" s="1"/>
      <c r="G308" s="1"/>
      <c r="H308" s="38"/>
      <c r="I308" s="38"/>
      <c r="J308" s="38"/>
      <c r="K308" s="38"/>
      <c r="L308" s="38"/>
      <c r="M308" s="19"/>
      <c r="N308" s="1"/>
      <c r="O308" s="1"/>
      <c r="P308" s="1"/>
      <c r="Q308" s="1"/>
      <c r="R308" s="1"/>
      <c r="S308" s="1"/>
      <c r="T308" s="19"/>
      <c r="U308" s="19"/>
      <c r="V308" s="19"/>
      <c r="W308" s="30"/>
      <c r="X308" s="30"/>
      <c r="Y308" s="30"/>
      <c r="Z308" s="39"/>
      <c r="AA308" s="39"/>
      <c r="AB308" s="39"/>
      <c r="AC308" s="39"/>
      <c r="AD308" s="39"/>
      <c r="AE308" s="39"/>
      <c r="AF308" s="39"/>
      <c r="AG308" s="39"/>
      <c r="AH308" s="39"/>
      <c r="AI308" s="39"/>
      <c r="AJ308" s="39"/>
      <c r="AK308" s="283"/>
      <c r="AL308" s="7"/>
      <c r="AM308" s="278"/>
      <c r="AN308" s="278"/>
      <c r="AO308" s="278"/>
      <c r="AP308" s="278"/>
      <c r="AQ308" s="7"/>
      <c r="AR308" s="278"/>
      <c r="AS308" s="278"/>
    </row>
    <row r="309" spans="2:45" s="8" customFormat="1" hidden="1" x14ac:dyDescent="0.45">
      <c r="B309" s="40"/>
      <c r="C309" s="1"/>
      <c r="D309" s="1"/>
      <c r="E309" s="1"/>
      <c r="F309" s="1"/>
      <c r="G309" s="1"/>
      <c r="H309" s="38"/>
      <c r="I309" s="38"/>
      <c r="J309" s="38"/>
      <c r="K309" s="38"/>
      <c r="L309" s="38"/>
      <c r="M309" s="19"/>
      <c r="N309" s="1"/>
      <c r="O309" s="1"/>
      <c r="P309" s="1"/>
      <c r="Q309" s="1"/>
      <c r="R309" s="1"/>
      <c r="S309" s="1"/>
      <c r="T309" s="19"/>
      <c r="U309" s="19"/>
      <c r="V309" s="19"/>
      <c r="W309" s="30"/>
      <c r="X309" s="30"/>
      <c r="Y309" s="30"/>
      <c r="Z309" s="39"/>
      <c r="AA309" s="39"/>
      <c r="AB309" s="39"/>
      <c r="AC309" s="39"/>
      <c r="AD309" s="39"/>
      <c r="AE309" s="39"/>
      <c r="AF309" s="39"/>
      <c r="AG309" s="39"/>
      <c r="AH309" s="39"/>
      <c r="AI309" s="39"/>
      <c r="AJ309" s="39"/>
      <c r="AK309" s="283"/>
      <c r="AL309" s="7"/>
      <c r="AM309" s="278"/>
      <c r="AN309" s="278"/>
      <c r="AO309" s="278"/>
      <c r="AP309" s="278"/>
      <c r="AQ309" s="7"/>
      <c r="AR309" s="278"/>
      <c r="AS309" s="278"/>
    </row>
    <row r="310" spans="2:45" s="8" customFormat="1" hidden="1" x14ac:dyDescent="0.45">
      <c r="B310" s="40"/>
      <c r="C310" s="1"/>
      <c r="D310" s="1"/>
      <c r="E310" s="1"/>
      <c r="F310" s="1"/>
      <c r="G310" s="1"/>
      <c r="H310" s="38"/>
      <c r="I310" s="38"/>
      <c r="J310" s="38"/>
      <c r="K310" s="38"/>
      <c r="L310" s="38"/>
      <c r="M310" s="19"/>
      <c r="N310" s="1"/>
      <c r="O310" s="1"/>
      <c r="P310" s="1"/>
      <c r="Q310" s="1"/>
      <c r="R310" s="1"/>
      <c r="S310" s="1"/>
      <c r="T310" s="19"/>
      <c r="U310" s="19"/>
      <c r="V310" s="19"/>
      <c r="W310" s="30"/>
      <c r="X310" s="30"/>
      <c r="Y310" s="30"/>
      <c r="Z310" s="39"/>
      <c r="AA310" s="39"/>
      <c r="AB310" s="39"/>
      <c r="AC310" s="39"/>
      <c r="AD310" s="39"/>
      <c r="AE310" s="39"/>
      <c r="AF310" s="39"/>
      <c r="AG310" s="39"/>
      <c r="AH310" s="39"/>
      <c r="AI310" s="39"/>
      <c r="AJ310" s="39"/>
      <c r="AK310" s="283"/>
      <c r="AL310" s="7"/>
      <c r="AM310" s="278"/>
      <c r="AN310" s="278"/>
      <c r="AO310" s="278"/>
      <c r="AP310" s="278"/>
      <c r="AQ310" s="7"/>
      <c r="AR310" s="278"/>
      <c r="AS310" s="278"/>
    </row>
    <row r="311" spans="2:45" s="8" customFormat="1" hidden="1" x14ac:dyDescent="0.45">
      <c r="B311" s="40"/>
      <c r="C311" s="1"/>
      <c r="D311" s="1"/>
      <c r="E311" s="1"/>
      <c r="F311" s="1"/>
      <c r="G311" s="1"/>
      <c r="H311" s="38"/>
      <c r="I311" s="38"/>
      <c r="J311" s="38"/>
      <c r="K311" s="38"/>
      <c r="L311" s="38"/>
      <c r="M311" s="19"/>
      <c r="N311" s="1"/>
      <c r="O311" s="1"/>
      <c r="P311" s="1"/>
      <c r="Q311" s="1"/>
      <c r="R311" s="1"/>
      <c r="S311" s="1"/>
      <c r="T311" s="19"/>
      <c r="U311" s="19"/>
      <c r="V311" s="19"/>
      <c r="W311" s="30"/>
      <c r="X311" s="30"/>
      <c r="Y311" s="30"/>
      <c r="Z311" s="39"/>
      <c r="AA311" s="39"/>
      <c r="AB311" s="39"/>
      <c r="AC311" s="39"/>
      <c r="AD311" s="39"/>
      <c r="AE311" s="39"/>
      <c r="AF311" s="39"/>
      <c r="AG311" s="39"/>
      <c r="AH311" s="39"/>
      <c r="AI311" s="39"/>
      <c r="AJ311" s="39"/>
      <c r="AK311" s="283"/>
      <c r="AL311" s="7"/>
      <c r="AM311" s="278"/>
      <c r="AN311" s="278"/>
      <c r="AO311" s="278"/>
      <c r="AP311" s="278"/>
      <c r="AQ311" s="7"/>
      <c r="AR311" s="278"/>
      <c r="AS311" s="278"/>
    </row>
    <row r="312" spans="2:45" s="8" customFormat="1" hidden="1" x14ac:dyDescent="0.45">
      <c r="B312" s="40"/>
      <c r="C312" s="1"/>
      <c r="D312" s="1"/>
      <c r="E312" s="1"/>
      <c r="F312" s="1"/>
      <c r="G312" s="1"/>
      <c r="H312" s="38"/>
      <c r="I312" s="38"/>
      <c r="J312" s="38"/>
      <c r="K312" s="38"/>
      <c r="L312" s="38"/>
      <c r="M312" s="19"/>
      <c r="N312" s="1"/>
      <c r="O312" s="1"/>
      <c r="P312" s="1"/>
      <c r="Q312" s="1"/>
      <c r="R312" s="1"/>
      <c r="S312" s="1"/>
      <c r="T312" s="19"/>
      <c r="U312" s="19"/>
      <c r="V312" s="19"/>
      <c r="W312" s="30"/>
      <c r="X312" s="30"/>
      <c r="Y312" s="30"/>
      <c r="Z312" s="39"/>
      <c r="AA312" s="39"/>
      <c r="AB312" s="39"/>
      <c r="AC312" s="39"/>
      <c r="AD312" s="39"/>
      <c r="AE312" s="39"/>
      <c r="AF312" s="39"/>
      <c r="AG312" s="39"/>
      <c r="AH312" s="39"/>
      <c r="AI312" s="39"/>
      <c r="AJ312" s="39"/>
      <c r="AK312" s="283"/>
      <c r="AL312" s="7"/>
      <c r="AM312" s="278"/>
      <c r="AN312" s="278"/>
      <c r="AO312" s="278"/>
      <c r="AP312" s="278"/>
      <c r="AQ312" s="7"/>
      <c r="AR312" s="278"/>
      <c r="AS312" s="278"/>
    </row>
    <row r="313" spans="2:45" s="8" customFormat="1" hidden="1" x14ac:dyDescent="0.45">
      <c r="B313" s="40"/>
      <c r="C313" s="1"/>
      <c r="D313" s="1"/>
      <c r="E313" s="1"/>
      <c r="F313" s="1"/>
      <c r="G313" s="1"/>
      <c r="H313" s="38"/>
      <c r="I313" s="38"/>
      <c r="J313" s="38"/>
      <c r="K313" s="38"/>
      <c r="L313" s="38"/>
      <c r="M313" s="19"/>
      <c r="N313" s="1"/>
      <c r="O313" s="1"/>
      <c r="P313" s="1"/>
      <c r="Q313" s="1"/>
      <c r="R313" s="1"/>
      <c r="S313" s="1"/>
      <c r="T313" s="19"/>
      <c r="U313" s="19"/>
      <c r="V313" s="19"/>
      <c r="W313" s="30"/>
      <c r="X313" s="30"/>
      <c r="Y313" s="30"/>
      <c r="Z313" s="39"/>
      <c r="AA313" s="39"/>
      <c r="AB313" s="39"/>
      <c r="AC313" s="39"/>
      <c r="AD313" s="39"/>
      <c r="AE313" s="39"/>
      <c r="AF313" s="39"/>
      <c r="AG313" s="39"/>
      <c r="AH313" s="39"/>
      <c r="AI313" s="39"/>
      <c r="AJ313" s="39"/>
      <c r="AK313" s="283"/>
      <c r="AL313" s="7"/>
      <c r="AM313" s="278"/>
      <c r="AN313" s="278"/>
      <c r="AO313" s="278"/>
      <c r="AP313" s="278"/>
      <c r="AQ313" s="7"/>
      <c r="AR313" s="278"/>
      <c r="AS313" s="278"/>
    </row>
    <row r="314" spans="2:45" s="8" customFormat="1" hidden="1" x14ac:dyDescent="0.45">
      <c r="B314" s="40"/>
      <c r="C314" s="1"/>
      <c r="D314" s="1"/>
      <c r="E314" s="1"/>
      <c r="F314" s="1"/>
      <c r="G314" s="1"/>
      <c r="H314" s="38"/>
      <c r="I314" s="38"/>
      <c r="J314" s="38"/>
      <c r="K314" s="38"/>
      <c r="L314" s="38"/>
      <c r="M314" s="19"/>
      <c r="N314" s="1"/>
      <c r="O314" s="1"/>
      <c r="P314" s="1"/>
      <c r="Q314" s="1"/>
      <c r="R314" s="1"/>
      <c r="S314" s="1"/>
      <c r="T314" s="19"/>
      <c r="U314" s="19"/>
      <c r="V314" s="19"/>
      <c r="W314" s="30"/>
      <c r="X314" s="30"/>
      <c r="Y314" s="30"/>
      <c r="Z314" s="39"/>
      <c r="AA314" s="39"/>
      <c r="AB314" s="39"/>
      <c r="AC314" s="39"/>
      <c r="AD314" s="39"/>
      <c r="AE314" s="39"/>
      <c r="AF314" s="39"/>
      <c r="AG314" s="39"/>
      <c r="AH314" s="39"/>
      <c r="AI314" s="39"/>
      <c r="AJ314" s="39"/>
      <c r="AK314" s="283"/>
      <c r="AL314" s="7"/>
      <c r="AM314" s="278"/>
      <c r="AN314" s="278"/>
      <c r="AO314" s="278"/>
      <c r="AP314" s="278"/>
      <c r="AQ314" s="7"/>
      <c r="AR314" s="278"/>
      <c r="AS314" s="278"/>
    </row>
    <row r="315" spans="2:45" s="8" customFormat="1" hidden="1" x14ac:dyDescent="0.45">
      <c r="B315" s="40"/>
      <c r="C315" s="1"/>
      <c r="D315" s="1"/>
      <c r="E315" s="1"/>
      <c r="F315" s="1"/>
      <c r="G315" s="1"/>
      <c r="H315" s="38"/>
      <c r="I315" s="38"/>
      <c r="J315" s="38"/>
      <c r="K315" s="38"/>
      <c r="L315" s="38"/>
      <c r="M315" s="19"/>
      <c r="N315" s="1"/>
      <c r="O315" s="1"/>
      <c r="P315" s="1"/>
      <c r="Q315" s="1"/>
      <c r="R315" s="1"/>
      <c r="S315" s="1"/>
      <c r="T315" s="19"/>
      <c r="U315" s="19"/>
      <c r="V315" s="19"/>
      <c r="W315" s="30"/>
      <c r="X315" s="30"/>
      <c r="Y315" s="30"/>
      <c r="Z315" s="39"/>
      <c r="AA315" s="39"/>
      <c r="AB315" s="39"/>
      <c r="AC315" s="39"/>
      <c r="AD315" s="39"/>
      <c r="AE315" s="39"/>
      <c r="AF315" s="39"/>
      <c r="AG315" s="39"/>
      <c r="AH315" s="39"/>
      <c r="AI315" s="39"/>
      <c r="AJ315" s="39"/>
      <c r="AK315" s="283"/>
      <c r="AL315" s="7"/>
      <c r="AM315" s="278"/>
      <c r="AN315" s="278"/>
      <c r="AO315" s="278"/>
      <c r="AP315" s="278"/>
      <c r="AQ315" s="7"/>
      <c r="AR315" s="278"/>
      <c r="AS315" s="278"/>
    </row>
    <row r="316" spans="2:45" s="8" customFormat="1" hidden="1" x14ac:dyDescent="0.45">
      <c r="B316" s="40"/>
      <c r="C316" s="1"/>
      <c r="D316" s="1"/>
      <c r="E316" s="1"/>
      <c r="F316" s="1"/>
      <c r="G316" s="1"/>
      <c r="H316" s="38"/>
      <c r="I316" s="38"/>
      <c r="J316" s="38"/>
      <c r="K316" s="38"/>
      <c r="L316" s="38"/>
      <c r="M316" s="19"/>
      <c r="N316" s="1"/>
      <c r="O316" s="1"/>
      <c r="P316" s="1"/>
      <c r="Q316" s="1"/>
      <c r="R316" s="1"/>
      <c r="S316" s="1"/>
      <c r="T316" s="19"/>
      <c r="U316" s="19"/>
      <c r="V316" s="19"/>
      <c r="W316" s="30"/>
      <c r="X316" s="30"/>
      <c r="Y316" s="30"/>
      <c r="Z316" s="39"/>
      <c r="AA316" s="39"/>
      <c r="AB316" s="39"/>
      <c r="AC316" s="39"/>
      <c r="AD316" s="39"/>
      <c r="AE316" s="39"/>
      <c r="AF316" s="39"/>
      <c r="AG316" s="39"/>
      <c r="AH316" s="39"/>
      <c r="AI316" s="39"/>
      <c r="AJ316" s="39"/>
      <c r="AK316" s="283"/>
      <c r="AL316" s="7"/>
      <c r="AM316" s="278"/>
      <c r="AN316" s="278"/>
      <c r="AO316" s="278"/>
      <c r="AP316" s="278"/>
      <c r="AQ316" s="7"/>
      <c r="AR316" s="278"/>
      <c r="AS316" s="278"/>
    </row>
    <row r="317" spans="2:45" s="8" customFormat="1" hidden="1" x14ac:dyDescent="0.45">
      <c r="B317" s="40"/>
      <c r="C317" s="1"/>
      <c r="D317" s="1"/>
      <c r="E317" s="1"/>
      <c r="F317" s="1"/>
      <c r="G317" s="1"/>
      <c r="H317" s="38"/>
      <c r="I317" s="38"/>
      <c r="J317" s="38"/>
      <c r="K317" s="38"/>
      <c r="L317" s="38"/>
      <c r="M317" s="19"/>
      <c r="N317" s="1"/>
      <c r="O317" s="1"/>
      <c r="P317" s="1"/>
      <c r="Q317" s="1"/>
      <c r="R317" s="1"/>
      <c r="S317" s="1"/>
      <c r="T317" s="19"/>
      <c r="U317" s="19"/>
      <c r="V317" s="19"/>
      <c r="W317" s="30"/>
      <c r="X317" s="30"/>
      <c r="Y317" s="30"/>
      <c r="Z317" s="39"/>
      <c r="AA317" s="39"/>
      <c r="AB317" s="39"/>
      <c r="AC317" s="39"/>
      <c r="AD317" s="39"/>
      <c r="AE317" s="39"/>
      <c r="AF317" s="39"/>
      <c r="AG317" s="39"/>
      <c r="AH317" s="39"/>
      <c r="AI317" s="39"/>
      <c r="AJ317" s="39"/>
      <c r="AK317" s="283"/>
      <c r="AL317" s="7"/>
      <c r="AM317" s="278"/>
      <c r="AN317" s="278"/>
      <c r="AO317" s="278"/>
      <c r="AP317" s="278"/>
      <c r="AQ317" s="7"/>
      <c r="AR317" s="278"/>
      <c r="AS317" s="278"/>
    </row>
    <row r="318" spans="2:45" s="8" customFormat="1" hidden="1" x14ac:dyDescent="0.45">
      <c r="B318" s="40"/>
      <c r="C318" s="1"/>
      <c r="D318" s="1"/>
      <c r="E318" s="1"/>
      <c r="F318" s="1"/>
      <c r="G318" s="1"/>
      <c r="H318" s="38"/>
      <c r="I318" s="38"/>
      <c r="J318" s="38"/>
      <c r="K318" s="38"/>
      <c r="L318" s="38"/>
      <c r="M318" s="19"/>
      <c r="N318" s="1"/>
      <c r="O318" s="1"/>
      <c r="P318" s="1"/>
      <c r="Q318" s="1"/>
      <c r="R318" s="1"/>
      <c r="S318" s="1"/>
      <c r="T318" s="19"/>
      <c r="U318" s="19"/>
      <c r="V318" s="19"/>
      <c r="W318" s="30"/>
      <c r="X318" s="30"/>
      <c r="Y318" s="30"/>
      <c r="Z318" s="39"/>
      <c r="AA318" s="39"/>
      <c r="AB318" s="39"/>
      <c r="AC318" s="39"/>
      <c r="AD318" s="39"/>
      <c r="AE318" s="39"/>
      <c r="AF318" s="39"/>
      <c r="AG318" s="39"/>
      <c r="AH318" s="39"/>
      <c r="AI318" s="39"/>
      <c r="AJ318" s="39"/>
      <c r="AK318" s="283"/>
      <c r="AL318" s="7"/>
      <c r="AM318" s="278"/>
      <c r="AN318" s="278"/>
      <c r="AO318" s="278"/>
      <c r="AP318" s="278"/>
      <c r="AQ318" s="7"/>
      <c r="AR318" s="278"/>
      <c r="AS318" s="278"/>
    </row>
    <row r="319" spans="2:45" s="8" customFormat="1" hidden="1" x14ac:dyDescent="0.45">
      <c r="B319" s="40"/>
      <c r="C319" s="1"/>
      <c r="D319" s="1"/>
      <c r="E319" s="1"/>
      <c r="F319" s="1"/>
      <c r="G319" s="1"/>
      <c r="H319" s="38"/>
      <c r="I319" s="38"/>
      <c r="J319" s="38"/>
      <c r="K319" s="38"/>
      <c r="L319" s="38"/>
      <c r="M319" s="19"/>
      <c r="N319" s="1"/>
      <c r="O319" s="1"/>
      <c r="P319" s="1"/>
      <c r="Q319" s="1"/>
      <c r="R319" s="1"/>
      <c r="S319" s="1"/>
      <c r="T319" s="19"/>
      <c r="U319" s="19"/>
      <c r="V319" s="19"/>
      <c r="W319" s="30"/>
      <c r="X319" s="30"/>
      <c r="Y319" s="30"/>
      <c r="Z319" s="39"/>
      <c r="AA319" s="39"/>
      <c r="AB319" s="39"/>
      <c r="AC319" s="39"/>
      <c r="AD319" s="39"/>
      <c r="AE319" s="39"/>
      <c r="AF319" s="39"/>
      <c r="AG319" s="39"/>
      <c r="AH319" s="39"/>
      <c r="AI319" s="39"/>
      <c r="AJ319" s="39"/>
      <c r="AK319" s="283"/>
      <c r="AL319" s="7"/>
      <c r="AM319" s="278"/>
      <c r="AN319" s="278"/>
      <c r="AO319" s="278"/>
      <c r="AP319" s="278"/>
      <c r="AQ319" s="7"/>
      <c r="AR319" s="278"/>
      <c r="AS319" s="278"/>
    </row>
    <row r="320" spans="2:45" s="8" customFormat="1" hidden="1" x14ac:dyDescent="0.45">
      <c r="B320" s="40"/>
      <c r="C320" s="1"/>
      <c r="D320" s="1"/>
      <c r="E320" s="1"/>
      <c r="F320" s="1"/>
      <c r="G320" s="1"/>
      <c r="H320" s="38"/>
      <c r="I320" s="38"/>
      <c r="J320" s="38"/>
      <c r="K320" s="38"/>
      <c r="L320" s="38"/>
      <c r="M320" s="19"/>
      <c r="N320" s="1"/>
      <c r="O320" s="1"/>
      <c r="P320" s="1"/>
      <c r="Q320" s="1"/>
      <c r="R320" s="1"/>
      <c r="S320" s="1"/>
      <c r="T320" s="19"/>
      <c r="U320" s="19"/>
      <c r="V320" s="19"/>
      <c r="W320" s="30"/>
      <c r="X320" s="30"/>
      <c r="Y320" s="30"/>
      <c r="Z320" s="39"/>
      <c r="AA320" s="39"/>
      <c r="AB320" s="39"/>
      <c r="AC320" s="39"/>
      <c r="AD320" s="39"/>
      <c r="AE320" s="39"/>
      <c r="AF320" s="39"/>
      <c r="AG320" s="39"/>
      <c r="AH320" s="39"/>
      <c r="AI320" s="39"/>
      <c r="AJ320" s="39"/>
      <c r="AK320" s="283"/>
      <c r="AL320" s="7"/>
      <c r="AM320" s="278"/>
      <c r="AN320" s="278"/>
      <c r="AO320" s="278"/>
      <c r="AP320" s="278"/>
      <c r="AQ320" s="7"/>
      <c r="AR320" s="278"/>
      <c r="AS320" s="278"/>
    </row>
    <row r="321" spans="1:43" s="278" customFormat="1" hidden="1" x14ac:dyDescent="0.45">
      <c r="A321" s="8"/>
      <c r="B321" s="40"/>
      <c r="C321" s="1"/>
      <c r="D321" s="1"/>
      <c r="E321" s="1"/>
      <c r="F321" s="1"/>
      <c r="G321" s="1"/>
      <c r="H321" s="38"/>
      <c r="I321" s="38"/>
      <c r="J321" s="38"/>
      <c r="K321" s="38"/>
      <c r="L321" s="38"/>
      <c r="M321" s="19"/>
      <c r="N321" s="1"/>
      <c r="O321" s="1"/>
      <c r="P321" s="1"/>
      <c r="Q321" s="1"/>
      <c r="R321" s="1"/>
      <c r="S321" s="1"/>
      <c r="T321" s="19"/>
      <c r="U321" s="19"/>
      <c r="V321" s="19"/>
      <c r="W321" s="30"/>
      <c r="X321" s="30"/>
      <c r="Y321" s="30"/>
      <c r="Z321" s="39"/>
      <c r="AA321" s="39"/>
      <c r="AB321" s="39"/>
      <c r="AC321" s="39"/>
      <c r="AD321" s="39"/>
      <c r="AE321" s="39"/>
      <c r="AF321" s="39"/>
      <c r="AG321" s="39"/>
      <c r="AH321" s="39"/>
      <c r="AI321" s="39"/>
      <c r="AJ321" s="39"/>
      <c r="AK321" s="283"/>
      <c r="AL321" s="7"/>
      <c r="AQ321" s="7"/>
    </row>
    <row r="322" spans="1:43" s="278" customFormat="1" hidden="1" x14ac:dyDescent="0.45">
      <c r="A322" s="8"/>
      <c r="B322" s="40"/>
      <c r="C322" s="1"/>
      <c r="D322" s="1"/>
      <c r="E322" s="1"/>
      <c r="F322" s="1"/>
      <c r="G322" s="1"/>
      <c r="H322" s="38"/>
      <c r="I322" s="38"/>
      <c r="J322" s="38"/>
      <c r="K322" s="38"/>
      <c r="L322" s="38"/>
      <c r="M322" s="19"/>
      <c r="N322" s="1"/>
      <c r="O322" s="1"/>
      <c r="P322" s="1"/>
      <c r="Q322" s="1"/>
      <c r="R322" s="1"/>
      <c r="S322" s="1"/>
      <c r="T322" s="19"/>
      <c r="U322" s="19"/>
      <c r="V322" s="19"/>
      <c r="W322" s="30"/>
      <c r="X322" s="30"/>
      <c r="Y322" s="30"/>
      <c r="Z322" s="39"/>
      <c r="AA322" s="39"/>
      <c r="AB322" s="39"/>
      <c r="AC322" s="39"/>
      <c r="AD322" s="39"/>
      <c r="AE322" s="39"/>
      <c r="AF322" s="39"/>
      <c r="AG322" s="39"/>
      <c r="AH322" s="39"/>
      <c r="AI322" s="39"/>
      <c r="AJ322" s="39"/>
      <c r="AK322" s="283"/>
      <c r="AL322" s="7"/>
      <c r="AQ322" s="7"/>
    </row>
    <row r="323" spans="1:43" s="278" customFormat="1" hidden="1" x14ac:dyDescent="0.45">
      <c r="A323" s="8"/>
      <c r="B323" s="40"/>
      <c r="C323" s="1"/>
      <c r="D323" s="1"/>
      <c r="E323" s="1"/>
      <c r="F323" s="1"/>
      <c r="G323" s="1"/>
      <c r="H323" s="38"/>
      <c r="I323" s="38"/>
      <c r="J323" s="38"/>
      <c r="K323" s="38"/>
      <c r="L323" s="38"/>
      <c r="M323" s="19"/>
      <c r="N323" s="1"/>
      <c r="O323" s="1"/>
      <c r="P323" s="1"/>
      <c r="Q323" s="1"/>
      <c r="R323" s="1"/>
      <c r="S323" s="1"/>
      <c r="T323" s="19"/>
      <c r="U323" s="19"/>
      <c r="V323" s="19"/>
      <c r="W323" s="30"/>
      <c r="X323" s="30"/>
      <c r="Y323" s="30"/>
      <c r="Z323" s="39"/>
      <c r="AA323" s="39"/>
      <c r="AB323" s="39"/>
      <c r="AC323" s="39"/>
      <c r="AD323" s="39"/>
      <c r="AE323" s="39"/>
      <c r="AF323" s="39"/>
      <c r="AG323" s="39"/>
      <c r="AH323" s="39"/>
      <c r="AI323" s="39"/>
      <c r="AJ323" s="39"/>
      <c r="AK323" s="283"/>
      <c r="AL323" s="7"/>
      <c r="AQ323" s="7"/>
    </row>
    <row r="324" spans="1:43" s="278" customFormat="1" hidden="1" x14ac:dyDescent="0.45">
      <c r="A324" s="8"/>
      <c r="B324" s="40"/>
      <c r="C324" s="1"/>
      <c r="D324" s="1"/>
      <c r="E324" s="1"/>
      <c r="F324" s="1"/>
      <c r="G324" s="1"/>
      <c r="H324" s="38"/>
      <c r="I324" s="38"/>
      <c r="J324" s="38"/>
      <c r="K324" s="38"/>
      <c r="L324" s="38"/>
      <c r="M324" s="19"/>
      <c r="N324" s="1"/>
      <c r="O324" s="1"/>
      <c r="P324" s="1"/>
      <c r="Q324" s="1"/>
      <c r="R324" s="1"/>
      <c r="S324" s="1"/>
      <c r="T324" s="19"/>
      <c r="U324" s="19"/>
      <c r="V324" s="19"/>
      <c r="W324" s="30"/>
      <c r="X324" s="30"/>
      <c r="Y324" s="30"/>
      <c r="Z324" s="39"/>
      <c r="AA324" s="39"/>
      <c r="AB324" s="39"/>
      <c r="AC324" s="39"/>
      <c r="AD324" s="39"/>
      <c r="AE324" s="39"/>
      <c r="AF324" s="39"/>
      <c r="AG324" s="39"/>
      <c r="AH324" s="39"/>
      <c r="AI324" s="39"/>
      <c r="AJ324" s="39"/>
      <c r="AK324" s="283"/>
      <c r="AL324" s="7"/>
      <c r="AQ324" s="7"/>
    </row>
    <row r="325" spans="1:43" s="278" customFormat="1" hidden="1" x14ac:dyDescent="0.45">
      <c r="A325" s="8"/>
      <c r="B325" s="40"/>
      <c r="C325" s="1"/>
      <c r="D325" s="1"/>
      <c r="E325" s="1"/>
      <c r="F325" s="1"/>
      <c r="G325" s="1"/>
      <c r="H325" s="38"/>
      <c r="I325" s="38"/>
      <c r="J325" s="38"/>
      <c r="K325" s="38"/>
      <c r="L325" s="38"/>
      <c r="M325" s="19"/>
      <c r="N325" s="1"/>
      <c r="O325" s="1"/>
      <c r="P325" s="1"/>
      <c r="Q325" s="1"/>
      <c r="R325" s="1"/>
      <c r="S325" s="1"/>
      <c r="T325" s="19"/>
      <c r="U325" s="19"/>
      <c r="V325" s="19"/>
      <c r="W325" s="30"/>
      <c r="X325" s="30"/>
      <c r="Y325" s="30"/>
      <c r="Z325" s="39"/>
      <c r="AA325" s="39"/>
      <c r="AB325" s="39"/>
      <c r="AC325" s="39"/>
      <c r="AD325" s="39"/>
      <c r="AE325" s="39"/>
      <c r="AF325" s="39"/>
      <c r="AG325" s="39"/>
      <c r="AH325" s="39"/>
      <c r="AI325" s="39"/>
      <c r="AJ325" s="39"/>
      <c r="AK325" s="283"/>
      <c r="AL325" s="7"/>
      <c r="AQ325" s="7"/>
    </row>
    <row r="326" spans="1:43" s="278" customFormat="1" ht="51" hidden="1" x14ac:dyDescent="0.45">
      <c r="A326" s="95"/>
      <c r="B326" s="95"/>
      <c r="C326" s="95" t="s">
        <v>1967</v>
      </c>
      <c r="D326" s="95"/>
      <c r="E326" s="95"/>
      <c r="F326" s="95"/>
      <c r="G326" s="95"/>
      <c r="H326" s="96"/>
      <c r="I326" s="96"/>
      <c r="J326" s="96"/>
      <c r="K326" s="96"/>
      <c r="L326" s="96"/>
      <c r="M326" s="14" t="s">
        <v>1968</v>
      </c>
      <c r="N326" s="97" t="s">
        <v>1969</v>
      </c>
      <c r="O326" s="97" t="s">
        <v>1970</v>
      </c>
      <c r="P326" s="97" t="s">
        <v>208</v>
      </c>
      <c r="Q326" s="97"/>
      <c r="R326" s="574" t="s">
        <v>1971</v>
      </c>
      <c r="S326" s="97" t="s">
        <v>1971</v>
      </c>
      <c r="T326" s="97" t="s">
        <v>169</v>
      </c>
      <c r="U326" s="97" t="s">
        <v>170</v>
      </c>
      <c r="V326" s="97" t="s">
        <v>171</v>
      </c>
      <c r="W326" s="97"/>
      <c r="X326" s="264"/>
      <c r="Y326" s="97"/>
      <c r="Z326" s="97"/>
      <c r="AA326" s="97"/>
      <c r="AB326" s="97"/>
      <c r="AC326" s="97"/>
      <c r="AD326" s="97"/>
      <c r="AE326" s="97"/>
      <c r="AF326" s="97"/>
      <c r="AG326" s="97"/>
      <c r="AH326" s="97"/>
      <c r="AI326" s="97"/>
      <c r="AJ326" s="97"/>
      <c r="AK326" s="284" t="s">
        <v>1972</v>
      </c>
      <c r="AL326" s="9"/>
      <c r="AQ326" s="7"/>
    </row>
    <row r="327" spans="1:43" s="278" customFormat="1" ht="51" hidden="1" x14ac:dyDescent="0.45">
      <c r="A327" s="63"/>
      <c r="B327"/>
      <c r="C327" s="64" t="s">
        <v>1967</v>
      </c>
      <c r="D327" s="2"/>
      <c r="E327" s="2"/>
      <c r="F327" s="2"/>
      <c r="G327" s="2"/>
      <c r="H327" s="65"/>
      <c r="I327" s="65"/>
      <c r="J327" s="65"/>
      <c r="K327" s="65"/>
      <c r="L327" s="65"/>
      <c r="M327" s="66" t="s">
        <v>1968</v>
      </c>
      <c r="N327" s="67" t="s">
        <v>1973</v>
      </c>
      <c r="O327" s="67" t="s">
        <v>1974</v>
      </c>
      <c r="P327" s="67" t="s">
        <v>1975</v>
      </c>
      <c r="Q327" s="67"/>
      <c r="R327" s="574" t="s">
        <v>1971</v>
      </c>
      <c r="S327" s="67" t="s">
        <v>1971</v>
      </c>
      <c r="T327" s="67" t="s">
        <v>169</v>
      </c>
      <c r="U327" s="67" t="s">
        <v>170</v>
      </c>
      <c r="V327" s="67" t="s">
        <v>171</v>
      </c>
      <c r="W327" s="67"/>
      <c r="X327" s="265"/>
      <c r="Y327" s="67"/>
      <c r="Z327" s="67"/>
      <c r="AA327" s="67"/>
      <c r="AB327" s="67"/>
      <c r="AC327" s="67"/>
      <c r="AD327" s="67"/>
      <c r="AE327" s="67"/>
      <c r="AF327" s="67"/>
      <c r="AG327" s="67"/>
      <c r="AH327" s="67"/>
      <c r="AI327" s="67"/>
      <c r="AJ327" s="67"/>
      <c r="AK327" s="285" t="s">
        <v>1972</v>
      </c>
      <c r="AL327" s="9"/>
      <c r="AQ327" s="7"/>
    </row>
    <row r="328" spans="1:43" s="278" customFormat="1" ht="25.5" hidden="1" customHeight="1" x14ac:dyDescent="0.45">
      <c r="A328" s="35"/>
      <c r="B328" s="27"/>
      <c r="C328" s="2" t="s">
        <v>1967</v>
      </c>
      <c r="D328" s="2" t="s">
        <v>832</v>
      </c>
      <c r="E328" s="2" t="s">
        <v>306</v>
      </c>
      <c r="F328" s="2"/>
      <c r="G328" s="2"/>
      <c r="H328" s="128"/>
      <c r="I328" s="128"/>
      <c r="J328" s="128"/>
      <c r="K328" s="128"/>
      <c r="L328" s="128" t="s">
        <v>280</v>
      </c>
      <c r="M328" s="28" t="s">
        <v>1976</v>
      </c>
      <c r="N328" s="27" t="s">
        <v>1977</v>
      </c>
      <c r="O328" s="28" t="s">
        <v>1978</v>
      </c>
      <c r="P328" s="27" t="s">
        <v>1979</v>
      </c>
      <c r="Q328" s="27" t="s">
        <v>1980</v>
      </c>
      <c r="R328" s="211" t="s">
        <v>1704</v>
      </c>
      <c r="S328" s="27" t="s">
        <v>1511</v>
      </c>
      <c r="T328" s="28"/>
      <c r="U328" s="28"/>
      <c r="V328" s="28"/>
      <c r="W328" s="27">
        <v>1994</v>
      </c>
      <c r="X328" s="266">
        <f>oppervlak_dak_0006+oppervlak_dak_0016</f>
        <v>796</v>
      </c>
      <c r="Y328" s="27"/>
      <c r="Z328" s="28"/>
      <c r="AA328" s="28"/>
      <c r="AB328" s="28"/>
      <c r="AC328" s="28"/>
      <c r="AD328" s="28"/>
      <c r="AE328" s="28"/>
      <c r="AF328" s="28"/>
      <c r="AG328" s="28"/>
      <c r="AH328" s="28"/>
      <c r="AI328" s="28" t="s">
        <v>1981</v>
      </c>
      <c r="AJ328" s="28" t="s">
        <v>470</v>
      </c>
      <c r="AK328" s="266"/>
      <c r="AL328" s="14" t="s">
        <v>1982</v>
      </c>
      <c r="AQ328" s="7"/>
    </row>
    <row r="329" spans="1:43" s="278" customFormat="1" ht="140.25" hidden="1" customHeight="1" x14ac:dyDescent="0.45">
      <c r="A329" s="182"/>
      <c r="B329" s="182"/>
      <c r="C329" s="2" t="s">
        <v>1967</v>
      </c>
      <c r="D329" s="2" t="s">
        <v>832</v>
      </c>
      <c r="E329" s="2" t="s">
        <v>306</v>
      </c>
      <c r="F329" s="2"/>
      <c r="G329" s="2" t="s">
        <v>1983</v>
      </c>
      <c r="H329" s="174" t="s">
        <v>1984</v>
      </c>
      <c r="I329" s="174" t="s">
        <v>1985</v>
      </c>
      <c r="J329" s="174"/>
      <c r="K329" s="174"/>
      <c r="L329" s="174"/>
      <c r="M329" s="174" t="s">
        <v>281</v>
      </c>
      <c r="N329" s="182" t="s">
        <v>1986</v>
      </c>
      <c r="O329" s="175" t="s">
        <v>1987</v>
      </c>
      <c r="P329" s="182" t="s">
        <v>1988</v>
      </c>
      <c r="Q329" s="182" t="s">
        <v>1980</v>
      </c>
      <c r="R329" s="182" t="s">
        <v>1704</v>
      </c>
      <c r="S329" s="182" t="s">
        <v>1511</v>
      </c>
      <c r="T329" s="175" t="s">
        <v>1989</v>
      </c>
      <c r="U329" s="175" t="s">
        <v>1990</v>
      </c>
      <c r="V329" s="187" t="s">
        <v>1991</v>
      </c>
      <c r="W329" s="182">
        <v>1994</v>
      </c>
      <c r="X329" s="255">
        <v>398</v>
      </c>
      <c r="Y329" s="182"/>
      <c r="Z329" s="175"/>
      <c r="AA329" s="175"/>
      <c r="AB329" s="175"/>
      <c r="AC329" s="175"/>
      <c r="AD329" s="175"/>
      <c r="AE329" s="175"/>
      <c r="AF329" s="175"/>
      <c r="AG329" s="175"/>
      <c r="AH329" s="175"/>
      <c r="AI329" s="175" t="s">
        <v>1981</v>
      </c>
      <c r="AJ329" s="175" t="s">
        <v>470</v>
      </c>
      <c r="AK329" s="255"/>
      <c r="AL329" s="166" t="s">
        <v>1992</v>
      </c>
      <c r="AQ329" s="7"/>
    </row>
    <row r="330" spans="1:43" s="278" customFormat="1" ht="76.5" hidden="1" customHeight="1" x14ac:dyDescent="0.45">
      <c r="A330" s="182"/>
      <c r="B330" s="182"/>
      <c r="C330" s="2" t="s">
        <v>1967</v>
      </c>
      <c r="D330" s="2" t="s">
        <v>832</v>
      </c>
      <c r="E330" s="2" t="s">
        <v>306</v>
      </c>
      <c r="F330" s="2"/>
      <c r="G330" s="2" t="s">
        <v>1983</v>
      </c>
      <c r="H330" s="174" t="s">
        <v>1993</v>
      </c>
      <c r="I330" s="174" t="s">
        <v>1994</v>
      </c>
      <c r="J330" s="174"/>
      <c r="K330" s="174"/>
      <c r="L330" s="174"/>
      <c r="M330" s="174" t="s">
        <v>1995</v>
      </c>
      <c r="N330" s="182" t="s">
        <v>1996</v>
      </c>
      <c r="O330" s="175" t="s">
        <v>1997</v>
      </c>
      <c r="P330" s="182" t="s">
        <v>1998</v>
      </c>
      <c r="Q330" s="182" t="s">
        <v>1980</v>
      </c>
      <c r="R330" s="182" t="s">
        <v>1704</v>
      </c>
      <c r="S330" s="182" t="s">
        <v>1511</v>
      </c>
      <c r="T330" s="175" t="s">
        <v>1999</v>
      </c>
      <c r="U330" s="175" t="s">
        <v>2000</v>
      </c>
      <c r="V330" s="175" t="s">
        <v>2001</v>
      </c>
      <c r="W330" s="182">
        <v>1994</v>
      </c>
      <c r="X330" s="255">
        <v>398</v>
      </c>
      <c r="Y330" s="182"/>
      <c r="Z330" s="175"/>
      <c r="AA330" s="175"/>
      <c r="AB330" s="175"/>
      <c r="AC330" s="175"/>
      <c r="AD330" s="175"/>
      <c r="AE330" s="175"/>
      <c r="AF330" s="175"/>
      <c r="AG330" s="175"/>
      <c r="AH330" s="175"/>
      <c r="AI330" s="175" t="s">
        <v>1981</v>
      </c>
      <c r="AJ330" s="175" t="s">
        <v>470</v>
      </c>
      <c r="AK330" s="255"/>
      <c r="AL330" s="166" t="s">
        <v>2002</v>
      </c>
      <c r="AQ330" s="7"/>
    </row>
    <row r="331" spans="1:43" s="278" customFormat="1" ht="102" hidden="1" x14ac:dyDescent="0.45">
      <c r="A331" s="35"/>
      <c r="B331" s="28"/>
      <c r="C331" s="2" t="s">
        <v>1967</v>
      </c>
      <c r="D331" s="2" t="s">
        <v>832</v>
      </c>
      <c r="E331" s="2"/>
      <c r="F331" s="2"/>
      <c r="G331" s="2"/>
      <c r="H331" s="128" t="s">
        <v>2003</v>
      </c>
      <c r="I331" s="128" t="s">
        <v>2004</v>
      </c>
      <c r="J331" s="128"/>
      <c r="K331" s="128"/>
      <c r="L331" s="128" t="s">
        <v>280</v>
      </c>
      <c r="M331" s="28" t="s">
        <v>669</v>
      </c>
      <c r="N331" s="28" t="s">
        <v>2005</v>
      </c>
      <c r="O331" s="28" t="s">
        <v>2006</v>
      </c>
      <c r="P331" s="27" t="s">
        <v>2007</v>
      </c>
      <c r="Q331" s="27" t="s">
        <v>2008</v>
      </c>
      <c r="R331" s="211" t="s">
        <v>1363</v>
      </c>
      <c r="S331" s="27" t="s">
        <v>340</v>
      </c>
      <c r="T331" s="28"/>
      <c r="U331" s="28"/>
      <c r="V331" s="28"/>
      <c r="W331" s="27">
        <v>1998</v>
      </c>
      <c r="X331" s="266">
        <f>oppervlak_dak_0008+oppervlak_dak_0018</f>
        <v>1120</v>
      </c>
      <c r="Y331" s="27"/>
      <c r="Z331" s="28"/>
      <c r="AA331" s="28" t="s">
        <v>150</v>
      </c>
      <c r="AB331" s="28">
        <v>18</v>
      </c>
      <c r="AC331" s="28">
        <v>120</v>
      </c>
      <c r="AD331" s="28"/>
      <c r="AE331" s="28"/>
      <c r="AF331" s="28"/>
      <c r="AG331" s="28"/>
      <c r="AH331" s="28"/>
      <c r="AI331" s="28" t="s">
        <v>253</v>
      </c>
      <c r="AJ331" s="28" t="s">
        <v>2009</v>
      </c>
      <c r="AK331" s="266"/>
      <c r="AL331" s="14" t="s">
        <v>2010</v>
      </c>
      <c r="AQ331" s="7"/>
    </row>
    <row r="332" spans="1:43" s="278" customFormat="1" ht="114.75" hidden="1" x14ac:dyDescent="0.45">
      <c r="A332" s="182"/>
      <c r="B332" s="191"/>
      <c r="C332" s="2" t="s">
        <v>1967</v>
      </c>
      <c r="D332" s="2" t="s">
        <v>832</v>
      </c>
      <c r="E332" s="2"/>
      <c r="F332" s="2"/>
      <c r="G332" s="2"/>
      <c r="H332" s="197" t="s">
        <v>2011</v>
      </c>
      <c r="I332" s="197" t="s">
        <v>2012</v>
      </c>
      <c r="J332" s="197"/>
      <c r="K332" s="197"/>
      <c r="L332" s="197"/>
      <c r="M332" s="175" t="s">
        <v>669</v>
      </c>
      <c r="N332" s="175" t="s">
        <v>2013</v>
      </c>
      <c r="O332" s="175" t="s">
        <v>2014</v>
      </c>
      <c r="P332" s="175" t="s">
        <v>2015</v>
      </c>
      <c r="Q332" s="182" t="s">
        <v>2008</v>
      </c>
      <c r="R332" s="182" t="s">
        <v>1363</v>
      </c>
      <c r="S332" s="182" t="s">
        <v>340</v>
      </c>
      <c r="T332" s="175" t="s">
        <v>2016</v>
      </c>
      <c r="U332" s="175" t="s">
        <v>2017</v>
      </c>
      <c r="V332" s="175" t="s">
        <v>2018</v>
      </c>
      <c r="W332" s="182">
        <v>1998</v>
      </c>
      <c r="X332" s="255">
        <v>560</v>
      </c>
      <c r="Y332" s="182"/>
      <c r="Z332" s="175"/>
      <c r="AA332" s="175" t="s">
        <v>150</v>
      </c>
      <c r="AB332" s="175"/>
      <c r="AC332" s="175"/>
      <c r="AD332" s="175"/>
      <c r="AE332" s="175"/>
      <c r="AF332" s="175"/>
      <c r="AG332" s="175"/>
      <c r="AH332" s="175"/>
      <c r="AI332" s="175" t="s">
        <v>253</v>
      </c>
      <c r="AJ332" s="175" t="s">
        <v>2009</v>
      </c>
      <c r="AK332" s="255"/>
      <c r="AL332" s="159" t="s">
        <v>2019</v>
      </c>
      <c r="AQ332" s="7"/>
    </row>
    <row r="333" spans="1:43" s="278" customFormat="1" ht="114.75" hidden="1" x14ac:dyDescent="0.45">
      <c r="A333" s="69"/>
      <c r="B333" s="68"/>
      <c r="C333" s="2" t="s">
        <v>1967</v>
      </c>
      <c r="D333" s="2" t="s">
        <v>832</v>
      </c>
      <c r="E333" s="2"/>
      <c r="F333" s="2"/>
      <c r="G333" s="2"/>
      <c r="H333" s="63" t="s">
        <v>2020</v>
      </c>
      <c r="I333" s="63" t="s">
        <v>2021</v>
      </c>
      <c r="J333" s="63"/>
      <c r="K333" s="63"/>
      <c r="L333" s="63"/>
      <c r="M333" s="68" t="s">
        <v>669</v>
      </c>
      <c r="N333" s="68" t="s">
        <v>2022</v>
      </c>
      <c r="O333" s="68" t="s">
        <v>2023</v>
      </c>
      <c r="P333" s="69" t="s">
        <v>2024</v>
      </c>
      <c r="Q333" s="69" t="s">
        <v>2008</v>
      </c>
      <c r="R333" s="182" t="s">
        <v>1363</v>
      </c>
      <c r="S333" s="69" t="s">
        <v>340</v>
      </c>
      <c r="T333" s="68" t="s">
        <v>2025</v>
      </c>
      <c r="U333" s="68" t="s">
        <v>2017</v>
      </c>
      <c r="V333" s="68" t="s">
        <v>2018</v>
      </c>
      <c r="W333" s="69">
        <v>1998</v>
      </c>
      <c r="X333" s="267">
        <v>560</v>
      </c>
      <c r="Y333" s="69"/>
      <c r="Z333" s="68"/>
      <c r="AA333" s="68" t="s">
        <v>150</v>
      </c>
      <c r="AB333" s="68"/>
      <c r="AC333" s="68"/>
      <c r="AD333" s="68"/>
      <c r="AE333" s="68"/>
      <c r="AF333" s="68"/>
      <c r="AG333" s="68"/>
      <c r="AH333" s="68"/>
      <c r="AI333" s="68" t="s">
        <v>253</v>
      </c>
      <c r="AJ333" s="68" t="s">
        <v>2009</v>
      </c>
      <c r="AK333" s="267"/>
      <c r="AL333" s="70" t="s">
        <v>2019</v>
      </c>
      <c r="AQ333" s="7"/>
    </row>
    <row r="334" spans="1:43" s="278" customFormat="1" ht="63.75" hidden="1" customHeight="1" x14ac:dyDescent="0.45">
      <c r="A334" s="24"/>
      <c r="B334" s="111"/>
      <c r="C334" s="25" t="s">
        <v>1967</v>
      </c>
      <c r="D334" s="25" t="s">
        <v>136</v>
      </c>
      <c r="E334" s="25"/>
      <c r="F334" s="25"/>
      <c r="G334" s="25" t="s">
        <v>833</v>
      </c>
      <c r="H334" s="150" t="s">
        <v>2026</v>
      </c>
      <c r="I334" s="112" t="s">
        <v>2027</v>
      </c>
      <c r="J334" s="112"/>
      <c r="K334" s="112"/>
      <c r="L334" s="112" t="s">
        <v>348</v>
      </c>
      <c r="M334" s="111" t="s">
        <v>349</v>
      </c>
      <c r="N334" s="111" t="s">
        <v>2028</v>
      </c>
      <c r="O334" s="111" t="s">
        <v>2029</v>
      </c>
      <c r="P334" s="112" t="s">
        <v>2030</v>
      </c>
      <c r="Q334" s="111" t="s">
        <v>2031</v>
      </c>
      <c r="R334" s="160" t="s">
        <v>1570</v>
      </c>
      <c r="S334" s="111" t="s">
        <v>1511</v>
      </c>
      <c r="T334" s="111" t="s">
        <v>2032</v>
      </c>
      <c r="U334" s="111" t="s">
        <v>2033</v>
      </c>
      <c r="V334" s="113" t="s">
        <v>2034</v>
      </c>
      <c r="W334" s="114">
        <v>2004</v>
      </c>
      <c r="X334" s="114">
        <v>2574</v>
      </c>
      <c r="Y334" s="114"/>
      <c r="Z334" s="115" t="s">
        <v>311</v>
      </c>
      <c r="AA334" s="115" t="s">
        <v>2035</v>
      </c>
      <c r="AB334" s="115">
        <v>51</v>
      </c>
      <c r="AC334" s="115">
        <v>306</v>
      </c>
      <c r="AD334" s="115" t="s">
        <v>2036</v>
      </c>
      <c r="AE334" s="115"/>
      <c r="AF334" s="115"/>
      <c r="AG334" s="115"/>
      <c r="AH334" s="115"/>
      <c r="AI334" s="115"/>
      <c r="AJ334" s="115"/>
      <c r="AK334" s="115"/>
      <c r="AL334" s="106" t="s">
        <v>2037</v>
      </c>
      <c r="AQ334" s="7"/>
    </row>
    <row r="335" spans="1:43" s="278" customFormat="1" ht="25.5" hidden="1" x14ac:dyDescent="0.45">
      <c r="A335" s="35"/>
      <c r="B335" s="27"/>
      <c r="C335" s="2" t="s">
        <v>1967</v>
      </c>
      <c r="D335" s="2" t="s">
        <v>832</v>
      </c>
      <c r="E335" s="2" t="s">
        <v>306</v>
      </c>
      <c r="F335" s="2"/>
      <c r="G335" s="2"/>
      <c r="H335" s="128"/>
      <c r="I335" s="128"/>
      <c r="J335" s="128"/>
      <c r="K335" s="128"/>
      <c r="L335" s="128" t="s">
        <v>280</v>
      </c>
      <c r="M335" s="28" t="s">
        <v>1976</v>
      </c>
      <c r="N335" s="27" t="s">
        <v>2038</v>
      </c>
      <c r="O335" s="28" t="s">
        <v>2039</v>
      </c>
      <c r="P335" s="27" t="s">
        <v>2040</v>
      </c>
      <c r="Q335" s="27" t="s">
        <v>2041</v>
      </c>
      <c r="R335" s="211" t="s">
        <v>339</v>
      </c>
      <c r="S335" s="27" t="s">
        <v>340</v>
      </c>
      <c r="T335" s="28"/>
      <c r="U335" s="28"/>
      <c r="V335" s="28"/>
      <c r="W335" s="27">
        <v>1990</v>
      </c>
      <c r="X335" s="266">
        <f>oppervlak_dak_0019+oppervlak_dak_0012</f>
        <v>796</v>
      </c>
      <c r="Y335" s="27"/>
      <c r="Z335" s="28"/>
      <c r="AA335" s="28"/>
      <c r="AB335" s="28"/>
      <c r="AC335" s="28"/>
      <c r="AD335" s="28"/>
      <c r="AE335" s="28"/>
      <c r="AF335" s="28"/>
      <c r="AG335" s="28"/>
      <c r="AH335" s="28"/>
      <c r="AI335" s="28"/>
      <c r="AJ335" s="28"/>
      <c r="AK335" s="266" t="s">
        <v>2042</v>
      </c>
      <c r="AL335" s="14" t="s">
        <v>2043</v>
      </c>
      <c r="AQ335" s="7"/>
    </row>
    <row r="336" spans="1:43" s="278" customFormat="1" ht="165.75" hidden="1" x14ac:dyDescent="0.45">
      <c r="A336" s="182"/>
      <c r="B336" s="182"/>
      <c r="C336" s="2" t="s">
        <v>1967</v>
      </c>
      <c r="D336" s="2" t="s">
        <v>832</v>
      </c>
      <c r="E336" s="2" t="s">
        <v>306</v>
      </c>
      <c r="F336" s="2"/>
      <c r="G336" s="2"/>
      <c r="H336" s="174" t="s">
        <v>1984</v>
      </c>
      <c r="I336" s="174" t="s">
        <v>2044</v>
      </c>
      <c r="J336" s="174"/>
      <c r="K336" s="174"/>
      <c r="L336" s="174"/>
      <c r="M336" s="175" t="s">
        <v>281</v>
      </c>
      <c r="N336" s="182" t="s">
        <v>2045</v>
      </c>
      <c r="O336" s="175" t="s">
        <v>2046</v>
      </c>
      <c r="P336" s="182" t="s">
        <v>2047</v>
      </c>
      <c r="Q336" s="182" t="s">
        <v>2041</v>
      </c>
      <c r="R336" s="182" t="s">
        <v>339</v>
      </c>
      <c r="S336" s="182" t="s">
        <v>340</v>
      </c>
      <c r="T336" s="175" t="s">
        <v>2048</v>
      </c>
      <c r="U336" s="175" t="s">
        <v>2049</v>
      </c>
      <c r="V336" s="175" t="s">
        <v>2050</v>
      </c>
      <c r="W336" s="182">
        <v>1990</v>
      </c>
      <c r="X336" s="255">
        <v>398</v>
      </c>
      <c r="Y336" s="182"/>
      <c r="Z336" s="175"/>
      <c r="AA336" s="175"/>
      <c r="AB336" s="175"/>
      <c r="AC336" s="175"/>
      <c r="AD336" s="175"/>
      <c r="AE336" s="175"/>
      <c r="AF336" s="175"/>
      <c r="AG336" s="175"/>
      <c r="AH336" s="175"/>
      <c r="AI336" s="175"/>
      <c r="AJ336" s="175"/>
      <c r="AK336" s="255" t="s">
        <v>2042</v>
      </c>
      <c r="AL336" s="166" t="s">
        <v>1992</v>
      </c>
      <c r="AQ336" s="7"/>
    </row>
    <row r="337" spans="1:43" s="278" customFormat="1" ht="178.5" hidden="1" x14ac:dyDescent="0.45">
      <c r="A337" s="182"/>
      <c r="B337" s="182"/>
      <c r="C337" s="2" t="s">
        <v>1967</v>
      </c>
      <c r="D337" s="2" t="s">
        <v>832</v>
      </c>
      <c r="E337" s="2" t="s">
        <v>306</v>
      </c>
      <c r="F337" s="2"/>
      <c r="G337" s="2" t="s">
        <v>1983</v>
      </c>
      <c r="H337" s="174" t="s">
        <v>2051</v>
      </c>
      <c r="I337" s="174" t="s">
        <v>2052</v>
      </c>
      <c r="J337" s="174"/>
      <c r="K337" s="174"/>
      <c r="L337" s="174"/>
      <c r="M337" s="175" t="s">
        <v>1995</v>
      </c>
      <c r="N337" s="182" t="s">
        <v>2053</v>
      </c>
      <c r="O337" s="175" t="s">
        <v>2054</v>
      </c>
      <c r="P337" s="182" t="s">
        <v>2055</v>
      </c>
      <c r="Q337" s="182" t="s">
        <v>2041</v>
      </c>
      <c r="R337" s="182" t="s">
        <v>339</v>
      </c>
      <c r="S337" s="182" t="s">
        <v>340</v>
      </c>
      <c r="T337" s="175" t="s">
        <v>2056</v>
      </c>
      <c r="U337" s="175" t="s">
        <v>2057</v>
      </c>
      <c r="V337" s="175" t="s">
        <v>2058</v>
      </c>
      <c r="W337" s="182">
        <v>1990</v>
      </c>
      <c r="X337" s="255">
        <v>398</v>
      </c>
      <c r="Y337" s="182"/>
      <c r="Z337" s="175"/>
      <c r="AA337" s="175"/>
      <c r="AB337" s="175"/>
      <c r="AC337" s="175"/>
      <c r="AD337" s="175"/>
      <c r="AE337" s="175"/>
      <c r="AF337" s="175"/>
      <c r="AG337" s="175"/>
      <c r="AH337" s="175"/>
      <c r="AI337" s="175"/>
      <c r="AJ337" s="175"/>
      <c r="AK337" s="255" t="s">
        <v>2042</v>
      </c>
      <c r="AL337" s="166" t="s">
        <v>2002</v>
      </c>
      <c r="AQ337" s="7"/>
    </row>
    <row r="338" spans="1:43" s="278" customFormat="1" ht="12.75" hidden="1" customHeight="1" x14ac:dyDescent="0.45">
      <c r="A338" s="7"/>
      <c r="B338" s="82"/>
      <c r="C338" s="2" t="s">
        <v>1967</v>
      </c>
      <c r="D338" s="2" t="s">
        <v>2059</v>
      </c>
      <c r="E338" s="2"/>
      <c r="F338" s="2"/>
      <c r="G338" s="2"/>
      <c r="H338" s="78" t="s">
        <v>2060</v>
      </c>
      <c r="I338" s="78" t="s">
        <v>2061</v>
      </c>
      <c r="J338" s="78">
        <v>59570</v>
      </c>
      <c r="K338" s="78"/>
      <c r="L338" s="78"/>
      <c r="M338" s="77" t="s">
        <v>140</v>
      </c>
      <c r="N338" s="77" t="s">
        <v>2062</v>
      </c>
      <c r="O338" s="77" t="s">
        <v>2063</v>
      </c>
      <c r="P338" s="77" t="s">
        <v>2064</v>
      </c>
      <c r="Q338" s="77" t="s">
        <v>2065</v>
      </c>
      <c r="R338" s="575" t="s">
        <v>339</v>
      </c>
      <c r="S338" s="77" t="s">
        <v>340</v>
      </c>
      <c r="T338" s="77" t="s">
        <v>2066</v>
      </c>
      <c r="U338" s="77" t="s">
        <v>2067</v>
      </c>
      <c r="V338" s="79" t="s">
        <v>2068</v>
      </c>
      <c r="W338" s="80">
        <v>1989</v>
      </c>
      <c r="X338" s="80">
        <v>1047</v>
      </c>
      <c r="Y338" s="80"/>
      <c r="Z338" s="81"/>
      <c r="AA338" s="81"/>
      <c r="AB338" s="81"/>
      <c r="AC338" s="81"/>
      <c r="AD338" s="81"/>
      <c r="AE338" s="81"/>
      <c r="AF338" s="81"/>
      <c r="AG338" s="81"/>
      <c r="AH338" s="81"/>
      <c r="AI338" s="81">
        <v>2010</v>
      </c>
      <c r="AJ338" s="81" t="s">
        <v>2069</v>
      </c>
      <c r="AK338" s="81"/>
      <c r="AL338" s="9"/>
      <c r="AQ338" s="7"/>
    </row>
    <row r="339" spans="1:43" s="278" customFormat="1" ht="12.75" hidden="1" customHeight="1" x14ac:dyDescent="0.45">
      <c r="A339" s="37"/>
      <c r="B339" s="149"/>
      <c r="C339" s="21" t="s">
        <v>1967</v>
      </c>
      <c r="D339" s="2" t="s">
        <v>306</v>
      </c>
      <c r="E339" s="2"/>
      <c r="F339" s="2"/>
      <c r="G339" s="2"/>
      <c r="H339" s="124"/>
      <c r="I339" s="124"/>
      <c r="J339" s="124">
        <v>59618</v>
      </c>
      <c r="K339" s="124"/>
      <c r="L339" s="124"/>
      <c r="M339" s="122" t="s">
        <v>2070</v>
      </c>
      <c r="N339" s="122" t="s">
        <v>2071</v>
      </c>
      <c r="O339" s="122" t="s">
        <v>2072</v>
      </c>
      <c r="P339" s="122" t="s">
        <v>2073</v>
      </c>
      <c r="Q339" s="122" t="s">
        <v>2074</v>
      </c>
      <c r="R339" s="576" t="s">
        <v>1363</v>
      </c>
      <c r="S339" s="122" t="s">
        <v>340</v>
      </c>
      <c r="T339" s="122"/>
      <c r="U339" s="122"/>
      <c r="V339" s="122"/>
      <c r="W339" s="122">
        <v>1994</v>
      </c>
      <c r="X339" s="268">
        <f>oppervlak_dak_1246+oppervlak_dak_1134</f>
        <v>2170</v>
      </c>
      <c r="Y339" s="122"/>
      <c r="Z339" s="122"/>
      <c r="AA339" s="122"/>
      <c r="AB339" s="122"/>
      <c r="AC339" s="122"/>
      <c r="AD339" s="122"/>
      <c r="AE339" s="122"/>
      <c r="AF339" s="122"/>
      <c r="AG339" s="122"/>
      <c r="AH339" s="122"/>
      <c r="AI339" s="122">
        <v>2014</v>
      </c>
      <c r="AJ339" s="122" t="s">
        <v>1018</v>
      </c>
      <c r="AK339" s="268"/>
      <c r="AL339" s="98" t="s">
        <v>2075</v>
      </c>
      <c r="AQ339" s="7"/>
    </row>
    <row r="340" spans="1:43" s="278" customFormat="1" ht="12.75" hidden="1" customHeight="1" x14ac:dyDescent="0.45">
      <c r="A340" s="182"/>
      <c r="B340" s="191"/>
      <c r="C340" s="21" t="s">
        <v>1967</v>
      </c>
      <c r="D340" s="2" t="s">
        <v>306</v>
      </c>
      <c r="E340" s="2"/>
      <c r="F340" s="2"/>
      <c r="G340" s="2"/>
      <c r="H340" s="577" t="s">
        <v>2076</v>
      </c>
      <c r="I340" s="577" t="s">
        <v>2077</v>
      </c>
      <c r="J340" s="577"/>
      <c r="K340" s="577"/>
      <c r="L340" s="577"/>
      <c r="M340" s="251" t="s">
        <v>2070</v>
      </c>
      <c r="N340" s="251" t="s">
        <v>2078</v>
      </c>
      <c r="O340" s="251" t="s">
        <v>2079</v>
      </c>
      <c r="P340" s="251" t="s">
        <v>2080</v>
      </c>
      <c r="Q340" s="251" t="s">
        <v>2074</v>
      </c>
      <c r="R340" s="251" t="s">
        <v>1363</v>
      </c>
      <c r="S340" s="251" t="s">
        <v>340</v>
      </c>
      <c r="T340" s="251" t="s">
        <v>1630</v>
      </c>
      <c r="U340" s="251" t="s">
        <v>2081</v>
      </c>
      <c r="V340" s="251" t="s">
        <v>2082</v>
      </c>
      <c r="W340" s="251">
        <v>1994</v>
      </c>
      <c r="X340" s="578">
        <v>1834</v>
      </c>
      <c r="Y340" s="251"/>
      <c r="Z340" s="251"/>
      <c r="AA340" s="251"/>
      <c r="AB340" s="251"/>
      <c r="AC340" s="251"/>
      <c r="AD340" s="251"/>
      <c r="AE340" s="251"/>
      <c r="AF340" s="251"/>
      <c r="AG340" s="251"/>
      <c r="AH340" s="251"/>
      <c r="AI340" s="251">
        <v>2014</v>
      </c>
      <c r="AJ340" s="251" t="s">
        <v>1018</v>
      </c>
      <c r="AK340" s="578"/>
      <c r="AL340" s="579" t="s">
        <v>2075</v>
      </c>
      <c r="AQ340" s="7"/>
    </row>
    <row r="341" spans="1:43" s="278" customFormat="1" ht="12.75" hidden="1" customHeight="1" x14ac:dyDescent="0.45">
      <c r="A341" s="182"/>
      <c r="B341" s="191"/>
      <c r="C341" s="21" t="s">
        <v>1967</v>
      </c>
      <c r="D341" s="2" t="s">
        <v>306</v>
      </c>
      <c r="E341" s="2"/>
      <c r="F341" s="2"/>
      <c r="G341" s="2"/>
      <c r="H341" s="577" t="s">
        <v>2083</v>
      </c>
      <c r="I341" s="577" t="s">
        <v>2084</v>
      </c>
      <c r="J341" s="577"/>
      <c r="K341" s="577"/>
      <c r="L341" s="577"/>
      <c r="M341" s="251" t="s">
        <v>2070</v>
      </c>
      <c r="N341" s="251" t="s">
        <v>2085</v>
      </c>
      <c r="O341" s="251" t="s">
        <v>2086</v>
      </c>
      <c r="P341" s="251" t="s">
        <v>2087</v>
      </c>
      <c r="Q341" s="251" t="s">
        <v>2074</v>
      </c>
      <c r="R341" s="251" t="s">
        <v>1363</v>
      </c>
      <c r="S341" s="251" t="s">
        <v>340</v>
      </c>
      <c r="T341" s="251" t="s">
        <v>1630</v>
      </c>
      <c r="U341" s="251" t="s">
        <v>2081</v>
      </c>
      <c r="V341" s="251" t="s">
        <v>2082</v>
      </c>
      <c r="W341" s="251">
        <v>1994</v>
      </c>
      <c r="X341" s="578">
        <v>336</v>
      </c>
      <c r="Y341" s="251"/>
      <c r="Z341" s="251"/>
      <c r="AA341" s="251"/>
      <c r="AB341" s="251"/>
      <c r="AC341" s="251"/>
      <c r="AD341" s="251"/>
      <c r="AE341" s="251"/>
      <c r="AF341" s="251"/>
      <c r="AG341" s="251"/>
      <c r="AH341" s="251"/>
      <c r="AI341" s="251">
        <v>2014</v>
      </c>
      <c r="AJ341" s="251" t="s">
        <v>1018</v>
      </c>
      <c r="AK341" s="578"/>
      <c r="AL341" s="579" t="s">
        <v>2075</v>
      </c>
      <c r="AQ341" s="7"/>
    </row>
    <row r="342" spans="1:43" s="278" customFormat="1" ht="30.75" hidden="1" customHeight="1" x14ac:dyDescent="0.45">
      <c r="A342" s="7"/>
      <c r="B342" s="66"/>
      <c r="C342" s="66" t="s">
        <v>1967</v>
      </c>
      <c r="D342" s="2"/>
      <c r="E342" s="2"/>
      <c r="F342" s="2"/>
      <c r="G342" s="2"/>
      <c r="H342" s="78" t="s">
        <v>2088</v>
      </c>
      <c r="I342" s="78" t="s">
        <v>2089</v>
      </c>
      <c r="J342" s="78">
        <v>59531</v>
      </c>
      <c r="K342" s="78"/>
      <c r="L342" s="78"/>
      <c r="M342" s="77" t="s">
        <v>349</v>
      </c>
      <c r="N342" s="77" t="s">
        <v>2090</v>
      </c>
      <c r="O342" s="77" t="s">
        <v>2091</v>
      </c>
      <c r="P342" s="77" t="s">
        <v>2092</v>
      </c>
      <c r="Q342" s="77" t="s">
        <v>2093</v>
      </c>
      <c r="R342" s="575" t="s">
        <v>1363</v>
      </c>
      <c r="S342" s="77" t="s">
        <v>340</v>
      </c>
      <c r="T342" s="77" t="s">
        <v>2066</v>
      </c>
      <c r="U342" s="77" t="s">
        <v>2081</v>
      </c>
      <c r="V342" s="79" t="s">
        <v>2082</v>
      </c>
      <c r="W342" s="80">
        <v>1995</v>
      </c>
      <c r="X342" s="80">
        <v>744</v>
      </c>
      <c r="Y342" s="80"/>
      <c r="Z342" s="81"/>
      <c r="AA342" s="81"/>
      <c r="AB342" s="81"/>
      <c r="AC342" s="81"/>
      <c r="AD342" s="81"/>
      <c r="AE342" s="81"/>
      <c r="AF342" s="81"/>
      <c r="AG342" s="81"/>
      <c r="AH342" s="81"/>
      <c r="AI342" s="81"/>
      <c r="AJ342" s="81"/>
      <c r="AK342" s="81"/>
      <c r="AL342" s="66" t="s">
        <v>2094</v>
      </c>
      <c r="AQ342" s="7"/>
    </row>
    <row r="343" spans="1:43" s="278" customFormat="1" ht="140.25" hidden="1" customHeight="1" x14ac:dyDescent="0.45">
      <c r="A343" s="8"/>
      <c r="B343" s="3"/>
      <c r="C343" s="2" t="s">
        <v>1967</v>
      </c>
      <c r="D343" s="2" t="s">
        <v>832</v>
      </c>
      <c r="E343" s="2"/>
      <c r="F343" s="2"/>
      <c r="G343" s="2"/>
      <c r="H343" s="143" t="s">
        <v>2095</v>
      </c>
      <c r="I343" s="143" t="s">
        <v>2096</v>
      </c>
      <c r="J343" s="143"/>
      <c r="K343" s="143"/>
      <c r="L343" s="143" t="s">
        <v>280</v>
      </c>
      <c r="M343" s="4" t="s">
        <v>669</v>
      </c>
      <c r="N343" s="3" t="s">
        <v>2097</v>
      </c>
      <c r="O343" s="4" t="s">
        <v>2098</v>
      </c>
      <c r="P343" s="3" t="s">
        <v>2099</v>
      </c>
      <c r="Q343" s="3" t="s">
        <v>2100</v>
      </c>
      <c r="R343" s="160" t="s">
        <v>1704</v>
      </c>
      <c r="S343" s="3" t="s">
        <v>1511</v>
      </c>
      <c r="T343" s="4" t="s">
        <v>1989</v>
      </c>
      <c r="U343" s="4" t="s">
        <v>1990</v>
      </c>
      <c r="V343" s="148" t="s">
        <v>1991</v>
      </c>
      <c r="W343" s="5">
        <v>1988</v>
      </c>
      <c r="X343" s="5">
        <v>1051</v>
      </c>
      <c r="Y343" s="5"/>
      <c r="Z343" s="6"/>
      <c r="AA343" s="6"/>
      <c r="AB343" s="6"/>
      <c r="AC343" s="6"/>
      <c r="AD343" s="6"/>
      <c r="AE343" s="6"/>
      <c r="AF343" s="6"/>
      <c r="AG343" s="6"/>
      <c r="AH343" s="6"/>
      <c r="AI343" s="6" t="s">
        <v>1981</v>
      </c>
      <c r="AJ343" s="6" t="s">
        <v>470</v>
      </c>
      <c r="AK343" s="286"/>
      <c r="AL343" s="14" t="s">
        <v>2010</v>
      </c>
      <c r="AQ343" s="7"/>
    </row>
    <row r="344" spans="1:43" s="278" customFormat="1" hidden="1" x14ac:dyDescent="0.45">
      <c r="A344" s="23"/>
      <c r="B344" s="159"/>
      <c r="C344" s="2" t="s">
        <v>1967</v>
      </c>
      <c r="D344" s="2" t="s">
        <v>2101</v>
      </c>
      <c r="E344" s="2"/>
      <c r="F344" s="2"/>
      <c r="G344" s="2"/>
      <c r="H344" s="159" t="s">
        <v>2102</v>
      </c>
      <c r="I344" s="166" t="s">
        <v>2103</v>
      </c>
      <c r="J344" s="229"/>
      <c r="K344" s="229"/>
      <c r="L344" s="163" t="s">
        <v>154</v>
      </c>
      <c r="M344" s="163" t="s">
        <v>155</v>
      </c>
      <c r="N344" s="164">
        <v>1391</v>
      </c>
      <c r="O344" s="159" t="s">
        <v>2104</v>
      </c>
      <c r="P344" s="159" t="s">
        <v>2105</v>
      </c>
      <c r="Q344" s="159" t="s">
        <v>2106</v>
      </c>
      <c r="R344" s="159" t="s">
        <v>1363</v>
      </c>
      <c r="S344" s="159" t="s">
        <v>340</v>
      </c>
      <c r="T344" s="159" t="s">
        <v>2107</v>
      </c>
      <c r="U344" s="159" t="s">
        <v>2108</v>
      </c>
      <c r="V344" s="176" t="s">
        <v>2109</v>
      </c>
      <c r="W344" s="177">
        <v>1998</v>
      </c>
      <c r="X344" s="177">
        <f>145+92+284</f>
        <v>521</v>
      </c>
      <c r="Y344" s="177"/>
      <c r="Z344" s="177"/>
      <c r="AA344" s="177" t="s">
        <v>135</v>
      </c>
      <c r="AB344" s="177">
        <f>3+4+8</f>
        <v>15</v>
      </c>
      <c r="AC344" s="177"/>
      <c r="AD344" s="177" t="s">
        <v>2110</v>
      </c>
      <c r="AE344" s="177"/>
      <c r="AF344" s="177"/>
      <c r="AG344" s="177"/>
      <c r="AH344" s="177"/>
      <c r="AI344" s="177"/>
      <c r="AJ344" s="177"/>
      <c r="AK344" s="177"/>
      <c r="AL344" s="580"/>
      <c r="AQ344" s="7"/>
    </row>
    <row r="345" spans="1:43" s="278" customFormat="1" ht="140.25" hidden="1" customHeight="1" x14ac:dyDescent="0.45">
      <c r="A345" s="252"/>
      <c r="B345" s="581"/>
      <c r="C345" s="25" t="s">
        <v>1967</v>
      </c>
      <c r="D345" s="25" t="s">
        <v>2101</v>
      </c>
      <c r="E345" s="25"/>
      <c r="F345" s="25"/>
      <c r="G345" s="25"/>
      <c r="H345" s="252" t="s">
        <v>2111</v>
      </c>
      <c r="I345" s="582"/>
      <c r="J345" s="252"/>
      <c r="K345" s="252"/>
      <c r="L345" s="583" t="s">
        <v>154</v>
      </c>
      <c r="M345" s="252" t="s">
        <v>155</v>
      </c>
      <c r="N345" s="252">
        <v>1191.1394</v>
      </c>
      <c r="O345" s="252" t="s">
        <v>2112</v>
      </c>
      <c r="P345" s="252" t="s">
        <v>2112</v>
      </c>
      <c r="Q345" s="252" t="s">
        <v>2106</v>
      </c>
      <c r="R345" s="584" t="s">
        <v>1363</v>
      </c>
      <c r="S345" s="252" t="s">
        <v>340</v>
      </c>
      <c r="T345" s="252" t="s">
        <v>2107</v>
      </c>
      <c r="U345" s="252" t="s">
        <v>2108</v>
      </c>
      <c r="V345" s="252" t="s">
        <v>2109</v>
      </c>
      <c r="W345" s="252">
        <v>2011</v>
      </c>
      <c r="X345" s="585">
        <f>276+567</f>
        <v>843</v>
      </c>
      <c r="Y345" s="252"/>
      <c r="Z345" s="252"/>
      <c r="AA345" s="252"/>
      <c r="AB345" s="252"/>
      <c r="AC345" s="252"/>
      <c r="AD345" s="252"/>
      <c r="AE345" s="252"/>
      <c r="AF345" s="252"/>
      <c r="AG345" s="252"/>
      <c r="AH345" s="252"/>
      <c r="AI345" s="252"/>
      <c r="AJ345" s="252"/>
      <c r="AK345" s="586"/>
      <c r="AL345" s="273" t="s">
        <v>2113</v>
      </c>
      <c r="AQ345" s="7"/>
    </row>
    <row r="346" spans="1:43" s="278" customFormat="1" ht="140.25" hidden="1" customHeight="1" x14ac:dyDescent="0.45">
      <c r="A346" s="251"/>
      <c r="B346" s="251"/>
      <c r="C346" s="25" t="s">
        <v>1967</v>
      </c>
      <c r="D346" s="25" t="s">
        <v>2101</v>
      </c>
      <c r="E346" s="25"/>
      <c r="F346" s="25"/>
      <c r="G346" s="25"/>
      <c r="H346" s="251" t="s">
        <v>2111</v>
      </c>
      <c r="I346" s="251" t="s">
        <v>2114</v>
      </c>
      <c r="J346" s="36"/>
      <c r="K346" s="36"/>
      <c r="L346" s="251"/>
      <c r="M346" s="251" t="s">
        <v>155</v>
      </c>
      <c r="N346" s="251">
        <v>1394</v>
      </c>
      <c r="O346" s="251" t="s">
        <v>2115</v>
      </c>
      <c r="P346" s="251" t="s">
        <v>2112</v>
      </c>
      <c r="Q346" s="251" t="s">
        <v>2106</v>
      </c>
      <c r="R346" s="175" t="s">
        <v>1363</v>
      </c>
      <c r="S346" s="251" t="s">
        <v>340</v>
      </c>
      <c r="T346" s="251" t="s">
        <v>2107</v>
      </c>
      <c r="U346" s="251" t="s">
        <v>2108</v>
      </c>
      <c r="V346" s="251" t="s">
        <v>2109</v>
      </c>
      <c r="W346" s="251">
        <v>2011</v>
      </c>
      <c r="X346" s="578">
        <v>639</v>
      </c>
      <c r="Y346" s="251"/>
      <c r="Z346" s="251"/>
      <c r="AA346" s="251"/>
      <c r="AB346" s="251"/>
      <c r="AC346" s="251"/>
      <c r="AD346" s="251"/>
      <c r="AE346" s="251"/>
      <c r="AF346" s="251"/>
      <c r="AG346" s="251"/>
      <c r="AH346" s="251"/>
      <c r="AI346" s="251"/>
      <c r="AJ346" s="251"/>
      <c r="AK346" s="578"/>
      <c r="AL346" s="273" t="s">
        <v>2113</v>
      </c>
      <c r="AQ346" s="7"/>
    </row>
    <row r="347" spans="1:43" s="278" customFormat="1" ht="140.25" hidden="1" customHeight="1" x14ac:dyDescent="0.45">
      <c r="A347" s="84"/>
      <c r="B347" s="84"/>
      <c r="C347" s="25" t="s">
        <v>1967</v>
      </c>
      <c r="D347" s="25" t="s">
        <v>2101</v>
      </c>
      <c r="E347" s="25"/>
      <c r="F347" s="25"/>
      <c r="G347" s="25"/>
      <c r="H347" s="84" t="s">
        <v>2111</v>
      </c>
      <c r="I347" s="84" t="s">
        <v>2114</v>
      </c>
      <c r="J347" s="94"/>
      <c r="K347" s="94"/>
      <c r="L347" s="84"/>
      <c r="M347" s="84" t="s">
        <v>155</v>
      </c>
      <c r="N347" s="84">
        <v>1191</v>
      </c>
      <c r="O347" s="84" t="s">
        <v>2116</v>
      </c>
      <c r="P347" s="84" t="s">
        <v>2112</v>
      </c>
      <c r="Q347" s="84" t="s">
        <v>2106</v>
      </c>
      <c r="R347" s="175" t="s">
        <v>1363</v>
      </c>
      <c r="S347" s="84" t="s">
        <v>340</v>
      </c>
      <c r="T347" s="84" t="s">
        <v>2107</v>
      </c>
      <c r="U347" s="84" t="s">
        <v>2108</v>
      </c>
      <c r="V347" s="84" t="s">
        <v>2109</v>
      </c>
      <c r="W347" s="84">
        <v>2011</v>
      </c>
      <c r="X347" s="269">
        <v>204</v>
      </c>
      <c r="Y347" s="84"/>
      <c r="Z347" s="84"/>
      <c r="AA347" s="84"/>
      <c r="AB347" s="84"/>
      <c r="AC347" s="84"/>
      <c r="AD347" s="84"/>
      <c r="AE347" s="84"/>
      <c r="AF347" s="84"/>
      <c r="AG347" s="84"/>
      <c r="AH347" s="84"/>
      <c r="AI347" s="84"/>
      <c r="AJ347" s="84"/>
      <c r="AK347" s="269"/>
      <c r="AL347" s="83" t="s">
        <v>2113</v>
      </c>
      <c r="AQ347" s="7"/>
    </row>
    <row r="348" spans="1:43" s="278" customFormat="1" ht="25.5" hidden="1" x14ac:dyDescent="0.45">
      <c r="A348" s="35"/>
      <c r="B348" s="27"/>
      <c r="C348" s="2" t="s">
        <v>1967</v>
      </c>
      <c r="D348" s="2" t="s">
        <v>832</v>
      </c>
      <c r="E348" s="2" t="s">
        <v>306</v>
      </c>
      <c r="F348" s="2"/>
      <c r="G348" s="2"/>
      <c r="H348" s="128"/>
      <c r="I348" s="128"/>
      <c r="J348" s="128"/>
      <c r="K348" s="128"/>
      <c r="L348" s="128" t="s">
        <v>280</v>
      </c>
      <c r="M348" s="28" t="s">
        <v>1976</v>
      </c>
      <c r="N348" s="27" t="s">
        <v>2117</v>
      </c>
      <c r="O348" s="28" t="s">
        <v>2118</v>
      </c>
      <c r="P348" s="27" t="s">
        <v>2119</v>
      </c>
      <c r="Q348" s="27" t="s">
        <v>1439</v>
      </c>
      <c r="R348" s="211" t="s">
        <v>1363</v>
      </c>
      <c r="S348" s="27" t="s">
        <v>340</v>
      </c>
      <c r="T348" s="28"/>
      <c r="U348" s="28"/>
      <c r="V348" s="28"/>
      <c r="W348" s="27">
        <v>1994</v>
      </c>
      <c r="X348" s="266">
        <f>X349+X350</f>
        <v>796</v>
      </c>
      <c r="Y348" s="27"/>
      <c r="Z348" s="28"/>
      <c r="AA348" s="28"/>
      <c r="AB348" s="28"/>
      <c r="AC348" s="28"/>
      <c r="AD348" s="28"/>
      <c r="AE348" s="28"/>
      <c r="AF348" s="28"/>
      <c r="AG348" s="28"/>
      <c r="AH348" s="28"/>
      <c r="AI348" s="28" t="s">
        <v>1981</v>
      </c>
      <c r="AJ348" s="28" t="s">
        <v>223</v>
      </c>
      <c r="AK348" s="266"/>
      <c r="AL348" s="14" t="s">
        <v>2120</v>
      </c>
      <c r="AQ348" s="7"/>
    </row>
    <row r="349" spans="1:43" s="278" customFormat="1" ht="165.75" hidden="1" x14ac:dyDescent="0.45">
      <c r="A349" s="182"/>
      <c r="B349" s="182"/>
      <c r="C349" s="2" t="s">
        <v>1967</v>
      </c>
      <c r="D349" s="2" t="s">
        <v>832</v>
      </c>
      <c r="E349" s="2" t="s">
        <v>306</v>
      </c>
      <c r="F349" s="2"/>
      <c r="G349" s="2" t="s">
        <v>1983</v>
      </c>
      <c r="H349" s="174" t="s">
        <v>1984</v>
      </c>
      <c r="I349" s="174" t="s">
        <v>2121</v>
      </c>
      <c r="J349" s="174"/>
      <c r="K349" s="174"/>
      <c r="L349" s="174"/>
      <c r="M349" s="175" t="s">
        <v>669</v>
      </c>
      <c r="N349" s="182" t="s">
        <v>2122</v>
      </c>
      <c r="O349" s="175" t="s">
        <v>2123</v>
      </c>
      <c r="P349" s="182" t="s">
        <v>2124</v>
      </c>
      <c r="Q349" s="182" t="s">
        <v>1439</v>
      </c>
      <c r="R349" s="182" t="s">
        <v>1363</v>
      </c>
      <c r="S349" s="182" t="s">
        <v>340</v>
      </c>
      <c r="T349" s="175" t="s">
        <v>2125</v>
      </c>
      <c r="U349" s="175" t="s">
        <v>2126</v>
      </c>
      <c r="V349" s="175" t="s">
        <v>2127</v>
      </c>
      <c r="W349" s="182">
        <v>1994</v>
      </c>
      <c r="X349" s="255">
        <v>398</v>
      </c>
      <c r="Y349" s="182"/>
      <c r="Z349" s="175"/>
      <c r="AA349" s="175"/>
      <c r="AB349" s="175"/>
      <c r="AC349" s="175"/>
      <c r="AD349" s="175"/>
      <c r="AE349" s="175"/>
      <c r="AF349" s="175"/>
      <c r="AG349" s="175"/>
      <c r="AH349" s="175"/>
      <c r="AI349" s="175" t="s">
        <v>1981</v>
      </c>
      <c r="AJ349" s="175" t="s">
        <v>223</v>
      </c>
      <c r="AK349" s="255"/>
      <c r="AL349" s="166" t="s">
        <v>1992</v>
      </c>
      <c r="AQ349" s="7"/>
    </row>
    <row r="350" spans="1:43" s="278" customFormat="1" ht="178.5" hidden="1" x14ac:dyDescent="0.45">
      <c r="A350" s="69"/>
      <c r="B350" s="69"/>
      <c r="C350" s="2" t="s">
        <v>1967</v>
      </c>
      <c r="D350" s="2" t="s">
        <v>306</v>
      </c>
      <c r="E350" s="2" t="s">
        <v>832</v>
      </c>
      <c r="F350" s="2"/>
      <c r="G350" s="2" t="s">
        <v>1983</v>
      </c>
      <c r="H350" s="63" t="s">
        <v>2128</v>
      </c>
      <c r="I350" s="63" t="s">
        <v>2129</v>
      </c>
      <c r="J350" s="63"/>
      <c r="K350" s="63"/>
      <c r="L350" s="63"/>
      <c r="M350" s="63" t="s">
        <v>1995</v>
      </c>
      <c r="N350" s="69" t="s">
        <v>2130</v>
      </c>
      <c r="O350" s="68" t="s">
        <v>2131</v>
      </c>
      <c r="P350" s="69" t="s">
        <v>2132</v>
      </c>
      <c r="Q350" s="69" t="s">
        <v>1439</v>
      </c>
      <c r="R350" s="182" t="s">
        <v>1363</v>
      </c>
      <c r="S350" s="69" t="s">
        <v>340</v>
      </c>
      <c r="T350" s="68" t="s">
        <v>2133</v>
      </c>
      <c r="U350" s="68" t="s">
        <v>2134</v>
      </c>
      <c r="V350" s="68" t="s">
        <v>1450</v>
      </c>
      <c r="W350" s="69">
        <v>1994</v>
      </c>
      <c r="X350" s="267">
        <v>398</v>
      </c>
      <c r="Y350" s="69"/>
      <c r="Z350" s="68"/>
      <c r="AA350" s="68"/>
      <c r="AB350" s="68"/>
      <c r="AC350" s="68"/>
      <c r="AD350" s="68"/>
      <c r="AE350" s="68"/>
      <c r="AF350" s="68"/>
      <c r="AG350" s="68"/>
      <c r="AH350" s="68"/>
      <c r="AI350" s="68" t="s">
        <v>1981</v>
      </c>
      <c r="AJ350" s="68" t="s">
        <v>223</v>
      </c>
      <c r="AK350" s="267"/>
      <c r="AL350" s="66" t="s">
        <v>2002</v>
      </c>
      <c r="AQ350" s="7"/>
    </row>
    <row r="351" spans="1:43" s="278" customFormat="1" ht="140.25" hidden="1" customHeight="1" x14ac:dyDescent="0.45">
      <c r="A351" s="18"/>
      <c r="B351" s="12"/>
      <c r="C351" s="2" t="s">
        <v>1967</v>
      </c>
      <c r="D351" s="2" t="s">
        <v>832</v>
      </c>
      <c r="E351" s="2"/>
      <c r="F351" s="2"/>
      <c r="G351" s="2"/>
      <c r="H351" s="104" t="s">
        <v>2135</v>
      </c>
      <c r="I351" s="104" t="s">
        <v>2136</v>
      </c>
      <c r="J351" s="104"/>
      <c r="K351" s="104"/>
      <c r="L351" s="104" t="s">
        <v>280</v>
      </c>
      <c r="M351" s="92" t="s">
        <v>669</v>
      </c>
      <c r="N351" s="12" t="s">
        <v>2137</v>
      </c>
      <c r="O351" s="92" t="s">
        <v>2138</v>
      </c>
      <c r="P351" s="12" t="s">
        <v>2139</v>
      </c>
      <c r="Q351" s="12" t="s">
        <v>1905</v>
      </c>
      <c r="R351" s="160" t="s">
        <v>1721</v>
      </c>
      <c r="S351" s="12" t="s">
        <v>1511</v>
      </c>
      <c r="T351" s="92" t="s">
        <v>2140</v>
      </c>
      <c r="U351" s="92" t="s">
        <v>2141</v>
      </c>
      <c r="V351" s="103" t="s">
        <v>2142</v>
      </c>
      <c r="W351" s="76">
        <v>1984</v>
      </c>
      <c r="X351" s="76">
        <v>1263</v>
      </c>
      <c r="Y351" s="76"/>
      <c r="Z351" s="105"/>
      <c r="AA351" s="105"/>
      <c r="AB351" s="105"/>
      <c r="AC351" s="105"/>
      <c r="AD351" s="105"/>
      <c r="AE351" s="105"/>
      <c r="AF351" s="105"/>
      <c r="AG351" s="105"/>
      <c r="AH351" s="105"/>
      <c r="AI351" s="105" t="s">
        <v>2143</v>
      </c>
      <c r="AJ351" s="105" t="s">
        <v>1018</v>
      </c>
      <c r="AK351" s="287"/>
      <c r="AL351" s="106" t="s">
        <v>2010</v>
      </c>
      <c r="AQ351" s="7"/>
    </row>
    <row r="352" spans="1:43" s="278" customFormat="1" ht="84" hidden="1" customHeight="1" x14ac:dyDescent="0.45">
      <c r="A352" s="32"/>
      <c r="B352" s="34"/>
      <c r="C352" s="2" t="s">
        <v>1967</v>
      </c>
      <c r="D352" s="2" t="s">
        <v>136</v>
      </c>
      <c r="E352" s="2"/>
      <c r="F352" s="2"/>
      <c r="G352" s="2"/>
      <c r="H352" s="142" t="s">
        <v>2144</v>
      </c>
      <c r="I352" s="143" t="s">
        <v>2145</v>
      </c>
      <c r="J352" s="144"/>
      <c r="K352" s="145"/>
      <c r="L352" s="144" t="s">
        <v>348</v>
      </c>
      <c r="M352" s="34" t="s">
        <v>349</v>
      </c>
      <c r="N352" s="33" t="s">
        <v>2146</v>
      </c>
      <c r="O352" s="34" t="s">
        <v>2147</v>
      </c>
      <c r="P352" s="34" t="s">
        <v>2148</v>
      </c>
      <c r="Q352" s="34" t="s">
        <v>2149</v>
      </c>
      <c r="R352" s="34" t="s">
        <v>1843</v>
      </c>
      <c r="S352" s="34" t="s">
        <v>869</v>
      </c>
      <c r="T352" s="146" t="s">
        <v>2150</v>
      </c>
      <c r="U352" s="34" t="s">
        <v>2151</v>
      </c>
      <c r="V352" s="147" t="s">
        <v>2152</v>
      </c>
      <c r="W352" s="34">
        <v>2019</v>
      </c>
      <c r="X352" s="270">
        <v>700</v>
      </c>
      <c r="Y352" s="34"/>
      <c r="Z352" s="34"/>
      <c r="AA352" s="34"/>
      <c r="AB352" s="34"/>
      <c r="AC352" s="34"/>
      <c r="AD352" s="34"/>
      <c r="AE352" s="34"/>
      <c r="AF352" s="34"/>
      <c r="AG352" s="34"/>
      <c r="AH352" s="34"/>
      <c r="AI352" s="34" t="s">
        <v>638</v>
      </c>
      <c r="AJ352" s="34" t="s">
        <v>562</v>
      </c>
      <c r="AK352" s="6"/>
      <c r="AL352" s="14" t="s">
        <v>2153</v>
      </c>
      <c r="AQ352" s="7"/>
    </row>
    <row r="353" spans="1:43" s="278" customFormat="1" ht="102" hidden="1" x14ac:dyDescent="0.45">
      <c r="A353" s="89"/>
      <c r="B353" s="70"/>
      <c r="C353" s="2" t="s">
        <v>1967</v>
      </c>
      <c r="D353" s="2" t="s">
        <v>832</v>
      </c>
      <c r="E353" s="2"/>
      <c r="F353" s="2"/>
      <c r="G353" s="2"/>
      <c r="H353" s="90" t="s">
        <v>2154</v>
      </c>
      <c r="I353" s="90" t="s">
        <v>2155</v>
      </c>
      <c r="J353" s="72"/>
      <c r="K353" s="72"/>
      <c r="L353" s="72" t="s">
        <v>280</v>
      </c>
      <c r="M353" s="70" t="s">
        <v>669</v>
      </c>
      <c r="N353" s="91" t="s">
        <v>2156</v>
      </c>
      <c r="O353" s="92" t="s">
        <v>2157</v>
      </c>
      <c r="P353" s="92" t="s">
        <v>2158</v>
      </c>
      <c r="Q353" s="92" t="s">
        <v>2159</v>
      </c>
      <c r="R353" s="4" t="s">
        <v>1843</v>
      </c>
      <c r="S353" s="92" t="s">
        <v>869</v>
      </c>
      <c r="T353" s="48" t="s">
        <v>2160</v>
      </c>
      <c r="U353" s="70" t="s">
        <v>2161</v>
      </c>
      <c r="V353" s="93" t="s">
        <v>2162</v>
      </c>
      <c r="W353" s="92">
        <v>2020</v>
      </c>
      <c r="X353" s="105">
        <v>1265</v>
      </c>
      <c r="Y353" s="92"/>
      <c r="Z353" s="92"/>
      <c r="AA353" s="92"/>
      <c r="AB353" s="92">
        <v>20</v>
      </c>
      <c r="AC353" s="92">
        <v>122</v>
      </c>
      <c r="AD353" s="92"/>
      <c r="AE353" s="92"/>
      <c r="AF353" s="92"/>
      <c r="AG353" s="92"/>
      <c r="AH353" s="92"/>
      <c r="AI353" s="92" t="s">
        <v>324</v>
      </c>
      <c r="AJ353" s="92" t="s">
        <v>2163</v>
      </c>
      <c r="AK353" s="75"/>
      <c r="AL353" s="66" t="s">
        <v>2010</v>
      </c>
      <c r="AQ353" s="7"/>
    </row>
    <row r="354" spans="1:43" s="278" customFormat="1" ht="76.5" hidden="1" customHeight="1" x14ac:dyDescent="0.45">
      <c r="A354" s="7"/>
      <c r="B354" s="4"/>
      <c r="C354" s="21" t="s">
        <v>1967</v>
      </c>
      <c r="D354" s="2" t="s">
        <v>306</v>
      </c>
      <c r="E354" s="2"/>
      <c r="F354" s="2"/>
      <c r="G354" s="2"/>
      <c r="H354" s="3" t="s">
        <v>2164</v>
      </c>
      <c r="I354" s="3" t="s">
        <v>2165</v>
      </c>
      <c r="J354" s="3" t="s">
        <v>2164</v>
      </c>
      <c r="K354" s="3"/>
      <c r="L354" s="3"/>
      <c r="M354" s="4" t="s">
        <v>2166</v>
      </c>
      <c r="N354" s="3" t="s">
        <v>2167</v>
      </c>
      <c r="O354" s="3" t="s">
        <v>2168</v>
      </c>
      <c r="P354" s="3" t="s">
        <v>2169</v>
      </c>
      <c r="Q354" s="3" t="s">
        <v>1421</v>
      </c>
      <c r="R354" s="160" t="s">
        <v>1214</v>
      </c>
      <c r="S354" s="3" t="s">
        <v>340</v>
      </c>
      <c r="T354" s="4" t="s">
        <v>1630</v>
      </c>
      <c r="U354" s="3" t="s">
        <v>2170</v>
      </c>
      <c r="V354" s="141" t="s">
        <v>2171</v>
      </c>
      <c r="W354" s="5">
        <v>1983</v>
      </c>
      <c r="X354" s="5">
        <v>1860</v>
      </c>
      <c r="Y354" s="5"/>
      <c r="Z354" s="5"/>
      <c r="AA354" s="5"/>
      <c r="AB354" s="5"/>
      <c r="AC354" s="5"/>
      <c r="AD354" s="5"/>
      <c r="AE354" s="5"/>
      <c r="AF354" s="5"/>
      <c r="AG354" s="5"/>
      <c r="AH354" s="5"/>
      <c r="AI354" s="5"/>
      <c r="AJ354" s="5"/>
      <c r="AK354" s="286"/>
      <c r="AL354" s="7"/>
      <c r="AQ354" s="7"/>
    </row>
    <row r="355" spans="1:43" s="278" customFormat="1" ht="140.25" hidden="1" customHeight="1" x14ac:dyDescent="0.45">
      <c r="A355" s="8"/>
      <c r="B355" s="70"/>
      <c r="C355" s="2" t="s">
        <v>1967</v>
      </c>
      <c r="D355" s="2" t="s">
        <v>832</v>
      </c>
      <c r="E355" s="2"/>
      <c r="F355" s="2"/>
      <c r="G355" s="2"/>
      <c r="H355" s="72" t="s">
        <v>2172</v>
      </c>
      <c r="I355" s="72" t="s">
        <v>2173</v>
      </c>
      <c r="J355" s="72"/>
      <c r="K355" s="72"/>
      <c r="L355" s="72" t="s">
        <v>280</v>
      </c>
      <c r="M355" s="70" t="s">
        <v>669</v>
      </c>
      <c r="N355" s="73" t="s">
        <v>2174</v>
      </c>
      <c r="O355" s="70" t="s">
        <v>2175</v>
      </c>
      <c r="P355" s="73" t="s">
        <v>2176</v>
      </c>
      <c r="Q355" s="73" t="s">
        <v>2177</v>
      </c>
      <c r="R355" s="160" t="s">
        <v>1126</v>
      </c>
      <c r="S355" s="73" t="s">
        <v>340</v>
      </c>
      <c r="T355" s="70" t="s">
        <v>2178</v>
      </c>
      <c r="U355" s="70" t="s">
        <v>2179</v>
      </c>
      <c r="V355" s="71" t="s">
        <v>2180</v>
      </c>
      <c r="W355" s="74">
        <v>1981</v>
      </c>
      <c r="X355" s="74">
        <v>1094</v>
      </c>
      <c r="Y355" s="74"/>
      <c r="Z355" s="75"/>
      <c r="AA355" s="75"/>
      <c r="AB355" s="75"/>
      <c r="AC355" s="75"/>
      <c r="AD355" s="75"/>
      <c r="AE355" s="75"/>
      <c r="AF355" s="75"/>
      <c r="AG355" s="75"/>
      <c r="AH355" s="75"/>
      <c r="AI355" s="75"/>
      <c r="AJ355" s="75"/>
      <c r="AK355" s="288"/>
      <c r="AL355" s="66" t="s">
        <v>2010</v>
      </c>
      <c r="AQ355" s="7"/>
    </row>
    <row r="356" spans="1:43" s="278" customFormat="1" ht="165.75" hidden="1" x14ac:dyDescent="0.45">
      <c r="A356" s="29"/>
      <c r="B356" s="106"/>
      <c r="C356" s="140" t="s">
        <v>1967</v>
      </c>
      <c r="D356" s="2" t="s">
        <v>136</v>
      </c>
      <c r="E356" s="2"/>
      <c r="F356" s="2"/>
      <c r="G356" s="2" t="s">
        <v>2181</v>
      </c>
      <c r="H356" s="112" t="s">
        <v>2182</v>
      </c>
      <c r="I356" s="104" t="s">
        <v>2183</v>
      </c>
      <c r="J356" s="112">
        <v>59499</v>
      </c>
      <c r="K356" s="112"/>
      <c r="L356" s="112" t="s">
        <v>2184</v>
      </c>
      <c r="M356" s="111" t="s">
        <v>2185</v>
      </c>
      <c r="N356" s="111" t="s">
        <v>2186</v>
      </c>
      <c r="O356" s="111" t="s">
        <v>2187</v>
      </c>
      <c r="P356" s="111" t="s">
        <v>2188</v>
      </c>
      <c r="Q356" s="111" t="s">
        <v>1390</v>
      </c>
      <c r="R356" s="575" t="s">
        <v>1126</v>
      </c>
      <c r="S356" s="111" t="s">
        <v>340</v>
      </c>
      <c r="T356" s="111" t="s">
        <v>169</v>
      </c>
      <c r="U356" s="111" t="s">
        <v>170</v>
      </c>
      <c r="V356" s="113" t="s">
        <v>2189</v>
      </c>
      <c r="W356" s="114">
        <v>2008</v>
      </c>
      <c r="X356" s="114">
        <v>416</v>
      </c>
      <c r="Y356" s="114"/>
      <c r="Z356" s="115"/>
      <c r="AA356" s="115"/>
      <c r="AB356" s="115"/>
      <c r="AC356" s="115"/>
      <c r="AD356" s="115"/>
      <c r="AE356" s="115"/>
      <c r="AF356" s="115"/>
      <c r="AG356" s="115"/>
      <c r="AH356" s="115"/>
      <c r="AI356" s="115"/>
      <c r="AJ356" s="115"/>
      <c r="AK356" s="115"/>
      <c r="AL356" s="106" t="s">
        <v>2190</v>
      </c>
      <c r="AQ356" s="7"/>
    </row>
    <row r="357" spans="1:43" s="278" customFormat="1" ht="140.25" hidden="1" customHeight="1" x14ac:dyDescent="0.45">
      <c r="A357" s="8"/>
      <c r="B357" s="92"/>
      <c r="C357" s="2" t="s">
        <v>1967</v>
      </c>
      <c r="D357" s="2" t="s">
        <v>832</v>
      </c>
      <c r="E357" s="2"/>
      <c r="F357" s="2"/>
      <c r="G357" s="2"/>
      <c r="H357" s="104" t="s">
        <v>2191</v>
      </c>
      <c r="I357" s="104" t="s">
        <v>2192</v>
      </c>
      <c r="J357" s="104"/>
      <c r="K357" s="104"/>
      <c r="L357" s="104" t="s">
        <v>280</v>
      </c>
      <c r="M357" s="92" t="s">
        <v>281</v>
      </c>
      <c r="N357" s="12" t="s">
        <v>2193</v>
      </c>
      <c r="O357" s="92" t="s">
        <v>2194</v>
      </c>
      <c r="P357" s="12" t="s">
        <v>2195</v>
      </c>
      <c r="Q357" s="12" t="s">
        <v>2196</v>
      </c>
      <c r="R357" s="160" t="s">
        <v>1214</v>
      </c>
      <c r="S357" s="12" t="s">
        <v>340</v>
      </c>
      <c r="T357" s="92" t="s">
        <v>2197</v>
      </c>
      <c r="U357" s="92" t="s">
        <v>2198</v>
      </c>
      <c r="V357" s="103" t="s">
        <v>2199</v>
      </c>
      <c r="W357" s="76">
        <v>1983</v>
      </c>
      <c r="X357" s="76">
        <v>1149</v>
      </c>
      <c r="Y357" s="76"/>
      <c r="Z357" s="105"/>
      <c r="AA357" s="105"/>
      <c r="AB357" s="105"/>
      <c r="AC357" s="105"/>
      <c r="AD357" s="105"/>
      <c r="AE357" s="105"/>
      <c r="AF357" s="105"/>
      <c r="AG357" s="105"/>
      <c r="AH357" s="105"/>
      <c r="AI357" s="105"/>
      <c r="AJ357" s="105"/>
      <c r="AK357" s="287" t="s">
        <v>2200</v>
      </c>
      <c r="AL357" s="106" t="s">
        <v>2010</v>
      </c>
      <c r="AQ357" s="7"/>
    </row>
    <row r="358" spans="1:43" s="278" customFormat="1" hidden="1" x14ac:dyDescent="0.45">
      <c r="A358" s="24"/>
      <c r="B358" s="111"/>
      <c r="C358" s="2" t="s">
        <v>1967</v>
      </c>
      <c r="D358" s="2" t="s">
        <v>861</v>
      </c>
      <c r="E358" s="2"/>
      <c r="F358" s="2"/>
      <c r="G358" s="2"/>
      <c r="H358" s="132" t="s">
        <v>2201</v>
      </c>
      <c r="I358" s="133" t="s">
        <v>2202</v>
      </c>
      <c r="J358" s="134"/>
      <c r="K358" s="134"/>
      <c r="L358" s="112" t="s">
        <v>139</v>
      </c>
      <c r="M358" s="111" t="s">
        <v>140</v>
      </c>
      <c r="N358" s="135" t="s">
        <v>2203</v>
      </c>
      <c r="O358" s="111" t="s">
        <v>2204</v>
      </c>
      <c r="P358" s="111" t="s">
        <v>2205</v>
      </c>
      <c r="Q358" s="111" t="s">
        <v>2206</v>
      </c>
      <c r="R358" s="575" t="s">
        <v>1239</v>
      </c>
      <c r="S358" s="111" t="s">
        <v>340</v>
      </c>
      <c r="T358" s="136" t="s">
        <v>2207</v>
      </c>
      <c r="U358" s="137" t="s">
        <v>2208</v>
      </c>
      <c r="V358" s="138" t="s">
        <v>2209</v>
      </c>
      <c r="W358" s="114">
        <v>1971</v>
      </c>
      <c r="X358" s="114"/>
      <c r="Y358" s="114">
        <v>73</v>
      </c>
      <c r="Z358" s="115"/>
      <c r="AA358" s="115"/>
      <c r="AB358" s="115"/>
      <c r="AC358" s="115"/>
      <c r="AD358" s="115"/>
      <c r="AE358" s="115"/>
      <c r="AF358" s="115"/>
      <c r="AG358" s="115"/>
      <c r="AH358" s="115"/>
      <c r="AI358" s="115"/>
      <c r="AJ358" s="139"/>
      <c r="AK358" s="39"/>
      <c r="AL358" s="106" t="s">
        <v>2210</v>
      </c>
      <c r="AQ358" s="7"/>
    </row>
    <row r="359" spans="1:43" s="278" customFormat="1" ht="114.75" hidden="1" x14ac:dyDescent="0.45">
      <c r="A359" s="8"/>
      <c r="B359" s="92"/>
      <c r="C359" s="2" t="s">
        <v>1967</v>
      </c>
      <c r="D359" s="2" t="s">
        <v>832</v>
      </c>
      <c r="E359" s="2"/>
      <c r="F359" s="2"/>
      <c r="G359" s="2"/>
      <c r="H359" s="104" t="s">
        <v>2211</v>
      </c>
      <c r="I359" s="104" t="s">
        <v>2212</v>
      </c>
      <c r="J359" s="104"/>
      <c r="K359" s="104"/>
      <c r="L359" s="104" t="s">
        <v>280</v>
      </c>
      <c r="M359" s="92" t="s">
        <v>669</v>
      </c>
      <c r="N359" s="12" t="s">
        <v>2213</v>
      </c>
      <c r="O359" s="92" t="s">
        <v>2214</v>
      </c>
      <c r="P359" s="12" t="s">
        <v>2215</v>
      </c>
      <c r="Q359" s="12" t="s">
        <v>796</v>
      </c>
      <c r="R359" s="160" t="s">
        <v>768</v>
      </c>
      <c r="S359" s="12" t="s">
        <v>340</v>
      </c>
      <c r="T359" s="92" t="s">
        <v>2216</v>
      </c>
      <c r="U359" s="92" t="s">
        <v>2217</v>
      </c>
      <c r="V359" s="103" t="s">
        <v>2218</v>
      </c>
      <c r="W359" s="76">
        <v>2000</v>
      </c>
      <c r="X359" s="76">
        <v>68</v>
      </c>
      <c r="Y359" s="76">
        <v>53</v>
      </c>
      <c r="Z359" s="105"/>
      <c r="AA359" s="105"/>
      <c r="AB359" s="105"/>
      <c r="AC359" s="105"/>
      <c r="AD359" s="105"/>
      <c r="AE359" s="105"/>
      <c r="AF359" s="105"/>
      <c r="AG359" s="105"/>
      <c r="AH359" s="105"/>
      <c r="AI359" s="105"/>
      <c r="AJ359" s="105"/>
      <c r="AK359" s="287"/>
      <c r="AL359" s="92" t="s">
        <v>2219</v>
      </c>
      <c r="AQ359" s="7"/>
    </row>
    <row r="360" spans="1:43" s="278" customFormat="1" ht="38.25" hidden="1" x14ac:dyDescent="0.45">
      <c r="A360" s="8"/>
      <c r="B360" s="92"/>
      <c r="C360" s="2" t="s">
        <v>1967</v>
      </c>
      <c r="D360" s="2" t="s">
        <v>832</v>
      </c>
      <c r="E360" s="2"/>
      <c r="F360" s="2"/>
      <c r="G360" s="2"/>
      <c r="H360" s="131" t="s">
        <v>2220</v>
      </c>
      <c r="I360" s="131" t="s">
        <v>2221</v>
      </c>
      <c r="J360" s="104"/>
      <c r="K360" s="104"/>
      <c r="L360" s="104" t="s">
        <v>280</v>
      </c>
      <c r="M360" s="92" t="s">
        <v>281</v>
      </c>
      <c r="N360" s="12" t="s">
        <v>2222</v>
      </c>
      <c r="O360" s="92" t="s">
        <v>2223</v>
      </c>
      <c r="P360" s="12" t="s">
        <v>2224</v>
      </c>
      <c r="Q360" s="12" t="s">
        <v>2225</v>
      </c>
      <c r="R360" s="160" t="s">
        <v>768</v>
      </c>
      <c r="S360" s="12" t="s">
        <v>340</v>
      </c>
      <c r="T360" s="92" t="s">
        <v>2226</v>
      </c>
      <c r="U360" s="92" t="s">
        <v>2227</v>
      </c>
      <c r="V360" s="103" t="s">
        <v>2228</v>
      </c>
      <c r="W360" s="76">
        <v>1999</v>
      </c>
      <c r="X360" s="76">
        <v>1244</v>
      </c>
      <c r="Y360" s="76">
        <v>11</v>
      </c>
      <c r="Z360" s="105"/>
      <c r="AA360" s="105"/>
      <c r="AB360" s="105"/>
      <c r="AC360" s="105"/>
      <c r="AD360" s="105"/>
      <c r="AE360" s="105"/>
      <c r="AF360" s="105"/>
      <c r="AG360" s="105"/>
      <c r="AH360" s="105"/>
      <c r="AI360" s="105"/>
      <c r="AJ360" s="105"/>
      <c r="AK360" s="287" t="s">
        <v>2229</v>
      </c>
      <c r="AL360" s="106"/>
      <c r="AQ360" s="7"/>
    </row>
    <row r="361" spans="1:43" s="278" customFormat="1" ht="12.75" hidden="1" customHeight="1" x14ac:dyDescent="0.45">
      <c r="A361" s="27"/>
      <c r="B361" s="27"/>
      <c r="C361" s="21" t="s">
        <v>1967</v>
      </c>
      <c r="D361" s="2" t="s">
        <v>136</v>
      </c>
      <c r="E361" s="2" t="s">
        <v>2230</v>
      </c>
      <c r="F361" s="2"/>
      <c r="G361" s="2"/>
      <c r="H361" s="128"/>
      <c r="I361" s="128"/>
      <c r="J361" s="128"/>
      <c r="K361" s="128"/>
      <c r="L361" s="128"/>
      <c r="M361" s="27" t="s">
        <v>2231</v>
      </c>
      <c r="N361" s="27">
        <v>1148</v>
      </c>
      <c r="O361" s="129" t="s">
        <v>2232</v>
      </c>
      <c r="P361" s="27" t="s">
        <v>2232</v>
      </c>
      <c r="Q361" s="27" t="s">
        <v>1959</v>
      </c>
      <c r="R361" s="211" t="s">
        <v>942</v>
      </c>
      <c r="S361" s="27" t="s">
        <v>340</v>
      </c>
      <c r="T361" s="27"/>
      <c r="U361" s="27"/>
      <c r="V361" s="27"/>
      <c r="W361" s="27">
        <v>2005</v>
      </c>
      <c r="X361" s="266">
        <f>oppervlak_dak_1756+oppervlak_dak_1148</f>
        <v>1238</v>
      </c>
      <c r="Y361" s="27"/>
      <c r="Z361" s="28"/>
      <c r="AA361" s="28" t="s">
        <v>150</v>
      </c>
      <c r="AB361" s="28">
        <f>AB362+AB264</f>
        <v>37</v>
      </c>
      <c r="AC361" s="28"/>
      <c r="AD361" s="28"/>
      <c r="AE361" s="28"/>
      <c r="AF361" s="28"/>
      <c r="AG361" s="28"/>
      <c r="AH361" s="28"/>
      <c r="AI361" s="28">
        <v>2005</v>
      </c>
      <c r="AJ361" s="28"/>
      <c r="AK361" s="266"/>
      <c r="AL361" s="130"/>
      <c r="AQ361" s="7"/>
    </row>
    <row r="362" spans="1:43" s="278" customFormat="1" ht="57" hidden="1" x14ac:dyDescent="0.45">
      <c r="A362" s="69"/>
      <c r="B362" s="87"/>
      <c r="C362" s="21" t="s">
        <v>1967</v>
      </c>
      <c r="D362" s="2" t="s">
        <v>2230</v>
      </c>
      <c r="E362" s="2"/>
      <c r="F362" s="2"/>
      <c r="G362" s="2"/>
      <c r="H362" s="88" t="s">
        <v>2233</v>
      </c>
      <c r="I362" s="88" t="s">
        <v>2234</v>
      </c>
      <c r="J362" s="88"/>
      <c r="K362" s="88"/>
      <c r="L362" s="88"/>
      <c r="M362" s="69" t="s">
        <v>140</v>
      </c>
      <c r="N362" s="87" t="s">
        <v>2235</v>
      </c>
      <c r="O362" s="87" t="s">
        <v>2236</v>
      </c>
      <c r="P362" s="87" t="s">
        <v>2237</v>
      </c>
      <c r="Q362" s="69" t="s">
        <v>1959</v>
      </c>
      <c r="R362" s="182" t="s">
        <v>942</v>
      </c>
      <c r="S362" s="69" t="s">
        <v>340</v>
      </c>
      <c r="T362" s="69" t="s">
        <v>169</v>
      </c>
      <c r="U362" s="69" t="s">
        <v>170</v>
      </c>
      <c r="V362" s="69" t="s">
        <v>171</v>
      </c>
      <c r="W362" s="69">
        <v>2005</v>
      </c>
      <c r="X362" s="267">
        <v>813</v>
      </c>
      <c r="Y362" s="69"/>
      <c r="Z362" s="68"/>
      <c r="AA362" s="68" t="s">
        <v>150</v>
      </c>
      <c r="AB362" s="68">
        <v>24</v>
      </c>
      <c r="AC362" s="68"/>
      <c r="AD362" s="68"/>
      <c r="AE362" s="68"/>
      <c r="AF362" s="68"/>
      <c r="AG362" s="68"/>
      <c r="AH362" s="68"/>
      <c r="AI362" s="68">
        <v>2005</v>
      </c>
      <c r="AJ362" s="68"/>
      <c r="AK362" s="267"/>
      <c r="AL362" s="7"/>
      <c r="AQ362" s="7"/>
    </row>
    <row r="363" spans="1:43" s="278" customFormat="1" ht="52.5" hidden="1" x14ac:dyDescent="0.45">
      <c r="A363" s="26"/>
      <c r="B363" s="122"/>
      <c r="C363" s="25" t="s">
        <v>1967</v>
      </c>
      <c r="D363" s="25" t="s">
        <v>2101</v>
      </c>
      <c r="E363" s="25"/>
      <c r="F363" s="25"/>
      <c r="G363" s="25"/>
      <c r="H363" s="123"/>
      <c r="I363" s="122"/>
      <c r="J363" s="123"/>
      <c r="K363" s="123"/>
      <c r="L363" s="124" t="s">
        <v>154</v>
      </c>
      <c r="M363" s="124" t="s">
        <v>2238</v>
      </c>
      <c r="N363" s="122" t="s">
        <v>2239</v>
      </c>
      <c r="O363" s="122" t="s">
        <v>2240</v>
      </c>
      <c r="P363" s="122" t="s">
        <v>2241</v>
      </c>
      <c r="Q363" s="122" t="s">
        <v>976</v>
      </c>
      <c r="R363" s="171" t="s">
        <v>942</v>
      </c>
      <c r="S363" s="122" t="s">
        <v>340</v>
      </c>
      <c r="T363" s="122"/>
      <c r="U363" s="122"/>
      <c r="V363" s="122"/>
      <c r="W363" s="125">
        <v>2000</v>
      </c>
      <c r="X363" s="125">
        <f>X365+X364</f>
        <v>2204</v>
      </c>
      <c r="Y363" s="125"/>
      <c r="Z363" s="126"/>
      <c r="AA363" s="127" t="s">
        <v>311</v>
      </c>
      <c r="AB363" s="127">
        <f>AB364+AB365</f>
        <v>40</v>
      </c>
      <c r="AC363" s="127">
        <f>AC364+AC365</f>
        <v>293</v>
      </c>
      <c r="AD363" s="127" t="str">
        <f>+AD364</f>
        <v>dakluik dak 1</v>
      </c>
      <c r="AE363" s="127"/>
      <c r="AF363" s="127"/>
      <c r="AG363" s="127"/>
      <c r="AH363" s="127"/>
      <c r="AI363" s="127"/>
      <c r="AJ363" s="127"/>
      <c r="AK363" s="270"/>
      <c r="AL363" s="31" t="s">
        <v>2113</v>
      </c>
      <c r="AQ363" s="7"/>
    </row>
    <row r="364" spans="1:43" s="278" customFormat="1" ht="26.25" hidden="1" x14ac:dyDescent="0.45">
      <c r="A364" s="251"/>
      <c r="B364" s="251"/>
      <c r="C364" s="25" t="s">
        <v>1967</v>
      </c>
      <c r="D364" s="25" t="s">
        <v>2101</v>
      </c>
      <c r="E364" s="25"/>
      <c r="F364" s="25"/>
      <c r="G364" s="25"/>
      <c r="H364" s="251" t="s">
        <v>2242</v>
      </c>
      <c r="I364" s="251" t="s">
        <v>2243</v>
      </c>
      <c r="J364" s="251"/>
      <c r="K364" s="251"/>
      <c r="L364" s="251"/>
      <c r="M364" s="251" t="s">
        <v>155</v>
      </c>
      <c r="N364" s="251" t="s">
        <v>2244</v>
      </c>
      <c r="O364" s="251" t="s">
        <v>2245</v>
      </c>
      <c r="P364" s="251" t="s">
        <v>2246</v>
      </c>
      <c r="Q364" s="251" t="s">
        <v>976</v>
      </c>
      <c r="R364" s="175" t="s">
        <v>942</v>
      </c>
      <c r="S364" s="251" t="s">
        <v>340</v>
      </c>
      <c r="T364" s="251"/>
      <c r="U364" s="251"/>
      <c r="V364" s="251"/>
      <c r="W364" s="587">
        <v>2000</v>
      </c>
      <c r="X364" s="587">
        <v>1640</v>
      </c>
      <c r="Y364" s="587"/>
      <c r="Z364" s="588"/>
      <c r="AA364" s="253" t="s">
        <v>311</v>
      </c>
      <c r="AB364" s="253">
        <f>15+1+4+12</f>
        <v>32</v>
      </c>
      <c r="AC364" s="253">
        <f>120+22+76</f>
        <v>218</v>
      </c>
      <c r="AD364" s="253" t="s">
        <v>2247</v>
      </c>
      <c r="AE364" s="253"/>
      <c r="AF364" s="253"/>
      <c r="AG364" s="253"/>
      <c r="AH364" s="253"/>
      <c r="AI364" s="253"/>
      <c r="AJ364" s="253"/>
      <c r="AK364" s="589"/>
      <c r="AL364" s="273" t="s">
        <v>2113</v>
      </c>
      <c r="AQ364" s="7"/>
    </row>
    <row r="365" spans="1:43" s="278" customFormat="1" ht="25.5" hidden="1" x14ac:dyDescent="0.45">
      <c r="A365" s="84"/>
      <c r="B365" s="84"/>
      <c r="C365" s="25" t="s">
        <v>1967</v>
      </c>
      <c r="D365" s="25" t="s">
        <v>2101</v>
      </c>
      <c r="E365" s="25"/>
      <c r="F365" s="25"/>
      <c r="G365" s="25"/>
      <c r="H365" s="84" t="s">
        <v>2248</v>
      </c>
      <c r="I365" s="84" t="s">
        <v>2249</v>
      </c>
      <c r="J365" s="84"/>
      <c r="K365" s="84"/>
      <c r="L365" s="84"/>
      <c r="M365" s="84" t="s">
        <v>544</v>
      </c>
      <c r="N365" s="85">
        <v>1194</v>
      </c>
      <c r="O365" s="84" t="s">
        <v>2250</v>
      </c>
      <c r="P365" s="84" t="s">
        <v>2251</v>
      </c>
      <c r="Q365" s="84" t="s">
        <v>976</v>
      </c>
      <c r="R365" s="175" t="s">
        <v>942</v>
      </c>
      <c r="S365" s="84" t="s">
        <v>340</v>
      </c>
      <c r="T365" s="84"/>
      <c r="U365" s="84"/>
      <c r="V365" s="84"/>
      <c r="W365" s="86">
        <v>2000</v>
      </c>
      <c r="X365" s="86">
        <v>564</v>
      </c>
      <c r="Y365" s="86"/>
      <c r="Z365" s="80"/>
      <c r="AA365" s="80" t="s">
        <v>311</v>
      </c>
      <c r="AB365" s="80">
        <f>8</f>
        <v>8</v>
      </c>
      <c r="AC365" s="80">
        <f>75</f>
        <v>75</v>
      </c>
      <c r="AD365" s="80"/>
      <c r="AE365" s="80"/>
      <c r="AF365" s="80"/>
      <c r="AG365" s="80"/>
      <c r="AH365" s="80"/>
      <c r="AI365" s="80"/>
      <c r="AJ365" s="80"/>
      <c r="AK365" s="81"/>
      <c r="AL365" s="83" t="s">
        <v>2113</v>
      </c>
      <c r="AQ365" s="7"/>
    </row>
    <row r="366" spans="1:43" s="278" customFormat="1" ht="25.5" hidden="1" x14ac:dyDescent="0.45">
      <c r="A366" s="24"/>
      <c r="B366" s="111"/>
      <c r="C366" s="25" t="s">
        <v>1967</v>
      </c>
      <c r="D366" s="25" t="s">
        <v>2101</v>
      </c>
      <c r="E366" s="25"/>
      <c r="F366" s="25"/>
      <c r="G366" s="25"/>
      <c r="H366" s="112" t="s">
        <v>2252</v>
      </c>
      <c r="I366" s="112" t="s">
        <v>2253</v>
      </c>
      <c r="J366" s="112"/>
      <c r="K366" s="112"/>
      <c r="L366" s="112" t="s">
        <v>154</v>
      </c>
      <c r="M366" s="112" t="s">
        <v>155</v>
      </c>
      <c r="N366" s="120">
        <v>1392</v>
      </c>
      <c r="O366" s="111" t="s">
        <v>2254</v>
      </c>
      <c r="P366" s="111" t="s">
        <v>2255</v>
      </c>
      <c r="Q366" s="111" t="s">
        <v>976</v>
      </c>
      <c r="R366" s="159" t="s">
        <v>942</v>
      </c>
      <c r="S366" s="111" t="s">
        <v>340</v>
      </c>
      <c r="T366" s="111" t="s">
        <v>2256</v>
      </c>
      <c r="U366" s="111" t="s">
        <v>2257</v>
      </c>
      <c r="V366" s="113" t="s">
        <v>2258</v>
      </c>
      <c r="W366" s="114">
        <v>2004</v>
      </c>
      <c r="X366" s="114">
        <f>1226+489+287</f>
        <v>2002</v>
      </c>
      <c r="Y366" s="114"/>
      <c r="Z366" s="115"/>
      <c r="AA366" s="115" t="s">
        <v>311</v>
      </c>
      <c r="AB366" s="115">
        <f>8+3+7</f>
        <v>18</v>
      </c>
      <c r="AC366" s="115"/>
      <c r="AD366" s="115"/>
      <c r="AE366" s="115"/>
      <c r="AF366" s="115"/>
      <c r="AG366" s="115"/>
      <c r="AH366" s="115"/>
      <c r="AI366" s="115"/>
      <c r="AJ366" s="115"/>
      <c r="AK366" s="115"/>
      <c r="AL366" s="121" t="s">
        <v>2113</v>
      </c>
      <c r="AQ366" s="7"/>
    </row>
    <row r="367" spans="1:43" s="278" customFormat="1" ht="140.25" hidden="1" customHeight="1" x14ac:dyDescent="0.45">
      <c r="A367" s="8"/>
      <c r="B367" s="92"/>
      <c r="C367" s="2" t="s">
        <v>1967</v>
      </c>
      <c r="D367" s="2" t="s">
        <v>832</v>
      </c>
      <c r="E367" s="2"/>
      <c r="F367" s="2"/>
      <c r="G367" s="2"/>
      <c r="H367" s="104" t="s">
        <v>2259</v>
      </c>
      <c r="I367" s="104" t="s">
        <v>2260</v>
      </c>
      <c r="J367" s="104"/>
      <c r="K367" s="104"/>
      <c r="L367" s="104" t="s">
        <v>280</v>
      </c>
      <c r="M367" s="92" t="s">
        <v>281</v>
      </c>
      <c r="N367" s="92" t="s">
        <v>2261</v>
      </c>
      <c r="O367" s="92" t="s">
        <v>2262</v>
      </c>
      <c r="P367" s="92" t="s">
        <v>2263</v>
      </c>
      <c r="Q367" s="92" t="s">
        <v>1832</v>
      </c>
      <c r="R367" s="159" t="s">
        <v>942</v>
      </c>
      <c r="S367" s="92" t="s">
        <v>340</v>
      </c>
      <c r="T367" s="92" t="s">
        <v>2264</v>
      </c>
      <c r="U367" s="92" t="s">
        <v>2265</v>
      </c>
      <c r="V367" s="92" t="s">
        <v>2266</v>
      </c>
      <c r="W367" s="76">
        <v>2000</v>
      </c>
      <c r="X367" s="76">
        <v>58</v>
      </c>
      <c r="Y367" s="119">
        <v>75</v>
      </c>
      <c r="Z367" s="105"/>
      <c r="AA367" s="105"/>
      <c r="AB367" s="105"/>
      <c r="AC367" s="105"/>
      <c r="AD367" s="105"/>
      <c r="AE367" s="105"/>
      <c r="AF367" s="105"/>
      <c r="AG367" s="105"/>
      <c r="AH367" s="105"/>
      <c r="AI367" s="105"/>
      <c r="AJ367" s="105"/>
      <c r="AK367" s="287"/>
      <c r="AL367" s="106" t="s">
        <v>2010</v>
      </c>
      <c r="AQ367" s="7"/>
    </row>
    <row r="368" spans="1:43" s="278" customFormat="1" ht="25.5" hidden="1" customHeight="1" x14ac:dyDescent="0.45">
      <c r="A368" s="107"/>
      <c r="B368" s="92"/>
      <c r="C368" s="2" t="s">
        <v>1967</v>
      </c>
      <c r="D368" s="2" t="s">
        <v>2267</v>
      </c>
      <c r="E368" s="2"/>
      <c r="F368" s="2"/>
      <c r="G368" s="2"/>
      <c r="H368" s="104"/>
      <c r="I368" s="104"/>
      <c r="J368" s="104"/>
      <c r="K368" s="104"/>
      <c r="L368" s="104"/>
      <c r="M368" s="12" t="s">
        <v>1968</v>
      </c>
      <c r="N368" s="12" t="s">
        <v>2268</v>
      </c>
      <c r="O368" s="12" t="s">
        <v>2269</v>
      </c>
      <c r="P368" s="12" t="s">
        <v>2270</v>
      </c>
      <c r="Q368" s="12" t="s">
        <v>2271</v>
      </c>
      <c r="R368" s="160" t="s">
        <v>895</v>
      </c>
      <c r="S368" s="12" t="s">
        <v>340</v>
      </c>
      <c r="T368" s="92" t="s">
        <v>2272</v>
      </c>
      <c r="U368" s="92" t="s">
        <v>2273</v>
      </c>
      <c r="V368" s="118" t="s">
        <v>2274</v>
      </c>
      <c r="W368" s="76">
        <v>2003</v>
      </c>
      <c r="X368" s="76">
        <v>636</v>
      </c>
      <c r="Y368" s="76"/>
      <c r="Z368" s="105"/>
      <c r="AA368" s="105"/>
      <c r="AB368" s="105"/>
      <c r="AC368" s="105"/>
      <c r="AD368" s="105"/>
      <c r="AE368" s="105"/>
      <c r="AF368" s="105"/>
      <c r="AG368" s="105"/>
      <c r="AH368" s="105"/>
      <c r="AI368" s="105"/>
      <c r="AJ368" s="105"/>
      <c r="AK368" s="287"/>
      <c r="AL368" s="7"/>
      <c r="AQ368" s="7"/>
    </row>
    <row r="369" spans="1:43" s="278" customFormat="1" ht="76.5" hidden="1" customHeight="1" x14ac:dyDescent="0.45">
      <c r="A369" s="107"/>
      <c r="B369" s="108"/>
      <c r="C369" s="21" t="s">
        <v>1967</v>
      </c>
      <c r="D369" s="2" t="s">
        <v>306</v>
      </c>
      <c r="E369" s="2"/>
      <c r="F369" s="2"/>
      <c r="G369" s="2"/>
      <c r="H369" s="12" t="s">
        <v>2275</v>
      </c>
      <c r="I369" s="12" t="s">
        <v>2165</v>
      </c>
      <c r="J369" s="12" t="s">
        <v>2275</v>
      </c>
      <c r="K369" s="12"/>
      <c r="L369" s="12"/>
      <c r="M369" s="92" t="s">
        <v>2276</v>
      </c>
      <c r="N369" s="12" t="s">
        <v>2277</v>
      </c>
      <c r="O369" s="92" t="s">
        <v>2278</v>
      </c>
      <c r="P369" s="92" t="s">
        <v>2279</v>
      </c>
      <c r="Q369" s="12" t="s">
        <v>636</v>
      </c>
      <c r="R369" s="160" t="s">
        <v>637</v>
      </c>
      <c r="S369" s="12" t="s">
        <v>189</v>
      </c>
      <c r="T369" s="116" t="s">
        <v>2280</v>
      </c>
      <c r="U369" s="116" t="s">
        <v>2281</v>
      </c>
      <c r="V369" s="117" t="s">
        <v>2282</v>
      </c>
      <c r="W369" s="76">
        <v>1979</v>
      </c>
      <c r="X369" s="76">
        <v>1220</v>
      </c>
      <c r="Y369" s="76"/>
      <c r="Z369" s="76"/>
      <c r="AA369" s="76"/>
      <c r="AB369" s="76"/>
      <c r="AC369" s="76"/>
      <c r="AD369" s="76"/>
      <c r="AE369" s="76"/>
      <c r="AF369" s="76"/>
      <c r="AG369" s="76"/>
      <c r="AH369" s="76"/>
      <c r="AI369" s="76"/>
      <c r="AJ369" s="76" t="s">
        <v>2283</v>
      </c>
      <c r="AK369" s="287" t="s">
        <v>2042</v>
      </c>
      <c r="AL369" s="7"/>
      <c r="AQ369" s="7"/>
    </row>
    <row r="370" spans="1:43" s="278" customFormat="1" ht="51" hidden="1" x14ac:dyDescent="0.45">
      <c r="A370" s="110"/>
      <c r="B370" s="111"/>
      <c r="C370" s="2" t="s">
        <v>1967</v>
      </c>
      <c r="D370" s="2" t="s">
        <v>306</v>
      </c>
      <c r="E370" s="2"/>
      <c r="F370" s="2"/>
      <c r="G370" s="2"/>
      <c r="H370" s="112" t="s">
        <v>2284</v>
      </c>
      <c r="I370" s="104" t="s">
        <v>2285</v>
      </c>
      <c r="J370" s="112"/>
      <c r="K370" s="112"/>
      <c r="L370" s="112" t="s">
        <v>348</v>
      </c>
      <c r="M370" s="111" t="s">
        <v>349</v>
      </c>
      <c r="N370" s="111" t="s">
        <v>2286</v>
      </c>
      <c r="O370" s="111" t="s">
        <v>2287</v>
      </c>
      <c r="P370" s="111" t="s">
        <v>2288</v>
      </c>
      <c r="Q370" s="111" t="s">
        <v>2289</v>
      </c>
      <c r="R370" s="575" t="s">
        <v>693</v>
      </c>
      <c r="S370" s="111" t="s">
        <v>146</v>
      </c>
      <c r="T370" s="111" t="s">
        <v>2290</v>
      </c>
      <c r="U370" s="111" t="s">
        <v>2291</v>
      </c>
      <c r="V370" s="113" t="s">
        <v>2292</v>
      </c>
      <c r="W370" s="114">
        <v>2008</v>
      </c>
      <c r="X370" s="114">
        <v>1345</v>
      </c>
      <c r="Y370" s="114"/>
      <c r="Z370" s="115"/>
      <c r="AA370" s="115" t="s">
        <v>311</v>
      </c>
      <c r="AB370" s="115">
        <v>17</v>
      </c>
      <c r="AC370" s="115"/>
      <c r="AD370" s="115"/>
      <c r="AE370" s="115"/>
      <c r="AF370" s="115"/>
      <c r="AG370" s="115"/>
      <c r="AH370" s="115"/>
      <c r="AI370" s="115"/>
      <c r="AJ370" s="115"/>
      <c r="AK370" s="115"/>
      <c r="AL370" s="111" t="s">
        <v>2293</v>
      </c>
      <c r="AQ370" s="7"/>
    </row>
    <row r="371" spans="1:43" s="278" customFormat="1" ht="140.25" hidden="1" customHeight="1" x14ac:dyDescent="0.45">
      <c r="A371" s="18"/>
      <c r="B371" s="92"/>
      <c r="C371" s="2" t="s">
        <v>1967</v>
      </c>
      <c r="D371" s="2" t="s">
        <v>832</v>
      </c>
      <c r="E371" s="2"/>
      <c r="F371" s="2"/>
      <c r="G371" s="2"/>
      <c r="H371" s="104" t="s">
        <v>2294</v>
      </c>
      <c r="I371" s="104" t="s">
        <v>2295</v>
      </c>
      <c r="J371" s="104"/>
      <c r="K371" s="104"/>
      <c r="L371" s="104" t="s">
        <v>280</v>
      </c>
      <c r="M371" s="92" t="s">
        <v>669</v>
      </c>
      <c r="N371" s="12" t="s">
        <v>2296</v>
      </c>
      <c r="O371" s="92" t="s">
        <v>2297</v>
      </c>
      <c r="P371" s="12" t="s">
        <v>2298</v>
      </c>
      <c r="Q371" s="12" t="s">
        <v>2299</v>
      </c>
      <c r="R371" s="160" t="s">
        <v>339</v>
      </c>
      <c r="S371" s="12" t="s">
        <v>340</v>
      </c>
      <c r="T371" s="92" t="s">
        <v>2300</v>
      </c>
      <c r="U371" s="92" t="s">
        <v>2301</v>
      </c>
      <c r="V371" s="103" t="s">
        <v>2302</v>
      </c>
      <c r="W371" s="76">
        <v>1987</v>
      </c>
      <c r="X371" s="76">
        <v>1804</v>
      </c>
      <c r="Y371" s="76"/>
      <c r="Z371" s="105"/>
      <c r="AA371" s="105"/>
      <c r="AB371" s="105"/>
      <c r="AC371" s="105"/>
      <c r="AD371" s="105"/>
      <c r="AE371" s="105"/>
      <c r="AF371" s="105"/>
      <c r="AG371" s="105"/>
      <c r="AH371" s="105"/>
      <c r="AI371" s="105"/>
      <c r="AJ371" s="105"/>
      <c r="AK371" s="287"/>
      <c r="AL371" s="106" t="s">
        <v>2010</v>
      </c>
      <c r="AQ371" s="7"/>
    </row>
    <row r="372" spans="1:43" s="278" customFormat="1" ht="102" hidden="1" x14ac:dyDescent="0.45">
      <c r="A372" s="18"/>
      <c r="B372" s="92"/>
      <c r="C372" s="2" t="s">
        <v>1967</v>
      </c>
      <c r="D372" s="2" t="s">
        <v>832</v>
      </c>
      <c r="E372" s="2"/>
      <c r="F372" s="2"/>
      <c r="G372" s="2"/>
      <c r="H372" s="104" t="s">
        <v>2303</v>
      </c>
      <c r="I372" s="104" t="s">
        <v>2304</v>
      </c>
      <c r="J372" s="104"/>
      <c r="K372" s="104"/>
      <c r="L372" s="104" t="s">
        <v>280</v>
      </c>
      <c r="M372" s="92" t="s">
        <v>281</v>
      </c>
      <c r="N372" s="12" t="s">
        <v>2305</v>
      </c>
      <c r="O372" s="92" t="s">
        <v>2306</v>
      </c>
      <c r="P372" s="12" t="s">
        <v>2307</v>
      </c>
      <c r="Q372" s="12" t="s">
        <v>2308</v>
      </c>
      <c r="R372" s="160" t="s">
        <v>230</v>
      </c>
      <c r="S372" s="12" t="s">
        <v>189</v>
      </c>
      <c r="T372" s="92" t="s">
        <v>2309</v>
      </c>
      <c r="U372" s="92" t="s">
        <v>2310</v>
      </c>
      <c r="V372" s="103" t="s">
        <v>2311</v>
      </c>
      <c r="W372" s="76">
        <v>1977</v>
      </c>
      <c r="X372" s="76">
        <v>1103</v>
      </c>
      <c r="Y372" s="76"/>
      <c r="Z372" s="105"/>
      <c r="AA372" s="105"/>
      <c r="AB372" s="105"/>
      <c r="AC372" s="105"/>
      <c r="AD372" s="105"/>
      <c r="AE372" s="105"/>
      <c r="AF372" s="105"/>
      <c r="AG372" s="105"/>
      <c r="AH372" s="105"/>
      <c r="AI372" s="105"/>
      <c r="AJ372" s="105"/>
      <c r="AK372" s="287" t="s">
        <v>2042</v>
      </c>
      <c r="AL372" s="106" t="s">
        <v>2010</v>
      </c>
      <c r="AQ372" s="7"/>
    </row>
    <row r="373" spans="1:43" s="278" customFormat="1" ht="76.5" hidden="1" customHeight="1" x14ac:dyDescent="0.45">
      <c r="A373" s="107"/>
      <c r="B373" s="108"/>
      <c r="C373" s="21" t="s">
        <v>1967</v>
      </c>
      <c r="D373" s="2" t="s">
        <v>306</v>
      </c>
      <c r="E373" s="2"/>
      <c r="F373" s="2"/>
      <c r="G373" s="2"/>
      <c r="H373" s="12" t="s">
        <v>2312</v>
      </c>
      <c r="I373" s="12" t="s">
        <v>2165</v>
      </c>
      <c r="J373" s="12" t="s">
        <v>2312</v>
      </c>
      <c r="K373" s="12"/>
      <c r="L373" s="12"/>
      <c r="M373" s="92" t="s">
        <v>2166</v>
      </c>
      <c r="N373" s="12" t="s">
        <v>2313</v>
      </c>
      <c r="O373" s="12" t="s">
        <v>2314</v>
      </c>
      <c r="P373" s="12" t="s">
        <v>2315</v>
      </c>
      <c r="Q373" s="12" t="s">
        <v>518</v>
      </c>
      <c r="R373" s="160" t="s">
        <v>302</v>
      </c>
      <c r="S373" s="12" t="s">
        <v>146</v>
      </c>
      <c r="T373" s="92" t="s">
        <v>1630</v>
      </c>
      <c r="U373" s="12" t="s">
        <v>2316</v>
      </c>
      <c r="V373" s="109" t="s">
        <v>2317</v>
      </c>
      <c r="W373" s="76">
        <v>2009</v>
      </c>
      <c r="X373" s="76">
        <v>1014</v>
      </c>
      <c r="Y373" s="76"/>
      <c r="Z373" s="76"/>
      <c r="AA373" s="76"/>
      <c r="AB373" s="76"/>
      <c r="AC373" s="76"/>
      <c r="AD373" s="76"/>
      <c r="AE373" s="76"/>
      <c r="AF373" s="76"/>
      <c r="AG373" s="76"/>
      <c r="AH373" s="76"/>
      <c r="AI373" s="76">
        <v>2009</v>
      </c>
      <c r="AJ373" s="76"/>
      <c r="AK373" s="287"/>
      <c r="AL373" s="7"/>
      <c r="AQ373" s="7"/>
    </row>
    <row r="374" spans="1:43" s="278" customFormat="1" ht="76.5" hidden="1" customHeight="1" x14ac:dyDescent="0.45">
      <c r="A374" s="7"/>
      <c r="B374" s="108"/>
      <c r="C374" s="21" t="s">
        <v>1967</v>
      </c>
      <c r="D374" s="2"/>
      <c r="E374" s="2"/>
      <c r="F374" s="2"/>
      <c r="G374" s="2"/>
      <c r="H374" s="12"/>
      <c r="I374" s="12"/>
      <c r="J374" s="12"/>
      <c r="K374" s="12"/>
      <c r="L374" s="12"/>
      <c r="M374" s="92"/>
      <c r="N374" s="12">
        <v>4320</v>
      </c>
      <c r="O374" s="12" t="s">
        <v>2318</v>
      </c>
      <c r="P374" s="12" t="s">
        <v>2319</v>
      </c>
      <c r="Q374" s="12"/>
      <c r="R374" s="160"/>
      <c r="S374" s="12"/>
      <c r="T374" s="92"/>
      <c r="U374" s="12"/>
      <c r="V374" s="109"/>
      <c r="W374" s="76"/>
      <c r="X374" s="76"/>
      <c r="Y374" s="76"/>
      <c r="Z374" s="76"/>
      <c r="AA374" s="76"/>
      <c r="AB374" s="76"/>
      <c r="AC374" s="76"/>
      <c r="AD374" s="76"/>
      <c r="AE374" s="76"/>
      <c r="AF374" s="76"/>
      <c r="AG374" s="76"/>
      <c r="AH374" s="76"/>
      <c r="AI374" s="76"/>
      <c r="AJ374" s="76"/>
      <c r="AK374" s="287"/>
      <c r="AL374" s="7" t="s">
        <v>2320</v>
      </c>
      <c r="AQ374" s="7"/>
    </row>
    <row r="375" spans="1:43" s="278" customFormat="1" ht="140.25" hidden="1" customHeight="1" x14ac:dyDescent="0.45">
      <c r="A375" s="8"/>
      <c r="B375" s="92"/>
      <c r="C375" s="2" t="s">
        <v>1967</v>
      </c>
      <c r="D375" s="2" t="s">
        <v>832</v>
      </c>
      <c r="E375" s="2"/>
      <c r="F375" s="2"/>
      <c r="G375" s="2"/>
      <c r="H375" s="104" t="s">
        <v>2321</v>
      </c>
      <c r="I375" s="104" t="s">
        <v>2322</v>
      </c>
      <c r="J375" s="104"/>
      <c r="K375" s="104"/>
      <c r="L375" s="104" t="s">
        <v>280</v>
      </c>
      <c r="M375" s="92" t="s">
        <v>281</v>
      </c>
      <c r="N375" s="12" t="s">
        <v>2323</v>
      </c>
      <c r="O375" s="92" t="s">
        <v>2324</v>
      </c>
      <c r="P375" s="12" t="s">
        <v>2325</v>
      </c>
      <c r="Q375" s="12" t="s">
        <v>415</v>
      </c>
      <c r="R375" s="160" t="s">
        <v>416</v>
      </c>
      <c r="S375" s="12" t="s">
        <v>189</v>
      </c>
      <c r="T375" s="92" t="s">
        <v>2326</v>
      </c>
      <c r="U375" s="92" t="s">
        <v>2327</v>
      </c>
      <c r="V375" s="103" t="s">
        <v>2328</v>
      </c>
      <c r="W375" s="76">
        <v>1980</v>
      </c>
      <c r="X375" s="76">
        <f>1090+130</f>
        <v>1220</v>
      </c>
      <c r="Y375" s="76"/>
      <c r="Z375" s="105"/>
      <c r="AA375" s="105"/>
      <c r="AB375" s="105"/>
      <c r="AC375" s="105"/>
      <c r="AD375" s="105"/>
      <c r="AE375" s="105"/>
      <c r="AF375" s="105"/>
      <c r="AG375" s="105"/>
      <c r="AH375" s="105"/>
      <c r="AI375" s="105"/>
      <c r="AJ375" s="105"/>
      <c r="AK375" s="287" t="s">
        <v>2042</v>
      </c>
      <c r="AL375" s="106" t="s">
        <v>2010</v>
      </c>
      <c r="AQ375" s="7"/>
    </row>
  </sheetData>
  <sheetProtection algorithmName="SHA-512" hashValue="fYSIJjUcl9WLteOLaIu8Ve2Q2HorvAQJ9Pl1WoVguhQcYAk1zeVg5iovtxHfWIVGo0ZgttwnaIbgY1IE7HOg/Q==" saltValue="vLVsDTXmoejEDnzz7KIJjw==" spinCount="100000" sheet="1" objects="1" scenarios="1"/>
  <autoFilter ref="A1:AT375" xr:uid="{2D8AF4F5-D1EE-4516-B618-B62FCF832ECD}">
    <filterColumn colId="1">
      <filters>
        <filter val="2"/>
      </filters>
    </filterColumn>
    <filterColumn colId="2">
      <filters>
        <filter val="ja"/>
      </filters>
    </filterColumn>
  </autoFilter>
  <hyperlinks>
    <hyperlink ref="V137" r:id="rId1" xr:uid="{8D947F3B-F9EA-471A-B043-B38B77722869}"/>
    <hyperlink ref="V120" r:id="rId2" xr:uid="{326F63F4-D066-4EC7-9CC9-760A39CA86E4}"/>
    <hyperlink ref="V129" r:id="rId3" display="administratie@bombardon.asg-almere.nl" xr:uid="{434B5AAE-1B34-45C9-8BA3-D4FC400B199F}"/>
    <hyperlink ref="V263" r:id="rId4" display="info@praktijkonderwijsalmere.nl" xr:uid="{BB31C3A6-EC28-4DEE-B41A-2B470300B30E}"/>
    <hyperlink ref="V259" r:id="rId5" display="info@dansstudioyvette.nl" xr:uid="{A71D4813-33DA-46EB-A9DD-7B40B9731454}"/>
    <hyperlink ref="V117" r:id="rId6" display="bestuur@almere81.nl" xr:uid="{15FE4835-78BB-4A70-B6F1-F83E8E38857D}"/>
    <hyperlink ref="V125" r:id="rId7" display="rwestman@deschoor.nl" xr:uid="{A9F3B444-6334-4E55-ACE0-E3648652833C}"/>
    <hyperlink ref="V135" r:id="rId8" xr:uid="{E2211F31-0D79-492F-9539-E77ACDDDBC54}"/>
    <hyperlink ref="V264" r:id="rId9" display="meldpuntvastgoedbedrijf@almere.nl  " xr:uid="{832E37A2-99ED-440C-AF46-A626481F1CAB}"/>
    <hyperlink ref="V138" r:id="rId10" display="meldpuntvastgoedbedrijf@almere.nl  " xr:uid="{C88B2949-6510-4B9E-9EE0-BBF32A8ED767}"/>
    <hyperlink ref="V34" r:id="rId11" display="meldpuntvastgoedbedrijf@almere.nl  " xr:uid="{F5023E78-35B1-466C-8210-BB787ED2D51C}"/>
    <hyperlink ref="V68" r:id="rId12" display="meldpuntvastgoedbedrijf@almere.nl  " xr:uid="{69C50D5E-8110-45A2-B7D5-865219940A85}"/>
    <hyperlink ref="V371" r:id="rId13" display="dir.klimop@prisma-almere.nl" xr:uid="{B1236422-7421-4A70-A238-A18D9024ADD9}"/>
    <hyperlink ref="V48" r:id="rId14" xr:uid="{E1197AC9-15F2-4A81-980D-7B851B67E668}"/>
    <hyperlink ref="V63" r:id="rId15" display="meldpuntvastgoedbedrijf@almere.nl  " xr:uid="{5C8DDCD0-A9CC-44AB-AAE9-9185B332F6B6}"/>
    <hyperlink ref="V42" r:id="rId16" display="meldpuntvastgoedbedrijf@almere.nl  " xr:uid="{20C31A5D-91C4-4035-83A1-7F51B0F9D235}"/>
    <hyperlink ref="V29" r:id="rId17" xr:uid="{C234B902-A708-4A21-824B-F7F4432D3BA5}"/>
    <hyperlink ref="V372" r:id="rId18" xr:uid="{8E9F553E-57AF-4AE8-A38D-F0B4E9DB35DF}"/>
    <hyperlink ref="V369" r:id="rId19" display="dir.loofhut@skofv.nl ? " xr:uid="{17CEEFE9-6D91-4853-B1D8-E56345770822}"/>
    <hyperlink ref="V375" r:id="rId20" xr:uid="{3C430213-2DF6-4CDD-8E90-64F99F4B6E28}"/>
    <hyperlink ref="V373" r:id="rId21" xr:uid="{00D36BF2-14FD-4323-9126-BB511F01C8EF}"/>
    <hyperlink ref="V23" r:id="rId22" display="info@deschoor.nl" xr:uid="{AB06176B-4C7A-46A1-8831-F6F02C8C66D6}"/>
    <hyperlink ref="V76" r:id="rId23" display="meldpuntvastgoedbedrijf@almere.nl  " xr:uid="{84D0107A-7DA7-4487-B3AE-8B56AB491896}"/>
    <hyperlink ref="V2" r:id="rId24" xr:uid="{72257308-884F-489B-82D7-DBC26599CAB9}"/>
    <hyperlink ref="V169" r:id="rId25" display="meldpuntvastgoedbedrijf@almere.nl  " xr:uid="{3BB19AC9-FC10-42DE-B39A-B9A08E0FE85F}"/>
    <hyperlink ref="V149" r:id="rId26" xr:uid="{5FCFFAA6-43DB-4D7E-BE65-0BE5ED11B5E8}"/>
    <hyperlink ref="V356" r:id="rId27" xr:uid="{DA424FC4-CE1D-4C17-A985-E0D3BB2A7702}"/>
    <hyperlink ref="V168" r:id="rId28" display="meldpuntvastgoedbedrijf@almere.nl  " xr:uid="{A88412A2-28DB-4FC0-93A2-9C2543272D70}"/>
    <hyperlink ref="V152" r:id="rId29" display="meldpuntvastgoedbedrijf@almere.nl  " xr:uid="{95E345E8-299F-4396-875E-F88E4CA12012}"/>
    <hyperlink ref="V156" r:id="rId30" display="info@deschoor.nl ?" xr:uid="{45D5C0E0-29DE-4CC8-90C8-34F0C0D2EAE4}"/>
    <hyperlink ref="V354" r:id="rId31" xr:uid="{B07FDFBB-39DC-476D-8069-BC2BEF853387}"/>
    <hyperlink ref="V182" r:id="rId32" display="meldpuntvastgoedbedrijf@almere.nl" xr:uid="{32D92BF7-3204-4E77-A5ED-BED6B2EAD90A}"/>
    <hyperlink ref="V357" r:id="rId33" xr:uid="{EF71AA4B-8189-48AC-B6D5-999A3AEAE3C7}"/>
    <hyperlink ref="V166" r:id="rId34" display="meldpuntvastgoedbedrijf@almere.nl  " xr:uid="{6452D6B3-E41E-4D55-B0A5-EC45E19A120F}"/>
    <hyperlink ref="V165" r:id="rId35" xr:uid="{C0D4BF41-8A08-4210-9CDC-2FE3139B93C4}"/>
    <hyperlink ref="V181" r:id="rId36" xr:uid="{9BD61440-E70E-4750-A4C8-3C768EAA542A}"/>
    <hyperlink ref="V183" r:id="rId37" xr:uid="{5EE7E056-BD48-4933-91D7-0E7B7300E5E2}"/>
    <hyperlink ref="V159" r:id="rId38" display="www.ontdekking.asg-almere.nl" xr:uid="{9E6C679A-4C89-4778-B7C6-E07A07972FF0}"/>
    <hyperlink ref="V171" r:id="rId39" display="dir.windwijzer@prisma-almere.nl" xr:uid="{A98CF60F-68CC-4B69-A82B-0796751D5A8D}"/>
    <hyperlink ref="V145" r:id="rId40" display="meldpuntvastgoedbedrijf@almere.nl  " xr:uid="{C5671BE4-126B-49C9-BE5F-B32D4AE93EA3}"/>
    <hyperlink ref="V146" r:id="rId41" xr:uid="{1A0A2F2D-D768-43C7-8DD7-ECEC3D6186AE}"/>
    <hyperlink ref="V179" r:id="rId42" xr:uid="{BF24739C-F410-4363-B58D-16487792DCD4}"/>
    <hyperlink ref="V88" r:id="rId43" display="meldpuntvastgoedbedrijf@almere.nl  " xr:uid="{804EA3E2-9384-4D4E-A311-C480AAFFBAA0}"/>
    <hyperlink ref="V355" r:id="rId44" xr:uid="{E7BBD457-B84B-430D-8D3E-7BA45103AFDD}"/>
    <hyperlink ref="V143" r:id="rId45" display="meldpuntvastgoedbedrijf@almere.nl  " xr:uid="{4A3C6153-CF6F-4A47-9C89-FA51B21C6D52}"/>
    <hyperlink ref="V144" r:id="rId46" xr:uid="{383084A7-56B1-483C-8EF5-0B46AA2FFC6E}"/>
    <hyperlink ref="V153" r:id="rId47" display="info@stadennatuur.nl" xr:uid="{83A7BBCE-0AA7-4B78-BCBF-6DF4F960D062}"/>
    <hyperlink ref="V191" r:id="rId48" xr:uid="{35BA7EA7-1328-4539-B3CA-F0BE86712BB0}"/>
    <hyperlink ref="V190" r:id="rId49" display="meldpuntvastgoedbedrijf@almere.nl  " xr:uid="{E2DAB9C7-44F5-4FA3-AE81-67533FA51C29}"/>
    <hyperlink ref="V192" r:id="rId50" xr:uid="{272E0B2D-A86B-450A-B6D3-D1622B330720}"/>
    <hyperlink ref="V188" r:id="rId51" display="meldpuntvastgoedbedrijf@almere.nl  " xr:uid="{8103D3B3-6CB7-4254-A98B-028F78300DF0}"/>
    <hyperlink ref="V350" r:id="rId52" display="info@zonnewiel.nl" xr:uid="{8DCCC559-F72B-4411-B783-D68162594877}"/>
    <hyperlink ref="V349" r:id="rId53" xr:uid="{A769F2A8-BC23-40CA-AE8D-C9F6427E5FFB}"/>
    <hyperlink ref="V185" r:id="rId54" display="info@zonnewiel.nl" xr:uid="{7FDD0225-9732-4C31-B7CB-83D7637D79B2}"/>
    <hyperlink ref="V184" r:id="rId55" display="meldpuntvastgoedbedrijf@almere.nl  " xr:uid="{31235AF1-2E24-435F-BDD6-EF4D7F9D65DF}"/>
    <hyperlink ref="V186" r:id="rId56" display="meldpuntvastgoedbedrijf@almere.nl  " xr:uid="{530D00A0-9139-4E64-B6CD-8097D99A0268}"/>
    <hyperlink ref="V342" r:id="rId57" xr:uid="{5D84EC1B-92B1-4664-9030-B61654E1C4EC}"/>
    <hyperlink ref="V337" r:id="rId58" display="crescendo@skofv.nl" xr:uid="{34642CD8-220D-49C3-B576-75276BDD161A}"/>
    <hyperlink ref="V336" r:id="rId59" xr:uid="{86CBE2C5-0EAD-4837-93BA-39A4448EDC04}"/>
    <hyperlink ref="V85" r:id="rId60" display="meldpuntvastgoedbedrijf@almere.nl  " xr:uid="{F0FAD9D8-ACD0-4092-9F80-88B77F1C423D}"/>
    <hyperlink ref="V119" r:id="rId61" xr:uid="{9FCB9162-02DF-4B50-ABE6-D0004ACDF63C}"/>
    <hyperlink ref="V343" r:id="rId62" xr:uid="{2DEC3FE7-B103-4CF7-9C80-091414623CCA}"/>
    <hyperlink ref="V329" r:id="rId63" xr:uid="{01C06570-17D3-4E21-97D6-DFC446FFC017}"/>
    <hyperlink ref="V330" r:id="rId64" display="dir.lettertuin@skofv.nl" xr:uid="{3D6FEC29-666F-4C49-87B9-53079ADBE980}"/>
    <hyperlink ref="V229" r:id="rId65" display="meldpuntvastgoedbedrijf@almere.nl  " xr:uid="{4F454775-5A98-4203-BA5C-93CF6E09ED20}"/>
    <hyperlink ref="V242" r:id="rId66" xr:uid="{F0C003AE-1FA0-413E-AAE5-79B9486CD874}"/>
    <hyperlink ref="V221" r:id="rId67" display="meldpuntvastgoedbedrijf@almere.nl  " xr:uid="{B60A749B-AA0A-40D6-9823-E55B09A2B9F9}"/>
    <hyperlink ref="V223" r:id="rId68" display="directie@spectrum.asg-almere.nl" xr:uid="{A58AC655-E396-4A62-862E-A0C53ADF4FB6}"/>
    <hyperlink ref="V213" r:id="rId69" xr:uid="{0BE16EF1-1ABD-4767-8AB5-C7E4451CDD9F}"/>
    <hyperlink ref="V245" r:id="rId70" xr:uid="{2A8D078A-C424-44A9-8431-53912FA263C4}"/>
    <hyperlink ref="V228" r:id="rId71" display="meldpuntvastgoedbedrijf@almere.nl  " xr:uid="{6C8FECE5-0941-495C-9ACB-3519EEF9F015}"/>
    <hyperlink ref="V227" r:id="rId72" display="info@praktijkonderwijsalmere.nl" xr:uid="{9C7449FD-30AC-4680-9734-DB8EE84E95D2}"/>
    <hyperlink ref="V220" r:id="rId73" display="meldpuntvastgoedbedrijf@almere.nl  " xr:uid="{ABF7633B-0A18-4D47-BFE2-94D8599743F1}"/>
    <hyperlink ref="V217" r:id="rId74" display="meldpuntvastgoedbedrijf@almere.nl " xr:uid="{A68B5B12-BE53-4F2D-931D-5C94EF04DCF9}"/>
    <hyperlink ref="V256" r:id="rId75" display="meldpuntvastgoedbedrijf@almere.nl  " xr:uid="{EF8B37E5-3F91-4D16-9A4A-37A83A51A40E}"/>
    <hyperlink ref="V255" r:id="rId76" xr:uid="{85464344-FC31-4482-8585-CCF8D93CF216}"/>
    <hyperlink ref="V254" r:id="rId77" display="directie@aurora.asg-almere.nl" xr:uid="{15CEBB64-83D0-458C-A42C-B1A01EC1BF5F}"/>
    <hyperlink ref="V334" r:id="rId78" display="dir.dukdalf@prisma-almere.nl, " xr:uid="{6207C362-4812-47E5-BB3A-D2F0B93D28FC}"/>
    <hyperlink ref="V215" r:id="rId79" xr:uid="{0AE8F9D4-1B7F-4877-9930-8D6672062776}"/>
    <hyperlink ref="V209" r:id="rId80" display="vrijbuiter@optisport.nl" xr:uid="{7AF2F01C-AE0B-4357-9AB6-6F51E729FF04}"/>
    <hyperlink ref="V231" r:id="rId81" xr:uid="{73BC7D5B-14B5-462E-A627-0B3305AF76E0}"/>
    <hyperlink ref="V243" r:id="rId82" xr:uid="{98F91994-CC8C-4406-936F-A78CCBA5C139}"/>
    <hyperlink ref="V351" r:id="rId83" xr:uid="{5975470B-9137-420A-9059-827B24A81833}"/>
    <hyperlink ref="V257" r:id="rId84" xr:uid="{8DFCD2E1-A00E-470D-B89B-5A71FB83CADB}"/>
    <hyperlink ref="V214" r:id="rId85" xr:uid="{D7A6DF23-BD4B-4CB7-ABC7-5627A7A97E01}"/>
    <hyperlink ref="V244" r:id="rId86" xr:uid="{CA71496B-6D72-49A9-94B3-F6801F98D5D9}"/>
    <hyperlink ref="V204" r:id="rId87" display="meldpuntvastgoedbedrijf@almere.nl  " xr:uid="{980C8A99-A82F-49B4-BD53-A43D9F4C744B}"/>
    <hyperlink ref="V230" r:id="rId88" display="rmjvdijk@almere.nl" xr:uid="{19E73E98-A3AF-4FDB-940D-3FF7636EDFC5}"/>
    <hyperlink ref="V37" r:id="rId89" xr:uid="{BAF7914C-B871-4281-915C-015AA9C0D8DE}"/>
    <hyperlink ref="V93" r:id="rId90" display="edwin.eerens@smallsteps.info" xr:uid="{7C042616-898B-4F38-9513-93DD8BC749BB}"/>
    <hyperlink ref="V40" r:id="rId91" display="info@obssyncope.nl" xr:uid="{64F41C53-8E7D-4A92-830A-5E2F7E82B4E7}"/>
    <hyperlink ref="V43" r:id="rId92" xr:uid="{77F733CD-B8D2-4DCB-A811-2ECB1E9F5755}"/>
    <hyperlink ref="V52" r:id="rId93" xr:uid="{F697F8C5-FD99-4F09-907A-6040E1804406}"/>
    <hyperlink ref="V71" r:id="rId94" xr:uid="{1BDE4CFD-B609-4A80-B89F-0EDC8DC93F77}"/>
    <hyperlink ref="V96" r:id="rId95" display="info@sterrenschoolderuimte.nl" xr:uid="{423A7A9D-BC43-412D-9B51-EEEF73E8DF82}"/>
    <hyperlink ref="V176" r:id="rId96" xr:uid="{6B39F2F0-5F80-4686-90E3-1AE5DF593AE3}"/>
    <hyperlink ref="V212" r:id="rId97" xr:uid="{01ABE987-017D-41ED-BACF-906B56731A10}"/>
    <hyperlink ref="V338" r:id="rId98" xr:uid="{95FDFCDA-6637-49D9-9E7A-7D3B999DC784}"/>
    <hyperlink ref="V83" r:id="rId99" xr:uid="{AEF9FC85-AFBE-4B92-B0EA-9CB8FC775992}"/>
    <hyperlink ref="V368" r:id="rId100" xr:uid="{5B44444B-E815-45C2-9D44-AD45345AA55F}"/>
    <hyperlink ref="V124" r:id="rId101" display="kinderrevalidatiealmere@trappenberg.merem.nl" xr:uid="{BD901190-8C3A-4A0C-A07C-16D79D1DBEC7}"/>
    <hyperlink ref="V81" r:id="rId102" display="info@dikkertjedap.nl" xr:uid="{0A8A151F-DD73-4BCD-820F-9F4C3F880805}"/>
    <hyperlink ref="V11" r:id="rId103" xr:uid="{9A7B99AD-36B0-4DB1-9145-C27B54428AA3}"/>
    <hyperlink ref="V236" r:id="rId104" xr:uid="{3C9BCBFB-16AB-4839-B6EA-F12AA31F354D}"/>
    <hyperlink ref="V208" r:id="rId105" display="administratie@albatros.asg-almere.nl" xr:uid="{0620261F-D60D-4854-AF34-84A9CBCC15CA}"/>
    <hyperlink ref="V47" r:id="rId106" display="lentemorgen11@gmail.com" xr:uid="{761FAF78-2E74-4919-8F09-4D1E78B93F37}"/>
    <hyperlink ref="V132" r:id="rId107" display="patrick@cafeop2.nl" xr:uid="{D9F584D5-5298-42AF-844E-82118C748BA3}"/>
    <hyperlink ref="V128" r:id="rId108" display="administratie@bombardon.edu.almere.nl" xr:uid="{B07FDE65-064E-4B98-8122-E58BA5B79B7E}"/>
    <hyperlink ref="V177" r:id="rId109" xr:uid="{B1E7A54E-8121-44D1-8734-889A97911A46}"/>
    <hyperlink ref="V28" r:id="rId110" xr:uid="{178A178B-6DEA-4AB5-8F21-FD500BAF526D}"/>
    <hyperlink ref="V67" r:id="rId111" xr:uid="{F6C149D7-245F-40DD-B084-C26318AD1D39}"/>
    <hyperlink ref="V126" r:id="rId112" display="info@amethistverslavingszorg.nl" xr:uid="{304FC9F1-0FB5-4B1C-B0E5-10E708E8F773}"/>
    <hyperlink ref="V163" r:id="rId113" display="meldpuntvastgoedbedrijf@almere.nl  " xr:uid="{DFBC0B6C-595B-4D64-932E-20E0D68B0298}"/>
    <hyperlink ref="V70" r:id="rId114" xr:uid="{0C87879E-F041-4E37-9DD1-6CACAEC74A2C}"/>
    <hyperlink ref="V237" r:id="rId115" display="info@rcbulldogs.nl" xr:uid="{858900FB-7CF4-4485-A125-15E73E11DF36}"/>
    <hyperlink ref="V54" r:id="rId116" xr:uid="{293E55A5-B094-4C99-A95C-859A8D066EE0}"/>
    <hyperlink ref="V12" r:id="rId117" display="meldpuntvastgoedbedrijf@almere.nl  " xr:uid="{49D4E514-4212-4D99-9F89-11A9F650680F}"/>
    <hyperlink ref="V6" r:id="rId118" display="meldpuntvastgoedbedrijf@almere.nl  " xr:uid="{5FF35F05-D72F-4EE2-890E-FAA462C42770}"/>
    <hyperlink ref="V262" r:id="rId119" display="meldpuntvastgoedbedrijf@almere.nl  " xr:uid="{0865BEE4-C803-4FE6-8578-F73503245D14}"/>
    <hyperlink ref="V174" r:id="rId120" display="voorzitter@waterwijk.nl" xr:uid="{5A4F673B-7E7E-4DD2-BA86-A4EBF4668887}"/>
    <hyperlink ref="V79" r:id="rId121" display="pwjschrijver@almere.nl" xr:uid="{B1A128F2-C0BB-4B62-ADEF-65BE29D6F598}"/>
    <hyperlink ref="V56" r:id="rId122" xr:uid="{CF0408DF-0A5D-4290-B00E-1E308523F090}"/>
    <hyperlink ref="V61" r:id="rId123" xr:uid="{32CBC9E1-D0BE-4B3F-B537-F288B96FB5D0}"/>
    <hyperlink ref="V362" r:id="rId124" display="meldpuntvastgoedbedrijf@almere.nl  " xr:uid="{F5787458-860C-47C8-B809-3754E939A12C}"/>
    <hyperlink ref="V72" r:id="rId125" display="cvkesteren@stadennatuur.nl" xr:uid="{B375C217-5F68-4446-8951-54E45A7BAB53}"/>
    <hyperlink ref="V216" r:id="rId126" display="info@stadennatuur.nl" xr:uid="{DCC50F19-3B69-4C37-8F2B-1B0E4DA0D48C}"/>
    <hyperlink ref="V108" r:id="rId127" display="info@stadennatuur.nl" xr:uid="{DBC3DFBF-06D6-4674-B7A5-AE3216F31F29}"/>
    <hyperlink ref="V60" r:id="rId128" xr:uid="{999CEDB1-ED6A-4DC3-B846-3CCB51BFCC80}"/>
    <hyperlink ref="V205" r:id="rId129" display="patrick.schipper@sheerenlo.nl" xr:uid="{DE8221E6-11EE-49A0-AF90-8CBEE83C35FB}"/>
    <hyperlink ref="V116" r:id="rId130" xr:uid="{0F143467-092B-4BF2-8A4A-848EE554ED4B}"/>
    <hyperlink ref="V332" r:id="rId131" display="dir.kraanvogel@prisma-almere.nl" xr:uid="{2F3D3B44-6C83-4F7D-809F-72935896D2F9}"/>
    <hyperlink ref="V340" r:id="rId132" xr:uid="{B40D1951-866A-4BF0-A274-6F8DE4D0B7BF}"/>
    <hyperlink ref="V341" r:id="rId133" xr:uid="{744AFAB7-C91C-4694-8258-F872004F2517}"/>
    <hyperlink ref="V232" r:id="rId134" display="mailto:beheer@buitenhoutmhc.nl" xr:uid="{7834566F-5790-493E-BC44-773A08FA7C47}"/>
    <hyperlink ref="V187" r:id="rId135" display="meldpuntvastgoedbedrijf@almere.nl  " xr:uid="{494C8316-3C16-46FB-ADEC-538BB18F63DF}"/>
    <hyperlink ref="V7" r:id="rId136" xr:uid="{7F3B7B1A-57F4-4EB3-9FC9-8BDB57A235E1}"/>
    <hyperlink ref="V104" r:id="rId137" display="hhgabriel@almere.nl" xr:uid="{AC4A335D-1C6D-49E4-982E-11B932F183A3}"/>
    <hyperlink ref="V13" r:id="rId138" xr:uid="{9F6BB013-E1C4-4CD8-96A2-18644FCDB73F}"/>
    <hyperlink ref="V15" r:id="rId139" xr:uid="{90D469E3-ED0C-4E36-A94B-D1CA0C3D3BE0}"/>
    <hyperlink ref="V18" r:id="rId140" display="info@kingdomimpact.nl" xr:uid="{561F08CA-EB84-439F-A6F7-7B0E1D4306D6}"/>
    <hyperlink ref="V21" r:id="rId141" xr:uid="{2E69F7A7-1F6F-492C-BA10-CB5084A8BBEF}"/>
    <hyperlink ref="V22" r:id="rId142" xr:uid="{248AE609-CFF1-4537-AC0D-E71BD85482EC}"/>
    <hyperlink ref="V33" r:id="rId143" display="info@deschoor.nl" xr:uid="{B7983C0E-AF79-4B46-BD7C-5D00995A1845}"/>
    <hyperlink ref="V36" r:id="rId144" xr:uid="{441A188C-4F18-4AC1-8380-03675323CEE3}"/>
    <hyperlink ref="V49" r:id="rId145" display="info@deschoor.nl" xr:uid="{17B3B7BE-1AFB-47D2-8676-262FEDF8ACD2}"/>
    <hyperlink ref="V57" r:id="rId146" xr:uid="{B6BC570D-49CD-4DF7-92F0-836CA3171327}"/>
    <hyperlink ref="V59" r:id="rId147" xr:uid="{CE5B664D-511E-4729-B8C9-9B6AE4442D95}"/>
    <hyperlink ref="V64" r:id="rId148" xr:uid="{9B0C64C4-FCF3-4F07-814B-65CCAB187032}"/>
    <hyperlink ref="V73" r:id="rId149" xr:uid="{5E897572-7D1A-46E9-BD34-03F41CC30EB8}"/>
    <hyperlink ref="V75" r:id="rId150" xr:uid="{63962F30-FDDA-40CB-9EF2-F6DEEC32A30A}"/>
    <hyperlink ref="V110" r:id="rId151" xr:uid="{97290872-8FF6-41DE-82B3-53F4DB9F8247}"/>
    <hyperlink ref="V111" r:id="rId152" xr:uid="{30848468-95C8-4908-8D4E-EC56F0E9D999}"/>
    <hyperlink ref="V112" r:id="rId153" xr:uid="{511AAA76-C98D-44ED-ACDB-FA3D5D01D0DE}"/>
    <hyperlink ref="V113" r:id="rId154" xr:uid="{64ED5FE1-EC71-459D-ABA0-8235D757CF18}"/>
    <hyperlink ref="V114" r:id="rId155" xr:uid="{64F980C8-A8DE-457C-A54F-55577AEBC284}"/>
    <hyperlink ref="V115" r:id="rId156" xr:uid="{C62701DF-5565-4794-B353-44578E81AEB4}"/>
    <hyperlink ref="V238" r:id="rId157" xr:uid="{620EBCB7-54BE-48AF-BDF4-49350297EB99}"/>
    <hyperlink ref="V239" r:id="rId158" xr:uid="{ED1DB4FF-4828-4246-B25E-BFB911CB83A8}"/>
    <hyperlink ref="V240" r:id="rId159" xr:uid="{14C4FF06-9DFE-425A-A9BC-D1809FF0E565}"/>
    <hyperlink ref="V241" r:id="rId160" xr:uid="{F8DFB7C3-EE89-4A95-9ACC-B15916E17E7B}"/>
    <hyperlink ref="V246" r:id="rId161" xr:uid="{35E585BA-0F0B-41A6-9836-81BAFE4E1986}"/>
    <hyperlink ref="V261" r:id="rId162" display="info@palet.asg-almere.nl " xr:uid="{039AE86B-093E-42B0-8671-70401F58A4AB}"/>
    <hyperlink ref="V131" r:id="rId163" xr:uid="{0BF67F3A-CFDB-4A53-A42B-35B4B03A2086}"/>
    <hyperlink ref="V139" r:id="rId164" display="mailto:rwestman@deschoor.nl" xr:uid="{250B9BE2-4FEE-42DE-A226-BA4707A717FA}"/>
    <hyperlink ref="V141" r:id="rId165" display="mailto:rwestman@deschoor.nl" xr:uid="{376AF494-0A49-4303-8AAF-DE618BE4A062}"/>
    <hyperlink ref="V94" r:id="rId166" xr:uid="{B9D96A1A-F051-4ABB-BB86-42EA3D12F078}"/>
    <hyperlink ref="V360" r:id="rId167" display="dir.omnibus@prisma-almere.nl" xr:uid="{2853DAC5-CA5E-4995-96DF-0B721CFDF84E}"/>
    <hyperlink ref="V157" r:id="rId168" display="mailto:rwestman@deschoor.nl" xr:uid="{23F80F01-17BA-4417-B5F2-D1C6F0FB4552}"/>
    <hyperlink ref="V161" r:id="rId169" display="info@deschoor.nl ?" xr:uid="{29AA180D-0535-4CA8-B840-4A406A72463E}"/>
    <hyperlink ref="V87" r:id="rId170" display="info@deschoor.nl ?" xr:uid="{8AB2D938-451F-4D77-9382-32775B93AC69}"/>
    <hyperlink ref="V180" r:id="rId171" display="info@deschoor.nl ?" xr:uid="{BBE8EF64-EDAF-4BA7-AB69-C2DCC041C47D}"/>
    <hyperlink ref="V210" r:id="rId172" display="info@deschoor.nl ?" xr:uid="{5C796E6E-15AC-467B-9185-CE26A68291C8}"/>
    <hyperlink ref="V84" r:id="rId173" display="info@deschoor.nl ?" xr:uid="{4BAD9425-1820-4700-BBB9-138518223892}"/>
    <hyperlink ref="V225" r:id="rId174" display="info@deschoor.nl ?" xr:uid="{2CCCE698-BB03-4CD2-BAEB-201770384CD0}"/>
    <hyperlink ref="V233" r:id="rId175" display="info@deschoor.nl ?" xr:uid="{49C2FE33-8D39-4952-922D-E63FB070B58E}"/>
    <hyperlink ref="V175" r:id="rId176" display="info@deschoor.nl ?" xr:uid="{68683A1C-16E1-401B-80D6-FC332C8417D0}"/>
    <hyperlink ref="V162" r:id="rId177" xr:uid="{3C943AE2-2931-4EC1-BBDE-A7B46322A35B}"/>
    <hyperlink ref="V134" r:id="rId178" xr:uid="{8B365918-4E95-4EC3-8E1D-C8D989B77C02}"/>
    <hyperlink ref="V89" r:id="rId179" display="meldpuntvastgoedbedrijf@almere.nl  " xr:uid="{A5B6A3A4-ADC8-4E2C-96B4-1EA00E2A1439}"/>
    <hyperlink ref="V207" r:id="rId180" display="administratie@albatros.asg-almere.nl" xr:uid="{AD321B48-F4A7-40DD-87F1-2F1D1399371C}"/>
    <hyperlink ref="V333" r:id="rId181" display="dir.kraanvogel@prisma-almere.nl" xr:uid="{76D35E88-DF07-4DE0-8613-E965ED64CF07}"/>
    <hyperlink ref="V224" r:id="rId182" display="directie@spectrum.asg-almere.nl" xr:uid="{3BA33988-7693-443E-9BD6-C7EF557BC5C1}"/>
    <hyperlink ref="V103" r:id="rId183" display="hhgabriel@almere.nl" xr:uid="{1CDEB2C6-6205-446B-B071-7DA7CF30A818}"/>
    <hyperlink ref="V105" r:id="rId184" display="hhgabriel@almere.nl" xr:uid="{C07529ED-2002-48FD-89E1-7DCD8E66EC45}"/>
    <hyperlink ref="V106" r:id="rId185" display="hhgabriel@almere.nl" xr:uid="{3ACDE528-1753-490E-ACDD-44454C151914}"/>
    <hyperlink ref="V107" r:id="rId186" xr:uid="{D2653102-02C0-4214-AB78-B7321B3E5F0B}"/>
    <hyperlink ref="V140" r:id="rId187" xr:uid="{B5CEFC7D-1E22-4D71-832C-C44DC8D250BA}"/>
    <hyperlink ref="V91" r:id="rId188" display="mailto:rwestman@deschoor.nl" xr:uid="{BBCD9BD1-0D97-41B1-89AE-CA1C3D518907}"/>
    <hyperlink ref="V226" r:id="rId189" xr:uid="{19607730-09E1-40E3-AA3B-C189A903AF97}"/>
    <hyperlink ref="V219" r:id="rId190" xr:uid="{4D3D0E9D-B52D-47D1-9589-01EC8364D25F}"/>
    <hyperlink ref="V80" r:id="rId191" display="pwjschrijver@almere.nl" xr:uid="{4F8FAB1C-FB66-4946-A21F-8FC34D1C353B}"/>
    <hyperlink ref="V123" r:id="rId192" display="pwjschrijver@almere.nl" xr:uid="{2F30C815-B059-41DC-9B4F-1B087C81947D}"/>
    <hyperlink ref="V155" r:id="rId193" display="pwjschrijver@almere.nl" xr:uid="{9546B313-D394-43EF-89C6-2B683F86B1CB}"/>
    <hyperlink ref="V158" r:id="rId194" display="pwjschrijver@almere.nl" xr:uid="{3D78E24F-A06D-4A21-AEB4-B9E03AE86662}"/>
    <hyperlink ref="V178" r:id="rId195" display="pwjschrijver@almere.nl" xr:uid="{8B4AB0EB-5DB1-46BC-B692-C28E9A35ADDF}"/>
    <hyperlink ref="V252" r:id="rId196" display="pwjschrijver@almere.nl" xr:uid="{FEC04F24-20D1-4D81-B77B-339FAEDA6577}"/>
    <hyperlink ref="V66" r:id="rId197" display="meldpuntvastgoedbedrijf@almere.nl  " xr:uid="{5B45ABBC-7C5F-4162-A8FD-515DAB03A51B}"/>
    <hyperlink ref="V133" r:id="rId198" display="meldpuntvastgoedbedrijf@almere.nl  " xr:uid="{7533CCCD-F6E4-452C-8CF4-7B0DBA86B61E}"/>
    <hyperlink ref="V3" r:id="rId199" xr:uid="{16DE2A70-12F8-4E56-8E0A-3DF4B7A459C1}"/>
    <hyperlink ref="V366" r:id="rId200" xr:uid="{B47603BB-FEDE-4695-87EF-31895E3B9A15}"/>
    <hyperlink ref="V148" r:id="rId201" xr:uid="{945F570A-03DF-44A0-AEA6-A008F868632C}"/>
    <hyperlink ref="V150" r:id="rId202" xr:uid="{18AE3F0F-780A-47CD-92C4-F3835FE1A494}"/>
    <hyperlink ref="V164" r:id="rId203" display="info@deschoor.nl ?" xr:uid="{2E9B3ECE-CE0B-4108-830C-852C3AC6021B}"/>
    <hyperlink ref="V95" r:id="rId204" xr:uid="{7D803911-4FFD-45A2-B41E-AA4C6DBEAEEA}"/>
    <hyperlink ref="V4" r:id="rId205" display="meldpuntvastgoedbedrijf@almere.nl  " xr:uid="{13DB061D-F127-4D3E-956F-2B4E776ABF3D}"/>
    <hyperlink ref="V130" r:id="rId206" display="sbatenburg@almere.nl" xr:uid="{92FD2DF4-D02E-482E-932E-2823C4522302}"/>
    <hyperlink ref="V109" r:id="rId207" xr:uid="{FB134D5F-53C1-4BA0-834E-BDA6858E657D}"/>
    <hyperlink ref="V251" r:id="rId208" display="pwjschrijver@almere.nl" xr:uid="{A3E9F652-68C0-4F90-82B6-28EACDAF42E3}"/>
    <hyperlink ref="V17" r:id="rId209" xr:uid="{89BEE8EC-F10D-4A03-88C5-43CCCD829D01}"/>
    <hyperlink ref="V20" r:id="rId210" display="meldpuntvastgoedbedrijf@almere.nl  " xr:uid="{AD121513-DC1C-4249-A478-36FC93A5B643}"/>
    <hyperlink ref="V16" r:id="rId211" xr:uid="{9E7F67D5-676E-457E-AAD5-9E997746E3A7}"/>
    <hyperlink ref="V327" r:id="rId212" display="meldpuntvastgoedbedrijf@almere.nl  " xr:uid="{B43145B1-B4DF-4C43-ADEC-66969B1C7B12}"/>
    <hyperlink ref="V10" r:id="rId213" display="hhgabriel@almere.nl" xr:uid="{681CA41A-07B9-4456-8D8B-F7F609182324}"/>
    <hyperlink ref="V326" r:id="rId214" display="meldpuntvastgoedbedrijf@almere.nl  " xr:uid="{237A6EBE-8FF6-4BF8-9677-27EADE288033}"/>
    <hyperlink ref="V9" r:id="rId215" display="meldpuntvastgoedbedrijf@almere.nl  " xr:uid="{14DB8AE6-6753-4669-81B6-3B74AAFE8CE7}"/>
  </hyperlinks>
  <pageMargins left="0.7" right="0.7" top="0.75" bottom="0.75" header="0.3" footer="0.3"/>
  <pageSetup paperSize="9" scale="28" orientation="landscape" verticalDpi="0" r:id="rId216"/>
  <ignoredErrors>
    <ignoredError sqref="AS109:AS110 AS115 AM133:AN133 AS133 AS155 AS161 AM178:AN178 AM167:AN16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047F2-B436-4C9C-8811-B4693C12ED5E}">
  <sheetPr filterMode="1"/>
  <dimension ref="A1:AT375"/>
  <sheetViews>
    <sheetView view="pageBreakPreview" topLeftCell="B1" zoomScale="60" zoomScaleNormal="75" workbookViewId="0">
      <pane ySplit="1" topLeftCell="A254" activePane="bottomLeft" state="frozen"/>
      <selection activeCell="A14" sqref="A14"/>
      <selection pane="bottomLeft" activeCell="AL384" sqref="AL384"/>
    </sheetView>
  </sheetViews>
  <sheetFormatPr defaultColWidth="9.1328125" defaultRowHeight="14.25" x14ac:dyDescent="0.4"/>
  <cols>
    <col min="1" max="1" width="10" style="8" hidden="1" customWidth="1"/>
    <col min="2" max="2" width="7.1328125" style="378" customWidth="1"/>
    <col min="3" max="7" width="7.1328125" style="1" hidden="1" customWidth="1"/>
    <col min="8" max="8" width="14.3984375" style="38" hidden="1" customWidth="1"/>
    <col min="9" max="9" width="14.1328125" style="38" hidden="1" customWidth="1"/>
    <col min="10" max="11" width="13.86328125" style="38" hidden="1" customWidth="1"/>
    <col min="12" max="12" width="22" style="38" hidden="1" customWidth="1"/>
    <col min="13" max="13" width="17" style="19" hidden="1" customWidth="1"/>
    <col min="14" max="14" width="11.3984375" style="405" customWidth="1"/>
    <col min="15" max="15" width="66.1328125" style="404" customWidth="1"/>
    <col min="16" max="16" width="26" style="404" customWidth="1"/>
    <col min="17" max="17" width="9.3984375" style="404" customWidth="1"/>
    <col min="18" max="18" width="20.86328125" style="404" hidden="1" customWidth="1"/>
    <col min="19" max="19" width="19.1328125" style="404" customWidth="1"/>
    <col min="20" max="20" width="30.86328125" style="19" hidden="1" customWidth="1"/>
    <col min="21" max="21" width="25" style="19" hidden="1" customWidth="1"/>
    <col min="22" max="22" width="25.1328125" style="19" hidden="1" customWidth="1"/>
    <col min="23" max="23" width="8.86328125" style="393" customWidth="1"/>
    <col min="24" max="25" width="14.59765625" style="393" customWidth="1"/>
    <col min="26" max="26" width="12.3984375" style="394" customWidth="1"/>
    <col min="27" max="27" width="13.86328125" style="394" customWidth="1"/>
    <col min="28" max="28" width="12.265625" style="394" customWidth="1"/>
    <col min="29" max="34" width="10.86328125" style="394" customWidth="1"/>
    <col min="35" max="35" width="12" style="394" customWidth="1"/>
    <col min="36" max="36" width="12" style="39" hidden="1" customWidth="1"/>
    <col min="37" max="37" width="17" style="405" customWidth="1"/>
    <col min="38" max="38" width="30.86328125" style="368" customWidth="1"/>
    <col min="39" max="42" width="12.59765625" style="406" customWidth="1"/>
    <col min="43" max="43" width="12.59765625" style="368" customWidth="1"/>
    <col min="44" max="44" width="12.59765625" style="406" customWidth="1"/>
    <col min="45" max="45" width="20" style="406" bestFit="1" customWidth="1"/>
    <col min="46" max="16384" width="9.1328125" style="368"/>
  </cols>
  <sheetData>
    <row r="1" spans="1:45" s="363" customFormat="1" ht="217.5" customHeight="1" thickTop="1" thickBot="1" x14ac:dyDescent="0.5">
      <c r="A1" s="151" t="s">
        <v>97</v>
      </c>
      <c r="B1" s="483" t="s">
        <v>98</v>
      </c>
      <c r="C1" s="151" t="s">
        <v>99</v>
      </c>
      <c r="D1" s="153" t="s">
        <v>100</v>
      </c>
      <c r="E1" s="153" t="s">
        <v>101</v>
      </c>
      <c r="F1" s="153" t="s">
        <v>101</v>
      </c>
      <c r="G1" s="153" t="s">
        <v>102</v>
      </c>
      <c r="H1" s="152" t="s">
        <v>103</v>
      </c>
      <c r="I1" s="152" t="s">
        <v>104</v>
      </c>
      <c r="J1" s="152" t="s">
        <v>105</v>
      </c>
      <c r="K1" s="152" t="s">
        <v>106</v>
      </c>
      <c r="L1" s="154" t="s">
        <v>107</v>
      </c>
      <c r="M1" s="154" t="s">
        <v>108</v>
      </c>
      <c r="N1" s="483" t="s">
        <v>109</v>
      </c>
      <c r="O1" s="483" t="s">
        <v>110</v>
      </c>
      <c r="P1" s="483" t="s">
        <v>111</v>
      </c>
      <c r="Q1" s="483" t="s">
        <v>112</v>
      </c>
      <c r="R1" s="506" t="s">
        <v>113</v>
      </c>
      <c r="S1" s="483" t="s">
        <v>114</v>
      </c>
      <c r="T1" s="152" t="s">
        <v>115</v>
      </c>
      <c r="U1" s="152" t="s">
        <v>116</v>
      </c>
      <c r="V1" s="152" t="s">
        <v>117</v>
      </c>
      <c r="W1" s="483" t="s">
        <v>118</v>
      </c>
      <c r="X1" s="483" t="s">
        <v>119</v>
      </c>
      <c r="Y1" s="483" t="s">
        <v>120</v>
      </c>
      <c r="Z1" s="483" t="s">
        <v>121</v>
      </c>
      <c r="AA1" s="483" t="s">
        <v>122</v>
      </c>
      <c r="AB1" s="483" t="s">
        <v>123</v>
      </c>
      <c r="AC1" s="483" t="s">
        <v>124</v>
      </c>
      <c r="AD1" s="483" t="s">
        <v>125</v>
      </c>
      <c r="AE1" s="483" t="s">
        <v>126</v>
      </c>
      <c r="AF1" s="483" t="s">
        <v>127</v>
      </c>
      <c r="AG1" s="483" t="s">
        <v>128</v>
      </c>
      <c r="AH1" s="483" t="s">
        <v>129</v>
      </c>
      <c r="AI1" s="483" t="s">
        <v>130</v>
      </c>
      <c r="AJ1" s="152" t="s">
        <v>131</v>
      </c>
      <c r="AK1" s="483" t="s">
        <v>2329</v>
      </c>
      <c r="AL1" s="484" t="s">
        <v>132</v>
      </c>
      <c r="AM1" s="485" t="s">
        <v>2330</v>
      </c>
      <c r="AN1" s="486" t="s">
        <v>2346</v>
      </c>
      <c r="AO1" s="486" t="s">
        <v>2343</v>
      </c>
      <c r="AP1" s="486" t="s">
        <v>2334</v>
      </c>
      <c r="AQ1" s="530" t="s">
        <v>133</v>
      </c>
      <c r="AR1" s="487" t="s">
        <v>2335</v>
      </c>
      <c r="AS1" s="488" t="s">
        <v>134</v>
      </c>
    </row>
    <row r="2" spans="1:45" s="7" customFormat="1" ht="39" hidden="1" thickTop="1" thickBot="1" x14ac:dyDescent="0.5">
      <c r="A2" s="155"/>
      <c r="B2" s="152">
        <v>1</v>
      </c>
      <c r="C2" s="156" t="s">
        <v>135</v>
      </c>
      <c r="D2" s="156" t="s">
        <v>136</v>
      </c>
      <c r="E2" s="156"/>
      <c r="F2" s="156"/>
      <c r="G2" s="156"/>
      <c r="H2" s="151" t="s">
        <v>137</v>
      </c>
      <c r="I2" s="151" t="s">
        <v>138</v>
      </c>
      <c r="J2" s="157"/>
      <c r="K2" s="158"/>
      <c r="L2" s="151" t="s">
        <v>139</v>
      </c>
      <c r="M2" s="159" t="s">
        <v>140</v>
      </c>
      <c r="N2" s="160" t="s">
        <v>141</v>
      </c>
      <c r="O2" s="159" t="s">
        <v>142</v>
      </c>
      <c r="P2" s="159" t="s">
        <v>143</v>
      </c>
      <c r="Q2" s="159" t="s">
        <v>144</v>
      </c>
      <c r="R2" s="41" t="s">
        <v>145</v>
      </c>
      <c r="S2" s="159" t="s">
        <v>146</v>
      </c>
      <c r="T2" s="159" t="s">
        <v>147</v>
      </c>
      <c r="U2" s="159" t="s">
        <v>148</v>
      </c>
      <c r="V2" s="176" t="s">
        <v>149</v>
      </c>
      <c r="W2" s="152">
        <v>2007</v>
      </c>
      <c r="X2" s="152">
        <v>531</v>
      </c>
      <c r="Y2" s="152"/>
      <c r="Z2" s="177"/>
      <c r="AA2" s="177" t="s">
        <v>150</v>
      </c>
      <c r="AB2" s="177">
        <v>10</v>
      </c>
      <c r="AC2" s="177">
        <v>82</v>
      </c>
      <c r="AD2" s="177" t="s">
        <v>151</v>
      </c>
      <c r="AE2" s="177"/>
      <c r="AF2" s="177"/>
      <c r="AG2" s="177"/>
      <c r="AH2" s="177"/>
      <c r="AI2" s="177"/>
      <c r="AJ2" s="177"/>
      <c r="AK2" s="257">
        <v>1</v>
      </c>
      <c r="AL2" s="271"/>
      <c r="AM2" s="308">
        <f>X2*P1_reinigen_daken_met_vaste_dakveiligheid</f>
        <v>0</v>
      </c>
      <c r="AN2" s="309">
        <f>Y2*P1_reinigen_goten_met_vaste_dakveiligheid</f>
        <v>0</v>
      </c>
      <c r="AO2" s="309">
        <f>(AE2*P1_Reinigen_Lichtkoepel_50X50)+('Perceel 3'!AF2*P1_Reinigen_Lichtkoepel_60x200)+('Perceel 3'!AG2*P1_Reinigen_Lichtkoepel_180x180)+('Perceel 3'!AH2*P1_Reinigen_Lichtstraten_groter_dan_180x180)</f>
        <v>0</v>
      </c>
      <c r="AP2" s="309">
        <f t="shared" ref="AP2:AP8" si="0">(X2+Y2)*P1_Inspecteren_daken_en_goten_1x_per_jaar_gelijktijdig_met_reiniging_inclusief_inspectierapport_en_een_managementrapport</f>
        <v>0</v>
      </c>
      <c r="AQ2" s="330"/>
      <c r="AR2" s="331">
        <f t="shared" ref="AR2:AR8" si="1">AQ2*P1_keuren_dakveiligheid_per_man_uur</f>
        <v>0</v>
      </c>
      <c r="AS2" s="335">
        <f>(AM2*AK2)+(Y2*AK2)+AO2+AP2+AR2</f>
        <v>0</v>
      </c>
    </row>
    <row r="3" spans="1:45" s="7" customFormat="1" ht="26.25" hidden="1" thickTop="1" thickBot="1" x14ac:dyDescent="0.5">
      <c r="A3" s="161"/>
      <c r="B3" s="152">
        <v>1</v>
      </c>
      <c r="C3" s="156" t="s">
        <v>135</v>
      </c>
      <c r="D3" s="156" t="s">
        <v>136</v>
      </c>
      <c r="E3" s="156"/>
      <c r="F3" s="156"/>
      <c r="G3" s="156"/>
      <c r="H3" s="162" t="s">
        <v>152</v>
      </c>
      <c r="I3" s="162" t="s">
        <v>153</v>
      </c>
      <c r="J3" s="157"/>
      <c r="K3" s="158"/>
      <c r="L3" s="151" t="s">
        <v>154</v>
      </c>
      <c r="M3" s="159" t="s">
        <v>155</v>
      </c>
      <c r="N3" s="159" t="s">
        <v>156</v>
      </c>
      <c r="O3" s="159" t="s">
        <v>157</v>
      </c>
      <c r="P3" s="159" t="s">
        <v>158</v>
      </c>
      <c r="Q3" s="159" t="s">
        <v>144</v>
      </c>
      <c r="R3" s="41" t="s">
        <v>159</v>
      </c>
      <c r="S3" s="159" t="s">
        <v>146</v>
      </c>
      <c r="T3" s="166" t="s">
        <v>160</v>
      </c>
      <c r="U3" s="166" t="s">
        <v>161</v>
      </c>
      <c r="V3" s="178" t="s">
        <v>162</v>
      </c>
      <c r="W3" s="152">
        <v>2021</v>
      </c>
      <c r="X3" s="152">
        <f>1365+115</f>
        <v>1480</v>
      </c>
      <c r="Y3" s="152"/>
      <c r="Z3" s="177"/>
      <c r="AA3" s="177"/>
      <c r="AB3" s="177">
        <v>20</v>
      </c>
      <c r="AC3" s="177">
        <v>121</v>
      </c>
      <c r="AD3" s="177"/>
      <c r="AE3" s="177"/>
      <c r="AF3" s="177"/>
      <c r="AG3" s="177"/>
      <c r="AH3" s="177"/>
      <c r="AI3" s="177" t="s">
        <v>163</v>
      </c>
      <c r="AJ3" s="177"/>
      <c r="AK3" s="177">
        <v>1</v>
      </c>
      <c r="AL3" s="272"/>
      <c r="AM3" s="277">
        <f>X3*P1_reinigen_daken_met_vaste_dakveiligheid</f>
        <v>0</v>
      </c>
      <c r="AN3" s="279">
        <f>Y3*P1_reinigen_goten_met_vaste_dakveiligheid</f>
        <v>0</v>
      </c>
      <c r="AO3" s="279">
        <f>(AE3*P1_Reinigen_Lichtkoepel_50X50)+('Perceel 3'!AF3*P1_Reinigen_Lichtkoepel_60x200)+('Perceel 3'!AG3*P1_Reinigen_Lichtkoepel_180x180)+('Perceel 3'!AH3*P1_Reinigen_Lichtstraten_groter_dan_180x180)</f>
        <v>0</v>
      </c>
      <c r="AP3" s="279">
        <f t="shared" si="0"/>
        <v>0</v>
      </c>
      <c r="AQ3" s="289"/>
      <c r="AR3" s="332">
        <f t="shared" si="1"/>
        <v>0</v>
      </c>
      <c r="AS3" s="336">
        <f t="shared" ref="AS3:AS66" si="2">(AM3*AK3)+(Y3*AK3)+AO3+AP3+AR3</f>
        <v>0</v>
      </c>
    </row>
    <row r="4" spans="1:45" s="7" customFormat="1" ht="51.75" hidden="1" thickTop="1" thickBot="1" x14ac:dyDescent="0.5">
      <c r="A4" s="161"/>
      <c r="B4" s="152">
        <v>1</v>
      </c>
      <c r="C4" s="156" t="s">
        <v>135</v>
      </c>
      <c r="D4" s="156" t="s">
        <v>136</v>
      </c>
      <c r="E4" s="156"/>
      <c r="F4" s="156"/>
      <c r="G4" s="156"/>
      <c r="H4" s="162" t="s">
        <v>164</v>
      </c>
      <c r="I4" s="162"/>
      <c r="J4" s="157"/>
      <c r="K4" s="163"/>
      <c r="L4" s="151" t="s">
        <v>154</v>
      </c>
      <c r="M4" s="159" t="s">
        <v>155</v>
      </c>
      <c r="N4" s="164">
        <v>1198</v>
      </c>
      <c r="O4" s="159" t="s">
        <v>165</v>
      </c>
      <c r="P4" s="159" t="s">
        <v>166</v>
      </c>
      <c r="Q4" s="159" t="s">
        <v>167</v>
      </c>
      <c r="R4" s="41" t="s">
        <v>168</v>
      </c>
      <c r="S4" s="159" t="s">
        <v>146</v>
      </c>
      <c r="T4" s="159" t="s">
        <v>169</v>
      </c>
      <c r="U4" s="159" t="s">
        <v>170</v>
      </c>
      <c r="V4" s="176" t="s">
        <v>171</v>
      </c>
      <c r="W4" s="152">
        <v>2022</v>
      </c>
      <c r="X4" s="152">
        <v>480</v>
      </c>
      <c r="Y4" s="152">
        <v>45</v>
      </c>
      <c r="Z4" s="177"/>
      <c r="AA4" s="177"/>
      <c r="AB4" s="177">
        <v>4</v>
      </c>
      <c r="AC4" s="177">
        <v>21</v>
      </c>
      <c r="AD4" s="177"/>
      <c r="AE4" s="177"/>
      <c r="AF4" s="177"/>
      <c r="AG4" s="177"/>
      <c r="AH4" s="177"/>
      <c r="AI4" s="177" t="s">
        <v>172</v>
      </c>
      <c r="AJ4" s="177" t="s">
        <v>173</v>
      </c>
      <c r="AK4" s="177">
        <v>2</v>
      </c>
      <c r="AL4" s="272"/>
      <c r="AM4" s="277">
        <f>X4*P1_reinigen_daken_met_vaste_dakveiligheid</f>
        <v>0</v>
      </c>
      <c r="AN4" s="279">
        <f>Y4*P1_reinigen_goten_met_vaste_dakveiligheid</f>
        <v>0</v>
      </c>
      <c r="AO4" s="279">
        <f>(AE4*P1_Reinigen_Lichtkoepel_50X50)+('Perceel 3'!AF4*P1_Reinigen_Lichtkoepel_60x200)+('Perceel 3'!AG4*P1_Reinigen_Lichtkoepel_180x180)+('Perceel 3'!AH4*P1_Reinigen_Lichtstraten_groter_dan_180x180)</f>
        <v>0</v>
      </c>
      <c r="AP4" s="279">
        <f t="shared" si="0"/>
        <v>0</v>
      </c>
      <c r="AQ4" s="289"/>
      <c r="AR4" s="332">
        <f t="shared" si="1"/>
        <v>0</v>
      </c>
      <c r="AS4" s="336">
        <f t="shared" si="2"/>
        <v>90</v>
      </c>
    </row>
    <row r="5" spans="1:45" s="7" customFormat="1" ht="39" hidden="1" thickTop="1" thickBot="1" x14ac:dyDescent="0.5">
      <c r="A5" s="161"/>
      <c r="B5" s="152">
        <v>1</v>
      </c>
      <c r="C5" s="156" t="s">
        <v>135</v>
      </c>
      <c r="D5" s="156" t="s">
        <v>174</v>
      </c>
      <c r="E5" s="156"/>
      <c r="F5" s="156"/>
      <c r="G5" s="156"/>
      <c r="H5" s="162" t="s">
        <v>175</v>
      </c>
      <c r="I5" s="162"/>
      <c r="J5" s="157"/>
      <c r="K5" s="163"/>
      <c r="L5" s="151"/>
      <c r="M5" s="159" t="s">
        <v>176</v>
      </c>
      <c r="N5" s="164">
        <v>1295</v>
      </c>
      <c r="O5" s="159" t="s">
        <v>177</v>
      </c>
      <c r="P5" s="159" t="s">
        <v>178</v>
      </c>
      <c r="Q5" s="159" t="s">
        <v>167</v>
      </c>
      <c r="R5" s="41" t="s">
        <v>168</v>
      </c>
      <c r="S5" s="159" t="s">
        <v>146</v>
      </c>
      <c r="T5" s="159" t="s">
        <v>179</v>
      </c>
      <c r="U5" s="159" t="s">
        <v>180</v>
      </c>
      <c r="V5" s="176" t="s">
        <v>181</v>
      </c>
      <c r="W5" s="152">
        <v>2022</v>
      </c>
      <c r="X5" s="152"/>
      <c r="Y5" s="152">
        <v>90</v>
      </c>
      <c r="Z5" s="177"/>
      <c r="AA5" s="177"/>
      <c r="AB5" s="177"/>
      <c r="AC5" s="177"/>
      <c r="AD5" s="177"/>
      <c r="AE5" s="177"/>
      <c r="AF5" s="177"/>
      <c r="AG5" s="177"/>
      <c r="AH5" s="177"/>
      <c r="AI5" s="177" t="s">
        <v>172</v>
      </c>
      <c r="AJ5" s="177" t="s">
        <v>173</v>
      </c>
      <c r="AK5" s="177">
        <v>2</v>
      </c>
      <c r="AL5" s="272"/>
      <c r="AM5" s="277">
        <f>X5*P1_Reinigen_daken_incl._extra_maatregelen_veilig_werken_volgens_VCA__eventuele_vergunningen_leges___voorrijkosten__adminstratieve_kosten__fotorapportage_en_kleine_reparaties_¹</f>
        <v>0</v>
      </c>
      <c r="AN5" s="279">
        <f>Y5*P1_Reinigen_goten_incl._extra_maatregelen_veilig_werken_volgens_VCA__eventuele_vergunningen_leges___voorrijkosten__adminstratieve_kosten__fotorapportage_en_kleine_reparaties_¹</f>
        <v>0</v>
      </c>
      <c r="AO5" s="279">
        <f>(AE5*P1_Reinigen_Lichtkoepel_50X50)+('Perceel 3'!AF5*P1_Reinigen_Lichtkoepel_60x200)+('Perceel 3'!AG5*P1_Reinigen_Lichtkoepel_180x180)+('Perceel 3'!AH5*P1_Reinigen_Lichtstraten_groter_dan_180x180)</f>
        <v>0</v>
      </c>
      <c r="AP5" s="279">
        <f t="shared" si="0"/>
        <v>0</v>
      </c>
      <c r="AQ5" s="298"/>
      <c r="AR5" s="332">
        <f t="shared" si="1"/>
        <v>0</v>
      </c>
      <c r="AS5" s="336">
        <f t="shared" si="2"/>
        <v>180</v>
      </c>
    </row>
    <row r="6" spans="1:45" s="7" customFormat="1" ht="51.75" hidden="1" thickTop="1" thickBot="1" x14ac:dyDescent="0.5">
      <c r="A6" s="155"/>
      <c r="B6" s="165">
        <v>1</v>
      </c>
      <c r="C6" s="156" t="s">
        <v>135</v>
      </c>
      <c r="D6" s="156" t="s">
        <v>136</v>
      </c>
      <c r="E6" s="156"/>
      <c r="F6" s="156"/>
      <c r="G6" s="156"/>
      <c r="H6" s="151" t="s">
        <v>182</v>
      </c>
      <c r="I6" s="151" t="s">
        <v>183</v>
      </c>
      <c r="J6" s="157"/>
      <c r="K6" s="163"/>
      <c r="L6" s="163" t="s">
        <v>154</v>
      </c>
      <c r="M6" s="166" t="s">
        <v>155</v>
      </c>
      <c r="N6" s="160" t="s">
        <v>184</v>
      </c>
      <c r="O6" s="159" t="s">
        <v>185</v>
      </c>
      <c r="P6" s="159" t="s">
        <v>186</v>
      </c>
      <c r="Q6" s="159" t="s">
        <v>187</v>
      </c>
      <c r="R6" s="42" t="s">
        <v>188</v>
      </c>
      <c r="S6" s="159" t="s">
        <v>189</v>
      </c>
      <c r="T6" s="159" t="s">
        <v>169</v>
      </c>
      <c r="U6" s="159" t="s">
        <v>170</v>
      </c>
      <c r="V6" s="176" t="s">
        <v>171</v>
      </c>
      <c r="W6" s="152">
        <v>1980</v>
      </c>
      <c r="X6" s="152">
        <v>497</v>
      </c>
      <c r="Y6" s="152"/>
      <c r="Z6" s="177"/>
      <c r="AA6" s="177"/>
      <c r="AB6" s="177"/>
      <c r="AC6" s="177"/>
      <c r="AD6" s="177"/>
      <c r="AE6" s="177"/>
      <c r="AF6" s="177"/>
      <c r="AG6" s="177"/>
      <c r="AH6" s="177"/>
      <c r="AI6" s="177"/>
      <c r="AJ6" s="177"/>
      <c r="AK6" s="257">
        <v>1</v>
      </c>
      <c r="AL6" s="271"/>
      <c r="AM6" s="277">
        <f>X6*P1_Reinigen_daken_incl._extra_maatregelen_veilig_werken_volgens_VCA__eventuele_vergunningen_leges___voorrijkosten__adminstratieve_kosten__fotorapportage_en_kleine_reparaties_¹</f>
        <v>0</v>
      </c>
      <c r="AN6" s="279">
        <f>Y6*P1_Reinigen_goten_incl._extra_maatregelen_veilig_werken_volgens_VCA__eventuele_vergunningen_leges___voorrijkosten__adminstratieve_kosten__fotorapportage_en_kleine_reparaties_¹</f>
        <v>0</v>
      </c>
      <c r="AO6" s="279">
        <f>(AE6*P1_Reinigen_Lichtkoepel_50X50)+('Perceel 3'!AF6*P1_Reinigen_Lichtkoepel_60x200)+('Perceel 3'!AG6*P1_Reinigen_Lichtkoepel_180x180)+('Perceel 3'!AH6*P1_Reinigen_Lichtstraten_groter_dan_180x180)</f>
        <v>0</v>
      </c>
      <c r="AP6" s="279">
        <f t="shared" si="0"/>
        <v>0</v>
      </c>
      <c r="AQ6" s="298"/>
      <c r="AR6" s="332">
        <f t="shared" si="1"/>
        <v>0</v>
      </c>
      <c r="AS6" s="336">
        <f t="shared" si="2"/>
        <v>0</v>
      </c>
    </row>
    <row r="7" spans="1:45" s="7" customFormat="1" ht="39" hidden="1" thickTop="1" thickBot="1" x14ac:dyDescent="0.5">
      <c r="A7" s="155"/>
      <c r="B7" s="152">
        <v>1</v>
      </c>
      <c r="C7" s="156" t="s">
        <v>135</v>
      </c>
      <c r="D7" s="156" t="s">
        <v>136</v>
      </c>
      <c r="E7" s="156"/>
      <c r="F7" s="156"/>
      <c r="G7" s="156"/>
      <c r="H7" s="151" t="s">
        <v>190</v>
      </c>
      <c r="I7" s="151"/>
      <c r="J7" s="157"/>
      <c r="K7" s="163"/>
      <c r="L7" s="163" t="s">
        <v>191</v>
      </c>
      <c r="M7" s="166" t="s">
        <v>192</v>
      </c>
      <c r="N7" s="168" t="s">
        <v>193</v>
      </c>
      <c r="O7" s="159" t="s">
        <v>194</v>
      </c>
      <c r="P7" s="159" t="s">
        <v>195</v>
      </c>
      <c r="Q7" s="159" t="s">
        <v>196</v>
      </c>
      <c r="R7" s="42" t="s">
        <v>197</v>
      </c>
      <c r="S7" s="159" t="s">
        <v>189</v>
      </c>
      <c r="T7" s="159" t="s">
        <v>198</v>
      </c>
      <c r="U7" s="159" t="s">
        <v>199</v>
      </c>
      <c r="V7" s="176" t="s">
        <v>200</v>
      </c>
      <c r="W7" s="152">
        <v>1984</v>
      </c>
      <c r="X7" s="152">
        <f>9.5+44+43.5+25+205</f>
        <v>327</v>
      </c>
      <c r="Y7" s="152"/>
      <c r="Z7" s="177"/>
      <c r="AA7" s="177"/>
      <c r="AB7" s="177"/>
      <c r="AC7" s="177"/>
      <c r="AD7" s="177"/>
      <c r="AE7" s="177"/>
      <c r="AF7" s="177"/>
      <c r="AG7" s="177"/>
      <c r="AH7" s="177"/>
      <c r="AI7" s="177"/>
      <c r="AJ7" s="177"/>
      <c r="AK7" s="177">
        <v>1</v>
      </c>
      <c r="AL7" s="272" t="s">
        <v>201</v>
      </c>
      <c r="AM7" s="277">
        <f>X7*P1_Reinigen_daken_incl._extra_maatregelen_veilig_werken_volgens_VCA__eventuele_vergunningen_leges___voorrijkosten__adminstratieve_kosten__fotorapportage_en_kleine_reparaties_¹</f>
        <v>0</v>
      </c>
      <c r="AN7" s="279">
        <f>Y7*P1_Reinigen_goten_incl._extra_maatregelen_veilig_werken_volgens_VCA__eventuele_vergunningen_leges___voorrijkosten__adminstratieve_kosten__fotorapportage_en_kleine_reparaties_¹</f>
        <v>0</v>
      </c>
      <c r="AO7" s="279">
        <f>(AE7*P1_Reinigen_Lichtkoepel_50X50)+('Perceel 3'!AF7*P1_Reinigen_Lichtkoepel_60x200)+('Perceel 3'!AG7*P1_Reinigen_Lichtkoepel_180x180)+('Perceel 3'!AH7*P1_Reinigen_Lichtstraten_groter_dan_180x180)</f>
        <v>0</v>
      </c>
      <c r="AP7" s="279">
        <f t="shared" si="0"/>
        <v>0</v>
      </c>
      <c r="AQ7" s="298"/>
      <c r="AR7" s="332">
        <f t="shared" si="1"/>
        <v>0</v>
      </c>
      <c r="AS7" s="336">
        <f t="shared" si="2"/>
        <v>0</v>
      </c>
    </row>
    <row r="8" spans="1:45" s="7" customFormat="1" ht="26.25" hidden="1" thickTop="1" thickBot="1" x14ac:dyDescent="0.5">
      <c r="A8" s="169"/>
      <c r="B8" s="180">
        <v>1</v>
      </c>
      <c r="C8" s="171" t="s">
        <v>135</v>
      </c>
      <c r="D8" s="171" t="s">
        <v>136</v>
      </c>
      <c r="E8" s="171"/>
      <c r="F8" s="171"/>
      <c r="G8" s="171"/>
      <c r="H8" s="170" t="s">
        <v>202</v>
      </c>
      <c r="I8" s="170" t="s">
        <v>203</v>
      </c>
      <c r="J8" s="172"/>
      <c r="K8" s="173"/>
      <c r="L8" s="170" t="s">
        <v>139</v>
      </c>
      <c r="M8" s="169" t="s">
        <v>140</v>
      </c>
      <c r="N8" s="169" t="s">
        <v>204</v>
      </c>
      <c r="O8" s="170" t="s">
        <v>205</v>
      </c>
      <c r="P8" s="170"/>
      <c r="Q8" s="170"/>
      <c r="R8" s="43"/>
      <c r="S8" s="170"/>
      <c r="T8" s="170"/>
      <c r="U8" s="170"/>
      <c r="V8" s="170"/>
      <c r="W8" s="170"/>
      <c r="X8" s="180">
        <f>X9+X10</f>
        <v>117</v>
      </c>
      <c r="Y8" s="170"/>
      <c r="Z8" s="170"/>
      <c r="AA8" s="170"/>
      <c r="AB8" s="170"/>
      <c r="AC8" s="170"/>
      <c r="AD8" s="170"/>
      <c r="AE8" s="170"/>
      <c r="AF8" s="170"/>
      <c r="AG8" s="170"/>
      <c r="AH8" s="170"/>
      <c r="AI8" s="170"/>
      <c r="AJ8" s="170"/>
      <c r="AK8" s="177"/>
      <c r="AL8" s="272"/>
      <c r="AM8" s="277">
        <f>X8*P1_Reinigen_daken_incl._extra_maatregelen_veilig_werken_volgens_VCA__eventuele_vergunningen_leges___voorrijkosten__adminstratieve_kosten__fotorapportage_en_kleine_reparaties_¹</f>
        <v>0</v>
      </c>
      <c r="AN8" s="279">
        <f>Y8*P1_Reinigen_goten_incl._extra_maatregelen_veilig_werken_volgens_VCA__eventuele_vergunningen_leges___voorrijkosten__adminstratieve_kosten__fotorapportage_en_kleine_reparaties_¹</f>
        <v>0</v>
      </c>
      <c r="AO8" s="279">
        <f>(AE8*P1_Reinigen_Lichtkoepel_50X50)+('Perceel 3'!AF8*P1_Reinigen_Lichtkoepel_60x200)+('Perceel 3'!AG8*P1_Reinigen_Lichtkoepel_180x180)+('Perceel 3'!AH8*P1_Reinigen_Lichtstraten_groter_dan_180x180)</f>
        <v>0</v>
      </c>
      <c r="AP8" s="279">
        <f t="shared" si="0"/>
        <v>0</v>
      </c>
      <c r="AQ8" s="298"/>
      <c r="AR8" s="332">
        <f t="shared" si="1"/>
        <v>0</v>
      </c>
      <c r="AS8" s="336">
        <f t="shared" si="2"/>
        <v>0</v>
      </c>
    </row>
    <row r="9" spans="1:45" s="7" customFormat="1" ht="51.75" hidden="1" thickTop="1" thickBot="1" x14ac:dyDescent="0.5">
      <c r="A9" s="174"/>
      <c r="B9" s="181">
        <v>1</v>
      </c>
      <c r="C9" s="175" t="s">
        <v>135</v>
      </c>
      <c r="D9" s="175" t="s">
        <v>136</v>
      </c>
      <c r="E9" s="174"/>
      <c r="F9" s="174"/>
      <c r="G9" s="174"/>
      <c r="H9" s="174" t="s">
        <v>202</v>
      </c>
      <c r="I9" s="174" t="s">
        <v>203</v>
      </c>
      <c r="J9" s="10"/>
      <c r="K9" s="10"/>
      <c r="L9" s="175"/>
      <c r="M9" s="175" t="s">
        <v>140</v>
      </c>
      <c r="N9" s="175" t="s">
        <v>206</v>
      </c>
      <c r="O9" s="175" t="s">
        <v>207</v>
      </c>
      <c r="P9" s="175" t="s">
        <v>208</v>
      </c>
      <c r="Q9" s="175" t="s">
        <v>209</v>
      </c>
      <c r="R9" s="44" t="s">
        <v>197</v>
      </c>
      <c r="S9" s="175" t="s">
        <v>189</v>
      </c>
      <c r="T9" s="175" t="s">
        <v>169</v>
      </c>
      <c r="U9" s="175" t="s">
        <v>170</v>
      </c>
      <c r="V9" s="175" t="s">
        <v>171</v>
      </c>
      <c r="W9" s="175">
        <v>1998</v>
      </c>
      <c r="X9" s="258">
        <v>27</v>
      </c>
      <c r="Y9" s="175"/>
      <c r="Z9" s="175"/>
      <c r="AA9" s="175"/>
      <c r="AB9" s="175"/>
      <c r="AC9" s="175"/>
      <c r="AD9" s="175"/>
      <c r="AE9" s="175"/>
      <c r="AF9" s="175"/>
      <c r="AG9" s="175"/>
      <c r="AH9" s="175"/>
      <c r="AI9" s="175"/>
      <c r="AJ9" s="175"/>
      <c r="AK9" s="177">
        <v>1</v>
      </c>
      <c r="AL9" s="272"/>
      <c r="AM9" s="299"/>
      <c r="AN9" s="298"/>
      <c r="AO9" s="298"/>
      <c r="AP9" s="298"/>
      <c r="AQ9" s="298"/>
      <c r="AR9" s="333"/>
      <c r="AS9" s="337"/>
    </row>
    <row r="10" spans="1:45" s="7" customFormat="1" ht="51.75" hidden="1" thickTop="1" thickBot="1" x14ac:dyDescent="0.5">
      <c r="A10" s="174"/>
      <c r="B10" s="181">
        <v>1</v>
      </c>
      <c r="C10" s="175" t="s">
        <v>135</v>
      </c>
      <c r="D10" s="175" t="s">
        <v>136</v>
      </c>
      <c r="E10" s="174"/>
      <c r="F10" s="174"/>
      <c r="G10" s="174"/>
      <c r="H10" s="174" t="s">
        <v>202</v>
      </c>
      <c r="I10" s="174" t="s">
        <v>203</v>
      </c>
      <c r="J10" s="10"/>
      <c r="K10" s="10"/>
      <c r="L10" s="175"/>
      <c r="M10" s="175" t="s">
        <v>140</v>
      </c>
      <c r="N10" s="175" t="s">
        <v>210</v>
      </c>
      <c r="O10" s="175" t="s">
        <v>211</v>
      </c>
      <c r="P10" s="175" t="s">
        <v>212</v>
      </c>
      <c r="Q10" s="175" t="s">
        <v>213</v>
      </c>
      <c r="R10" s="44" t="s">
        <v>168</v>
      </c>
      <c r="S10" s="175" t="s">
        <v>146</v>
      </c>
      <c r="T10" s="175" t="s">
        <v>169</v>
      </c>
      <c r="U10" s="175" t="s">
        <v>170</v>
      </c>
      <c r="V10" s="175" t="s">
        <v>171</v>
      </c>
      <c r="W10" s="175">
        <v>1982</v>
      </c>
      <c r="X10" s="258">
        <f>45+45</f>
        <v>90</v>
      </c>
      <c r="Y10" s="175"/>
      <c r="Z10" s="175"/>
      <c r="AA10" s="175"/>
      <c r="AB10" s="175"/>
      <c r="AC10" s="175"/>
      <c r="AD10" s="175"/>
      <c r="AE10" s="175"/>
      <c r="AF10" s="175"/>
      <c r="AG10" s="175"/>
      <c r="AH10" s="175"/>
      <c r="AI10" s="175"/>
      <c r="AJ10" s="175"/>
      <c r="AK10" s="177">
        <v>2</v>
      </c>
      <c r="AL10" s="273"/>
      <c r="AM10" s="299"/>
      <c r="AN10" s="298"/>
      <c r="AO10" s="298"/>
      <c r="AP10" s="298"/>
      <c r="AQ10" s="298"/>
      <c r="AR10" s="333"/>
      <c r="AS10" s="337"/>
    </row>
    <row r="11" spans="1:45" s="7" customFormat="1" ht="39" hidden="1" thickTop="1" thickBot="1" x14ac:dyDescent="0.5">
      <c r="A11" s="155"/>
      <c r="B11" s="152">
        <v>1</v>
      </c>
      <c r="C11" s="156" t="s">
        <v>135</v>
      </c>
      <c r="D11" s="156" t="s">
        <v>174</v>
      </c>
      <c r="E11" s="156"/>
      <c r="F11" s="156"/>
      <c r="G11" s="156"/>
      <c r="H11" s="151" t="s">
        <v>214</v>
      </c>
      <c r="I11" s="151" t="s">
        <v>215</v>
      </c>
      <c r="J11" s="157"/>
      <c r="K11" s="163"/>
      <c r="L11" s="151"/>
      <c r="M11" s="159" t="s">
        <v>176</v>
      </c>
      <c r="N11" s="159" t="s">
        <v>216</v>
      </c>
      <c r="O11" s="159" t="s">
        <v>217</v>
      </c>
      <c r="P11" s="159" t="s">
        <v>218</v>
      </c>
      <c r="Q11" s="159" t="s">
        <v>187</v>
      </c>
      <c r="R11" s="42" t="s">
        <v>188</v>
      </c>
      <c r="S11" s="159" t="s">
        <v>189</v>
      </c>
      <c r="T11" s="159" t="s">
        <v>219</v>
      </c>
      <c r="U11" s="159" t="s">
        <v>220</v>
      </c>
      <c r="V11" s="176" t="s">
        <v>221</v>
      </c>
      <c r="W11" s="152">
        <v>1980</v>
      </c>
      <c r="X11" s="152">
        <v>1828</v>
      </c>
      <c r="Y11" s="152"/>
      <c r="Z11" s="189"/>
      <c r="AA11" s="189"/>
      <c r="AB11" s="189"/>
      <c r="AC11" s="177"/>
      <c r="AD11" s="177"/>
      <c r="AE11" s="177"/>
      <c r="AF11" s="177"/>
      <c r="AG11" s="177"/>
      <c r="AH11" s="177"/>
      <c r="AI11" s="189" t="s">
        <v>222</v>
      </c>
      <c r="AJ11" s="189" t="s">
        <v>223</v>
      </c>
      <c r="AK11" s="257">
        <v>1</v>
      </c>
      <c r="AL11" s="273"/>
      <c r="AM11" s="277">
        <f>X11*P1_Reinigen_daken_incl._extra_maatregelen_veilig_werken_volgens_VCA__eventuele_vergunningen_leges___voorrijkosten__adminstratieve_kosten__fotorapportage_en_kleine_reparaties_¹</f>
        <v>0</v>
      </c>
      <c r="AN11" s="279">
        <f>Y11*P1_Reinigen_goten_incl._extra_maatregelen_veilig_werken_volgens_VCA__eventuele_vergunningen_leges___voorrijkosten__adminstratieve_kosten__fotorapportage_en_kleine_reparaties_¹</f>
        <v>0</v>
      </c>
      <c r="AO11" s="279">
        <f>(AE11*P1_Reinigen_Lichtkoepel_50X50)+('Perceel 3'!AF11*P1_Reinigen_Lichtkoepel_60x200)+('Perceel 3'!AG11*P1_Reinigen_Lichtkoepel_180x180)+('Perceel 3'!AH11*P1_Reinigen_Lichtstraten_groter_dan_180x180)</f>
        <v>0</v>
      </c>
      <c r="AP11" s="279">
        <f>(X11+Y11)*P1_Inspecteren_daken_en_goten_1x_per_jaar_gelijktijdig_met_reiniging_inclusief_inspectierapport_en_een_managementrapport</f>
        <v>0</v>
      </c>
      <c r="AQ11" s="298"/>
      <c r="AR11" s="332">
        <f>AQ11*P1_keuren_dakveiligheid_per_man_uur</f>
        <v>0</v>
      </c>
      <c r="AS11" s="336">
        <f t="shared" si="2"/>
        <v>0</v>
      </c>
    </row>
    <row r="12" spans="1:45" s="7" customFormat="1" ht="51.75" hidden="1" thickTop="1" thickBot="1" x14ac:dyDescent="0.5">
      <c r="A12" s="155"/>
      <c r="B12" s="165">
        <v>1</v>
      </c>
      <c r="C12" s="156" t="s">
        <v>135</v>
      </c>
      <c r="D12" s="156" t="s">
        <v>136</v>
      </c>
      <c r="E12" s="156"/>
      <c r="F12" s="156"/>
      <c r="G12" s="156"/>
      <c r="H12" s="151" t="s">
        <v>224</v>
      </c>
      <c r="I12" s="151" t="s">
        <v>225</v>
      </c>
      <c r="J12" s="157"/>
      <c r="K12" s="163"/>
      <c r="L12" s="163" t="s">
        <v>154</v>
      </c>
      <c r="M12" s="166" t="s">
        <v>155</v>
      </c>
      <c r="N12" s="159" t="s">
        <v>226</v>
      </c>
      <c r="O12" s="159" t="s">
        <v>227</v>
      </c>
      <c r="P12" s="159" t="s">
        <v>228</v>
      </c>
      <c r="Q12" s="159" t="s">
        <v>229</v>
      </c>
      <c r="R12" s="42" t="s">
        <v>230</v>
      </c>
      <c r="S12" s="159" t="s">
        <v>189</v>
      </c>
      <c r="T12" s="159" t="s">
        <v>169</v>
      </c>
      <c r="U12" s="159" t="s">
        <v>170</v>
      </c>
      <c r="V12" s="176" t="s">
        <v>171</v>
      </c>
      <c r="W12" s="152">
        <v>1977</v>
      </c>
      <c r="X12" s="152">
        <v>485</v>
      </c>
      <c r="Y12" s="152"/>
      <c r="Z12" s="177"/>
      <c r="AA12" s="177" t="s">
        <v>231</v>
      </c>
      <c r="AB12" s="177">
        <v>12</v>
      </c>
      <c r="AC12" s="177">
        <v>85</v>
      </c>
      <c r="AD12" s="177"/>
      <c r="AE12" s="177"/>
      <c r="AF12" s="177"/>
      <c r="AG12" s="177"/>
      <c r="AH12" s="177"/>
      <c r="AI12" s="177"/>
      <c r="AJ12" s="177"/>
      <c r="AK12" s="257">
        <v>3</v>
      </c>
      <c r="AL12" s="273"/>
      <c r="AM12" s="277">
        <f>X12*P1_reinigen_daken_met_vaste_dakveiligheid</f>
        <v>0</v>
      </c>
      <c r="AN12" s="279">
        <f>Y12*P1_reinigen_goten_met_vaste_dakveiligheid</f>
        <v>0</v>
      </c>
      <c r="AO12" s="279">
        <f>(AE12*P1_Reinigen_Lichtkoepel_50X50)+('Perceel 3'!AF12*P1_Reinigen_Lichtkoepel_60x200)+('Perceel 3'!AG12*P1_Reinigen_Lichtkoepel_180x180)+('Perceel 3'!AH12*P1_Reinigen_Lichtstraten_groter_dan_180x180)</f>
        <v>0</v>
      </c>
      <c r="AP12" s="279">
        <f>(X12+Y12)*P1_Inspecteren_daken_en_goten_1x_per_jaar_gelijktijdig_met_reiniging_inclusief_inspectierapport_en_een_managementrapport</f>
        <v>0</v>
      </c>
      <c r="AQ12" s="289"/>
      <c r="AR12" s="332">
        <f>AQ12*P1_keuren_dakveiligheid_per_man_uur</f>
        <v>0</v>
      </c>
      <c r="AS12" s="336">
        <f t="shared" si="2"/>
        <v>0</v>
      </c>
    </row>
    <row r="13" spans="1:45" s="7" customFormat="1" ht="26.25" hidden="1" thickTop="1" thickBot="1" x14ac:dyDescent="0.5">
      <c r="A13" s="155"/>
      <c r="B13" s="152">
        <v>1</v>
      </c>
      <c r="C13" s="156" t="s">
        <v>135</v>
      </c>
      <c r="D13" s="156" t="s">
        <v>174</v>
      </c>
      <c r="E13" s="156"/>
      <c r="F13" s="156"/>
      <c r="G13" s="156"/>
      <c r="H13" s="151" t="s">
        <v>232</v>
      </c>
      <c r="I13" s="151" t="s">
        <v>233</v>
      </c>
      <c r="J13" s="157"/>
      <c r="K13" s="163"/>
      <c r="L13" s="151"/>
      <c r="M13" s="159" t="s">
        <v>176</v>
      </c>
      <c r="N13" s="159" t="s">
        <v>234</v>
      </c>
      <c r="O13" s="159" t="s">
        <v>235</v>
      </c>
      <c r="P13" s="159" t="s">
        <v>236</v>
      </c>
      <c r="Q13" s="159" t="s">
        <v>229</v>
      </c>
      <c r="R13" s="48" t="s">
        <v>230</v>
      </c>
      <c r="S13" s="159" t="s">
        <v>189</v>
      </c>
      <c r="T13" s="159" t="s">
        <v>237</v>
      </c>
      <c r="U13" s="159" t="s">
        <v>238</v>
      </c>
      <c r="V13" s="176" t="s">
        <v>239</v>
      </c>
      <c r="W13" s="152">
        <v>1978</v>
      </c>
      <c r="X13" s="152">
        <v>1542</v>
      </c>
      <c r="Y13" s="152"/>
      <c r="Z13" s="189"/>
      <c r="AA13" s="177"/>
      <c r="AB13" s="177"/>
      <c r="AC13" s="177"/>
      <c r="AD13" s="177"/>
      <c r="AE13" s="177"/>
      <c r="AF13" s="177"/>
      <c r="AG13" s="177"/>
      <c r="AH13" s="177"/>
      <c r="AI13" s="177"/>
      <c r="AJ13" s="177"/>
      <c r="AK13" s="177">
        <v>2</v>
      </c>
      <c r="AL13" s="271"/>
      <c r="AM13" s="277">
        <f>X13*P1_Reinigen_daken_incl._extra_maatregelen_veilig_werken_volgens_VCA__eventuele_vergunningen_leges___voorrijkosten__adminstratieve_kosten__fotorapportage_en_kleine_reparaties_¹</f>
        <v>0</v>
      </c>
      <c r="AN13" s="279">
        <f>Y13*P1_Reinigen_goten_incl._extra_maatregelen_veilig_werken_volgens_VCA__eventuele_vergunningen_leges___voorrijkosten__adminstratieve_kosten__fotorapportage_en_kleine_reparaties_¹</f>
        <v>0</v>
      </c>
      <c r="AO13" s="279">
        <f>(AE13*P1_Reinigen_Lichtkoepel_50X50)+('Perceel 3'!AF13*P1_Reinigen_Lichtkoepel_60x200)+('Perceel 3'!AG13*P1_Reinigen_Lichtkoepel_180x180)+('Perceel 3'!AH13*P1_Reinigen_Lichtstraten_groter_dan_180x180)</f>
        <v>0</v>
      </c>
      <c r="AP13" s="279">
        <f>(X13+Y13)*P1_Inspecteren_daken_en_goten_1x_per_jaar_gelijktijdig_met_reiniging_inclusief_inspectierapport_en_een_managementrapport</f>
        <v>0</v>
      </c>
      <c r="AQ13" s="298"/>
      <c r="AR13" s="332">
        <f>AQ13*P1_keuren_dakveiligheid_per_man_uur</f>
        <v>0</v>
      </c>
      <c r="AS13" s="336">
        <f t="shared" si="2"/>
        <v>0</v>
      </c>
    </row>
    <row r="14" spans="1:45" s="7" customFormat="1" ht="29.1" hidden="1" customHeight="1" x14ac:dyDescent="0.45">
      <c r="A14" s="183"/>
      <c r="B14" s="184">
        <v>1</v>
      </c>
      <c r="C14" s="171" t="s">
        <v>135</v>
      </c>
      <c r="D14" s="171" t="s">
        <v>136</v>
      </c>
      <c r="E14" s="171"/>
      <c r="F14" s="171"/>
      <c r="G14" s="171"/>
      <c r="H14" s="170" t="s">
        <v>240</v>
      </c>
      <c r="I14" s="170" t="s">
        <v>241</v>
      </c>
      <c r="J14" s="172"/>
      <c r="K14" s="173"/>
      <c r="L14" s="170" t="s">
        <v>139</v>
      </c>
      <c r="M14" s="169" t="s">
        <v>140</v>
      </c>
      <c r="N14" s="183" t="s">
        <v>242</v>
      </c>
      <c r="O14" s="169" t="s">
        <v>243</v>
      </c>
      <c r="P14" s="183" t="s">
        <v>244</v>
      </c>
      <c r="Q14" s="183" t="s">
        <v>245</v>
      </c>
      <c r="R14" s="49" t="s">
        <v>246</v>
      </c>
      <c r="S14" s="183" t="s">
        <v>189</v>
      </c>
      <c r="T14" s="169"/>
      <c r="U14" s="169"/>
      <c r="V14" s="169"/>
      <c r="W14" s="183" t="s">
        <v>247</v>
      </c>
      <c r="X14" s="259">
        <f>X15+X16+X17+X18</f>
        <v>5078</v>
      </c>
      <c r="Y14" s="183"/>
      <c r="Z14" s="169"/>
      <c r="AA14" s="169" t="s">
        <v>150</v>
      </c>
      <c r="AB14" s="169">
        <v>84</v>
      </c>
      <c r="AC14" s="169">
        <v>442</v>
      </c>
      <c r="AD14" s="169"/>
      <c r="AE14" s="169"/>
      <c r="AF14" s="169"/>
      <c r="AG14" s="169"/>
      <c r="AH14" s="169"/>
      <c r="AI14" s="169"/>
      <c r="AJ14" s="169"/>
      <c r="AK14" s="259"/>
      <c r="AL14" s="273"/>
      <c r="AM14" s="277">
        <f>X14*P1_reinigen_daken_met_vaste_dakveiligheid</f>
        <v>0</v>
      </c>
      <c r="AN14" s="279">
        <f>Y14*P1_reinigen_goten_met_vaste_dakveiligheid</f>
        <v>0</v>
      </c>
      <c r="AO14" s="279">
        <f>(AE14*P1_Reinigen_Lichtkoepel_50X50)+('Perceel 3'!AF14*P1_Reinigen_Lichtkoepel_60x200)+('Perceel 3'!AG14*P1_Reinigen_Lichtkoepel_180x180)+('Perceel 3'!AH14*P1_Reinigen_Lichtstraten_groter_dan_180x180)</f>
        <v>0</v>
      </c>
      <c r="AP14" s="279">
        <f>(X14+Y14)*P1_Inspecteren_daken_en_goten_1x_per_jaar_gelijktijdig_met_reiniging_inclusief_inspectierapport_en_een_managementrapport</f>
        <v>0</v>
      </c>
      <c r="AQ14" s="289"/>
      <c r="AR14" s="332">
        <f>AQ14*P1_keuren_dakveiligheid_per_man_uur</f>
        <v>0</v>
      </c>
      <c r="AS14" s="336">
        <f t="shared" si="2"/>
        <v>0</v>
      </c>
    </row>
    <row r="15" spans="1:45" s="7" customFormat="1" ht="15" hidden="1" thickTop="1" thickBot="1" x14ac:dyDescent="0.5">
      <c r="A15" s="182"/>
      <c r="B15" s="185">
        <v>1</v>
      </c>
      <c r="C15" s="175" t="s">
        <v>135</v>
      </c>
      <c r="D15" s="175" t="s">
        <v>136</v>
      </c>
      <c r="E15" s="175"/>
      <c r="F15" s="175"/>
      <c r="G15" s="175"/>
      <c r="H15" s="174" t="s">
        <v>240</v>
      </c>
      <c r="I15" s="174" t="s">
        <v>241</v>
      </c>
      <c r="J15" s="11"/>
      <c r="K15" s="11"/>
      <c r="L15" s="174"/>
      <c r="M15" s="175" t="s">
        <v>140</v>
      </c>
      <c r="N15" s="175" t="s">
        <v>248</v>
      </c>
      <c r="O15" s="175" t="s">
        <v>249</v>
      </c>
      <c r="P15" s="182" t="s">
        <v>250</v>
      </c>
      <c r="Q15" s="182" t="s">
        <v>245</v>
      </c>
      <c r="R15" s="50" t="s">
        <v>246</v>
      </c>
      <c r="S15" s="182" t="s">
        <v>189</v>
      </c>
      <c r="T15" s="182" t="s">
        <v>147</v>
      </c>
      <c r="U15" s="182" t="s">
        <v>148</v>
      </c>
      <c r="V15" s="182" t="s">
        <v>149</v>
      </c>
      <c r="W15" s="182">
        <v>1982</v>
      </c>
      <c r="X15" s="255">
        <v>720</v>
      </c>
      <c r="Y15" s="182"/>
      <c r="Z15" s="175"/>
      <c r="AA15" s="175" t="s">
        <v>150</v>
      </c>
      <c r="AB15" s="175"/>
      <c r="AC15" s="175"/>
      <c r="AD15" s="175"/>
      <c r="AE15" s="175"/>
      <c r="AF15" s="175"/>
      <c r="AG15" s="175"/>
      <c r="AH15" s="175"/>
      <c r="AI15" s="175"/>
      <c r="AJ15" s="175"/>
      <c r="AK15" s="255">
        <v>1</v>
      </c>
      <c r="AL15" s="274"/>
      <c r="AM15" s="299"/>
      <c r="AN15" s="298"/>
      <c r="AO15" s="298"/>
      <c r="AP15" s="298"/>
      <c r="AQ15" s="298"/>
      <c r="AR15" s="333"/>
      <c r="AS15" s="337"/>
    </row>
    <row r="16" spans="1:45" s="7" customFormat="1" ht="18" hidden="1" customHeight="1" x14ac:dyDescent="0.45">
      <c r="A16" s="182"/>
      <c r="B16" s="99"/>
      <c r="C16" s="99" t="s">
        <v>135</v>
      </c>
      <c r="D16" s="99" t="s">
        <v>136</v>
      </c>
      <c r="E16" s="99"/>
      <c r="F16" s="99"/>
      <c r="G16" s="99"/>
      <c r="H16" s="174" t="s">
        <v>240</v>
      </c>
      <c r="I16" s="174" t="s">
        <v>241</v>
      </c>
      <c r="J16" s="13"/>
      <c r="K16" s="13"/>
      <c r="L16" s="101"/>
      <c r="M16" s="102" t="s">
        <v>140</v>
      </c>
      <c r="N16" s="100" t="s">
        <v>251</v>
      </c>
      <c r="O16" s="100" t="s">
        <v>252</v>
      </c>
      <c r="P16" s="100" t="s">
        <v>250</v>
      </c>
      <c r="Q16" s="100" t="s">
        <v>245</v>
      </c>
      <c r="R16" s="182" t="s">
        <v>246</v>
      </c>
      <c r="S16" s="100" t="s">
        <v>189</v>
      </c>
      <c r="T16" s="92" t="s">
        <v>147</v>
      </c>
      <c r="U16" s="92" t="s">
        <v>148</v>
      </c>
      <c r="V16" s="103" t="s">
        <v>149</v>
      </c>
      <c r="W16" s="100">
        <v>2018</v>
      </c>
      <c r="X16" s="260">
        <f>667+1197</f>
        <v>1864</v>
      </c>
      <c r="Y16" s="100"/>
      <c r="Z16" s="99"/>
      <c r="AA16" s="99" t="s">
        <v>150</v>
      </c>
      <c r="AB16" s="99"/>
      <c r="AC16" s="99"/>
      <c r="AD16" s="99"/>
      <c r="AE16" s="99"/>
      <c r="AF16" s="99"/>
      <c r="AG16" s="99"/>
      <c r="AH16" s="99"/>
      <c r="AI16" s="99" t="s">
        <v>253</v>
      </c>
      <c r="AJ16" s="99"/>
      <c r="AK16" s="260">
        <v>1</v>
      </c>
      <c r="AL16" s="275"/>
      <c r="AM16" s="299"/>
      <c r="AN16" s="298"/>
      <c r="AO16" s="298"/>
      <c r="AP16" s="298"/>
      <c r="AQ16" s="298"/>
      <c r="AR16" s="333"/>
      <c r="AS16" s="337"/>
    </row>
    <row r="17" spans="1:45" s="7" customFormat="1" ht="15" hidden="1" thickTop="1" thickBot="1" x14ac:dyDescent="0.5">
      <c r="A17" s="182"/>
      <c r="B17" s="181">
        <v>1</v>
      </c>
      <c r="C17" s="175" t="s">
        <v>135</v>
      </c>
      <c r="D17" s="175" t="s">
        <v>136</v>
      </c>
      <c r="E17" s="175"/>
      <c r="F17" s="175"/>
      <c r="G17" s="175"/>
      <c r="H17" s="174" t="s">
        <v>240</v>
      </c>
      <c r="I17" s="174" t="s">
        <v>241</v>
      </c>
      <c r="J17" s="13"/>
      <c r="K17" s="13"/>
      <c r="L17" s="182"/>
      <c r="M17" s="175" t="s">
        <v>140</v>
      </c>
      <c r="N17" s="182" t="s">
        <v>254</v>
      </c>
      <c r="O17" s="175" t="s">
        <v>255</v>
      </c>
      <c r="P17" s="182" t="s">
        <v>256</v>
      </c>
      <c r="Q17" s="182" t="s">
        <v>245</v>
      </c>
      <c r="R17" s="50" t="s">
        <v>246</v>
      </c>
      <c r="S17" s="182" t="s">
        <v>189</v>
      </c>
      <c r="T17" s="182" t="s">
        <v>147</v>
      </c>
      <c r="U17" s="182" t="s">
        <v>148</v>
      </c>
      <c r="V17" s="182" t="s">
        <v>149</v>
      </c>
      <c r="W17" s="182">
        <v>1981</v>
      </c>
      <c r="X17" s="255">
        <f>2494-700</f>
        <v>1794</v>
      </c>
      <c r="Y17" s="182"/>
      <c r="Z17" s="175"/>
      <c r="AA17" s="175" t="s">
        <v>150</v>
      </c>
      <c r="AB17" s="175"/>
      <c r="AC17" s="175"/>
      <c r="AD17" s="175"/>
      <c r="AE17" s="175"/>
      <c r="AF17" s="175"/>
      <c r="AG17" s="175"/>
      <c r="AH17" s="175"/>
      <c r="AI17" s="175"/>
      <c r="AJ17" s="175"/>
      <c r="AK17" s="255">
        <v>1</v>
      </c>
      <c r="AL17" s="274"/>
      <c r="AM17" s="299"/>
      <c r="AN17" s="298"/>
      <c r="AO17" s="298"/>
      <c r="AP17" s="298"/>
      <c r="AQ17" s="298"/>
      <c r="AR17" s="333"/>
      <c r="AS17" s="337"/>
    </row>
    <row r="18" spans="1:45" s="7" customFormat="1" ht="102.75" hidden="1" thickTop="1" thickBot="1" x14ac:dyDescent="0.5">
      <c r="A18" s="182"/>
      <c r="B18" s="185">
        <v>1</v>
      </c>
      <c r="C18" s="175" t="s">
        <v>135</v>
      </c>
      <c r="D18" s="175" t="s">
        <v>136</v>
      </c>
      <c r="E18" s="175"/>
      <c r="F18" s="175"/>
      <c r="G18" s="175"/>
      <c r="H18" s="174" t="s">
        <v>240</v>
      </c>
      <c r="I18" s="174" t="s">
        <v>241</v>
      </c>
      <c r="J18" s="11"/>
      <c r="K18" s="11"/>
      <c r="L18" s="174"/>
      <c r="M18" s="175" t="s">
        <v>140</v>
      </c>
      <c r="N18" s="190" t="s">
        <v>257</v>
      </c>
      <c r="O18" s="191" t="s">
        <v>258</v>
      </c>
      <c r="P18" s="191" t="s">
        <v>259</v>
      </c>
      <c r="Q18" s="191" t="s">
        <v>245</v>
      </c>
      <c r="R18" s="51" t="s">
        <v>246</v>
      </c>
      <c r="S18" s="191" t="s">
        <v>189</v>
      </c>
      <c r="T18" s="191" t="s">
        <v>260</v>
      </c>
      <c r="U18" s="191" t="s">
        <v>261</v>
      </c>
      <c r="V18" s="191" t="s">
        <v>262</v>
      </c>
      <c r="W18" s="182">
        <v>1981</v>
      </c>
      <c r="X18" s="255">
        <v>700</v>
      </c>
      <c r="Y18" s="182"/>
      <c r="Z18" s="175"/>
      <c r="AA18" s="175" t="s">
        <v>150</v>
      </c>
      <c r="AB18" s="175"/>
      <c r="AC18" s="175"/>
      <c r="AD18" s="175"/>
      <c r="AE18" s="175"/>
      <c r="AF18" s="175"/>
      <c r="AG18" s="175"/>
      <c r="AH18" s="175"/>
      <c r="AI18" s="175"/>
      <c r="AJ18" s="175"/>
      <c r="AK18" s="255">
        <v>1</v>
      </c>
      <c r="AL18" s="274"/>
      <c r="AM18" s="299"/>
      <c r="AN18" s="298"/>
      <c r="AO18" s="298"/>
      <c r="AP18" s="298"/>
      <c r="AQ18" s="298"/>
      <c r="AR18" s="333"/>
      <c r="AS18" s="337"/>
    </row>
    <row r="19" spans="1:45" s="7" customFormat="1" ht="26.25" hidden="1" thickTop="1" thickBot="1" x14ac:dyDescent="0.5">
      <c r="A19" s="155"/>
      <c r="B19" s="165">
        <v>1</v>
      </c>
      <c r="C19" s="156" t="s">
        <v>135</v>
      </c>
      <c r="D19" s="156" t="s">
        <v>136</v>
      </c>
      <c r="E19" s="156"/>
      <c r="F19" s="156"/>
      <c r="G19" s="156"/>
      <c r="H19" s="151" t="s">
        <v>263</v>
      </c>
      <c r="I19" s="151" t="s">
        <v>264</v>
      </c>
      <c r="J19" s="157"/>
      <c r="K19" s="163"/>
      <c r="L19" s="151" t="s">
        <v>139</v>
      </c>
      <c r="M19" s="159" t="s">
        <v>140</v>
      </c>
      <c r="N19" s="192" t="s">
        <v>265</v>
      </c>
      <c r="O19" s="159" t="s">
        <v>266</v>
      </c>
      <c r="P19" s="159" t="s">
        <v>267</v>
      </c>
      <c r="Q19" s="159" t="s">
        <v>268</v>
      </c>
      <c r="R19" s="41" t="s">
        <v>246</v>
      </c>
      <c r="S19" s="159" t="s">
        <v>189</v>
      </c>
      <c r="T19" s="166" t="s">
        <v>269</v>
      </c>
      <c r="U19" s="166" t="s">
        <v>270</v>
      </c>
      <c r="V19" s="178" t="s">
        <v>271</v>
      </c>
      <c r="W19" s="152">
        <v>2017</v>
      </c>
      <c r="X19" s="152">
        <v>2580</v>
      </c>
      <c r="Y19" s="152">
        <v>200</v>
      </c>
      <c r="Z19" s="177"/>
      <c r="AA19" s="177"/>
      <c r="AB19" s="177">
        <f>11+3</f>
        <v>14</v>
      </c>
      <c r="AC19" s="177">
        <v>136</v>
      </c>
      <c r="AD19" s="177" t="s">
        <v>272</v>
      </c>
      <c r="AE19" s="177"/>
      <c r="AF19" s="177"/>
      <c r="AG19" s="177"/>
      <c r="AH19" s="177"/>
      <c r="AI19" s="177"/>
      <c r="AJ19" s="177"/>
      <c r="AK19" s="257">
        <v>1</v>
      </c>
      <c r="AL19" s="271"/>
      <c r="AM19" s="277">
        <f>X19*P1_reinigen_daken_met_vaste_dakveiligheid</f>
        <v>0</v>
      </c>
      <c r="AN19" s="279">
        <f>Y19*P1_reinigen_goten_met_vaste_dakveiligheid</f>
        <v>0</v>
      </c>
      <c r="AO19" s="279">
        <f>(AE19*P1_Reinigen_Lichtkoepel_50X50)+('Perceel 3'!AF19*P1_Reinigen_Lichtkoepel_60x200)+('Perceel 3'!AG19*P1_Reinigen_Lichtkoepel_180x180)+('Perceel 3'!AH19*P1_Reinigen_Lichtstraten_groter_dan_180x180)</f>
        <v>0</v>
      </c>
      <c r="AP19" s="279">
        <f>(X19+Y19)*P1_Inspecteren_daken_en_goten_1x_per_jaar_gelijktijdig_met_reiniging_inclusief_inspectierapport_en_een_managementrapport</f>
        <v>0</v>
      </c>
      <c r="AQ19" s="289"/>
      <c r="AR19" s="332">
        <f>AQ19*P1_keuren_dakveiligheid_per_man_uur</f>
        <v>0</v>
      </c>
      <c r="AS19" s="336">
        <f t="shared" si="2"/>
        <v>200</v>
      </c>
    </row>
    <row r="20" spans="1:45" s="7" customFormat="1" ht="64.5" hidden="1" thickTop="1" thickBot="1" x14ac:dyDescent="0.5">
      <c r="A20" s="193"/>
      <c r="B20" s="152">
        <v>1</v>
      </c>
      <c r="C20" s="156" t="s">
        <v>135</v>
      </c>
      <c r="D20" s="156" t="s">
        <v>136</v>
      </c>
      <c r="E20" s="156"/>
      <c r="F20" s="156"/>
      <c r="G20" s="156"/>
      <c r="H20" s="163" t="s">
        <v>273</v>
      </c>
      <c r="I20" s="151"/>
      <c r="J20" s="157"/>
      <c r="K20" s="163"/>
      <c r="L20" s="163" t="s">
        <v>139</v>
      </c>
      <c r="M20" s="166" t="s">
        <v>140</v>
      </c>
      <c r="N20" s="194" t="s">
        <v>274</v>
      </c>
      <c r="O20" s="166" t="s">
        <v>275</v>
      </c>
      <c r="P20" s="166" t="s">
        <v>276</v>
      </c>
      <c r="Q20" s="166" t="s">
        <v>268</v>
      </c>
      <c r="R20" s="52" t="s">
        <v>246</v>
      </c>
      <c r="S20" s="166" t="s">
        <v>189</v>
      </c>
      <c r="T20" s="166" t="s">
        <v>277</v>
      </c>
      <c r="U20" s="166" t="s">
        <v>170</v>
      </c>
      <c r="V20" s="178" t="s">
        <v>171</v>
      </c>
      <c r="W20" s="198">
        <v>1977</v>
      </c>
      <c r="X20" s="198">
        <v>810</v>
      </c>
      <c r="Y20" s="198"/>
      <c r="Z20" s="189"/>
      <c r="AA20" s="189"/>
      <c r="AB20" s="189"/>
      <c r="AC20" s="189"/>
      <c r="AD20" s="189"/>
      <c r="AE20" s="189"/>
      <c r="AF20" s="189"/>
      <c r="AG20" s="189"/>
      <c r="AH20" s="189"/>
      <c r="AI20" s="189"/>
      <c r="AJ20" s="189"/>
      <c r="AK20" s="189">
        <v>1</v>
      </c>
      <c r="AL20" s="273"/>
      <c r="AM20" s="277">
        <f>X20*P1_Reinigen_daken_incl._extra_maatregelen_veilig_werken_volgens_VCA__eventuele_vergunningen_leges___voorrijkosten__adminstratieve_kosten__fotorapportage_en_kleine_reparaties_¹</f>
        <v>0</v>
      </c>
      <c r="AN20" s="279">
        <f>Y20*P1_Reinigen_goten_incl._extra_maatregelen_veilig_werken_volgens_VCA__eventuele_vergunningen_leges___voorrijkosten__adminstratieve_kosten__fotorapportage_en_kleine_reparaties_¹</f>
        <v>0</v>
      </c>
      <c r="AO20" s="279">
        <f>(AE20*P1_Reinigen_Lichtkoepel_50X50)+('Perceel 3'!AF20*P1_Reinigen_Lichtkoepel_60x200)+('Perceel 3'!AG20*P1_Reinigen_Lichtkoepel_180x180)+('Perceel 3'!AH20*P1_Reinigen_Lichtstraten_groter_dan_180x180)</f>
        <v>0</v>
      </c>
      <c r="AP20" s="279">
        <f>(X20+Y20)*P1_Inspecteren_daken_en_goten_1x_per_jaar_gelijktijdig_met_reiniging_inclusief_inspectierapport_en_een_managementrapport</f>
        <v>0</v>
      </c>
      <c r="AQ20" s="298"/>
      <c r="AR20" s="332">
        <f>AQ20*P1_keuren_dakveiligheid_per_man_uur</f>
        <v>0</v>
      </c>
      <c r="AS20" s="336">
        <f t="shared" si="2"/>
        <v>0</v>
      </c>
    </row>
    <row r="21" spans="1:45" s="7" customFormat="1" ht="12.75" hidden="1" customHeight="1" x14ac:dyDescent="0.45">
      <c r="A21" s="155"/>
      <c r="B21" s="165">
        <v>1</v>
      </c>
      <c r="C21" s="156" t="s">
        <v>135</v>
      </c>
      <c r="D21" s="156" t="s">
        <v>136</v>
      </c>
      <c r="E21" s="156"/>
      <c r="F21" s="156"/>
      <c r="G21" s="156"/>
      <c r="H21" s="151" t="s">
        <v>278</v>
      </c>
      <c r="I21" s="151" t="s">
        <v>279</v>
      </c>
      <c r="J21" s="157"/>
      <c r="K21" s="163"/>
      <c r="L21" s="163" t="s">
        <v>280</v>
      </c>
      <c r="M21" s="166" t="s">
        <v>281</v>
      </c>
      <c r="N21" s="159" t="s">
        <v>282</v>
      </c>
      <c r="O21" s="159" t="s">
        <v>283</v>
      </c>
      <c r="P21" s="160" t="s">
        <v>284</v>
      </c>
      <c r="Q21" s="160" t="s">
        <v>285</v>
      </c>
      <c r="R21" s="53" t="s">
        <v>286</v>
      </c>
      <c r="S21" s="160" t="s">
        <v>189</v>
      </c>
      <c r="T21" s="159" t="s">
        <v>287</v>
      </c>
      <c r="U21" s="168" t="s">
        <v>288</v>
      </c>
      <c r="V21" s="176" t="s">
        <v>289</v>
      </c>
      <c r="W21" s="152">
        <v>1978</v>
      </c>
      <c r="X21" s="152">
        <v>398</v>
      </c>
      <c r="Y21" s="152"/>
      <c r="Z21" s="177"/>
      <c r="AA21" s="177"/>
      <c r="AB21" s="177"/>
      <c r="AC21" s="177"/>
      <c r="AD21" s="177"/>
      <c r="AE21" s="177"/>
      <c r="AF21" s="177"/>
      <c r="AG21" s="177"/>
      <c r="AH21" s="177"/>
      <c r="AI21" s="177"/>
      <c r="AJ21" s="177"/>
      <c r="AK21" s="257">
        <v>1</v>
      </c>
      <c r="AL21" s="271"/>
      <c r="AM21" s="277">
        <f>X21*P1_Reinigen_daken_incl._extra_maatregelen_veilig_werken_volgens_VCA__eventuele_vergunningen_leges___voorrijkosten__adminstratieve_kosten__fotorapportage_en_kleine_reparaties_¹</f>
        <v>0</v>
      </c>
      <c r="AN21" s="279">
        <f>Y21*P1_Reinigen_goten_incl._extra_maatregelen_veilig_werken_volgens_VCA__eventuele_vergunningen_leges___voorrijkosten__adminstratieve_kosten__fotorapportage_en_kleine_reparaties_¹</f>
        <v>0</v>
      </c>
      <c r="AO21" s="279">
        <f>(AE21*P1_Reinigen_Lichtkoepel_50X50)+('Perceel 3'!AF21*P1_Reinigen_Lichtkoepel_60x200)+('Perceel 3'!AG21*P1_Reinigen_Lichtkoepel_180x180)+('Perceel 3'!AH21*P1_Reinigen_Lichtstraten_groter_dan_180x180)</f>
        <v>0</v>
      </c>
      <c r="AP21" s="279">
        <f>(X21+Y21)*P1_Inspecteren_daken_en_goten_1x_per_jaar_gelijktijdig_met_reiniging_inclusief_inspectierapport_en_een_managementrapport</f>
        <v>0</v>
      </c>
      <c r="AQ21" s="298"/>
      <c r="AR21" s="332">
        <f>AQ21*P1_keuren_dakveiligheid_per_man_uur</f>
        <v>0</v>
      </c>
      <c r="AS21" s="336">
        <f t="shared" si="2"/>
        <v>0</v>
      </c>
    </row>
    <row r="22" spans="1:45" s="7" customFormat="1" ht="12.75" hidden="1" customHeight="1" x14ac:dyDescent="0.45">
      <c r="A22" s="155"/>
      <c r="B22" s="165">
        <v>1</v>
      </c>
      <c r="C22" s="156" t="s">
        <v>135</v>
      </c>
      <c r="D22" s="156" t="s">
        <v>136</v>
      </c>
      <c r="E22" s="156"/>
      <c r="F22" s="156"/>
      <c r="G22" s="156"/>
      <c r="H22" s="151" t="s">
        <v>290</v>
      </c>
      <c r="I22" s="151" t="s">
        <v>291</v>
      </c>
      <c r="J22" s="157"/>
      <c r="K22" s="163"/>
      <c r="L22" s="163" t="s">
        <v>280</v>
      </c>
      <c r="M22" s="166" t="s">
        <v>281</v>
      </c>
      <c r="N22" s="160" t="s">
        <v>292</v>
      </c>
      <c r="O22" s="159" t="s">
        <v>293</v>
      </c>
      <c r="P22" s="159" t="s">
        <v>294</v>
      </c>
      <c r="Q22" s="151" t="s">
        <v>285</v>
      </c>
      <c r="R22" s="42" t="s">
        <v>286</v>
      </c>
      <c r="S22" s="160" t="s">
        <v>189</v>
      </c>
      <c r="T22" s="159" t="s">
        <v>287</v>
      </c>
      <c r="U22" s="168" t="s">
        <v>288</v>
      </c>
      <c r="V22" s="176" t="s">
        <v>289</v>
      </c>
      <c r="W22" s="152">
        <v>2002</v>
      </c>
      <c r="X22" s="152">
        <v>165</v>
      </c>
      <c r="Y22" s="152"/>
      <c r="Z22" s="177"/>
      <c r="AA22" s="177"/>
      <c r="AB22" s="177"/>
      <c r="AC22" s="177"/>
      <c r="AD22" s="177"/>
      <c r="AE22" s="177"/>
      <c r="AF22" s="177"/>
      <c r="AG22" s="177"/>
      <c r="AH22" s="177"/>
      <c r="AI22" s="177"/>
      <c r="AJ22" s="177"/>
      <c r="AK22" s="257">
        <v>1</v>
      </c>
      <c r="AL22" s="271"/>
      <c r="AM22" s="277">
        <f>X22*P1_Reinigen_daken_incl._extra_maatregelen_veilig_werken_volgens_VCA__eventuele_vergunningen_leges___voorrijkosten__adminstratieve_kosten__fotorapportage_en_kleine_reparaties_¹</f>
        <v>0</v>
      </c>
      <c r="AN22" s="279">
        <f>Y22*P1_Reinigen_goten_incl._extra_maatregelen_veilig_werken_volgens_VCA__eventuele_vergunningen_leges___voorrijkosten__adminstratieve_kosten__fotorapportage_en_kleine_reparaties_¹</f>
        <v>0</v>
      </c>
      <c r="AO22" s="279">
        <f>(AE22*P1_Reinigen_Lichtkoepel_50X50)+('Perceel 3'!AF22*P1_Reinigen_Lichtkoepel_60x200)+('Perceel 3'!AG22*P1_Reinigen_Lichtkoepel_180x180)+('Perceel 3'!AH22*P1_Reinigen_Lichtstraten_groter_dan_180x180)</f>
        <v>0</v>
      </c>
      <c r="AP22" s="279">
        <f>(X22+Y22)*P1_Inspecteren_daken_en_goten_1x_per_jaar_gelijktijdig_met_reiniging_inclusief_inspectierapport_en_een_managementrapport</f>
        <v>0</v>
      </c>
      <c r="AQ22" s="298"/>
      <c r="AR22" s="332">
        <f>AQ22*P1_keuren_dakveiligheid_per_man_uur</f>
        <v>0</v>
      </c>
      <c r="AS22" s="336">
        <f t="shared" si="2"/>
        <v>0</v>
      </c>
    </row>
    <row r="23" spans="1:45" s="7" customFormat="1" ht="26.25" hidden="1" thickTop="1" thickBot="1" x14ac:dyDescent="0.5">
      <c r="A23" s="155"/>
      <c r="B23" s="152">
        <v>1</v>
      </c>
      <c r="C23" s="156" t="s">
        <v>135</v>
      </c>
      <c r="D23" s="156" t="s">
        <v>136</v>
      </c>
      <c r="E23" s="156"/>
      <c r="F23" s="156"/>
      <c r="G23" s="156"/>
      <c r="H23" s="151" t="s">
        <v>295</v>
      </c>
      <c r="I23" s="151" t="s">
        <v>296</v>
      </c>
      <c r="J23" s="157"/>
      <c r="K23" s="158"/>
      <c r="L23" s="151" t="s">
        <v>139</v>
      </c>
      <c r="M23" s="159" t="s">
        <v>297</v>
      </c>
      <c r="N23" s="159" t="s">
        <v>298</v>
      </c>
      <c r="O23" s="159" t="s">
        <v>299</v>
      </c>
      <c r="P23" s="159" t="s">
        <v>300</v>
      </c>
      <c r="Q23" s="159" t="s">
        <v>301</v>
      </c>
      <c r="R23" s="42" t="s">
        <v>302</v>
      </c>
      <c r="S23" s="160" t="s">
        <v>146</v>
      </c>
      <c r="T23" s="159" t="s">
        <v>303</v>
      </c>
      <c r="U23" s="159" t="s">
        <v>304</v>
      </c>
      <c r="V23" s="176" t="s">
        <v>305</v>
      </c>
      <c r="W23" s="152">
        <v>2009</v>
      </c>
      <c r="X23" s="152">
        <v>1157</v>
      </c>
      <c r="Y23" s="152"/>
      <c r="Z23" s="177"/>
      <c r="AA23" s="177" t="s">
        <v>150</v>
      </c>
      <c r="AB23" s="177">
        <v>18</v>
      </c>
      <c r="AC23" s="177"/>
      <c r="AD23" s="177"/>
      <c r="AE23" s="177"/>
      <c r="AF23" s="177"/>
      <c r="AG23" s="177"/>
      <c r="AH23" s="177"/>
      <c r="AI23" s="177"/>
      <c r="AJ23" s="177"/>
      <c r="AK23" s="257">
        <v>1</v>
      </c>
      <c r="AL23" s="271"/>
      <c r="AM23" s="277">
        <f>X23*P1_reinigen_daken_met_vaste_dakveiligheid</f>
        <v>0</v>
      </c>
      <c r="AN23" s="279">
        <f>Y23*P1_reinigen_goten_met_vaste_dakveiligheid</f>
        <v>0</v>
      </c>
      <c r="AO23" s="279">
        <f>(AE23*P1_Reinigen_Lichtkoepel_50X50)+('Perceel 3'!AF23*P1_Reinigen_Lichtkoepel_60x200)+('Perceel 3'!AG23*P1_Reinigen_Lichtkoepel_180x180)+('Perceel 3'!AH23*P1_Reinigen_Lichtstraten_groter_dan_180x180)</f>
        <v>0</v>
      </c>
      <c r="AP23" s="279">
        <f>(X23+Y23)*P1_Inspecteren_daken_en_goten_1x_per_jaar_gelijktijdig_met_reiniging_inclusief_inspectierapport_en_een_managementrapport</f>
        <v>0</v>
      </c>
      <c r="AQ23" s="289"/>
      <c r="AR23" s="332">
        <f>AQ23*P1_keuren_dakveiligheid_per_man_uur</f>
        <v>0</v>
      </c>
      <c r="AS23" s="336">
        <f t="shared" si="2"/>
        <v>0</v>
      </c>
    </row>
    <row r="24" spans="1:45" s="7" customFormat="1" ht="40.35" hidden="1" customHeight="1" x14ac:dyDescent="0.45">
      <c r="A24" s="169"/>
      <c r="B24" s="180">
        <v>1</v>
      </c>
      <c r="C24" s="169" t="s">
        <v>135</v>
      </c>
      <c r="D24" s="169" t="s">
        <v>136</v>
      </c>
      <c r="E24" s="169" t="s">
        <v>306</v>
      </c>
      <c r="F24" s="169"/>
      <c r="G24" s="169"/>
      <c r="H24" s="17"/>
      <c r="I24" s="17"/>
      <c r="J24" s="17"/>
      <c r="K24" s="17"/>
      <c r="L24" s="169" t="s">
        <v>154</v>
      </c>
      <c r="M24" s="169" t="s">
        <v>155</v>
      </c>
      <c r="N24" s="169" t="s">
        <v>307</v>
      </c>
      <c r="O24" s="169" t="s">
        <v>308</v>
      </c>
      <c r="P24" s="169" t="s">
        <v>309</v>
      </c>
      <c r="Q24" s="169" t="s">
        <v>310</v>
      </c>
      <c r="R24" s="169" t="s">
        <v>168</v>
      </c>
      <c r="S24" s="169" t="s">
        <v>146</v>
      </c>
      <c r="T24" s="169"/>
      <c r="U24" s="169"/>
      <c r="V24" s="169"/>
      <c r="W24" s="169">
        <v>2021</v>
      </c>
      <c r="X24" s="204">
        <v>945</v>
      </c>
      <c r="Y24" s="169"/>
      <c r="Z24" s="204" t="s">
        <v>311</v>
      </c>
      <c r="AA24" s="204" t="s">
        <v>311</v>
      </c>
      <c r="AB24" s="204">
        <v>13</v>
      </c>
      <c r="AC24" s="204">
        <v>30</v>
      </c>
      <c r="AD24" s="169" t="s">
        <v>312</v>
      </c>
      <c r="AE24" s="169"/>
      <c r="AF24" s="169"/>
      <c r="AG24" s="204">
        <v>6</v>
      </c>
      <c r="AH24" s="204"/>
      <c r="AI24" s="169" t="s">
        <v>163</v>
      </c>
      <c r="AJ24" s="169"/>
      <c r="AK24" s="204">
        <v>1</v>
      </c>
      <c r="AL24" s="274" t="s">
        <v>313</v>
      </c>
      <c r="AM24" s="299"/>
      <c r="AN24" s="298"/>
      <c r="AO24" s="298"/>
      <c r="AP24" s="298"/>
      <c r="AQ24" s="289"/>
      <c r="AR24" s="333"/>
      <c r="AS24" s="337"/>
    </row>
    <row r="25" spans="1:45" s="7" customFormat="1" ht="40.35" hidden="1" customHeight="1" x14ac:dyDescent="0.45">
      <c r="A25" s="182"/>
      <c r="B25" s="254">
        <v>1</v>
      </c>
      <c r="C25" s="182" t="s">
        <v>135</v>
      </c>
      <c r="D25" s="182" t="s">
        <v>306</v>
      </c>
      <c r="E25" s="182"/>
      <c r="F25" s="182"/>
      <c r="G25" s="182"/>
      <c r="H25" s="182"/>
      <c r="I25" s="182"/>
      <c r="J25" s="182"/>
      <c r="K25" s="182"/>
      <c r="L25" s="182" t="s">
        <v>154</v>
      </c>
      <c r="M25" s="182" t="s">
        <v>155</v>
      </c>
      <c r="N25" s="182" t="s">
        <v>314</v>
      </c>
      <c r="O25" s="182" t="s">
        <v>315</v>
      </c>
      <c r="P25" s="182" t="s">
        <v>316</v>
      </c>
      <c r="Q25" s="182" t="s">
        <v>310</v>
      </c>
      <c r="R25" s="182" t="s">
        <v>168</v>
      </c>
      <c r="S25" s="182" t="s">
        <v>146</v>
      </c>
      <c r="T25" s="182"/>
      <c r="U25" s="182"/>
      <c r="V25" s="182"/>
      <c r="W25" s="182">
        <v>2021</v>
      </c>
      <c r="X25" s="255">
        <f>X24*18%</f>
        <v>170.1</v>
      </c>
      <c r="Y25" s="182"/>
      <c r="Z25" s="255" t="s">
        <v>311</v>
      </c>
      <c r="AA25" s="255" t="s">
        <v>311</v>
      </c>
      <c r="AB25" s="255">
        <f>AB24*18%</f>
        <v>2.34</v>
      </c>
      <c r="AC25" s="182"/>
      <c r="AD25" s="182"/>
      <c r="AE25" s="182"/>
      <c r="AF25" s="182"/>
      <c r="AG25" s="255">
        <f>AG24*18%</f>
        <v>1.08</v>
      </c>
      <c r="AH25" s="255"/>
      <c r="AI25" s="182" t="s">
        <v>163</v>
      </c>
      <c r="AJ25" s="182"/>
      <c r="AK25" s="255">
        <v>1</v>
      </c>
      <c r="AL25" s="271"/>
      <c r="AM25" s="277">
        <f>X25*P1_reinigen_daken_met_vaste_dakveiligheid</f>
        <v>0</v>
      </c>
      <c r="AN25" s="279">
        <f>Y25*P1_reinigen_goten_met_vaste_dakveiligheid</f>
        <v>0</v>
      </c>
      <c r="AO25" s="279">
        <f>(AE25*P1_Reinigen_Lichtkoepel_50X50)+('Perceel 3'!AF25*P1_Reinigen_Lichtkoepel_60x200)+('Perceel 3'!AG25*P1_Reinigen_Lichtkoepel_180x180)+('Perceel 3'!AH25*P1_Reinigen_Lichtstraten_groter_dan_180x180)</f>
        <v>0</v>
      </c>
      <c r="AP25" s="279">
        <f>(X25+Y25)*P1_Inspecteren_daken_en_goten_1x_per_jaar_gelijktijdig_met_reiniging_inclusief_inspectierapport_en_een_managementrapport</f>
        <v>0</v>
      </c>
      <c r="AQ25" s="280">
        <f>AQ24*18%</f>
        <v>0</v>
      </c>
      <c r="AR25" s="332">
        <f>AQ25*P1_keuren_dakveiligheid_per_man_uur</f>
        <v>0</v>
      </c>
      <c r="AS25" s="336">
        <f t="shared" si="2"/>
        <v>0</v>
      </c>
    </row>
    <row r="26" spans="1:45" s="7" customFormat="1" ht="40.35" hidden="1" customHeight="1" x14ac:dyDescent="0.45">
      <c r="A26" s="182"/>
      <c r="B26" s="254">
        <v>1</v>
      </c>
      <c r="C26" s="182" t="s">
        <v>135</v>
      </c>
      <c r="D26" s="182" t="s">
        <v>136</v>
      </c>
      <c r="E26" s="182"/>
      <c r="F26" s="182"/>
      <c r="G26" s="182"/>
      <c r="H26" s="182"/>
      <c r="I26" s="182"/>
      <c r="J26" s="182"/>
      <c r="K26" s="182"/>
      <c r="L26" s="182" t="s">
        <v>154</v>
      </c>
      <c r="M26" s="182" t="s">
        <v>155</v>
      </c>
      <c r="N26" s="201">
        <v>1196</v>
      </c>
      <c r="O26" s="182" t="s">
        <v>317</v>
      </c>
      <c r="P26" s="182" t="s">
        <v>318</v>
      </c>
      <c r="Q26" s="182" t="s">
        <v>310</v>
      </c>
      <c r="R26" s="182" t="s">
        <v>168</v>
      </c>
      <c r="S26" s="182" t="s">
        <v>146</v>
      </c>
      <c r="T26" s="182"/>
      <c r="U26" s="182"/>
      <c r="V26" s="182"/>
      <c r="W26" s="182">
        <v>2021</v>
      </c>
      <c r="X26" s="255">
        <f>X24*82%</f>
        <v>774.9</v>
      </c>
      <c r="Y26" s="182"/>
      <c r="Z26" s="255" t="s">
        <v>311</v>
      </c>
      <c r="AA26" s="255" t="s">
        <v>311</v>
      </c>
      <c r="AB26" s="255">
        <f>AB24*82%</f>
        <v>10.66</v>
      </c>
      <c r="AC26" s="182"/>
      <c r="AD26" s="182"/>
      <c r="AE26" s="182"/>
      <c r="AF26" s="182"/>
      <c r="AG26" s="255">
        <f>AG24*82%</f>
        <v>4.92</v>
      </c>
      <c r="AH26" s="255"/>
      <c r="AI26" s="182" t="s">
        <v>163</v>
      </c>
      <c r="AJ26" s="182"/>
      <c r="AK26" s="255">
        <v>1</v>
      </c>
      <c r="AL26" s="271"/>
      <c r="AM26" s="277">
        <f>X26*P1_reinigen_daken_met_vaste_dakveiligheid</f>
        <v>0</v>
      </c>
      <c r="AN26" s="279">
        <f>Y26*P1_reinigen_goten_met_vaste_dakveiligheid</f>
        <v>0</v>
      </c>
      <c r="AO26" s="279">
        <f>(AE26*P1_Reinigen_Lichtkoepel_50X50)+('Perceel 3'!AF26*P1_Reinigen_Lichtkoepel_60x200)+('Perceel 3'!AG26*P1_Reinigen_Lichtkoepel_180x180)+('Perceel 3'!AH26*P1_Reinigen_Lichtstraten_groter_dan_180x180)</f>
        <v>0</v>
      </c>
      <c r="AP26" s="279">
        <f>(X26+Y26)*P1_Inspecteren_daken_en_goten_1x_per_jaar_gelijktijdig_met_reiniging_inclusief_inspectierapport_en_een_managementrapport</f>
        <v>0</v>
      </c>
      <c r="AQ26" s="280">
        <f>AQ24*72%</f>
        <v>0</v>
      </c>
      <c r="AR26" s="332">
        <f>AQ26*P1_keuren_dakveiligheid_per_man_uur</f>
        <v>0</v>
      </c>
      <c r="AS26" s="336">
        <f t="shared" si="2"/>
        <v>0</v>
      </c>
    </row>
    <row r="27" spans="1:45" s="7" customFormat="1" ht="72" hidden="1" thickTop="1" thickBot="1" x14ac:dyDescent="0.5">
      <c r="A27" s="160"/>
      <c r="B27" s="256">
        <v>1</v>
      </c>
      <c r="C27" s="160" t="s">
        <v>135</v>
      </c>
      <c r="D27" s="160" t="s">
        <v>136</v>
      </c>
      <c r="E27" s="160"/>
      <c r="F27" s="160"/>
      <c r="G27" s="160"/>
      <c r="H27" s="160"/>
      <c r="I27" s="160"/>
      <c r="J27" s="160"/>
      <c r="K27" s="160"/>
      <c r="L27" s="160"/>
      <c r="M27" s="160" t="s">
        <v>319</v>
      </c>
      <c r="N27" s="195">
        <v>1030</v>
      </c>
      <c r="O27" s="160" t="s">
        <v>320</v>
      </c>
      <c r="P27" s="160" t="s">
        <v>321</v>
      </c>
      <c r="Q27" s="160" t="s">
        <v>322</v>
      </c>
      <c r="R27" s="53" t="s">
        <v>168</v>
      </c>
      <c r="S27" s="160" t="s">
        <v>146</v>
      </c>
      <c r="T27" s="160"/>
      <c r="U27" s="160"/>
      <c r="V27" s="160"/>
      <c r="W27" s="160">
        <v>2020</v>
      </c>
      <c r="X27" s="257">
        <v>42</v>
      </c>
      <c r="Y27" s="160"/>
      <c r="Z27" s="257" t="s">
        <v>311</v>
      </c>
      <c r="AA27" s="257" t="s">
        <v>323</v>
      </c>
      <c r="AB27" s="160"/>
      <c r="AC27" s="160"/>
      <c r="AD27" s="257" t="s">
        <v>323</v>
      </c>
      <c r="AE27" s="257"/>
      <c r="AF27" s="257"/>
      <c r="AG27" s="257"/>
      <c r="AH27" s="160"/>
      <c r="AI27" s="160" t="s">
        <v>324</v>
      </c>
      <c r="AJ27" s="160"/>
      <c r="AK27" s="257">
        <v>1</v>
      </c>
      <c r="AL27" s="271"/>
      <c r="AM27" s="277">
        <f>X27*P1_Reinigen_daken_incl._extra_maatregelen_veilig_werken_volgens_VCA__eventuele_vergunningen_leges___voorrijkosten__adminstratieve_kosten__fotorapportage_en_kleine_reparaties_¹</f>
        <v>0</v>
      </c>
      <c r="AN27" s="279">
        <f>Y27*P1_Reinigen_goten_incl._extra_maatregelen_veilig_werken_volgens_VCA__eventuele_vergunningen_leges___voorrijkosten__adminstratieve_kosten__fotorapportage_en_kleine_reparaties_¹</f>
        <v>0</v>
      </c>
      <c r="AO27" s="279">
        <f>(AE27*P1_Reinigen_Lichtkoepel_50X50)+('Perceel 3'!AF27*P1_Reinigen_Lichtkoepel_60x200)+('Perceel 3'!AG27*P1_Reinigen_Lichtkoepel_180x180)+('Perceel 3'!AH27*P1_Reinigen_Lichtstraten_groter_dan_180x180)</f>
        <v>0</v>
      </c>
      <c r="AP27" s="279">
        <f>(X27+Y27)*P1_Inspecteren_daken_en_goten_1x_per_jaar_gelijktijdig_met_reiniging_inclusief_inspectierapport_en_een_managementrapport</f>
        <v>0</v>
      </c>
      <c r="AQ27" s="289"/>
      <c r="AR27" s="332">
        <f>AQ27*P1_keuren_dakveiligheid_per_man_uur</f>
        <v>0</v>
      </c>
      <c r="AS27" s="336">
        <f t="shared" si="2"/>
        <v>0</v>
      </c>
    </row>
    <row r="28" spans="1:45" s="7" customFormat="1" ht="39" hidden="1" thickTop="1" thickBot="1" x14ac:dyDescent="0.5">
      <c r="A28" s="155"/>
      <c r="B28" s="152">
        <v>1</v>
      </c>
      <c r="C28" s="156" t="s">
        <v>135</v>
      </c>
      <c r="D28" s="156" t="s">
        <v>136</v>
      </c>
      <c r="E28" s="156"/>
      <c r="F28" s="156"/>
      <c r="G28" s="156"/>
      <c r="H28" s="151" t="s">
        <v>325</v>
      </c>
      <c r="I28" s="151" t="s">
        <v>326</v>
      </c>
      <c r="J28" s="157"/>
      <c r="K28" s="158"/>
      <c r="L28" s="163" t="s">
        <v>154</v>
      </c>
      <c r="M28" s="166" t="s">
        <v>155</v>
      </c>
      <c r="N28" s="195" t="s">
        <v>327</v>
      </c>
      <c r="O28" s="159" t="s">
        <v>328</v>
      </c>
      <c r="P28" s="159" t="s">
        <v>329</v>
      </c>
      <c r="Q28" s="151" t="s">
        <v>213</v>
      </c>
      <c r="R28" s="54" t="s">
        <v>168</v>
      </c>
      <c r="S28" s="160" t="s">
        <v>146</v>
      </c>
      <c r="T28" s="159" t="s">
        <v>330</v>
      </c>
      <c r="U28" s="159" t="s">
        <v>331</v>
      </c>
      <c r="V28" s="176" t="s">
        <v>332</v>
      </c>
      <c r="W28" s="152">
        <v>2013</v>
      </c>
      <c r="X28" s="152">
        <v>48</v>
      </c>
      <c r="Y28" s="152"/>
      <c r="Z28" s="177"/>
      <c r="AA28" s="199"/>
      <c r="AB28" s="199"/>
      <c r="AC28" s="199"/>
      <c r="AD28" s="199"/>
      <c r="AE28" s="199"/>
      <c r="AF28" s="199"/>
      <c r="AG28" s="199"/>
      <c r="AH28" s="199"/>
      <c r="AI28" s="200"/>
      <c r="AJ28" s="199"/>
      <c r="AK28" s="257">
        <v>1</v>
      </c>
      <c r="AL28" s="271"/>
      <c r="AM28" s="277">
        <f>X28*P1_Reinigen_daken_incl._extra_maatregelen_veilig_werken_volgens_VCA__eventuele_vergunningen_leges___voorrijkosten__adminstratieve_kosten__fotorapportage_en_kleine_reparaties_¹</f>
        <v>0</v>
      </c>
      <c r="AN28" s="279">
        <f>Y28*P1_Reinigen_goten_incl._extra_maatregelen_veilig_werken_volgens_VCA__eventuele_vergunningen_leges___voorrijkosten__adminstratieve_kosten__fotorapportage_en_kleine_reparaties_¹</f>
        <v>0</v>
      </c>
      <c r="AO28" s="279">
        <f>(AE28*P1_Reinigen_Lichtkoepel_50X50)+('Perceel 3'!AF28*P1_Reinigen_Lichtkoepel_60x200)+('Perceel 3'!AG28*P1_Reinigen_Lichtkoepel_180x180)+('Perceel 3'!AH28*P1_Reinigen_Lichtstraten_groter_dan_180x180)</f>
        <v>0</v>
      </c>
      <c r="AP28" s="279">
        <f>(X28+Y28)*P1_Inspecteren_daken_en_goten_1x_per_jaar_gelijktijdig_met_reiniging_inclusief_inspectierapport_en_een_managementrapport</f>
        <v>0</v>
      </c>
      <c r="AQ28" s="298"/>
      <c r="AR28" s="332">
        <f>AQ28*P1_keuren_dakveiligheid_per_man_uur</f>
        <v>0</v>
      </c>
      <c r="AS28" s="336">
        <f t="shared" si="2"/>
        <v>0</v>
      </c>
    </row>
    <row r="29" spans="1:45" s="7" customFormat="1" ht="15" hidden="1" thickTop="1" thickBot="1" x14ac:dyDescent="0.5">
      <c r="A29" s="155"/>
      <c r="B29" s="165">
        <v>1</v>
      </c>
      <c r="C29" s="156" t="s">
        <v>135</v>
      </c>
      <c r="D29" s="156" t="s">
        <v>136</v>
      </c>
      <c r="E29" s="156"/>
      <c r="F29" s="156"/>
      <c r="G29" s="156"/>
      <c r="H29" s="151" t="s">
        <v>333</v>
      </c>
      <c r="I29" s="151" t="s">
        <v>334</v>
      </c>
      <c r="J29" s="157"/>
      <c r="K29" s="163"/>
      <c r="L29" s="163" t="s">
        <v>154</v>
      </c>
      <c r="M29" s="166" t="s">
        <v>155</v>
      </c>
      <c r="N29" s="160" t="s">
        <v>335</v>
      </c>
      <c r="O29" s="159" t="s">
        <v>336</v>
      </c>
      <c r="P29" s="160" t="s">
        <v>337</v>
      </c>
      <c r="Q29" s="160" t="s">
        <v>338</v>
      </c>
      <c r="R29" s="55" t="s">
        <v>339</v>
      </c>
      <c r="S29" s="160" t="s">
        <v>340</v>
      </c>
      <c r="T29" s="159" t="s">
        <v>341</v>
      </c>
      <c r="U29" s="159" t="s">
        <v>342</v>
      </c>
      <c r="V29" s="176" t="s">
        <v>343</v>
      </c>
      <c r="W29" s="152">
        <v>1984</v>
      </c>
      <c r="X29" s="152">
        <v>2826</v>
      </c>
      <c r="Y29" s="152"/>
      <c r="Z29" s="177" t="s">
        <v>311</v>
      </c>
      <c r="AA29" s="177" t="s">
        <v>150</v>
      </c>
      <c r="AB29" s="177">
        <v>37</v>
      </c>
      <c r="AC29" s="177">
        <v>265</v>
      </c>
      <c r="AD29" s="177" t="s">
        <v>344</v>
      </c>
      <c r="AE29" s="177"/>
      <c r="AF29" s="177"/>
      <c r="AG29" s="177"/>
      <c r="AH29" s="177"/>
      <c r="AI29" s="177" t="s">
        <v>345</v>
      </c>
      <c r="AJ29" s="177" t="s">
        <v>346</v>
      </c>
      <c r="AK29" s="257">
        <v>1</v>
      </c>
      <c r="AL29" s="271"/>
      <c r="AM29" s="277">
        <f>X29*P1_reinigen_daken_met_vaste_dakveiligheid</f>
        <v>0</v>
      </c>
      <c r="AN29" s="279">
        <f>Y29*P1_reinigen_goten_met_vaste_dakveiligheid</f>
        <v>0</v>
      </c>
      <c r="AO29" s="279">
        <f>(AE29*P1_Reinigen_Lichtkoepel_50X50)+('Perceel 3'!AF29*P1_Reinigen_Lichtkoepel_60x200)+('Perceel 3'!AG29*P1_Reinigen_Lichtkoepel_180x180)+('Perceel 3'!AH29*P1_Reinigen_Lichtstraten_groter_dan_180x180)</f>
        <v>0</v>
      </c>
      <c r="AP29" s="279">
        <f>(X29+Y29)*P1_Inspecteren_daken_en_goten_1x_per_jaar_gelijktijdig_met_reiniging_inclusief_inspectierapport_en_een_managementrapport</f>
        <v>0</v>
      </c>
      <c r="AQ29" s="289"/>
      <c r="AR29" s="332">
        <f>AQ29*P1_keuren_dakveiligheid_per_man_uur</f>
        <v>0</v>
      </c>
      <c r="AS29" s="336">
        <f t="shared" si="2"/>
        <v>0</v>
      </c>
    </row>
    <row r="30" spans="1:45" s="7" customFormat="1" ht="12.75" hidden="1" customHeight="1" x14ac:dyDescent="0.45">
      <c r="A30" s="169"/>
      <c r="B30" s="169">
        <v>1</v>
      </c>
      <c r="C30" s="169" t="s">
        <v>135</v>
      </c>
      <c r="D30" s="169" t="s">
        <v>347</v>
      </c>
      <c r="E30" s="169"/>
      <c r="F30" s="169"/>
      <c r="G30" s="169"/>
      <c r="H30" s="17"/>
      <c r="I30" s="17"/>
      <c r="J30" s="17"/>
      <c r="K30" s="17"/>
      <c r="L30" s="169" t="s">
        <v>348</v>
      </c>
      <c r="M30" s="169" t="s">
        <v>349</v>
      </c>
      <c r="N30" s="183" t="s">
        <v>350</v>
      </c>
      <c r="O30" s="169" t="s">
        <v>351</v>
      </c>
      <c r="P30" s="183" t="s">
        <v>352</v>
      </c>
      <c r="Q30" s="183" t="s">
        <v>338</v>
      </c>
      <c r="R30" s="49" t="s">
        <v>339</v>
      </c>
      <c r="S30" s="183" t="s">
        <v>340</v>
      </c>
      <c r="T30" s="169"/>
      <c r="U30" s="169"/>
      <c r="V30" s="169"/>
      <c r="W30" s="183">
        <v>1987</v>
      </c>
      <c r="X30" s="259">
        <v>2569</v>
      </c>
      <c r="Y30" s="183"/>
      <c r="Z30" s="169"/>
      <c r="AA30" s="169"/>
      <c r="AB30" s="169">
        <v>15</v>
      </c>
      <c r="AC30" s="169"/>
      <c r="AD30" s="169"/>
      <c r="AE30" s="169"/>
      <c r="AF30" s="169"/>
      <c r="AG30" s="169"/>
      <c r="AH30" s="169"/>
      <c r="AI30" s="169"/>
      <c r="AJ30" s="169"/>
      <c r="AK30" s="259">
        <v>1</v>
      </c>
      <c r="AL30" s="274"/>
      <c r="AM30" s="299"/>
      <c r="AN30" s="298"/>
      <c r="AO30" s="298"/>
      <c r="AP30" s="298"/>
      <c r="AQ30" s="298"/>
      <c r="AR30" s="333"/>
      <c r="AS30" s="337"/>
    </row>
    <row r="31" spans="1:45" s="7" customFormat="1" ht="12.75" hidden="1" customHeight="1" x14ac:dyDescent="0.45">
      <c r="A31" s="182"/>
      <c r="B31" s="185">
        <v>1</v>
      </c>
      <c r="C31" s="175" t="s">
        <v>135</v>
      </c>
      <c r="D31" s="175" t="s">
        <v>347</v>
      </c>
      <c r="E31" s="175"/>
      <c r="F31" s="175"/>
      <c r="G31" s="175"/>
      <c r="H31" s="174" t="s">
        <v>353</v>
      </c>
      <c r="I31" s="174" t="s">
        <v>354</v>
      </c>
      <c r="J31" s="197"/>
      <c r="K31" s="197"/>
      <c r="L31" s="174"/>
      <c r="M31" s="175" t="s">
        <v>349</v>
      </c>
      <c r="N31" s="182" t="s">
        <v>355</v>
      </c>
      <c r="O31" s="175" t="s">
        <v>356</v>
      </c>
      <c r="P31" s="182" t="s">
        <v>352</v>
      </c>
      <c r="Q31" s="182" t="s">
        <v>338</v>
      </c>
      <c r="R31" s="50" t="s">
        <v>339</v>
      </c>
      <c r="S31" s="182" t="s">
        <v>340</v>
      </c>
      <c r="T31" s="175" t="s">
        <v>357</v>
      </c>
      <c r="U31" s="175" t="s">
        <v>358</v>
      </c>
      <c r="V31" s="175" t="s">
        <v>359</v>
      </c>
      <c r="W31" s="182">
        <v>1988</v>
      </c>
      <c r="X31" s="255">
        <f>X30*14%</f>
        <v>359.66</v>
      </c>
      <c r="Y31" s="182"/>
      <c r="Z31" s="175"/>
      <c r="AA31" s="175"/>
      <c r="AB31" s="175"/>
      <c r="AC31" s="175"/>
      <c r="AD31" s="175"/>
      <c r="AE31" s="175"/>
      <c r="AF31" s="175"/>
      <c r="AG31" s="175"/>
      <c r="AH31" s="175"/>
      <c r="AI31" s="175"/>
      <c r="AJ31" s="175"/>
      <c r="AK31" s="255">
        <v>1</v>
      </c>
      <c r="AL31" s="274"/>
      <c r="AM31" s="277">
        <f>X31*P1_reinigen_daken_met_vaste_dakveiligheid</f>
        <v>0</v>
      </c>
      <c r="AN31" s="279">
        <f>Y31*P1_reinigen_goten_met_vaste_dakveiligheid</f>
        <v>0</v>
      </c>
      <c r="AO31" s="279">
        <f>(AE31*P1_Reinigen_Lichtkoepel_50X50)+('Perceel 3'!AF31*P1_Reinigen_Lichtkoepel_60x200)+('Perceel 3'!AG31*P1_Reinigen_Lichtkoepel_180x180)+('Perceel 3'!AH31*P1_Reinigen_Lichtstraten_groter_dan_180x180)</f>
        <v>0</v>
      </c>
      <c r="AP31" s="279">
        <f t="shared" ref="AP31:AP38" si="3">(X31+Y31)*P1_Inspecteren_daken_en_goten_1x_per_jaar_gelijktijdig_met_reiniging_inclusief_inspectierapport_en_een_managementrapport</f>
        <v>0</v>
      </c>
      <c r="AQ31" s="298"/>
      <c r="AR31" s="332">
        <f t="shared" ref="AR31:AR38" si="4">AQ31*P1_keuren_dakveiligheid_per_man_uur</f>
        <v>0</v>
      </c>
      <c r="AS31" s="336">
        <f t="shared" si="2"/>
        <v>0</v>
      </c>
    </row>
    <row r="32" spans="1:45" s="7" customFormat="1" ht="26.25" hidden="1" thickTop="1" thickBot="1" x14ac:dyDescent="0.5">
      <c r="A32" s="182"/>
      <c r="B32" s="185">
        <v>1</v>
      </c>
      <c r="C32" s="175" t="s">
        <v>135</v>
      </c>
      <c r="D32" s="175" t="s">
        <v>347</v>
      </c>
      <c r="E32" s="175"/>
      <c r="F32" s="175"/>
      <c r="G32" s="175"/>
      <c r="H32" s="174" t="s">
        <v>360</v>
      </c>
      <c r="I32" s="174" t="s">
        <v>361</v>
      </c>
      <c r="J32" s="197"/>
      <c r="K32" s="197"/>
      <c r="L32" s="174"/>
      <c r="M32" s="175" t="s">
        <v>349</v>
      </c>
      <c r="N32" s="182" t="s">
        <v>362</v>
      </c>
      <c r="O32" s="175" t="s">
        <v>363</v>
      </c>
      <c r="P32" s="182" t="s">
        <v>352</v>
      </c>
      <c r="Q32" s="182" t="s">
        <v>338</v>
      </c>
      <c r="R32" s="50" t="s">
        <v>339</v>
      </c>
      <c r="S32" s="182" t="s">
        <v>340</v>
      </c>
      <c r="T32" s="175" t="s">
        <v>364</v>
      </c>
      <c r="U32" s="175" t="s">
        <v>365</v>
      </c>
      <c r="V32" s="175" t="s">
        <v>359</v>
      </c>
      <c r="W32" s="182">
        <v>1987</v>
      </c>
      <c r="X32" s="255">
        <f>X30*86%</f>
        <v>2209.34</v>
      </c>
      <c r="Y32" s="182"/>
      <c r="Z32" s="175"/>
      <c r="AA32" s="175" t="s">
        <v>311</v>
      </c>
      <c r="AB32" s="175">
        <v>15</v>
      </c>
      <c r="AC32" s="175"/>
      <c r="AD32" s="175"/>
      <c r="AE32" s="175"/>
      <c r="AF32" s="175"/>
      <c r="AG32" s="175"/>
      <c r="AH32" s="175"/>
      <c r="AI32" s="175"/>
      <c r="AJ32" s="175"/>
      <c r="AK32" s="255">
        <v>1</v>
      </c>
      <c r="AL32" s="274"/>
      <c r="AM32" s="277">
        <f>X32*P1_reinigen_daken_met_vaste_dakveiligheid</f>
        <v>0</v>
      </c>
      <c r="AN32" s="279">
        <f>Y32*P1_reinigen_goten_met_vaste_dakveiligheid</f>
        <v>0</v>
      </c>
      <c r="AO32" s="279">
        <f>(AE32*P1_Reinigen_Lichtkoepel_50X50)+('Perceel 3'!AF32*P1_Reinigen_Lichtkoepel_60x200)+('Perceel 3'!AG32*P1_Reinigen_Lichtkoepel_180x180)+('Perceel 3'!AH32*P1_Reinigen_Lichtstraten_groter_dan_180x180)</f>
        <v>0</v>
      </c>
      <c r="AP32" s="279">
        <f t="shared" si="3"/>
        <v>0</v>
      </c>
      <c r="AQ32" s="289"/>
      <c r="AR32" s="332">
        <f t="shared" si="4"/>
        <v>0</v>
      </c>
      <c r="AS32" s="336">
        <f t="shared" si="2"/>
        <v>0</v>
      </c>
    </row>
    <row r="33" spans="1:45" s="7" customFormat="1" ht="51.75" hidden="1" thickTop="1" thickBot="1" x14ac:dyDescent="0.5">
      <c r="A33" s="155"/>
      <c r="B33" s="165">
        <v>1</v>
      </c>
      <c r="C33" s="156" t="s">
        <v>135</v>
      </c>
      <c r="D33" s="156" t="s">
        <v>136</v>
      </c>
      <c r="E33" s="156"/>
      <c r="F33" s="156"/>
      <c r="G33" s="156"/>
      <c r="H33" s="151" t="s">
        <v>366</v>
      </c>
      <c r="I33" s="151" t="s">
        <v>367</v>
      </c>
      <c r="J33" s="157"/>
      <c r="K33" s="163"/>
      <c r="L33" s="151" t="s">
        <v>139</v>
      </c>
      <c r="M33" s="159" t="s">
        <v>140</v>
      </c>
      <c r="N33" s="160" t="s">
        <v>368</v>
      </c>
      <c r="O33" s="159" t="s">
        <v>369</v>
      </c>
      <c r="P33" s="160" t="s">
        <v>370</v>
      </c>
      <c r="Q33" s="160" t="s">
        <v>371</v>
      </c>
      <c r="R33" s="56" t="s">
        <v>372</v>
      </c>
      <c r="S33" s="160" t="s">
        <v>189</v>
      </c>
      <c r="T33" s="159" t="s">
        <v>373</v>
      </c>
      <c r="U33" s="159" t="s">
        <v>374</v>
      </c>
      <c r="V33" s="176" t="s">
        <v>375</v>
      </c>
      <c r="W33" s="152">
        <v>1980</v>
      </c>
      <c r="X33" s="152">
        <v>486</v>
      </c>
      <c r="Y33" s="152">
        <v>28</v>
      </c>
      <c r="Z33" s="177" t="s">
        <v>311</v>
      </c>
      <c r="AA33" s="177" t="s">
        <v>311</v>
      </c>
      <c r="AB33" s="189">
        <v>8</v>
      </c>
      <c r="AC33" s="189">
        <v>35</v>
      </c>
      <c r="AD33" s="177"/>
      <c r="AE33" s="177"/>
      <c r="AF33" s="177"/>
      <c r="AG33" s="177"/>
      <c r="AH33" s="177"/>
      <c r="AI33" s="177" t="s">
        <v>376</v>
      </c>
      <c r="AJ33" s="177" t="s">
        <v>223</v>
      </c>
      <c r="AK33" s="257">
        <v>2</v>
      </c>
      <c r="AL33" s="273"/>
      <c r="AM33" s="277">
        <f>X33*P1_reinigen_daken_met_vaste_dakveiligheid</f>
        <v>0</v>
      </c>
      <c r="AN33" s="279">
        <f>Y33*P1_reinigen_goten_met_vaste_dakveiligheid</f>
        <v>0</v>
      </c>
      <c r="AO33" s="279">
        <f>(AE33*P1_Reinigen_Lichtkoepel_50X50)+('Perceel 3'!AF33*P1_Reinigen_Lichtkoepel_60x200)+('Perceel 3'!AG33*P1_Reinigen_Lichtkoepel_180x180)+('Perceel 3'!AH33*P1_Reinigen_Lichtstraten_groter_dan_180x180)</f>
        <v>0</v>
      </c>
      <c r="AP33" s="279">
        <f t="shared" si="3"/>
        <v>0</v>
      </c>
      <c r="AQ33" s="289"/>
      <c r="AR33" s="332">
        <f t="shared" si="4"/>
        <v>0</v>
      </c>
      <c r="AS33" s="336">
        <f t="shared" si="2"/>
        <v>56</v>
      </c>
    </row>
    <row r="34" spans="1:45" s="7" customFormat="1" ht="51.75" hidden="1" thickTop="1" thickBot="1" x14ac:dyDescent="0.5">
      <c r="A34" s="155"/>
      <c r="B34" s="165">
        <v>1</v>
      </c>
      <c r="C34" s="156" t="s">
        <v>135</v>
      </c>
      <c r="D34" s="156" t="s">
        <v>136</v>
      </c>
      <c r="E34" s="156"/>
      <c r="F34" s="156"/>
      <c r="G34" s="156"/>
      <c r="H34" s="151" t="s">
        <v>377</v>
      </c>
      <c r="I34" s="151" t="s">
        <v>378</v>
      </c>
      <c r="J34" s="157"/>
      <c r="K34" s="163"/>
      <c r="L34" s="163" t="s">
        <v>154</v>
      </c>
      <c r="M34" s="166" t="s">
        <v>155</v>
      </c>
      <c r="N34" s="160" t="s">
        <v>379</v>
      </c>
      <c r="O34" s="159" t="s">
        <v>380</v>
      </c>
      <c r="P34" s="160" t="s">
        <v>381</v>
      </c>
      <c r="Q34" s="160" t="s">
        <v>371</v>
      </c>
      <c r="R34" s="53" t="s">
        <v>372</v>
      </c>
      <c r="S34" s="160" t="s">
        <v>189</v>
      </c>
      <c r="T34" s="159" t="s">
        <v>169</v>
      </c>
      <c r="U34" s="159" t="s">
        <v>170</v>
      </c>
      <c r="V34" s="176" t="s">
        <v>171</v>
      </c>
      <c r="W34" s="152">
        <v>1980</v>
      </c>
      <c r="X34" s="152">
        <v>497</v>
      </c>
      <c r="Y34" s="152"/>
      <c r="Z34" s="177"/>
      <c r="AA34" s="177"/>
      <c r="AB34" s="177"/>
      <c r="AC34" s="177"/>
      <c r="AD34" s="177"/>
      <c r="AE34" s="177"/>
      <c r="AF34" s="177"/>
      <c r="AG34" s="177"/>
      <c r="AH34" s="177"/>
      <c r="AI34" s="177"/>
      <c r="AJ34" s="177"/>
      <c r="AK34" s="257">
        <v>1</v>
      </c>
      <c r="AL34" s="271"/>
      <c r="AM34" s="277">
        <f>X34*P1_Reinigen_daken_incl._extra_maatregelen_veilig_werken_volgens_VCA__eventuele_vergunningen_leges___voorrijkosten__adminstratieve_kosten__fotorapportage_en_kleine_reparaties_¹</f>
        <v>0</v>
      </c>
      <c r="AN34" s="279">
        <f>Y34*P1_Reinigen_goten_incl._extra_maatregelen_veilig_werken_volgens_VCA__eventuele_vergunningen_leges___voorrijkosten__adminstratieve_kosten__fotorapportage_en_kleine_reparaties_¹</f>
        <v>0</v>
      </c>
      <c r="AO34" s="279">
        <f>(AE34*P1_Reinigen_Lichtkoepel_50X50)+('Perceel 3'!AF34*P1_Reinigen_Lichtkoepel_60x200)+('Perceel 3'!AG34*P1_Reinigen_Lichtkoepel_180x180)+('Perceel 3'!AH34*P1_Reinigen_Lichtstraten_groter_dan_180x180)</f>
        <v>0</v>
      </c>
      <c r="AP34" s="279">
        <f t="shared" si="3"/>
        <v>0</v>
      </c>
      <c r="AQ34" s="298"/>
      <c r="AR34" s="332">
        <f t="shared" si="4"/>
        <v>0</v>
      </c>
      <c r="AS34" s="336">
        <f t="shared" si="2"/>
        <v>0</v>
      </c>
    </row>
    <row r="35" spans="1:45" s="7" customFormat="1" ht="64.5" hidden="1" thickTop="1" thickBot="1" x14ac:dyDescent="0.5">
      <c r="A35" s="155"/>
      <c r="B35" s="152">
        <v>1</v>
      </c>
      <c r="C35" s="156" t="s">
        <v>135</v>
      </c>
      <c r="D35" s="156" t="s">
        <v>136</v>
      </c>
      <c r="E35" s="156"/>
      <c r="F35" s="156"/>
      <c r="G35" s="156"/>
      <c r="H35" s="151" t="s">
        <v>382</v>
      </c>
      <c r="I35" s="151" t="s">
        <v>383</v>
      </c>
      <c r="J35" s="157"/>
      <c r="K35" s="163"/>
      <c r="L35" s="151" t="s">
        <v>139</v>
      </c>
      <c r="M35" s="159" t="s">
        <v>140</v>
      </c>
      <c r="N35" s="164">
        <v>9003</v>
      </c>
      <c r="O35" s="159" t="s">
        <v>384</v>
      </c>
      <c r="P35" s="159" t="s">
        <v>385</v>
      </c>
      <c r="Q35" s="159" t="s">
        <v>386</v>
      </c>
      <c r="R35" s="42" t="s">
        <v>387</v>
      </c>
      <c r="S35" s="159" t="s">
        <v>189</v>
      </c>
      <c r="T35" s="159" t="s">
        <v>388</v>
      </c>
      <c r="U35" s="159" t="s">
        <v>389</v>
      </c>
      <c r="V35" s="176" t="s">
        <v>390</v>
      </c>
      <c r="W35" s="152">
        <v>1989</v>
      </c>
      <c r="X35" s="152">
        <f>875-41</f>
        <v>834</v>
      </c>
      <c r="Y35" s="152"/>
      <c r="Z35" s="177"/>
      <c r="AA35" s="177"/>
      <c r="AB35" s="177">
        <v>20</v>
      </c>
      <c r="AC35" s="177"/>
      <c r="AD35" s="177" t="s">
        <v>391</v>
      </c>
      <c r="AE35" s="177"/>
      <c r="AF35" s="177"/>
      <c r="AG35" s="177"/>
      <c r="AH35" s="177"/>
      <c r="AI35" s="177"/>
      <c r="AJ35" s="177"/>
      <c r="AK35" s="177">
        <v>1</v>
      </c>
      <c r="AL35" s="273"/>
      <c r="AM35" s="277">
        <f>X35*P1_reinigen_daken_met_vaste_dakveiligheid</f>
        <v>0</v>
      </c>
      <c r="AN35" s="279">
        <f>Y35*P1_reinigen_goten_met_vaste_dakveiligheid</f>
        <v>0</v>
      </c>
      <c r="AO35" s="279">
        <f>(AE35*P1_Reinigen_Lichtkoepel_50X50)+('Perceel 3'!AF35*P1_Reinigen_Lichtkoepel_60x200)+('Perceel 3'!AG35*P1_Reinigen_Lichtkoepel_180x180)+('Perceel 3'!AH35*P1_Reinigen_Lichtstraten_groter_dan_180x180)</f>
        <v>0</v>
      </c>
      <c r="AP35" s="279">
        <f t="shared" si="3"/>
        <v>0</v>
      </c>
      <c r="AQ35" s="289"/>
      <c r="AR35" s="332">
        <f t="shared" si="4"/>
        <v>0</v>
      </c>
      <c r="AS35" s="336">
        <f>(AM35*AK35)+(Y35*AK35)+AO35+AP35+AR35</f>
        <v>0</v>
      </c>
    </row>
    <row r="36" spans="1:45" s="7" customFormat="1" ht="15" hidden="1" thickTop="1" thickBot="1" x14ac:dyDescent="0.5">
      <c r="A36" s="155"/>
      <c r="B36" s="165">
        <v>1</v>
      </c>
      <c r="C36" s="156" t="s">
        <v>135</v>
      </c>
      <c r="D36" s="156" t="s">
        <v>136</v>
      </c>
      <c r="E36" s="156"/>
      <c r="F36" s="156"/>
      <c r="G36" s="156"/>
      <c r="H36" s="151" t="s">
        <v>392</v>
      </c>
      <c r="I36" s="151" t="s">
        <v>393</v>
      </c>
      <c r="J36" s="157"/>
      <c r="K36" s="163"/>
      <c r="L36" s="151" t="s">
        <v>139</v>
      </c>
      <c r="M36" s="159" t="s">
        <v>140</v>
      </c>
      <c r="N36" s="160" t="s">
        <v>394</v>
      </c>
      <c r="O36" s="159" t="s">
        <v>395</v>
      </c>
      <c r="P36" s="160" t="s">
        <v>396</v>
      </c>
      <c r="Q36" s="160" t="s">
        <v>397</v>
      </c>
      <c r="R36" s="53" t="s">
        <v>197</v>
      </c>
      <c r="S36" s="160" t="s">
        <v>189</v>
      </c>
      <c r="T36" s="159" t="s">
        <v>398</v>
      </c>
      <c r="U36" s="159" t="s">
        <v>399</v>
      </c>
      <c r="V36" s="176" t="s">
        <v>400</v>
      </c>
      <c r="W36" s="152">
        <v>1976</v>
      </c>
      <c r="X36" s="152">
        <v>247</v>
      </c>
      <c r="Y36" s="152"/>
      <c r="Z36" s="177"/>
      <c r="AA36" s="177"/>
      <c r="AB36" s="177"/>
      <c r="AC36" s="177"/>
      <c r="AD36" s="177"/>
      <c r="AE36" s="177"/>
      <c r="AF36" s="177"/>
      <c r="AG36" s="177"/>
      <c r="AH36" s="177"/>
      <c r="AI36" s="177"/>
      <c r="AJ36" s="177"/>
      <c r="AK36" s="257">
        <v>1</v>
      </c>
      <c r="AL36" s="271"/>
      <c r="AM36" s="277">
        <f>X36*P1_Reinigen_daken_incl._extra_maatregelen_veilig_werken_volgens_VCA__eventuele_vergunningen_leges___voorrijkosten__adminstratieve_kosten__fotorapportage_en_kleine_reparaties_¹</f>
        <v>0</v>
      </c>
      <c r="AN36" s="279">
        <f>Y36*P1_Reinigen_goten_incl._extra_maatregelen_veilig_werken_volgens_VCA__eventuele_vergunningen_leges___voorrijkosten__adminstratieve_kosten__fotorapportage_en_kleine_reparaties_¹</f>
        <v>0</v>
      </c>
      <c r="AO36" s="279">
        <f>(AE36*P1_Reinigen_Lichtkoepel_50X50)+('Perceel 3'!AF36*P1_Reinigen_Lichtkoepel_60x200)+('Perceel 3'!AG36*P1_Reinigen_Lichtkoepel_180x180)+('Perceel 3'!AH36*P1_Reinigen_Lichtstraten_groter_dan_180x180)</f>
        <v>0</v>
      </c>
      <c r="AP36" s="279">
        <f t="shared" si="3"/>
        <v>0</v>
      </c>
      <c r="AQ36" s="298"/>
      <c r="AR36" s="332">
        <f t="shared" si="4"/>
        <v>0</v>
      </c>
      <c r="AS36" s="336">
        <f>(AM36*AK36)+(Y36*AK36)+AO36+AP36+AR36</f>
        <v>0</v>
      </c>
    </row>
    <row r="37" spans="1:45" s="7" customFormat="1" ht="15" hidden="1" thickTop="1" thickBot="1" x14ac:dyDescent="0.5">
      <c r="A37" s="155"/>
      <c r="B37" s="165">
        <v>1</v>
      </c>
      <c r="C37" s="156" t="s">
        <v>135</v>
      </c>
      <c r="D37" s="156" t="s">
        <v>136</v>
      </c>
      <c r="E37" s="156"/>
      <c r="F37" s="156"/>
      <c r="G37" s="156"/>
      <c r="H37" s="151" t="s">
        <v>401</v>
      </c>
      <c r="I37" s="151" t="s">
        <v>402</v>
      </c>
      <c r="J37" s="157"/>
      <c r="K37" s="163"/>
      <c r="L37" s="163" t="s">
        <v>154</v>
      </c>
      <c r="M37" s="166" t="s">
        <v>155</v>
      </c>
      <c r="N37" s="160" t="s">
        <v>403</v>
      </c>
      <c r="O37" s="159" t="s">
        <v>404</v>
      </c>
      <c r="P37" s="160" t="s">
        <v>405</v>
      </c>
      <c r="Q37" s="160" t="s">
        <v>406</v>
      </c>
      <c r="R37" s="53" t="s">
        <v>339</v>
      </c>
      <c r="S37" s="160" t="s">
        <v>340</v>
      </c>
      <c r="T37" s="159" t="s">
        <v>407</v>
      </c>
      <c r="U37" s="159" t="s">
        <v>408</v>
      </c>
      <c r="V37" s="176" t="s">
        <v>409</v>
      </c>
      <c r="W37" s="152">
        <v>1981</v>
      </c>
      <c r="X37" s="152">
        <v>382</v>
      </c>
      <c r="Y37" s="152"/>
      <c r="Z37" s="177"/>
      <c r="AA37" s="177"/>
      <c r="AB37" s="189">
        <v>12</v>
      </c>
      <c r="AC37" s="189">
        <v>36</v>
      </c>
      <c r="AD37" s="177"/>
      <c r="AE37" s="177"/>
      <c r="AF37" s="177"/>
      <c r="AG37" s="177"/>
      <c r="AH37" s="177"/>
      <c r="AI37" s="177"/>
      <c r="AJ37" s="177"/>
      <c r="AK37" s="257">
        <v>1</v>
      </c>
      <c r="AL37" s="273"/>
      <c r="AM37" s="277">
        <f>X37*P1_reinigen_daken_met_vaste_dakveiligheid</f>
        <v>0</v>
      </c>
      <c r="AN37" s="279">
        <f>Y37*P1_reinigen_goten_met_vaste_dakveiligheid</f>
        <v>0</v>
      </c>
      <c r="AO37" s="279">
        <f>(AE37*P1_Reinigen_Lichtkoepel_50X50)+('Perceel 3'!AF37*P1_Reinigen_Lichtkoepel_60x200)+('Perceel 3'!AG37*P1_Reinigen_Lichtkoepel_180x180)+('Perceel 3'!AH37*P1_Reinigen_Lichtstraten_groter_dan_180x180)</f>
        <v>0</v>
      </c>
      <c r="AP37" s="279">
        <f t="shared" si="3"/>
        <v>0</v>
      </c>
      <c r="AQ37" s="289"/>
      <c r="AR37" s="332">
        <f t="shared" si="4"/>
        <v>0</v>
      </c>
      <c r="AS37" s="336">
        <f t="shared" si="2"/>
        <v>0</v>
      </c>
    </row>
    <row r="38" spans="1:45" s="7" customFormat="1" ht="39" hidden="1" thickTop="1" thickBot="1" x14ac:dyDescent="0.5">
      <c r="A38" s="155"/>
      <c r="B38" s="152">
        <v>1</v>
      </c>
      <c r="C38" s="156" t="s">
        <v>135</v>
      </c>
      <c r="D38" s="156" t="s">
        <v>136</v>
      </c>
      <c r="E38" s="156"/>
      <c r="F38" s="156"/>
      <c r="G38" s="156"/>
      <c r="H38" s="151" t="s">
        <v>410</v>
      </c>
      <c r="I38" s="151" t="s">
        <v>411</v>
      </c>
      <c r="J38" s="157"/>
      <c r="K38" s="163"/>
      <c r="L38" s="151" t="s">
        <v>280</v>
      </c>
      <c r="M38" s="159" t="s">
        <v>281</v>
      </c>
      <c r="N38" s="160" t="s">
        <v>412</v>
      </c>
      <c r="O38" s="159" t="s">
        <v>413</v>
      </c>
      <c r="P38" s="160" t="s">
        <v>414</v>
      </c>
      <c r="Q38" s="160" t="s">
        <v>415</v>
      </c>
      <c r="R38" s="55" t="s">
        <v>416</v>
      </c>
      <c r="S38" s="160" t="s">
        <v>189</v>
      </c>
      <c r="T38" s="159" t="s">
        <v>417</v>
      </c>
      <c r="U38" s="159" t="s">
        <v>418</v>
      </c>
      <c r="V38" s="159" t="s">
        <v>419</v>
      </c>
      <c r="W38" s="152">
        <v>1980</v>
      </c>
      <c r="X38" s="152">
        <v>1291</v>
      </c>
      <c r="Y38" s="152"/>
      <c r="Z38" s="177"/>
      <c r="AA38" s="177"/>
      <c r="AB38" s="177"/>
      <c r="AC38" s="177"/>
      <c r="AD38" s="177"/>
      <c r="AE38" s="177"/>
      <c r="AF38" s="177"/>
      <c r="AG38" s="177"/>
      <c r="AH38" s="177"/>
      <c r="AI38" s="177"/>
      <c r="AJ38" s="177"/>
      <c r="AK38" s="257">
        <v>2</v>
      </c>
      <c r="AL38" s="271"/>
      <c r="AM38" s="277">
        <f>X38*P1_Reinigen_daken_incl._extra_maatregelen_veilig_werken_volgens_VCA__eventuele_vergunningen_leges___voorrijkosten__adminstratieve_kosten__fotorapportage_en_kleine_reparaties_¹</f>
        <v>0</v>
      </c>
      <c r="AN38" s="279">
        <f>Y38*P1_Reinigen_goten_incl._extra_maatregelen_veilig_werken_volgens_VCA__eventuele_vergunningen_leges___voorrijkosten__adminstratieve_kosten__fotorapportage_en_kleine_reparaties_¹</f>
        <v>0</v>
      </c>
      <c r="AO38" s="279">
        <f>(AE38*P1_Reinigen_Lichtkoepel_50X50)+('Perceel 3'!AF38*P1_Reinigen_Lichtkoepel_60x200)+('Perceel 3'!AG38*P1_Reinigen_Lichtkoepel_180x180)+('Perceel 3'!AH38*P1_Reinigen_Lichtstraten_groter_dan_180x180)</f>
        <v>0</v>
      </c>
      <c r="AP38" s="279">
        <f t="shared" si="3"/>
        <v>0</v>
      </c>
      <c r="AQ38" s="298"/>
      <c r="AR38" s="332">
        <f t="shared" si="4"/>
        <v>0</v>
      </c>
      <c r="AS38" s="336">
        <f t="shared" si="2"/>
        <v>0</v>
      </c>
    </row>
    <row r="39" spans="1:45" s="7" customFormat="1" ht="29.25" hidden="1" thickTop="1" thickBot="1" x14ac:dyDescent="0.5">
      <c r="A39" s="183"/>
      <c r="B39" s="184">
        <v>1</v>
      </c>
      <c r="C39" s="171" t="s">
        <v>135</v>
      </c>
      <c r="D39" s="171" t="s">
        <v>174</v>
      </c>
      <c r="E39" s="171" t="s">
        <v>136</v>
      </c>
      <c r="F39" s="171"/>
      <c r="G39" s="171"/>
      <c r="H39" s="17"/>
      <c r="I39" s="17"/>
      <c r="J39" s="17"/>
      <c r="K39" s="17"/>
      <c r="L39" s="196"/>
      <c r="M39" s="169"/>
      <c r="N39" s="183" t="s">
        <v>420</v>
      </c>
      <c r="O39" s="169" t="s">
        <v>421</v>
      </c>
      <c r="P39" s="183" t="s">
        <v>422</v>
      </c>
      <c r="Q39" s="183"/>
      <c r="R39" s="49"/>
      <c r="S39" s="183"/>
      <c r="T39" s="169"/>
      <c r="U39" s="169"/>
      <c r="V39" s="169"/>
      <c r="W39" s="183"/>
      <c r="X39" s="259">
        <v>2324</v>
      </c>
      <c r="Y39" s="183"/>
      <c r="Z39" s="169"/>
      <c r="AA39" s="169" t="s">
        <v>150</v>
      </c>
      <c r="AB39" s="169">
        <v>38</v>
      </c>
      <c r="AC39" s="169"/>
      <c r="AD39" s="169" t="s">
        <v>423</v>
      </c>
      <c r="AE39" s="169"/>
      <c r="AF39" s="169"/>
      <c r="AG39" s="169"/>
      <c r="AH39" s="169"/>
      <c r="AI39" s="169"/>
      <c r="AJ39" s="169"/>
      <c r="AK39" s="259">
        <v>2</v>
      </c>
      <c r="AL39" s="273"/>
      <c r="AM39" s="299"/>
      <c r="AN39" s="298"/>
      <c r="AO39" s="298"/>
      <c r="AP39" s="298"/>
      <c r="AQ39" s="289"/>
      <c r="AR39" s="333"/>
      <c r="AS39" s="337"/>
    </row>
    <row r="40" spans="1:45" s="7" customFormat="1" ht="39" hidden="1" thickTop="1" thickBot="1" x14ac:dyDescent="0.5">
      <c r="A40" s="182"/>
      <c r="B40" s="185">
        <v>1</v>
      </c>
      <c r="C40" s="175" t="s">
        <v>135</v>
      </c>
      <c r="D40" s="175" t="s">
        <v>174</v>
      </c>
      <c r="E40" s="175"/>
      <c r="F40" s="175"/>
      <c r="G40" s="175"/>
      <c r="H40" s="174" t="s">
        <v>424</v>
      </c>
      <c r="I40" s="174" t="s">
        <v>425</v>
      </c>
      <c r="J40" s="197"/>
      <c r="K40" s="197"/>
      <c r="L40" s="174"/>
      <c r="M40" s="175" t="s">
        <v>349</v>
      </c>
      <c r="N40" s="182" t="s">
        <v>426</v>
      </c>
      <c r="O40" s="175" t="s">
        <v>427</v>
      </c>
      <c r="P40" s="182" t="s">
        <v>428</v>
      </c>
      <c r="Q40" s="182" t="s">
        <v>429</v>
      </c>
      <c r="R40" s="50" t="s">
        <v>339</v>
      </c>
      <c r="S40" s="182" t="s">
        <v>340</v>
      </c>
      <c r="T40" s="175" t="s">
        <v>430</v>
      </c>
      <c r="U40" s="175" t="s">
        <v>431</v>
      </c>
      <c r="V40" s="175" t="s">
        <v>432</v>
      </c>
      <c r="W40" s="182">
        <v>1992</v>
      </c>
      <c r="X40" s="255">
        <f>X39*81%</f>
        <v>1882.44</v>
      </c>
      <c r="Y40" s="182"/>
      <c r="Z40" s="175"/>
      <c r="AA40" s="175" t="s">
        <v>150</v>
      </c>
      <c r="AB40" s="175"/>
      <c r="AC40" s="175"/>
      <c r="AD40" s="175"/>
      <c r="AE40" s="175"/>
      <c r="AF40" s="175"/>
      <c r="AG40" s="175"/>
      <c r="AH40" s="175"/>
      <c r="AI40" s="175"/>
      <c r="AJ40" s="175" t="s">
        <v>433</v>
      </c>
      <c r="AK40" s="255">
        <v>2</v>
      </c>
      <c r="AL40" s="273"/>
      <c r="AM40" s="277">
        <f>X40*P1_reinigen_daken_met_vaste_dakveiligheid</f>
        <v>0</v>
      </c>
      <c r="AN40" s="279">
        <f>Y40*P1_reinigen_goten_met_vaste_dakveiligheid</f>
        <v>0</v>
      </c>
      <c r="AO40" s="279">
        <f>(AE40*P1_Reinigen_Lichtkoepel_50X50)+('Perceel 3'!AF40*P1_Reinigen_Lichtkoepel_60x200)+('Perceel 3'!AG40*P1_Reinigen_Lichtkoepel_180x180)+('Perceel 3'!AH40*P1_Reinigen_Lichtstraten_groter_dan_180x180)</f>
        <v>0</v>
      </c>
      <c r="AP40" s="279">
        <f t="shared" ref="AP40:AP52" si="5">(X40+Y40)*P1_Inspecteren_daken_en_goten_1x_per_jaar_gelijktijdig_met_reiniging_inclusief_inspectierapport_en_een_managementrapport</f>
        <v>0</v>
      </c>
      <c r="AQ40" s="280">
        <f>AQ39*81%</f>
        <v>0</v>
      </c>
      <c r="AR40" s="332">
        <f t="shared" ref="AR40:AR52" si="6">AQ40*P1_keuren_dakveiligheid_per_man_uur</f>
        <v>0</v>
      </c>
      <c r="AS40" s="336">
        <f t="shared" si="2"/>
        <v>0</v>
      </c>
    </row>
    <row r="41" spans="1:45" s="7" customFormat="1" ht="15" hidden="1" thickTop="1" thickBot="1" x14ac:dyDescent="0.5">
      <c r="A41" s="182"/>
      <c r="B41" s="185">
        <v>1</v>
      </c>
      <c r="C41" s="175" t="s">
        <v>135</v>
      </c>
      <c r="D41" s="175" t="s">
        <v>136</v>
      </c>
      <c r="E41" s="175"/>
      <c r="F41" s="175"/>
      <c r="G41" s="175"/>
      <c r="H41" s="174"/>
      <c r="I41" s="174"/>
      <c r="J41" s="197"/>
      <c r="K41" s="197"/>
      <c r="L41" s="174"/>
      <c r="M41" s="175"/>
      <c r="N41" s="201">
        <v>2429</v>
      </c>
      <c r="O41" s="175" t="s">
        <v>434</v>
      </c>
      <c r="P41" s="175" t="s">
        <v>435</v>
      </c>
      <c r="Q41" s="182" t="s">
        <v>429</v>
      </c>
      <c r="R41" s="50" t="s">
        <v>340</v>
      </c>
      <c r="S41" s="182" t="s">
        <v>340</v>
      </c>
      <c r="T41" s="175"/>
      <c r="U41" s="175"/>
      <c r="V41" s="175"/>
      <c r="W41" s="182">
        <v>1992</v>
      </c>
      <c r="X41" s="255">
        <f>X39*4%</f>
        <v>92.960000000000008</v>
      </c>
      <c r="Y41" s="182"/>
      <c r="Z41" s="175"/>
      <c r="AA41" s="175" t="s">
        <v>150</v>
      </c>
      <c r="AB41" s="175"/>
      <c r="AC41" s="175"/>
      <c r="AD41" s="175"/>
      <c r="AE41" s="175"/>
      <c r="AF41" s="175"/>
      <c r="AG41" s="175"/>
      <c r="AH41" s="175"/>
      <c r="AI41" s="175"/>
      <c r="AJ41" s="175" t="s">
        <v>433</v>
      </c>
      <c r="AK41" s="255">
        <v>2</v>
      </c>
      <c r="AL41" s="273"/>
      <c r="AM41" s="277">
        <f>X41*P1_reinigen_daken_met_vaste_dakveiligheid</f>
        <v>0</v>
      </c>
      <c r="AN41" s="279">
        <f>Y41*P1_reinigen_goten_met_vaste_dakveiligheid</f>
        <v>0</v>
      </c>
      <c r="AO41" s="279">
        <f>(AE41*P1_Reinigen_Lichtkoepel_50X50)+('Perceel 3'!AF41*P1_Reinigen_Lichtkoepel_60x200)+('Perceel 3'!AG41*P1_Reinigen_Lichtkoepel_180x180)+('Perceel 3'!AH41*P1_Reinigen_Lichtstraten_groter_dan_180x180)</f>
        <v>0</v>
      </c>
      <c r="AP41" s="279">
        <f t="shared" si="5"/>
        <v>0</v>
      </c>
      <c r="AQ41" s="280">
        <f>AQ39*4%</f>
        <v>0</v>
      </c>
      <c r="AR41" s="332">
        <f t="shared" si="6"/>
        <v>0</v>
      </c>
      <c r="AS41" s="336">
        <f t="shared" si="2"/>
        <v>0</v>
      </c>
    </row>
    <row r="42" spans="1:45" s="7" customFormat="1" ht="51.75" hidden="1" thickTop="1" thickBot="1" x14ac:dyDescent="0.5">
      <c r="A42" s="182"/>
      <c r="B42" s="185">
        <v>1</v>
      </c>
      <c r="C42" s="175" t="s">
        <v>135</v>
      </c>
      <c r="D42" s="175" t="s">
        <v>136</v>
      </c>
      <c r="E42" s="175"/>
      <c r="F42" s="175"/>
      <c r="G42" s="175"/>
      <c r="H42" s="174" t="s">
        <v>436</v>
      </c>
      <c r="I42" s="174" t="s">
        <v>437</v>
      </c>
      <c r="J42" s="202"/>
      <c r="K42" s="197"/>
      <c r="L42" s="174"/>
      <c r="M42" s="191" t="s">
        <v>155</v>
      </c>
      <c r="N42" s="182" t="s">
        <v>438</v>
      </c>
      <c r="O42" s="175" t="s">
        <v>439</v>
      </c>
      <c r="P42" s="175" t="s">
        <v>435</v>
      </c>
      <c r="Q42" s="182" t="s">
        <v>429</v>
      </c>
      <c r="R42" s="50" t="s">
        <v>339</v>
      </c>
      <c r="S42" s="182" t="s">
        <v>340</v>
      </c>
      <c r="T42" s="175" t="s">
        <v>169</v>
      </c>
      <c r="U42" s="175" t="s">
        <v>170</v>
      </c>
      <c r="V42" s="175" t="s">
        <v>171</v>
      </c>
      <c r="W42" s="182">
        <v>1992</v>
      </c>
      <c r="X42" s="255">
        <f>X39*15%</f>
        <v>348.59999999999997</v>
      </c>
      <c r="Y42" s="182"/>
      <c r="Z42" s="175"/>
      <c r="AA42" s="175" t="s">
        <v>150</v>
      </c>
      <c r="AB42" s="175"/>
      <c r="AC42" s="175"/>
      <c r="AD42" s="175"/>
      <c r="AE42" s="175"/>
      <c r="AF42" s="175"/>
      <c r="AG42" s="175"/>
      <c r="AH42" s="175"/>
      <c r="AI42" s="175"/>
      <c r="AJ42" s="175" t="s">
        <v>433</v>
      </c>
      <c r="AK42" s="255">
        <v>2</v>
      </c>
      <c r="AL42" s="273"/>
      <c r="AM42" s="277">
        <f>X42*P1_reinigen_daken_met_vaste_dakveiligheid</f>
        <v>0</v>
      </c>
      <c r="AN42" s="279">
        <f>Y42*P1_reinigen_goten_met_vaste_dakveiligheid</f>
        <v>0</v>
      </c>
      <c r="AO42" s="279">
        <f>(AE42*P1_Reinigen_Lichtkoepel_50X50)+('Perceel 3'!AF42*P1_Reinigen_Lichtkoepel_60x200)+('Perceel 3'!AG42*P1_Reinigen_Lichtkoepel_180x180)+('Perceel 3'!AH42*P1_Reinigen_Lichtstraten_groter_dan_180x180)</f>
        <v>0</v>
      </c>
      <c r="AP42" s="279">
        <f t="shared" si="5"/>
        <v>0</v>
      </c>
      <c r="AQ42" s="280">
        <f>AQ39*15%</f>
        <v>0</v>
      </c>
      <c r="AR42" s="332">
        <f t="shared" si="6"/>
        <v>0</v>
      </c>
      <c r="AS42" s="336">
        <f t="shared" si="2"/>
        <v>0</v>
      </c>
    </row>
    <row r="43" spans="1:45" s="7" customFormat="1" ht="26.25" hidden="1" thickTop="1" thickBot="1" x14ac:dyDescent="0.5">
      <c r="A43" s="155"/>
      <c r="B43" s="152">
        <v>1</v>
      </c>
      <c r="C43" s="156" t="s">
        <v>135</v>
      </c>
      <c r="D43" s="156" t="s">
        <v>174</v>
      </c>
      <c r="E43" s="156"/>
      <c r="F43" s="156"/>
      <c r="G43" s="156"/>
      <c r="H43" s="151" t="s">
        <v>440</v>
      </c>
      <c r="I43" s="151" t="s">
        <v>441</v>
      </c>
      <c r="J43" s="157"/>
      <c r="K43" s="163"/>
      <c r="L43" s="151" t="s">
        <v>348</v>
      </c>
      <c r="M43" s="159" t="s">
        <v>442</v>
      </c>
      <c r="N43" s="159" t="s">
        <v>443</v>
      </c>
      <c r="O43" s="159" t="s">
        <v>444</v>
      </c>
      <c r="P43" s="159" t="s">
        <v>445</v>
      </c>
      <c r="Q43" s="159" t="s">
        <v>446</v>
      </c>
      <c r="R43" s="41" t="s">
        <v>339</v>
      </c>
      <c r="S43" s="159" t="s">
        <v>340</v>
      </c>
      <c r="T43" s="159" t="s">
        <v>447</v>
      </c>
      <c r="U43" s="159" t="s">
        <v>448</v>
      </c>
      <c r="V43" s="176" t="s">
        <v>449</v>
      </c>
      <c r="W43" s="152">
        <v>1988</v>
      </c>
      <c r="X43" s="152">
        <v>1082</v>
      </c>
      <c r="Y43" s="152"/>
      <c r="Z43" s="189"/>
      <c r="AA43" s="177"/>
      <c r="AB43" s="177"/>
      <c r="AC43" s="177"/>
      <c r="AD43" s="177"/>
      <c r="AE43" s="177"/>
      <c r="AF43" s="177"/>
      <c r="AG43" s="177"/>
      <c r="AH43" s="177"/>
      <c r="AI43" s="177"/>
      <c r="AJ43" s="177" t="s">
        <v>450</v>
      </c>
      <c r="AK43" s="257">
        <v>2</v>
      </c>
      <c r="AL43" s="273"/>
      <c r="AM43" s="277">
        <f>X43*P1_Reinigen_daken_incl._extra_maatregelen_veilig_werken_volgens_VCA__eventuele_vergunningen_leges___voorrijkosten__adminstratieve_kosten__fotorapportage_en_kleine_reparaties_¹</f>
        <v>0</v>
      </c>
      <c r="AN43" s="279">
        <f>Y43*P1_Reinigen_goten_incl._extra_maatregelen_veilig_werken_volgens_VCA__eventuele_vergunningen_leges___voorrijkosten__adminstratieve_kosten__fotorapportage_en_kleine_reparaties_¹</f>
        <v>0</v>
      </c>
      <c r="AO43" s="279">
        <f>(AE43*P1_Reinigen_Lichtkoepel_50X50)+('Perceel 3'!AF43*P1_Reinigen_Lichtkoepel_60x200)+('Perceel 3'!AG43*P1_Reinigen_Lichtkoepel_180x180)+('Perceel 3'!AH43*P1_Reinigen_Lichtstraten_groter_dan_180x180)</f>
        <v>0</v>
      </c>
      <c r="AP43" s="279">
        <f t="shared" si="5"/>
        <v>0</v>
      </c>
      <c r="AQ43" s="298"/>
      <c r="AR43" s="332">
        <f t="shared" si="6"/>
        <v>0</v>
      </c>
      <c r="AS43" s="336">
        <f t="shared" si="2"/>
        <v>0</v>
      </c>
    </row>
    <row r="44" spans="1:45" s="7" customFormat="1" ht="51.75" hidden="1" thickTop="1" thickBot="1" x14ac:dyDescent="0.5">
      <c r="A44" s="155"/>
      <c r="B44" s="165">
        <v>1</v>
      </c>
      <c r="C44" s="156" t="s">
        <v>135</v>
      </c>
      <c r="D44" s="156" t="s">
        <v>136</v>
      </c>
      <c r="E44" s="156"/>
      <c r="F44" s="156"/>
      <c r="G44" s="156"/>
      <c r="H44" s="151" t="s">
        <v>451</v>
      </c>
      <c r="I44" s="151" t="s">
        <v>452</v>
      </c>
      <c r="J44" s="157"/>
      <c r="K44" s="163"/>
      <c r="L44" s="163" t="s">
        <v>139</v>
      </c>
      <c r="M44" s="166" t="s">
        <v>140</v>
      </c>
      <c r="N44" s="160" t="s">
        <v>453</v>
      </c>
      <c r="O44" s="159" t="s">
        <v>454</v>
      </c>
      <c r="P44" s="159" t="s">
        <v>455</v>
      </c>
      <c r="Q44" s="160" t="s">
        <v>456</v>
      </c>
      <c r="R44" s="53" t="s">
        <v>457</v>
      </c>
      <c r="S44" s="160" t="s">
        <v>189</v>
      </c>
      <c r="T44" s="159" t="s">
        <v>458</v>
      </c>
      <c r="U44" s="159" t="s">
        <v>459</v>
      </c>
      <c r="V44" s="176" t="s">
        <v>460</v>
      </c>
      <c r="W44" s="152">
        <v>2003</v>
      </c>
      <c r="X44" s="152">
        <v>981</v>
      </c>
      <c r="Y44" s="152"/>
      <c r="Z44" s="177" t="s">
        <v>311</v>
      </c>
      <c r="AA44" s="177"/>
      <c r="AB44" s="177">
        <v>13</v>
      </c>
      <c r="AC44" s="177"/>
      <c r="AD44" s="177"/>
      <c r="AE44" s="177"/>
      <c r="AF44" s="177"/>
      <c r="AG44" s="177"/>
      <c r="AH44" s="177"/>
      <c r="AI44" s="177"/>
      <c r="AJ44" s="177"/>
      <c r="AK44" s="257">
        <v>1</v>
      </c>
      <c r="AL44" s="271"/>
      <c r="AM44" s="277">
        <f>X44*P1_reinigen_daken_met_vaste_dakveiligheid</f>
        <v>0</v>
      </c>
      <c r="AN44" s="279">
        <f>Y44*P1_reinigen_goten_met_vaste_dakveiligheid</f>
        <v>0</v>
      </c>
      <c r="AO44" s="279">
        <f>(AE44*P1_Reinigen_Lichtkoepel_50X50)+('Perceel 3'!AF44*P1_Reinigen_Lichtkoepel_60x200)+('Perceel 3'!AG44*P1_Reinigen_Lichtkoepel_180x180)+('Perceel 3'!AH44*P1_Reinigen_Lichtstraten_groter_dan_180x180)</f>
        <v>0</v>
      </c>
      <c r="AP44" s="279">
        <f t="shared" si="5"/>
        <v>0</v>
      </c>
      <c r="AQ44" s="289"/>
      <c r="AR44" s="332">
        <f t="shared" si="6"/>
        <v>0</v>
      </c>
      <c r="AS44" s="336">
        <f t="shared" si="2"/>
        <v>0</v>
      </c>
    </row>
    <row r="45" spans="1:45" s="7" customFormat="1" ht="51.75" hidden="1" thickTop="1" thickBot="1" x14ac:dyDescent="0.5">
      <c r="A45" s="155"/>
      <c r="B45" s="165">
        <v>1</v>
      </c>
      <c r="C45" s="156" t="s">
        <v>135</v>
      </c>
      <c r="D45" s="156" t="s">
        <v>136</v>
      </c>
      <c r="E45" s="156"/>
      <c r="F45" s="156"/>
      <c r="G45" s="156"/>
      <c r="H45" s="151" t="s">
        <v>461</v>
      </c>
      <c r="I45" s="151" t="s">
        <v>462</v>
      </c>
      <c r="J45" s="157"/>
      <c r="K45" s="163"/>
      <c r="L45" s="163" t="s">
        <v>139</v>
      </c>
      <c r="M45" s="166" t="s">
        <v>140</v>
      </c>
      <c r="N45" s="160" t="s">
        <v>463</v>
      </c>
      <c r="O45" s="159" t="s">
        <v>464</v>
      </c>
      <c r="P45" s="160" t="s">
        <v>465</v>
      </c>
      <c r="Q45" s="160" t="s">
        <v>466</v>
      </c>
      <c r="R45" s="53" t="s">
        <v>339</v>
      </c>
      <c r="S45" s="160" t="s">
        <v>340</v>
      </c>
      <c r="T45" s="159" t="s">
        <v>467</v>
      </c>
      <c r="U45" s="159" t="s">
        <v>468</v>
      </c>
      <c r="V45" s="176" t="s">
        <v>469</v>
      </c>
      <c r="W45" s="152">
        <v>1991</v>
      </c>
      <c r="X45" s="152">
        <v>808</v>
      </c>
      <c r="Y45" s="152"/>
      <c r="Z45" s="177"/>
      <c r="AA45" s="177" t="s">
        <v>150</v>
      </c>
      <c r="AB45" s="177">
        <v>12</v>
      </c>
      <c r="AC45" s="177"/>
      <c r="AD45" s="177"/>
      <c r="AE45" s="177"/>
      <c r="AF45" s="177"/>
      <c r="AG45" s="177"/>
      <c r="AH45" s="177"/>
      <c r="AI45" s="177"/>
      <c r="AJ45" s="177" t="s">
        <v>470</v>
      </c>
      <c r="AK45" s="257">
        <v>2</v>
      </c>
      <c r="AL45" s="271"/>
      <c r="AM45" s="277">
        <f>X45*P1_reinigen_daken_met_vaste_dakveiligheid</f>
        <v>0</v>
      </c>
      <c r="AN45" s="279">
        <f>Y45*P1_reinigen_goten_met_vaste_dakveiligheid</f>
        <v>0</v>
      </c>
      <c r="AO45" s="279">
        <f>(AE45*P1_Reinigen_Lichtkoepel_50X50)+('Perceel 3'!AF45*P1_Reinigen_Lichtkoepel_60x200)+('Perceel 3'!AG45*P1_Reinigen_Lichtkoepel_180x180)+('Perceel 3'!AH45*P1_Reinigen_Lichtstraten_groter_dan_180x180)</f>
        <v>0</v>
      </c>
      <c r="AP45" s="279">
        <f t="shared" si="5"/>
        <v>0</v>
      </c>
      <c r="AQ45" s="289"/>
      <c r="AR45" s="332">
        <f t="shared" si="6"/>
        <v>0</v>
      </c>
      <c r="AS45" s="336">
        <f t="shared" si="2"/>
        <v>0</v>
      </c>
    </row>
    <row r="46" spans="1:45" s="7" customFormat="1" ht="26.25" hidden="1" thickTop="1" thickBot="1" x14ac:dyDescent="0.5">
      <c r="A46" s="161"/>
      <c r="B46" s="152">
        <v>1</v>
      </c>
      <c r="C46" s="156" t="s">
        <v>135</v>
      </c>
      <c r="D46" s="156" t="s">
        <v>471</v>
      </c>
      <c r="E46" s="156"/>
      <c r="F46" s="156"/>
      <c r="G46" s="156"/>
      <c r="H46" s="203" t="s">
        <v>472</v>
      </c>
      <c r="I46" s="203" t="s">
        <v>473</v>
      </c>
      <c r="J46" s="157"/>
      <c r="K46" s="163"/>
      <c r="L46" s="163" t="s">
        <v>154</v>
      </c>
      <c r="M46" s="166" t="s">
        <v>155</v>
      </c>
      <c r="N46" s="192" t="s">
        <v>474</v>
      </c>
      <c r="O46" s="159" t="s">
        <v>475</v>
      </c>
      <c r="P46" s="159" t="s">
        <v>476</v>
      </c>
      <c r="Q46" s="159" t="s">
        <v>466</v>
      </c>
      <c r="R46" s="42" t="s">
        <v>339</v>
      </c>
      <c r="S46" s="159" t="s">
        <v>340</v>
      </c>
      <c r="T46" s="159" t="s">
        <v>477</v>
      </c>
      <c r="U46" s="159" t="s">
        <v>478</v>
      </c>
      <c r="V46" s="176" t="s">
        <v>479</v>
      </c>
      <c r="W46" s="152">
        <v>1983</v>
      </c>
      <c r="X46" s="152"/>
      <c r="Y46" s="152">
        <f>49+17+17+36+20</f>
        <v>139</v>
      </c>
      <c r="Z46" s="177"/>
      <c r="AA46" s="177"/>
      <c r="AB46" s="177"/>
      <c r="AC46" s="177"/>
      <c r="AD46" s="177"/>
      <c r="AE46" s="177"/>
      <c r="AF46" s="177"/>
      <c r="AG46" s="177"/>
      <c r="AH46" s="177"/>
      <c r="AI46" s="177"/>
      <c r="AJ46" s="177"/>
      <c r="AK46" s="177">
        <v>1</v>
      </c>
      <c r="AL46" s="272"/>
      <c r="AM46" s="277">
        <f>X46*P1_Reinigen_daken_incl._extra_maatregelen_veilig_werken_volgens_VCA__eventuele_vergunningen_leges___voorrijkosten__adminstratieve_kosten__fotorapportage_en_kleine_reparaties_¹</f>
        <v>0</v>
      </c>
      <c r="AN46" s="279">
        <f>Y46*P1_Reinigen_goten_incl._extra_maatregelen_veilig_werken_volgens_VCA__eventuele_vergunningen_leges___voorrijkosten__adminstratieve_kosten__fotorapportage_en_kleine_reparaties_¹</f>
        <v>0</v>
      </c>
      <c r="AO46" s="279">
        <f>(AE46*P1_Reinigen_Lichtkoepel_50X50)+('Perceel 3'!AF46*P1_Reinigen_Lichtkoepel_60x200)+('Perceel 3'!AG46*P1_Reinigen_Lichtkoepel_180x180)+('Perceel 3'!AH46*P1_Reinigen_Lichtstraten_groter_dan_180x180)</f>
        <v>0</v>
      </c>
      <c r="AP46" s="279">
        <f t="shared" si="5"/>
        <v>0</v>
      </c>
      <c r="AQ46" s="298"/>
      <c r="AR46" s="332">
        <f t="shared" si="6"/>
        <v>0</v>
      </c>
      <c r="AS46" s="336">
        <f t="shared" si="2"/>
        <v>139</v>
      </c>
    </row>
    <row r="47" spans="1:45" s="7" customFormat="1" ht="12.75" hidden="1" customHeight="1" x14ac:dyDescent="0.45">
      <c r="A47" s="155"/>
      <c r="B47" s="165">
        <v>1</v>
      </c>
      <c r="C47" s="156" t="s">
        <v>135</v>
      </c>
      <c r="D47" s="156" t="s">
        <v>136</v>
      </c>
      <c r="E47" s="156"/>
      <c r="F47" s="156"/>
      <c r="G47" s="156"/>
      <c r="H47" s="151" t="s">
        <v>480</v>
      </c>
      <c r="I47" s="151" t="s">
        <v>481</v>
      </c>
      <c r="J47" s="157"/>
      <c r="K47" s="163"/>
      <c r="L47" s="163" t="s">
        <v>280</v>
      </c>
      <c r="M47" s="166" t="s">
        <v>482</v>
      </c>
      <c r="N47" s="160" t="s">
        <v>483</v>
      </c>
      <c r="O47" s="159" t="s">
        <v>484</v>
      </c>
      <c r="P47" s="160" t="s">
        <v>485</v>
      </c>
      <c r="Q47" s="160" t="s">
        <v>466</v>
      </c>
      <c r="R47" s="53" t="s">
        <v>339</v>
      </c>
      <c r="S47" s="160" t="s">
        <v>340</v>
      </c>
      <c r="T47" s="159" t="s">
        <v>486</v>
      </c>
      <c r="U47" s="159" t="s">
        <v>487</v>
      </c>
      <c r="V47" s="176" t="s">
        <v>488</v>
      </c>
      <c r="W47" s="152">
        <v>1994</v>
      </c>
      <c r="X47" s="152">
        <v>522</v>
      </c>
      <c r="Y47" s="152"/>
      <c r="Z47" s="177"/>
      <c r="AA47" s="177" t="s">
        <v>150</v>
      </c>
      <c r="AB47" s="177">
        <v>15</v>
      </c>
      <c r="AC47" s="177">
        <v>96</v>
      </c>
      <c r="AD47" s="177" t="s">
        <v>489</v>
      </c>
      <c r="AE47" s="177"/>
      <c r="AF47" s="177"/>
      <c r="AG47" s="177"/>
      <c r="AH47" s="177"/>
      <c r="AI47" s="177"/>
      <c r="AJ47" s="177"/>
      <c r="AK47" s="257">
        <v>2</v>
      </c>
      <c r="AL47" s="271"/>
      <c r="AM47" s="277">
        <f>X47*P1_reinigen_daken_met_vaste_dakveiligheid</f>
        <v>0</v>
      </c>
      <c r="AN47" s="279">
        <f>Y47*P1_reinigen_goten_met_vaste_dakveiligheid</f>
        <v>0</v>
      </c>
      <c r="AO47" s="279">
        <f>(AE47*P1_Reinigen_Lichtkoepel_50X50)+('Perceel 3'!AF47*P1_Reinigen_Lichtkoepel_60x200)+('Perceel 3'!AG47*P1_Reinigen_Lichtkoepel_180x180)+('Perceel 3'!AH47*P1_Reinigen_Lichtstraten_groter_dan_180x180)</f>
        <v>0</v>
      </c>
      <c r="AP47" s="279">
        <f t="shared" si="5"/>
        <v>0</v>
      </c>
      <c r="AQ47" s="289"/>
      <c r="AR47" s="332">
        <f t="shared" si="6"/>
        <v>0</v>
      </c>
      <c r="AS47" s="336">
        <f t="shared" si="2"/>
        <v>0</v>
      </c>
    </row>
    <row r="48" spans="1:45" s="7" customFormat="1" ht="12.75" hidden="1" customHeight="1" x14ac:dyDescent="0.45">
      <c r="A48" s="155"/>
      <c r="B48" s="165">
        <v>1</v>
      </c>
      <c r="C48" s="156" t="s">
        <v>135</v>
      </c>
      <c r="D48" s="156" t="s">
        <v>490</v>
      </c>
      <c r="E48" s="156"/>
      <c r="F48" s="156"/>
      <c r="G48" s="156"/>
      <c r="H48" s="151" t="s">
        <v>491</v>
      </c>
      <c r="I48" s="151" t="s">
        <v>492</v>
      </c>
      <c r="J48" s="157"/>
      <c r="K48" s="163"/>
      <c r="L48" s="163" t="s">
        <v>154</v>
      </c>
      <c r="M48" s="166" t="s">
        <v>155</v>
      </c>
      <c r="N48" s="160" t="s">
        <v>493</v>
      </c>
      <c r="O48" s="159" t="s">
        <v>494</v>
      </c>
      <c r="P48" s="159" t="s">
        <v>495</v>
      </c>
      <c r="Q48" s="160" t="s">
        <v>466</v>
      </c>
      <c r="R48" s="53" t="s">
        <v>339</v>
      </c>
      <c r="S48" s="160" t="s">
        <v>340</v>
      </c>
      <c r="T48" s="159" t="s">
        <v>496</v>
      </c>
      <c r="U48" s="159" t="s">
        <v>497</v>
      </c>
      <c r="V48" s="176" t="s">
        <v>498</v>
      </c>
      <c r="W48" s="152">
        <v>2011</v>
      </c>
      <c r="X48" s="152">
        <v>1540</v>
      </c>
      <c r="Y48" s="152"/>
      <c r="Z48" s="177"/>
      <c r="AA48" s="177" t="s">
        <v>150</v>
      </c>
      <c r="AB48" s="177">
        <v>19</v>
      </c>
      <c r="AC48" s="177">
        <v>125</v>
      </c>
      <c r="AD48" s="177"/>
      <c r="AE48" s="177"/>
      <c r="AF48" s="177"/>
      <c r="AG48" s="177"/>
      <c r="AH48" s="177"/>
      <c r="AI48" s="177"/>
      <c r="AJ48" s="177"/>
      <c r="AK48" s="257">
        <v>1</v>
      </c>
      <c r="AL48" s="271"/>
      <c r="AM48" s="277">
        <f>X48*P1_reinigen_daken_met_vaste_dakveiligheid</f>
        <v>0</v>
      </c>
      <c r="AN48" s="279">
        <f>Y48*P1_reinigen_goten_met_vaste_dakveiligheid</f>
        <v>0</v>
      </c>
      <c r="AO48" s="279">
        <f>(AE48*P1_Reinigen_Lichtkoepel_50X50)+('Perceel 3'!AF48*P1_Reinigen_Lichtkoepel_60x200)+('Perceel 3'!AG48*P1_Reinigen_Lichtkoepel_180x180)+('Perceel 3'!AH48*P1_Reinigen_Lichtstraten_groter_dan_180x180)</f>
        <v>0</v>
      </c>
      <c r="AP48" s="279">
        <f t="shared" si="5"/>
        <v>0</v>
      </c>
      <c r="AQ48" s="289"/>
      <c r="AR48" s="332">
        <f t="shared" si="6"/>
        <v>0</v>
      </c>
      <c r="AS48" s="336">
        <f t="shared" si="2"/>
        <v>0</v>
      </c>
    </row>
    <row r="49" spans="1:45" s="7" customFormat="1" ht="25.5" hidden="1" customHeight="1" x14ac:dyDescent="0.45">
      <c r="A49" s="155"/>
      <c r="B49" s="165">
        <v>1</v>
      </c>
      <c r="C49" s="156" t="s">
        <v>135</v>
      </c>
      <c r="D49" s="156" t="s">
        <v>136</v>
      </c>
      <c r="E49" s="156"/>
      <c r="F49" s="156"/>
      <c r="G49" s="156"/>
      <c r="H49" s="151" t="s">
        <v>499</v>
      </c>
      <c r="I49" s="151" t="s">
        <v>500</v>
      </c>
      <c r="J49" s="157"/>
      <c r="K49" s="163"/>
      <c r="L49" s="151" t="s">
        <v>139</v>
      </c>
      <c r="M49" s="159" t="s">
        <v>140</v>
      </c>
      <c r="N49" s="160" t="s">
        <v>501</v>
      </c>
      <c r="O49" s="159" t="s">
        <v>502</v>
      </c>
      <c r="P49" s="160" t="s">
        <v>503</v>
      </c>
      <c r="Q49" s="160" t="s">
        <v>466</v>
      </c>
      <c r="R49" s="53" t="s">
        <v>339</v>
      </c>
      <c r="S49" s="160" t="s">
        <v>340</v>
      </c>
      <c r="T49" s="159" t="s">
        <v>504</v>
      </c>
      <c r="U49" s="159" t="s">
        <v>505</v>
      </c>
      <c r="V49" s="176" t="s">
        <v>506</v>
      </c>
      <c r="W49" s="152">
        <v>2003</v>
      </c>
      <c r="X49" s="152">
        <v>783</v>
      </c>
      <c r="Y49" s="152"/>
      <c r="Z49" s="177" t="s">
        <v>311</v>
      </c>
      <c r="AA49" s="177" t="s">
        <v>150</v>
      </c>
      <c r="AB49" s="177">
        <v>18</v>
      </c>
      <c r="AC49" s="177">
        <v>117</v>
      </c>
      <c r="AD49" s="177"/>
      <c r="AE49" s="177"/>
      <c r="AF49" s="177"/>
      <c r="AG49" s="177"/>
      <c r="AH49" s="177"/>
      <c r="AI49" s="177"/>
      <c r="AJ49" s="177"/>
      <c r="AK49" s="257">
        <v>1</v>
      </c>
      <c r="AL49" s="271"/>
      <c r="AM49" s="277">
        <f>X49*P1_reinigen_daken_met_vaste_dakveiligheid</f>
        <v>0</v>
      </c>
      <c r="AN49" s="279">
        <f>Y49*P1_reinigen_goten_met_vaste_dakveiligheid</f>
        <v>0</v>
      </c>
      <c r="AO49" s="279">
        <f>(AE49*P1_Reinigen_Lichtkoepel_50X50)+('Perceel 3'!AF49*P1_Reinigen_Lichtkoepel_60x200)+('Perceel 3'!AG49*P1_Reinigen_Lichtkoepel_180x180)+('Perceel 3'!AH49*P1_Reinigen_Lichtstraten_groter_dan_180x180)</f>
        <v>0</v>
      </c>
      <c r="AP49" s="279">
        <f t="shared" si="5"/>
        <v>0</v>
      </c>
      <c r="AQ49" s="289"/>
      <c r="AR49" s="332">
        <f t="shared" si="6"/>
        <v>0</v>
      </c>
      <c r="AS49" s="336">
        <f t="shared" si="2"/>
        <v>0</v>
      </c>
    </row>
    <row r="50" spans="1:45" s="7" customFormat="1" ht="39" hidden="1" thickTop="1" thickBot="1" x14ac:dyDescent="0.5">
      <c r="A50" s="155"/>
      <c r="B50" s="165">
        <v>1</v>
      </c>
      <c r="C50" s="156" t="s">
        <v>135</v>
      </c>
      <c r="D50" s="156" t="s">
        <v>136</v>
      </c>
      <c r="E50" s="156"/>
      <c r="F50" s="156"/>
      <c r="G50" s="156"/>
      <c r="H50" s="151" t="s">
        <v>507</v>
      </c>
      <c r="I50" s="151" t="s">
        <v>508</v>
      </c>
      <c r="J50" s="157"/>
      <c r="K50" s="163"/>
      <c r="L50" s="151" t="s">
        <v>139</v>
      </c>
      <c r="M50" s="159" t="s">
        <v>140</v>
      </c>
      <c r="N50" s="160" t="s">
        <v>509</v>
      </c>
      <c r="O50" s="159" t="s">
        <v>510</v>
      </c>
      <c r="P50" s="160" t="s">
        <v>511</v>
      </c>
      <c r="Q50" s="160" t="s">
        <v>512</v>
      </c>
      <c r="R50" s="53" t="s">
        <v>339</v>
      </c>
      <c r="S50" s="160" t="s">
        <v>340</v>
      </c>
      <c r="T50" s="159" t="s">
        <v>513</v>
      </c>
      <c r="U50" s="159" t="s">
        <v>514</v>
      </c>
      <c r="V50" s="176" t="s">
        <v>515</v>
      </c>
      <c r="W50" s="152">
        <v>1998</v>
      </c>
      <c r="X50" s="152">
        <v>353</v>
      </c>
      <c r="Y50" s="152"/>
      <c r="Z50" s="177"/>
      <c r="AA50" s="177"/>
      <c r="AB50" s="177"/>
      <c r="AC50" s="177"/>
      <c r="AD50" s="177"/>
      <c r="AE50" s="177"/>
      <c r="AF50" s="177"/>
      <c r="AG50" s="177"/>
      <c r="AH50" s="177"/>
      <c r="AI50" s="177"/>
      <c r="AJ50" s="177"/>
      <c r="AK50" s="257">
        <v>1</v>
      </c>
      <c r="AL50" s="271"/>
      <c r="AM50" s="277">
        <f>X50*P1_Reinigen_daken_incl._extra_maatregelen_veilig_werken_volgens_VCA__eventuele_vergunningen_leges___voorrijkosten__adminstratieve_kosten__fotorapportage_en_kleine_reparaties_¹</f>
        <v>0</v>
      </c>
      <c r="AN50" s="279">
        <f>Y50*P1_Reinigen_goten_incl._extra_maatregelen_veilig_werken_volgens_VCA__eventuele_vergunningen_leges___voorrijkosten__adminstratieve_kosten__fotorapportage_en_kleine_reparaties_¹</f>
        <v>0</v>
      </c>
      <c r="AO50" s="279">
        <f>(AE50*P1_Reinigen_Lichtkoepel_50X50)+('Perceel 3'!AF50*P1_Reinigen_Lichtkoepel_60x200)+('Perceel 3'!AG50*P1_Reinigen_Lichtkoepel_180x180)+('Perceel 3'!AH50*P1_Reinigen_Lichtstraten_groter_dan_180x180)</f>
        <v>0</v>
      </c>
      <c r="AP50" s="279">
        <f t="shared" si="5"/>
        <v>0</v>
      </c>
      <c r="AQ50" s="298"/>
      <c r="AR50" s="332">
        <f t="shared" si="6"/>
        <v>0</v>
      </c>
      <c r="AS50" s="336">
        <f t="shared" si="2"/>
        <v>0</v>
      </c>
    </row>
    <row r="51" spans="1:45" s="7" customFormat="1" ht="15" hidden="1" thickTop="1" thickBot="1" x14ac:dyDescent="0.5">
      <c r="A51" s="155"/>
      <c r="B51" s="165">
        <v>1</v>
      </c>
      <c r="C51" s="156" t="s">
        <v>135</v>
      </c>
      <c r="D51" s="156" t="s">
        <v>136</v>
      </c>
      <c r="E51" s="156"/>
      <c r="F51" s="156"/>
      <c r="G51" s="156"/>
      <c r="H51" s="151"/>
      <c r="I51" s="151"/>
      <c r="J51" s="157"/>
      <c r="K51" s="163"/>
      <c r="L51" s="151"/>
      <c r="M51" s="159"/>
      <c r="N51" s="195">
        <v>2467</v>
      </c>
      <c r="O51" s="166" t="s">
        <v>516</v>
      </c>
      <c r="P51" s="166" t="s">
        <v>517</v>
      </c>
      <c r="Q51" s="166" t="s">
        <v>518</v>
      </c>
      <c r="R51" s="42" t="s">
        <v>146</v>
      </c>
      <c r="S51" s="166" t="s">
        <v>146</v>
      </c>
      <c r="T51" s="159"/>
      <c r="U51" s="159"/>
      <c r="V51" s="176"/>
      <c r="W51" s="152">
        <v>2009</v>
      </c>
      <c r="X51" s="152">
        <v>139</v>
      </c>
      <c r="Y51" s="152"/>
      <c r="Z51" s="177"/>
      <c r="AA51" s="177" t="s">
        <v>231</v>
      </c>
      <c r="AB51" s="177">
        <v>2</v>
      </c>
      <c r="AC51" s="177"/>
      <c r="AD51" s="177"/>
      <c r="AE51" s="177"/>
      <c r="AF51" s="177"/>
      <c r="AG51" s="177"/>
      <c r="AH51" s="177"/>
      <c r="AI51" s="177"/>
      <c r="AJ51" s="177"/>
      <c r="AK51" s="257">
        <v>1</v>
      </c>
      <c r="AL51" s="271"/>
      <c r="AM51" s="277">
        <f>X51*P1_reinigen_daken_met_vaste_dakveiligheid</f>
        <v>0</v>
      </c>
      <c r="AN51" s="279">
        <f>Y51*P1_reinigen_goten_met_vaste_dakveiligheid</f>
        <v>0</v>
      </c>
      <c r="AO51" s="279">
        <f>(AE51*P1_Reinigen_Lichtkoepel_50X50)+('Perceel 3'!AF51*P1_Reinigen_Lichtkoepel_60x200)+('Perceel 3'!AG51*P1_Reinigen_Lichtkoepel_180x180)+('Perceel 3'!AH51*P1_Reinigen_Lichtstraten_groter_dan_180x180)</f>
        <v>0</v>
      </c>
      <c r="AP51" s="279">
        <f t="shared" si="5"/>
        <v>0</v>
      </c>
      <c r="AQ51" s="289"/>
      <c r="AR51" s="332">
        <f t="shared" si="6"/>
        <v>0</v>
      </c>
      <c r="AS51" s="336">
        <f t="shared" si="2"/>
        <v>0</v>
      </c>
    </row>
    <row r="52" spans="1:45" s="7" customFormat="1" ht="38.450000000000003" hidden="1" customHeight="1" x14ac:dyDescent="0.45">
      <c r="A52" s="155"/>
      <c r="B52" s="152">
        <v>1</v>
      </c>
      <c r="C52" s="156" t="s">
        <v>135</v>
      </c>
      <c r="D52" s="156" t="s">
        <v>174</v>
      </c>
      <c r="E52" s="156"/>
      <c r="F52" s="156"/>
      <c r="G52" s="156"/>
      <c r="H52" s="151" t="s">
        <v>519</v>
      </c>
      <c r="I52" s="151" t="s">
        <v>520</v>
      </c>
      <c r="J52" s="157"/>
      <c r="K52" s="158"/>
      <c r="L52" s="151" t="s">
        <v>348</v>
      </c>
      <c r="M52" s="159" t="s">
        <v>349</v>
      </c>
      <c r="N52" s="159" t="s">
        <v>521</v>
      </c>
      <c r="O52" s="159" t="s">
        <v>522</v>
      </c>
      <c r="P52" s="159" t="s">
        <v>523</v>
      </c>
      <c r="Q52" s="159" t="s">
        <v>518</v>
      </c>
      <c r="R52" s="42" t="s">
        <v>302</v>
      </c>
      <c r="S52" s="159" t="s">
        <v>146</v>
      </c>
      <c r="T52" s="159" t="s">
        <v>524</v>
      </c>
      <c r="U52" s="159" t="s">
        <v>525</v>
      </c>
      <c r="V52" s="176" t="s">
        <v>526</v>
      </c>
      <c r="W52" s="152">
        <v>2009</v>
      </c>
      <c r="X52" s="152">
        <v>1128</v>
      </c>
      <c r="Y52" s="152"/>
      <c r="Z52" s="189"/>
      <c r="AA52" s="177" t="s">
        <v>231</v>
      </c>
      <c r="AB52" s="177">
        <v>26</v>
      </c>
      <c r="AC52" s="177">
        <v>86</v>
      </c>
      <c r="AD52" s="177"/>
      <c r="AE52" s="177"/>
      <c r="AF52" s="177"/>
      <c r="AG52" s="177"/>
      <c r="AH52" s="177"/>
      <c r="AI52" s="177"/>
      <c r="AJ52" s="177"/>
      <c r="AK52" s="257">
        <v>1</v>
      </c>
      <c r="AL52" s="272"/>
      <c r="AM52" s="277">
        <f>X52*P1_reinigen_daken_met_vaste_dakveiligheid</f>
        <v>0</v>
      </c>
      <c r="AN52" s="279">
        <f>Y52*P1_reinigen_goten_met_vaste_dakveiligheid</f>
        <v>0</v>
      </c>
      <c r="AO52" s="279">
        <f>(AE52*P1_Reinigen_Lichtkoepel_50X50)+('Perceel 3'!AF52*P1_Reinigen_Lichtkoepel_60x200)+('Perceel 3'!AG52*P1_Reinigen_Lichtkoepel_180x180)+('Perceel 3'!AH52*P1_Reinigen_Lichtstraten_groter_dan_180x180)</f>
        <v>0</v>
      </c>
      <c r="AP52" s="279">
        <f t="shared" si="5"/>
        <v>0</v>
      </c>
      <c r="AQ52" s="289"/>
      <c r="AR52" s="332">
        <f t="shared" si="6"/>
        <v>0</v>
      </c>
      <c r="AS52" s="336">
        <f t="shared" si="2"/>
        <v>0</v>
      </c>
    </row>
    <row r="53" spans="1:45" s="7" customFormat="1" ht="38.85" hidden="1" customHeight="1" x14ac:dyDescent="0.45">
      <c r="A53" s="155"/>
      <c r="B53" s="180">
        <v>1</v>
      </c>
      <c r="C53" s="171" t="s">
        <v>135</v>
      </c>
      <c r="D53" s="171" t="s">
        <v>174</v>
      </c>
      <c r="E53" s="171" t="s">
        <v>136</v>
      </c>
      <c r="F53" s="171"/>
      <c r="G53" s="171"/>
      <c r="H53" s="22"/>
      <c r="I53" s="17"/>
      <c r="J53" s="17"/>
      <c r="K53" s="17"/>
      <c r="L53" s="196"/>
      <c r="M53" s="169"/>
      <c r="N53" s="183" t="s">
        <v>527</v>
      </c>
      <c r="O53" s="169" t="s">
        <v>528</v>
      </c>
      <c r="P53" s="169" t="s">
        <v>529</v>
      </c>
      <c r="Q53" s="169" t="s">
        <v>530</v>
      </c>
      <c r="R53" s="57" t="s">
        <v>457</v>
      </c>
      <c r="S53" s="169" t="s">
        <v>189</v>
      </c>
      <c r="T53" s="169"/>
      <c r="U53" s="169"/>
      <c r="V53" s="169"/>
      <c r="W53" s="180">
        <v>2016</v>
      </c>
      <c r="X53" s="180">
        <v>1498</v>
      </c>
      <c r="Y53" s="180"/>
      <c r="Z53" s="180"/>
      <c r="AA53" s="204" t="s">
        <v>150</v>
      </c>
      <c r="AB53" s="204">
        <f>7+18+4</f>
        <v>29</v>
      </c>
      <c r="AC53" s="204">
        <v>177</v>
      </c>
      <c r="AD53" s="204" t="s">
        <v>531</v>
      </c>
      <c r="AE53" s="204"/>
      <c r="AF53" s="204"/>
      <c r="AG53" s="204"/>
      <c r="AH53" s="204"/>
      <c r="AI53" s="205" t="s">
        <v>532</v>
      </c>
      <c r="AJ53" s="204" t="s">
        <v>533</v>
      </c>
      <c r="AK53" s="259">
        <v>1</v>
      </c>
      <c r="AL53" s="271"/>
      <c r="AM53" s="299"/>
      <c r="AN53" s="298"/>
      <c r="AO53" s="298"/>
      <c r="AP53" s="298"/>
      <c r="AQ53" s="289"/>
      <c r="AR53" s="333"/>
      <c r="AS53" s="337"/>
    </row>
    <row r="54" spans="1:45" s="7" customFormat="1" ht="29.25" hidden="1" thickTop="1" thickBot="1" x14ac:dyDescent="0.5">
      <c r="A54" s="155"/>
      <c r="B54" s="185">
        <v>1</v>
      </c>
      <c r="C54" s="175" t="s">
        <v>135</v>
      </c>
      <c r="D54" s="175" t="s">
        <v>174</v>
      </c>
      <c r="E54" s="175"/>
      <c r="F54" s="175"/>
      <c r="G54" s="175"/>
      <c r="H54" s="175" t="s">
        <v>534</v>
      </c>
      <c r="I54" s="182" t="s">
        <v>535</v>
      </c>
      <c r="J54" s="197"/>
      <c r="K54" s="197"/>
      <c r="L54" s="174"/>
      <c r="M54" s="175" t="s">
        <v>349</v>
      </c>
      <c r="N54" s="182">
        <v>1293</v>
      </c>
      <c r="O54" s="175" t="s">
        <v>536</v>
      </c>
      <c r="P54" s="182" t="s">
        <v>537</v>
      </c>
      <c r="Q54" s="182" t="s">
        <v>530</v>
      </c>
      <c r="R54" s="50" t="s">
        <v>457</v>
      </c>
      <c r="S54" s="182" t="s">
        <v>189</v>
      </c>
      <c r="T54" s="175" t="s">
        <v>538</v>
      </c>
      <c r="U54" s="175" t="s">
        <v>539</v>
      </c>
      <c r="V54" s="187" t="s">
        <v>540</v>
      </c>
      <c r="W54" s="182">
        <v>2016</v>
      </c>
      <c r="X54" s="255">
        <f>X53*84%</f>
        <v>1258.32</v>
      </c>
      <c r="Y54" s="182"/>
      <c r="Z54" s="182"/>
      <c r="AA54" s="182"/>
      <c r="AB54" s="255">
        <f t="shared" ref="AB54:AC54" si="7">AB53*84%</f>
        <v>24.36</v>
      </c>
      <c r="AC54" s="255">
        <f t="shared" si="7"/>
        <v>148.68</v>
      </c>
      <c r="AD54" s="182"/>
      <c r="AE54" s="182"/>
      <c r="AF54" s="182"/>
      <c r="AG54" s="182"/>
      <c r="AH54" s="182"/>
      <c r="AI54" s="206" t="s">
        <v>541</v>
      </c>
      <c r="AJ54" s="182" t="s">
        <v>533</v>
      </c>
      <c r="AK54" s="255">
        <v>1</v>
      </c>
      <c r="AL54" s="271"/>
      <c r="AM54" s="277">
        <f>X54*P1_reinigen_daken_met_vaste_dakveiligheid</f>
        <v>0</v>
      </c>
      <c r="AN54" s="279">
        <f>Y54*P1_reinigen_goten_met_vaste_dakveiligheid</f>
        <v>0</v>
      </c>
      <c r="AO54" s="279">
        <f>(AE54*P1_Reinigen_Lichtkoepel_50X50)+('Perceel 3'!AF54*P1_Reinigen_Lichtkoepel_60x200)+('Perceel 3'!AG54*P1_Reinigen_Lichtkoepel_180x180)+('Perceel 3'!AH54*P1_Reinigen_Lichtstraten_groter_dan_180x180)</f>
        <v>0</v>
      </c>
      <c r="AP54" s="279">
        <f t="shared" ref="AP54:AP73" si="8">(X54+Y54)*P1_Inspecteren_daken_en_goten_1x_per_jaar_gelijktijdig_met_reiniging_inclusief_inspectierapport_en_een_managementrapport</f>
        <v>0</v>
      </c>
      <c r="AQ54" s="280">
        <f>AQ53*84%</f>
        <v>0</v>
      </c>
      <c r="AR54" s="332">
        <f t="shared" ref="AR54:AR73" si="9">AQ54*P1_keuren_dakveiligheid_per_man_uur</f>
        <v>0</v>
      </c>
      <c r="AS54" s="336">
        <f t="shared" si="2"/>
        <v>0</v>
      </c>
    </row>
    <row r="55" spans="1:45" s="7" customFormat="1" ht="51.75" hidden="1" thickTop="1" thickBot="1" x14ac:dyDescent="0.5">
      <c r="A55" s="155"/>
      <c r="B55" s="185">
        <v>1</v>
      </c>
      <c r="C55" s="175" t="s">
        <v>135</v>
      </c>
      <c r="D55" s="175" t="s">
        <v>136</v>
      </c>
      <c r="E55" s="175"/>
      <c r="F55" s="175"/>
      <c r="G55" s="175"/>
      <c r="H55" s="175" t="s">
        <v>542</v>
      </c>
      <c r="I55" s="182" t="s">
        <v>543</v>
      </c>
      <c r="J55" s="197"/>
      <c r="K55" s="197"/>
      <c r="L55" s="174"/>
      <c r="M55" s="191" t="s">
        <v>544</v>
      </c>
      <c r="N55" s="182">
        <v>1195</v>
      </c>
      <c r="O55" s="175" t="s">
        <v>545</v>
      </c>
      <c r="P55" s="182" t="s">
        <v>546</v>
      </c>
      <c r="Q55" s="182" t="s">
        <v>530</v>
      </c>
      <c r="R55" s="50" t="s">
        <v>457</v>
      </c>
      <c r="S55" s="182" t="s">
        <v>189</v>
      </c>
      <c r="T55" s="175" t="s">
        <v>169</v>
      </c>
      <c r="U55" s="175" t="s">
        <v>170</v>
      </c>
      <c r="V55" s="175" t="s">
        <v>171</v>
      </c>
      <c r="W55" s="182">
        <v>2016</v>
      </c>
      <c r="X55" s="255">
        <f>X53*16%</f>
        <v>239.68</v>
      </c>
      <c r="Y55" s="182"/>
      <c r="Z55" s="182"/>
      <c r="AA55" s="182"/>
      <c r="AB55" s="255">
        <f t="shared" ref="AB55:AC55" si="10">AB53*16%</f>
        <v>4.6399999999999997</v>
      </c>
      <c r="AC55" s="255">
        <f t="shared" si="10"/>
        <v>28.32</v>
      </c>
      <c r="AD55" s="182"/>
      <c r="AE55" s="182"/>
      <c r="AF55" s="182"/>
      <c r="AG55" s="182"/>
      <c r="AH55" s="182"/>
      <c r="AI55" s="206" t="s">
        <v>541</v>
      </c>
      <c r="AJ55" s="182" t="s">
        <v>533</v>
      </c>
      <c r="AK55" s="255">
        <v>1</v>
      </c>
      <c r="AL55" s="271"/>
      <c r="AM55" s="277">
        <f>X55*P1_reinigen_daken_met_vaste_dakveiligheid</f>
        <v>0</v>
      </c>
      <c r="AN55" s="279">
        <f>Y55*P1_reinigen_goten_met_vaste_dakveiligheid</f>
        <v>0</v>
      </c>
      <c r="AO55" s="279">
        <f>(AE55*P1_Reinigen_Lichtkoepel_50X50)+('Perceel 3'!AF55*P1_Reinigen_Lichtkoepel_60x200)+('Perceel 3'!AG55*P1_Reinigen_Lichtkoepel_180x180)+('Perceel 3'!AH55*P1_Reinigen_Lichtstraten_groter_dan_180x180)</f>
        <v>0</v>
      </c>
      <c r="AP55" s="279">
        <f t="shared" si="8"/>
        <v>0</v>
      </c>
      <c r="AQ55" s="280">
        <f>AQ53*16%</f>
        <v>0</v>
      </c>
      <c r="AR55" s="332">
        <f t="shared" si="9"/>
        <v>0</v>
      </c>
      <c r="AS55" s="336">
        <f t="shared" si="2"/>
        <v>0</v>
      </c>
    </row>
    <row r="56" spans="1:45" s="7" customFormat="1" ht="22.5" hidden="1" customHeight="1" x14ac:dyDescent="0.45">
      <c r="A56" s="155"/>
      <c r="B56" s="165">
        <v>1</v>
      </c>
      <c r="C56" s="156" t="s">
        <v>135</v>
      </c>
      <c r="D56" s="156" t="s">
        <v>136</v>
      </c>
      <c r="E56" s="156"/>
      <c r="F56" s="156"/>
      <c r="G56" s="156"/>
      <c r="H56" s="151" t="s">
        <v>547</v>
      </c>
      <c r="I56" s="151" t="s">
        <v>548</v>
      </c>
      <c r="J56" s="157"/>
      <c r="K56" s="163"/>
      <c r="L56" s="163" t="s">
        <v>154</v>
      </c>
      <c r="M56" s="166" t="s">
        <v>544</v>
      </c>
      <c r="N56" s="159" t="s">
        <v>549</v>
      </c>
      <c r="O56" s="159" t="s">
        <v>550</v>
      </c>
      <c r="P56" s="160" t="s">
        <v>551</v>
      </c>
      <c r="Q56" s="160" t="s">
        <v>552</v>
      </c>
      <c r="R56" s="53" t="s">
        <v>457</v>
      </c>
      <c r="S56" s="160" t="s">
        <v>189</v>
      </c>
      <c r="T56" s="159" t="s">
        <v>553</v>
      </c>
      <c r="U56" s="207" t="s">
        <v>554</v>
      </c>
      <c r="V56" s="208" t="s">
        <v>555</v>
      </c>
      <c r="W56" s="152">
        <v>1982</v>
      </c>
      <c r="X56" s="152">
        <v>460</v>
      </c>
      <c r="Y56" s="152"/>
      <c r="Z56" s="177"/>
      <c r="AA56" s="177"/>
      <c r="AB56" s="177"/>
      <c r="AC56" s="177"/>
      <c r="AD56" s="177"/>
      <c r="AE56" s="177"/>
      <c r="AF56" s="177"/>
      <c r="AG56" s="177"/>
      <c r="AH56" s="177"/>
      <c r="AI56" s="177"/>
      <c r="AJ56" s="177"/>
      <c r="AK56" s="257">
        <v>1</v>
      </c>
      <c r="AL56" s="271"/>
      <c r="AM56" s="277">
        <f t="shared" ref="AM56:AM67" si="11">X56*P1_Reinigen_daken_incl._extra_maatregelen_veilig_werken_volgens_VCA__eventuele_vergunningen_leges___voorrijkosten__adminstratieve_kosten__fotorapportage_en_kleine_reparaties_¹</f>
        <v>0</v>
      </c>
      <c r="AN56" s="279">
        <f t="shared" ref="AN56:AN67" si="12">Y56*P1_Reinigen_goten_incl._extra_maatregelen_veilig_werken_volgens_VCA__eventuele_vergunningen_leges___voorrijkosten__adminstratieve_kosten__fotorapportage_en_kleine_reparaties_¹</f>
        <v>0</v>
      </c>
      <c r="AO56" s="279">
        <f>(AE56*P1_Reinigen_Lichtkoepel_50X50)+('Perceel 3'!AF56*P1_Reinigen_Lichtkoepel_60x200)+('Perceel 3'!AG56*P1_Reinigen_Lichtkoepel_180x180)+('Perceel 3'!AH56*P1_Reinigen_Lichtstraten_groter_dan_180x180)</f>
        <v>0</v>
      </c>
      <c r="AP56" s="279">
        <f t="shared" si="8"/>
        <v>0</v>
      </c>
      <c r="AQ56" s="298"/>
      <c r="AR56" s="332">
        <f t="shared" si="9"/>
        <v>0</v>
      </c>
      <c r="AS56" s="336">
        <f t="shared" si="2"/>
        <v>0</v>
      </c>
    </row>
    <row r="57" spans="1:45" s="7" customFormat="1" ht="39" hidden="1" thickTop="1" thickBot="1" x14ac:dyDescent="0.5">
      <c r="A57" s="161"/>
      <c r="B57" s="152">
        <v>1</v>
      </c>
      <c r="C57" s="156" t="s">
        <v>135</v>
      </c>
      <c r="D57" s="156" t="s">
        <v>136</v>
      </c>
      <c r="E57" s="156"/>
      <c r="F57" s="156"/>
      <c r="G57" s="156"/>
      <c r="H57" s="162" t="s">
        <v>556</v>
      </c>
      <c r="I57" s="162" t="s">
        <v>557</v>
      </c>
      <c r="J57" s="157"/>
      <c r="K57" s="163"/>
      <c r="L57" s="151" t="s">
        <v>139</v>
      </c>
      <c r="M57" s="159" t="s">
        <v>140</v>
      </c>
      <c r="N57" s="164">
        <v>2435</v>
      </c>
      <c r="O57" s="159" t="s">
        <v>558</v>
      </c>
      <c r="P57" s="159" t="s">
        <v>559</v>
      </c>
      <c r="Q57" s="159" t="s">
        <v>560</v>
      </c>
      <c r="R57" s="42" t="s">
        <v>230</v>
      </c>
      <c r="S57" s="159" t="s">
        <v>189</v>
      </c>
      <c r="T57" s="159" t="s">
        <v>561</v>
      </c>
      <c r="U57" s="159" t="s">
        <v>399</v>
      </c>
      <c r="V57" s="176" t="s">
        <v>400</v>
      </c>
      <c r="W57" s="152">
        <v>2020</v>
      </c>
      <c r="X57" s="152"/>
      <c r="Y57" s="152">
        <v>33</v>
      </c>
      <c r="Z57" s="177"/>
      <c r="AA57" s="177"/>
      <c r="AB57" s="177"/>
      <c r="AC57" s="177"/>
      <c r="AD57" s="177"/>
      <c r="AE57" s="177"/>
      <c r="AF57" s="177"/>
      <c r="AG57" s="177"/>
      <c r="AH57" s="177"/>
      <c r="AI57" s="177" t="s">
        <v>324</v>
      </c>
      <c r="AJ57" s="177" t="s">
        <v>562</v>
      </c>
      <c r="AK57" s="177">
        <v>1</v>
      </c>
      <c r="AL57" s="272"/>
      <c r="AM57" s="277">
        <f t="shared" si="11"/>
        <v>0</v>
      </c>
      <c r="AN57" s="279">
        <f t="shared" si="12"/>
        <v>0</v>
      </c>
      <c r="AO57" s="279">
        <f>(AE57*P1_Reinigen_Lichtkoepel_50X50)+('Perceel 3'!AF57*P1_Reinigen_Lichtkoepel_60x200)+('Perceel 3'!AG57*P1_Reinigen_Lichtkoepel_180x180)+('Perceel 3'!AH57*P1_Reinigen_Lichtstraten_groter_dan_180x180)</f>
        <v>0</v>
      </c>
      <c r="AP57" s="279">
        <f t="shared" si="8"/>
        <v>0</v>
      </c>
      <c r="AQ57" s="298"/>
      <c r="AR57" s="332">
        <f t="shared" si="9"/>
        <v>0</v>
      </c>
      <c r="AS57" s="336">
        <f t="shared" si="2"/>
        <v>33</v>
      </c>
    </row>
    <row r="58" spans="1:45" s="7" customFormat="1" ht="38.450000000000003" hidden="1" customHeight="1" x14ac:dyDescent="0.45">
      <c r="A58" s="161"/>
      <c r="B58" s="152">
        <v>1</v>
      </c>
      <c r="C58" s="156" t="s">
        <v>135</v>
      </c>
      <c r="D58" s="156" t="s">
        <v>471</v>
      </c>
      <c r="E58" s="156"/>
      <c r="F58" s="156"/>
      <c r="G58" s="156"/>
      <c r="H58" s="151" t="s">
        <v>563</v>
      </c>
      <c r="I58" s="151" t="s">
        <v>564</v>
      </c>
      <c r="J58" s="157"/>
      <c r="K58" s="163"/>
      <c r="L58" s="163" t="s">
        <v>154</v>
      </c>
      <c r="M58" s="166" t="s">
        <v>155</v>
      </c>
      <c r="N58" s="159" t="s">
        <v>565</v>
      </c>
      <c r="O58" s="159" t="s">
        <v>566</v>
      </c>
      <c r="P58" s="159" t="s">
        <v>567</v>
      </c>
      <c r="Q58" s="159" t="s">
        <v>568</v>
      </c>
      <c r="R58" s="42" t="s">
        <v>339</v>
      </c>
      <c r="S58" s="159" t="s">
        <v>340</v>
      </c>
      <c r="T58" s="159" t="s">
        <v>477</v>
      </c>
      <c r="U58" s="159" t="s">
        <v>478</v>
      </c>
      <c r="V58" s="176" t="s">
        <v>479</v>
      </c>
      <c r="W58" s="152">
        <v>1983</v>
      </c>
      <c r="X58" s="152">
        <v>1527</v>
      </c>
      <c r="Y58" s="152"/>
      <c r="Z58" s="177"/>
      <c r="AA58" s="177"/>
      <c r="AB58" s="177"/>
      <c r="AC58" s="177"/>
      <c r="AD58" s="177"/>
      <c r="AE58" s="177"/>
      <c r="AF58" s="177"/>
      <c r="AG58" s="177"/>
      <c r="AH58" s="177"/>
      <c r="AI58" s="177"/>
      <c r="AJ58" s="177"/>
      <c r="AK58" s="177">
        <v>1</v>
      </c>
      <c r="AL58" s="272"/>
      <c r="AM58" s="277">
        <f t="shared" si="11"/>
        <v>0</v>
      </c>
      <c r="AN58" s="279">
        <f t="shared" si="12"/>
        <v>0</v>
      </c>
      <c r="AO58" s="279">
        <f>(AE58*P1_Reinigen_Lichtkoepel_50X50)+('Perceel 3'!AF58*P1_Reinigen_Lichtkoepel_60x200)+('Perceel 3'!AG58*P1_Reinigen_Lichtkoepel_180x180)+('Perceel 3'!AH58*P1_Reinigen_Lichtstraten_groter_dan_180x180)</f>
        <v>0</v>
      </c>
      <c r="AP58" s="279">
        <f t="shared" si="8"/>
        <v>0</v>
      </c>
      <c r="AQ58" s="298"/>
      <c r="AR58" s="332">
        <f t="shared" si="9"/>
        <v>0</v>
      </c>
      <c r="AS58" s="336">
        <f t="shared" si="2"/>
        <v>0</v>
      </c>
    </row>
    <row r="59" spans="1:45" s="7" customFormat="1" ht="12.75" hidden="1" customHeight="1" x14ac:dyDescent="0.45">
      <c r="A59" s="155"/>
      <c r="B59" s="165">
        <v>1</v>
      </c>
      <c r="C59" s="156" t="s">
        <v>135</v>
      </c>
      <c r="D59" s="156" t="s">
        <v>136</v>
      </c>
      <c r="E59" s="156"/>
      <c r="F59" s="156"/>
      <c r="G59" s="156"/>
      <c r="H59" s="151" t="s">
        <v>569</v>
      </c>
      <c r="I59" s="151" t="s">
        <v>570</v>
      </c>
      <c r="J59" s="157"/>
      <c r="K59" s="163"/>
      <c r="L59" s="151" t="s">
        <v>139</v>
      </c>
      <c r="M59" s="159" t="s">
        <v>140</v>
      </c>
      <c r="N59" s="160" t="s">
        <v>571</v>
      </c>
      <c r="O59" s="159" t="s">
        <v>572</v>
      </c>
      <c r="P59" s="160" t="s">
        <v>573</v>
      </c>
      <c r="Q59" s="160" t="s">
        <v>574</v>
      </c>
      <c r="R59" s="53" t="s">
        <v>339</v>
      </c>
      <c r="S59" s="160" t="s">
        <v>340</v>
      </c>
      <c r="T59" s="159" t="s">
        <v>575</v>
      </c>
      <c r="U59" s="192" t="s">
        <v>576</v>
      </c>
      <c r="V59" s="176" t="s">
        <v>577</v>
      </c>
      <c r="W59" s="152">
        <v>2001</v>
      </c>
      <c r="X59" s="152">
        <v>288</v>
      </c>
      <c r="Y59" s="152"/>
      <c r="Z59" s="177"/>
      <c r="AA59" s="177"/>
      <c r="AB59" s="177"/>
      <c r="AC59" s="177"/>
      <c r="AD59" s="177"/>
      <c r="AE59" s="177"/>
      <c r="AF59" s="177"/>
      <c r="AG59" s="177"/>
      <c r="AH59" s="177"/>
      <c r="AI59" s="177"/>
      <c r="AJ59" s="177"/>
      <c r="AK59" s="257">
        <v>1</v>
      </c>
      <c r="AL59" s="271"/>
      <c r="AM59" s="277">
        <f t="shared" si="11"/>
        <v>0</v>
      </c>
      <c r="AN59" s="279">
        <f t="shared" si="12"/>
        <v>0</v>
      </c>
      <c r="AO59" s="279">
        <f>(AE59*P1_Reinigen_Lichtkoepel_50X50)+('Perceel 3'!AF59*P1_Reinigen_Lichtkoepel_60x200)+('Perceel 3'!AG59*P1_Reinigen_Lichtkoepel_180x180)+('Perceel 3'!AH59*P1_Reinigen_Lichtstraten_groter_dan_180x180)</f>
        <v>0</v>
      </c>
      <c r="AP59" s="279">
        <f t="shared" si="8"/>
        <v>0</v>
      </c>
      <c r="AQ59" s="298"/>
      <c r="AR59" s="332">
        <f t="shared" si="9"/>
        <v>0</v>
      </c>
      <c r="AS59" s="336">
        <f t="shared" si="2"/>
        <v>0</v>
      </c>
    </row>
    <row r="60" spans="1:45" s="7" customFormat="1" ht="26.25" hidden="1" thickTop="1" thickBot="1" x14ac:dyDescent="0.5">
      <c r="A60" s="155"/>
      <c r="B60" s="165">
        <v>1</v>
      </c>
      <c r="C60" s="156" t="s">
        <v>135</v>
      </c>
      <c r="D60" s="156" t="s">
        <v>136</v>
      </c>
      <c r="E60" s="156"/>
      <c r="F60" s="156"/>
      <c r="G60" s="156"/>
      <c r="H60" s="151" t="s">
        <v>578</v>
      </c>
      <c r="I60" s="151" t="s">
        <v>579</v>
      </c>
      <c r="J60" s="157"/>
      <c r="K60" s="163"/>
      <c r="L60" s="163" t="s">
        <v>154</v>
      </c>
      <c r="M60" s="166" t="s">
        <v>544</v>
      </c>
      <c r="N60" s="164">
        <v>2366</v>
      </c>
      <c r="O60" s="159" t="s">
        <v>580</v>
      </c>
      <c r="P60" s="159" t="s">
        <v>581</v>
      </c>
      <c r="Q60" s="159" t="s">
        <v>582</v>
      </c>
      <c r="R60" s="42" t="s">
        <v>583</v>
      </c>
      <c r="S60" s="159" t="s">
        <v>189</v>
      </c>
      <c r="T60" s="159" t="s">
        <v>584</v>
      </c>
      <c r="U60" s="192" t="s">
        <v>585</v>
      </c>
      <c r="V60" s="176" t="s">
        <v>586</v>
      </c>
      <c r="W60" s="152">
        <v>1980</v>
      </c>
      <c r="X60" s="152">
        <v>179</v>
      </c>
      <c r="Y60" s="152">
        <v>40</v>
      </c>
      <c r="Z60" s="177"/>
      <c r="AA60" s="177"/>
      <c r="AB60" s="177"/>
      <c r="AC60" s="177"/>
      <c r="AD60" s="177"/>
      <c r="AE60" s="177"/>
      <c r="AF60" s="177"/>
      <c r="AG60" s="177"/>
      <c r="AH60" s="177"/>
      <c r="AI60" s="177"/>
      <c r="AJ60" s="177"/>
      <c r="AK60" s="177">
        <v>2</v>
      </c>
      <c r="AL60" s="273"/>
      <c r="AM60" s="277">
        <f t="shared" si="11"/>
        <v>0</v>
      </c>
      <c r="AN60" s="279">
        <f t="shared" si="12"/>
        <v>0</v>
      </c>
      <c r="AO60" s="279">
        <f>(AE60*P1_Reinigen_Lichtkoepel_50X50)+('Perceel 3'!AF60*P1_Reinigen_Lichtkoepel_60x200)+('Perceel 3'!AG60*P1_Reinigen_Lichtkoepel_180x180)+('Perceel 3'!AH60*P1_Reinigen_Lichtstraten_groter_dan_180x180)</f>
        <v>0</v>
      </c>
      <c r="AP60" s="279">
        <f t="shared" si="8"/>
        <v>0</v>
      </c>
      <c r="AQ60" s="298"/>
      <c r="AR60" s="332">
        <f t="shared" si="9"/>
        <v>0</v>
      </c>
      <c r="AS60" s="336">
        <f t="shared" si="2"/>
        <v>80</v>
      </c>
    </row>
    <row r="61" spans="1:45" s="7" customFormat="1" ht="26.25" hidden="1" thickTop="1" thickBot="1" x14ac:dyDescent="0.5">
      <c r="A61" s="155"/>
      <c r="B61" s="165">
        <v>1</v>
      </c>
      <c r="C61" s="156" t="s">
        <v>135</v>
      </c>
      <c r="D61" s="156" t="s">
        <v>136</v>
      </c>
      <c r="E61" s="156"/>
      <c r="F61" s="156"/>
      <c r="G61" s="156"/>
      <c r="H61" s="151" t="s">
        <v>587</v>
      </c>
      <c r="I61" s="151" t="s">
        <v>588</v>
      </c>
      <c r="J61" s="157"/>
      <c r="K61" s="163"/>
      <c r="L61" s="163" t="s">
        <v>154</v>
      </c>
      <c r="M61" s="166" t="s">
        <v>544</v>
      </c>
      <c r="N61" s="160" t="s">
        <v>589</v>
      </c>
      <c r="O61" s="159" t="s">
        <v>590</v>
      </c>
      <c r="P61" s="160" t="s">
        <v>591</v>
      </c>
      <c r="Q61" s="160" t="s">
        <v>582</v>
      </c>
      <c r="R61" s="53" t="s">
        <v>583</v>
      </c>
      <c r="S61" s="160" t="s">
        <v>189</v>
      </c>
      <c r="T61" s="159" t="s">
        <v>592</v>
      </c>
      <c r="U61" s="159" t="s">
        <v>593</v>
      </c>
      <c r="V61" s="176" t="s">
        <v>594</v>
      </c>
      <c r="W61" s="152">
        <v>1982</v>
      </c>
      <c r="X61" s="152">
        <f>546+125+173+272+145+85+195</f>
        <v>1541</v>
      </c>
      <c r="Y61" s="152"/>
      <c r="Z61" s="177"/>
      <c r="AA61" s="177"/>
      <c r="AB61" s="177"/>
      <c r="AC61" s="177"/>
      <c r="AD61" s="177"/>
      <c r="AE61" s="177"/>
      <c r="AF61" s="177"/>
      <c r="AG61" s="177"/>
      <c r="AH61" s="177"/>
      <c r="AI61" s="177"/>
      <c r="AJ61" s="177"/>
      <c r="AK61" s="257">
        <v>1</v>
      </c>
      <c r="AL61" s="271"/>
      <c r="AM61" s="277">
        <f t="shared" si="11"/>
        <v>0</v>
      </c>
      <c r="AN61" s="279">
        <f t="shared" si="12"/>
        <v>0</v>
      </c>
      <c r="AO61" s="279">
        <f>(AE61*P1_Reinigen_Lichtkoepel_50X50)+('Perceel 3'!AF61*P1_Reinigen_Lichtkoepel_60x200)+('Perceel 3'!AG61*P1_Reinigen_Lichtkoepel_180x180)+('Perceel 3'!AH61*P1_Reinigen_Lichtstraten_groter_dan_180x180)</f>
        <v>0</v>
      </c>
      <c r="AP61" s="279">
        <f t="shared" si="8"/>
        <v>0</v>
      </c>
      <c r="AQ61" s="298"/>
      <c r="AR61" s="332">
        <f t="shared" si="9"/>
        <v>0</v>
      </c>
      <c r="AS61" s="336">
        <f t="shared" si="2"/>
        <v>0</v>
      </c>
    </row>
    <row r="62" spans="1:45" s="7" customFormat="1" ht="15" hidden="1" thickTop="1" thickBot="1" x14ac:dyDescent="0.5">
      <c r="A62" s="155"/>
      <c r="B62" s="165">
        <v>1</v>
      </c>
      <c r="C62" s="156" t="s">
        <v>135</v>
      </c>
      <c r="D62" s="156" t="s">
        <v>136</v>
      </c>
      <c r="E62" s="156"/>
      <c r="F62" s="156"/>
      <c r="G62" s="156"/>
      <c r="H62" s="151" t="s">
        <v>595</v>
      </c>
      <c r="I62" s="151" t="s">
        <v>596</v>
      </c>
      <c r="J62" s="157"/>
      <c r="K62" s="163"/>
      <c r="L62" s="151" t="s">
        <v>348</v>
      </c>
      <c r="M62" s="159" t="s">
        <v>349</v>
      </c>
      <c r="N62" s="160" t="s">
        <v>597</v>
      </c>
      <c r="O62" s="159" t="s">
        <v>598</v>
      </c>
      <c r="P62" s="160" t="s">
        <v>599</v>
      </c>
      <c r="Q62" s="160" t="s">
        <v>600</v>
      </c>
      <c r="R62" s="53" t="s">
        <v>339</v>
      </c>
      <c r="S62" s="160" t="s">
        <v>340</v>
      </c>
      <c r="T62" s="159" t="s">
        <v>601</v>
      </c>
      <c r="U62" s="159" t="s">
        <v>602</v>
      </c>
      <c r="V62" s="176" t="s">
        <v>603</v>
      </c>
      <c r="W62" s="152">
        <v>1997</v>
      </c>
      <c r="X62" s="152">
        <v>725</v>
      </c>
      <c r="Y62" s="152"/>
      <c r="Z62" s="177"/>
      <c r="AA62" s="177"/>
      <c r="AB62" s="177"/>
      <c r="AC62" s="177"/>
      <c r="AD62" s="177"/>
      <c r="AE62" s="177"/>
      <c r="AF62" s="177"/>
      <c r="AG62" s="177"/>
      <c r="AH62" s="177"/>
      <c r="AI62" s="177"/>
      <c r="AJ62" s="177"/>
      <c r="AK62" s="257">
        <v>1</v>
      </c>
      <c r="AL62" s="271"/>
      <c r="AM62" s="277">
        <f t="shared" si="11"/>
        <v>0</v>
      </c>
      <c r="AN62" s="279">
        <f t="shared" si="12"/>
        <v>0</v>
      </c>
      <c r="AO62" s="279">
        <f>(AE62*P1_Reinigen_Lichtkoepel_50X50)+('Perceel 3'!AF62*P1_Reinigen_Lichtkoepel_60x200)+('Perceel 3'!AG62*P1_Reinigen_Lichtkoepel_180x180)+('Perceel 3'!AH62*P1_Reinigen_Lichtstraten_groter_dan_180x180)</f>
        <v>0</v>
      </c>
      <c r="AP62" s="279">
        <f t="shared" si="8"/>
        <v>0</v>
      </c>
      <c r="AQ62" s="298"/>
      <c r="AR62" s="332">
        <f t="shared" si="9"/>
        <v>0</v>
      </c>
      <c r="AS62" s="336">
        <f t="shared" si="2"/>
        <v>0</v>
      </c>
    </row>
    <row r="63" spans="1:45" s="7" customFormat="1" ht="51.75" hidden="1" thickTop="1" thickBot="1" x14ac:dyDescent="0.5">
      <c r="A63" s="155"/>
      <c r="B63" s="165">
        <v>1</v>
      </c>
      <c r="C63" s="156" t="s">
        <v>135</v>
      </c>
      <c r="D63" s="156" t="s">
        <v>136</v>
      </c>
      <c r="E63" s="156"/>
      <c r="F63" s="156"/>
      <c r="G63" s="156"/>
      <c r="H63" s="151" t="s">
        <v>604</v>
      </c>
      <c r="I63" s="151" t="s">
        <v>605</v>
      </c>
      <c r="J63" s="157"/>
      <c r="K63" s="163"/>
      <c r="L63" s="163" t="s">
        <v>154</v>
      </c>
      <c r="M63" s="166" t="s">
        <v>544</v>
      </c>
      <c r="N63" s="160" t="s">
        <v>606</v>
      </c>
      <c r="O63" s="159" t="s">
        <v>607</v>
      </c>
      <c r="P63" s="160" t="s">
        <v>608</v>
      </c>
      <c r="Q63" s="160" t="s">
        <v>446</v>
      </c>
      <c r="R63" s="53" t="s">
        <v>339</v>
      </c>
      <c r="S63" s="160" t="s">
        <v>340</v>
      </c>
      <c r="T63" s="159" t="s">
        <v>169</v>
      </c>
      <c r="U63" s="159" t="s">
        <v>170</v>
      </c>
      <c r="V63" s="176" t="s">
        <v>171</v>
      </c>
      <c r="W63" s="152">
        <v>1988</v>
      </c>
      <c r="X63" s="152">
        <v>454</v>
      </c>
      <c r="Y63" s="152"/>
      <c r="Z63" s="177"/>
      <c r="AA63" s="177"/>
      <c r="AB63" s="177"/>
      <c r="AC63" s="177"/>
      <c r="AD63" s="177"/>
      <c r="AE63" s="177"/>
      <c r="AF63" s="177"/>
      <c r="AG63" s="177"/>
      <c r="AH63" s="177"/>
      <c r="AI63" s="177"/>
      <c r="AJ63" s="177"/>
      <c r="AK63" s="257">
        <v>2</v>
      </c>
      <c r="AL63" s="271"/>
      <c r="AM63" s="277">
        <f t="shared" si="11"/>
        <v>0</v>
      </c>
      <c r="AN63" s="279">
        <f t="shared" si="12"/>
        <v>0</v>
      </c>
      <c r="AO63" s="279">
        <f>(AE63*P1_Reinigen_Lichtkoepel_50X50)+('Perceel 3'!AF63*P1_Reinigen_Lichtkoepel_60x200)+('Perceel 3'!AG63*P1_Reinigen_Lichtkoepel_180x180)+('Perceel 3'!AH63*P1_Reinigen_Lichtstraten_groter_dan_180x180)</f>
        <v>0</v>
      </c>
      <c r="AP63" s="279">
        <f t="shared" si="8"/>
        <v>0</v>
      </c>
      <c r="AQ63" s="298"/>
      <c r="AR63" s="332">
        <f t="shared" si="9"/>
        <v>0</v>
      </c>
      <c r="AS63" s="336">
        <f t="shared" si="2"/>
        <v>0</v>
      </c>
    </row>
    <row r="64" spans="1:45" s="7" customFormat="1" ht="27.75" hidden="1" customHeight="1" x14ac:dyDescent="0.45">
      <c r="A64" s="155"/>
      <c r="B64" s="165">
        <v>1</v>
      </c>
      <c r="C64" s="156" t="s">
        <v>135</v>
      </c>
      <c r="D64" s="156" t="s">
        <v>136</v>
      </c>
      <c r="E64" s="156"/>
      <c r="F64" s="156"/>
      <c r="G64" s="156"/>
      <c r="H64" s="151" t="s">
        <v>609</v>
      </c>
      <c r="I64" s="151" t="s">
        <v>610</v>
      </c>
      <c r="J64" s="157"/>
      <c r="K64" s="163"/>
      <c r="L64" s="151" t="s">
        <v>139</v>
      </c>
      <c r="M64" s="159" t="s">
        <v>140</v>
      </c>
      <c r="N64" s="160" t="s">
        <v>611</v>
      </c>
      <c r="O64" s="159" t="s">
        <v>612</v>
      </c>
      <c r="P64" s="159" t="s">
        <v>613</v>
      </c>
      <c r="Q64" s="160" t="s">
        <v>614</v>
      </c>
      <c r="R64" s="53" t="s">
        <v>286</v>
      </c>
      <c r="S64" s="160" t="s">
        <v>189</v>
      </c>
      <c r="T64" s="159" t="s">
        <v>615</v>
      </c>
      <c r="U64" s="159" t="s">
        <v>616</v>
      </c>
      <c r="V64" s="176" t="s">
        <v>400</v>
      </c>
      <c r="W64" s="152">
        <v>2002</v>
      </c>
      <c r="X64" s="152">
        <v>12</v>
      </c>
      <c r="Y64" s="152">
        <v>20</v>
      </c>
      <c r="Z64" s="177"/>
      <c r="AA64" s="177"/>
      <c r="AB64" s="177"/>
      <c r="AC64" s="177"/>
      <c r="AD64" s="177"/>
      <c r="AE64" s="177"/>
      <c r="AF64" s="177"/>
      <c r="AG64" s="177"/>
      <c r="AH64" s="177"/>
      <c r="AI64" s="177"/>
      <c r="AJ64" s="177"/>
      <c r="AK64" s="257">
        <v>2</v>
      </c>
      <c r="AL64" s="272"/>
      <c r="AM64" s="277">
        <f t="shared" si="11"/>
        <v>0</v>
      </c>
      <c r="AN64" s="279">
        <f t="shared" si="12"/>
        <v>0</v>
      </c>
      <c r="AO64" s="279">
        <f>(AE64*P1_Reinigen_Lichtkoepel_50X50)+('Perceel 3'!AF64*P1_Reinigen_Lichtkoepel_60x200)+('Perceel 3'!AG64*P1_Reinigen_Lichtkoepel_180x180)+('Perceel 3'!AH64*P1_Reinigen_Lichtstraten_groter_dan_180x180)</f>
        <v>0</v>
      </c>
      <c r="AP64" s="279">
        <f t="shared" si="8"/>
        <v>0</v>
      </c>
      <c r="AQ64" s="298"/>
      <c r="AR64" s="332">
        <f t="shared" si="9"/>
        <v>0</v>
      </c>
      <c r="AS64" s="336">
        <f t="shared" si="2"/>
        <v>40</v>
      </c>
    </row>
    <row r="65" spans="1:45" s="7" customFormat="1" ht="32.25" hidden="1" customHeight="1" x14ac:dyDescent="0.45">
      <c r="A65" s="155"/>
      <c r="B65" s="165">
        <v>1</v>
      </c>
      <c r="C65" s="156" t="s">
        <v>135</v>
      </c>
      <c r="D65" s="156" t="s">
        <v>136</v>
      </c>
      <c r="E65" s="156"/>
      <c r="F65" s="156"/>
      <c r="G65" s="156"/>
      <c r="H65" s="151" t="s">
        <v>617</v>
      </c>
      <c r="I65" s="151" t="s">
        <v>618</v>
      </c>
      <c r="J65" s="157"/>
      <c r="K65" s="163"/>
      <c r="L65" s="151" t="s">
        <v>139</v>
      </c>
      <c r="M65" s="159" t="s">
        <v>140</v>
      </c>
      <c r="N65" s="160" t="s">
        <v>619</v>
      </c>
      <c r="O65" s="159" t="s">
        <v>620</v>
      </c>
      <c r="P65" s="160" t="s">
        <v>621</v>
      </c>
      <c r="Q65" s="160" t="s">
        <v>196</v>
      </c>
      <c r="R65" s="53" t="s">
        <v>197</v>
      </c>
      <c r="S65" s="160" t="s">
        <v>189</v>
      </c>
      <c r="T65" s="166" t="s">
        <v>622</v>
      </c>
      <c r="U65" s="166" t="s">
        <v>623</v>
      </c>
      <c r="V65" s="176"/>
      <c r="W65" s="152">
        <v>1991</v>
      </c>
      <c r="X65" s="152">
        <f>45+8+75+43</f>
        <v>171</v>
      </c>
      <c r="Y65" s="152"/>
      <c r="Z65" s="177"/>
      <c r="AA65" s="177"/>
      <c r="AB65" s="177"/>
      <c r="AC65" s="177"/>
      <c r="AD65" s="177"/>
      <c r="AE65" s="177"/>
      <c r="AF65" s="177"/>
      <c r="AG65" s="177"/>
      <c r="AH65" s="177"/>
      <c r="AI65" s="177"/>
      <c r="AJ65" s="177"/>
      <c r="AK65" s="257">
        <v>1</v>
      </c>
      <c r="AL65" s="271"/>
      <c r="AM65" s="277">
        <f t="shared" si="11"/>
        <v>0</v>
      </c>
      <c r="AN65" s="279">
        <f t="shared" si="12"/>
        <v>0</v>
      </c>
      <c r="AO65" s="279">
        <f>(AE65*P1_Reinigen_Lichtkoepel_50X50)+('Perceel 3'!AF65*P1_Reinigen_Lichtkoepel_60x200)+('Perceel 3'!AG65*P1_Reinigen_Lichtkoepel_180x180)+('Perceel 3'!AH65*P1_Reinigen_Lichtstraten_groter_dan_180x180)</f>
        <v>0</v>
      </c>
      <c r="AP65" s="279">
        <f t="shared" si="8"/>
        <v>0</v>
      </c>
      <c r="AQ65" s="298"/>
      <c r="AR65" s="332">
        <f t="shared" si="9"/>
        <v>0</v>
      </c>
      <c r="AS65" s="336">
        <f t="shared" si="2"/>
        <v>0</v>
      </c>
    </row>
    <row r="66" spans="1:45" s="7" customFormat="1" ht="51.75" hidden="1" thickTop="1" thickBot="1" x14ac:dyDescent="0.5">
      <c r="A66" s="161"/>
      <c r="B66" s="152">
        <v>1</v>
      </c>
      <c r="C66" s="156" t="s">
        <v>135</v>
      </c>
      <c r="D66" s="156" t="s">
        <v>136</v>
      </c>
      <c r="E66" s="156"/>
      <c r="F66" s="156"/>
      <c r="G66" s="156"/>
      <c r="H66" s="203" t="s">
        <v>624</v>
      </c>
      <c r="I66" s="203" t="s">
        <v>625</v>
      </c>
      <c r="J66" s="157"/>
      <c r="K66" s="163"/>
      <c r="L66" s="151" t="s">
        <v>139</v>
      </c>
      <c r="M66" s="159" t="s">
        <v>140</v>
      </c>
      <c r="N66" s="192" t="s">
        <v>626</v>
      </c>
      <c r="O66" s="159" t="s">
        <v>627</v>
      </c>
      <c r="P66" s="159" t="s">
        <v>628</v>
      </c>
      <c r="Q66" s="159" t="s">
        <v>196</v>
      </c>
      <c r="R66" s="42" t="s">
        <v>197</v>
      </c>
      <c r="S66" s="159" t="s">
        <v>189</v>
      </c>
      <c r="T66" s="159" t="s">
        <v>169</v>
      </c>
      <c r="U66" s="159" t="s">
        <v>170</v>
      </c>
      <c r="V66" s="176" t="s">
        <v>171</v>
      </c>
      <c r="W66" s="152">
        <v>2020</v>
      </c>
      <c r="X66" s="152">
        <v>52</v>
      </c>
      <c r="Y66" s="152"/>
      <c r="Z66" s="177"/>
      <c r="AA66" s="177"/>
      <c r="AB66" s="177"/>
      <c r="AC66" s="177"/>
      <c r="AD66" s="177"/>
      <c r="AE66" s="177"/>
      <c r="AF66" s="177"/>
      <c r="AG66" s="177"/>
      <c r="AH66" s="177"/>
      <c r="AI66" s="177" t="s">
        <v>324</v>
      </c>
      <c r="AJ66" s="177"/>
      <c r="AK66" s="177">
        <v>1</v>
      </c>
      <c r="AL66" s="272"/>
      <c r="AM66" s="277">
        <f t="shared" si="11"/>
        <v>0</v>
      </c>
      <c r="AN66" s="279">
        <f t="shared" si="12"/>
        <v>0</v>
      </c>
      <c r="AO66" s="279">
        <f>(AE66*P1_Reinigen_Lichtkoepel_50X50)+('Perceel 3'!AF66*P1_Reinigen_Lichtkoepel_60x200)+('Perceel 3'!AG66*P1_Reinigen_Lichtkoepel_180x180)+('Perceel 3'!AH66*P1_Reinigen_Lichtstraten_groter_dan_180x180)</f>
        <v>0</v>
      </c>
      <c r="AP66" s="279">
        <f t="shared" si="8"/>
        <v>0</v>
      </c>
      <c r="AQ66" s="298"/>
      <c r="AR66" s="332">
        <f t="shared" si="9"/>
        <v>0</v>
      </c>
      <c r="AS66" s="336">
        <f t="shared" si="2"/>
        <v>0</v>
      </c>
    </row>
    <row r="67" spans="1:45" s="7" customFormat="1" ht="39" hidden="1" thickTop="1" thickBot="1" x14ac:dyDescent="0.5">
      <c r="A67" s="155"/>
      <c r="B67" s="165">
        <v>1</v>
      </c>
      <c r="C67" s="156" t="s">
        <v>135</v>
      </c>
      <c r="D67" s="156" t="s">
        <v>136</v>
      </c>
      <c r="E67" s="156"/>
      <c r="F67" s="156"/>
      <c r="G67" s="156"/>
      <c r="H67" s="151" t="s">
        <v>325</v>
      </c>
      <c r="I67" s="151" t="s">
        <v>326</v>
      </c>
      <c r="J67" s="157"/>
      <c r="K67" s="163"/>
      <c r="L67" s="163" t="s">
        <v>154</v>
      </c>
      <c r="M67" s="166" t="s">
        <v>544</v>
      </c>
      <c r="N67" s="164">
        <v>4141</v>
      </c>
      <c r="O67" s="159" t="s">
        <v>629</v>
      </c>
      <c r="P67" s="159" t="s">
        <v>630</v>
      </c>
      <c r="Q67" s="159"/>
      <c r="R67" s="42" t="s">
        <v>197</v>
      </c>
      <c r="S67" s="159" t="s">
        <v>189</v>
      </c>
      <c r="T67" s="159" t="s">
        <v>330</v>
      </c>
      <c r="U67" s="159" t="s">
        <v>331</v>
      </c>
      <c r="V67" s="209" t="s">
        <v>332</v>
      </c>
      <c r="W67" s="152">
        <v>2013</v>
      </c>
      <c r="X67" s="152">
        <v>48</v>
      </c>
      <c r="Y67" s="152"/>
      <c r="Z67" s="152"/>
      <c r="AA67" s="210"/>
      <c r="AB67" s="210"/>
      <c r="AC67" s="210"/>
      <c r="AD67" s="210"/>
      <c r="AE67" s="210"/>
      <c r="AF67" s="210"/>
      <c r="AG67" s="210"/>
      <c r="AH67" s="210"/>
      <c r="AI67" s="210"/>
      <c r="AJ67" s="210"/>
      <c r="AK67" s="177">
        <v>1</v>
      </c>
      <c r="AL67" s="272"/>
      <c r="AM67" s="277">
        <f t="shared" si="11"/>
        <v>0</v>
      </c>
      <c r="AN67" s="279">
        <f t="shared" si="12"/>
        <v>0</v>
      </c>
      <c r="AO67" s="279">
        <f>(AE67*P1_Reinigen_Lichtkoepel_50X50)+('Perceel 3'!AF67*P1_Reinigen_Lichtkoepel_60x200)+('Perceel 3'!AG67*P1_Reinigen_Lichtkoepel_180x180)+('Perceel 3'!AH67*P1_Reinigen_Lichtstraten_groter_dan_180x180)</f>
        <v>0</v>
      </c>
      <c r="AP67" s="279">
        <f t="shared" si="8"/>
        <v>0</v>
      </c>
      <c r="AQ67" s="298"/>
      <c r="AR67" s="332">
        <f t="shared" si="9"/>
        <v>0</v>
      </c>
      <c r="AS67" s="336">
        <f t="shared" ref="AS67:AS96" si="13">(AM67*AK67)+(Y67*AK67)+AO67+AP67+AR67</f>
        <v>0</v>
      </c>
    </row>
    <row r="68" spans="1:45" s="7" customFormat="1" ht="51.75" hidden="1" thickTop="1" thickBot="1" x14ac:dyDescent="0.5">
      <c r="A68" s="155"/>
      <c r="B68" s="165">
        <v>1</v>
      </c>
      <c r="C68" s="156" t="s">
        <v>135</v>
      </c>
      <c r="D68" s="156" t="s">
        <v>136</v>
      </c>
      <c r="E68" s="156"/>
      <c r="F68" s="156"/>
      <c r="G68" s="156"/>
      <c r="H68" s="151" t="s">
        <v>631</v>
      </c>
      <c r="I68" s="151" t="s">
        <v>632</v>
      </c>
      <c r="J68" s="157"/>
      <c r="K68" s="163"/>
      <c r="L68" s="163" t="s">
        <v>154</v>
      </c>
      <c r="M68" s="166" t="s">
        <v>544</v>
      </c>
      <c r="N68" s="160" t="s">
        <v>633</v>
      </c>
      <c r="O68" s="159" t="s">
        <v>634</v>
      </c>
      <c r="P68" s="160" t="s">
        <v>635</v>
      </c>
      <c r="Q68" s="160" t="s">
        <v>636</v>
      </c>
      <c r="R68" s="53" t="s">
        <v>637</v>
      </c>
      <c r="S68" s="160" t="s">
        <v>189</v>
      </c>
      <c r="T68" s="159" t="s">
        <v>169</v>
      </c>
      <c r="U68" s="159" t="s">
        <v>170</v>
      </c>
      <c r="V68" s="176" t="s">
        <v>171</v>
      </c>
      <c r="W68" s="152">
        <v>1980</v>
      </c>
      <c r="X68" s="152">
        <v>441</v>
      </c>
      <c r="Y68" s="152"/>
      <c r="Z68" s="177" t="s">
        <v>311</v>
      </c>
      <c r="AA68" s="177" t="s">
        <v>231</v>
      </c>
      <c r="AB68" s="177">
        <v>15</v>
      </c>
      <c r="AC68" s="177">
        <f>85+18</f>
        <v>103</v>
      </c>
      <c r="AD68" s="177"/>
      <c r="AE68" s="177"/>
      <c r="AF68" s="177"/>
      <c r="AG68" s="177"/>
      <c r="AH68" s="177"/>
      <c r="AI68" s="177" t="s">
        <v>638</v>
      </c>
      <c r="AJ68" s="177" t="s">
        <v>639</v>
      </c>
      <c r="AK68" s="177">
        <v>3</v>
      </c>
      <c r="AL68" s="273"/>
      <c r="AM68" s="277">
        <f>X68*P1_reinigen_daken_met_vaste_dakveiligheid</f>
        <v>0</v>
      </c>
      <c r="AN68" s="279">
        <f>Y68*P1_reinigen_goten_met_vaste_dakveiligheid</f>
        <v>0</v>
      </c>
      <c r="AO68" s="279">
        <f>(AE68*P1_Reinigen_Lichtkoepel_50X50)+('Perceel 3'!AF68*P1_Reinigen_Lichtkoepel_60x200)+('Perceel 3'!AG68*P1_Reinigen_Lichtkoepel_180x180)+('Perceel 3'!AH68*P1_Reinigen_Lichtstraten_groter_dan_180x180)</f>
        <v>0</v>
      </c>
      <c r="AP68" s="279">
        <f t="shared" si="8"/>
        <v>0</v>
      </c>
      <c r="AQ68" s="289"/>
      <c r="AR68" s="332">
        <f t="shared" si="9"/>
        <v>0</v>
      </c>
      <c r="AS68" s="336">
        <f t="shared" si="13"/>
        <v>0</v>
      </c>
    </row>
    <row r="69" spans="1:45" s="7" customFormat="1" ht="32.25" hidden="1" customHeight="1" x14ac:dyDescent="0.45">
      <c r="A69" s="155"/>
      <c r="B69" s="165">
        <v>1</v>
      </c>
      <c r="C69" s="156" t="s">
        <v>135</v>
      </c>
      <c r="D69" s="156" t="s">
        <v>136</v>
      </c>
      <c r="E69" s="156"/>
      <c r="F69" s="156"/>
      <c r="G69" s="156"/>
      <c r="H69" s="151" t="s">
        <v>640</v>
      </c>
      <c r="I69" s="151" t="s">
        <v>641</v>
      </c>
      <c r="J69" s="157"/>
      <c r="K69" s="163"/>
      <c r="L69" s="151" t="s">
        <v>139</v>
      </c>
      <c r="M69" s="159" t="s">
        <v>140</v>
      </c>
      <c r="N69" s="160" t="s">
        <v>642</v>
      </c>
      <c r="O69" s="159" t="s">
        <v>643</v>
      </c>
      <c r="P69" s="160" t="s">
        <v>644</v>
      </c>
      <c r="Q69" s="160" t="s">
        <v>645</v>
      </c>
      <c r="R69" s="53" t="s">
        <v>637</v>
      </c>
      <c r="S69" s="160" t="s">
        <v>189</v>
      </c>
      <c r="T69" s="159" t="s">
        <v>646</v>
      </c>
      <c r="U69" s="159" t="s">
        <v>647</v>
      </c>
      <c r="V69" s="159" t="s">
        <v>648</v>
      </c>
      <c r="W69" s="152">
        <v>1978</v>
      </c>
      <c r="X69" s="152">
        <v>360</v>
      </c>
      <c r="Y69" s="152"/>
      <c r="Z69" s="177"/>
      <c r="AA69" s="177"/>
      <c r="AB69" s="177"/>
      <c r="AC69" s="177"/>
      <c r="AD69" s="177"/>
      <c r="AE69" s="177"/>
      <c r="AF69" s="177"/>
      <c r="AG69" s="177"/>
      <c r="AH69" s="177"/>
      <c r="AI69" s="177"/>
      <c r="AJ69" s="177"/>
      <c r="AK69" s="257">
        <v>1</v>
      </c>
      <c r="AL69" s="271"/>
      <c r="AM69" s="277">
        <f>X69*P1_Reinigen_daken_incl._extra_maatregelen_veilig_werken_volgens_VCA__eventuele_vergunningen_leges___voorrijkosten__adminstratieve_kosten__fotorapportage_en_kleine_reparaties_¹</f>
        <v>0</v>
      </c>
      <c r="AN69" s="279">
        <f>Y69*P1_Reinigen_goten_incl._extra_maatregelen_veilig_werken_volgens_VCA__eventuele_vergunningen_leges___voorrijkosten__adminstratieve_kosten__fotorapportage_en_kleine_reparaties_¹</f>
        <v>0</v>
      </c>
      <c r="AO69" s="279">
        <f>(AE69*P1_Reinigen_Lichtkoepel_50X50)+('Perceel 3'!AF69*P1_Reinigen_Lichtkoepel_60x200)+('Perceel 3'!AG69*P1_Reinigen_Lichtkoepel_180x180)+('Perceel 3'!AH69*P1_Reinigen_Lichtstraten_groter_dan_180x180)</f>
        <v>0</v>
      </c>
      <c r="AP69" s="279">
        <f t="shared" si="8"/>
        <v>0</v>
      </c>
      <c r="AQ69" s="298"/>
      <c r="AR69" s="332">
        <f t="shared" si="9"/>
        <v>0</v>
      </c>
      <c r="AS69" s="336">
        <f t="shared" si="13"/>
        <v>0</v>
      </c>
    </row>
    <row r="70" spans="1:45" s="7" customFormat="1" ht="41.25" hidden="1" customHeight="1" x14ac:dyDescent="0.45">
      <c r="A70" s="155"/>
      <c r="B70" s="152">
        <v>1</v>
      </c>
      <c r="C70" s="156" t="s">
        <v>135</v>
      </c>
      <c r="D70" s="156" t="s">
        <v>174</v>
      </c>
      <c r="E70" s="156"/>
      <c r="F70" s="156"/>
      <c r="G70" s="156"/>
      <c r="H70" s="151" t="s">
        <v>649</v>
      </c>
      <c r="I70" s="151" t="s">
        <v>650</v>
      </c>
      <c r="J70" s="157"/>
      <c r="K70" s="163"/>
      <c r="L70" s="151" t="s">
        <v>348</v>
      </c>
      <c r="M70" s="159" t="s">
        <v>349</v>
      </c>
      <c r="N70" s="159" t="s">
        <v>651</v>
      </c>
      <c r="O70" s="159" t="s">
        <v>652</v>
      </c>
      <c r="P70" s="159" t="s">
        <v>653</v>
      </c>
      <c r="Q70" s="159" t="s">
        <v>654</v>
      </c>
      <c r="R70" s="42" t="s">
        <v>230</v>
      </c>
      <c r="S70" s="159" t="s">
        <v>189</v>
      </c>
      <c r="T70" s="159" t="s">
        <v>655</v>
      </c>
      <c r="U70" s="159" t="s">
        <v>656</v>
      </c>
      <c r="V70" s="176" t="s">
        <v>221</v>
      </c>
      <c r="W70" s="152">
        <v>1979</v>
      </c>
      <c r="X70" s="152">
        <v>1100</v>
      </c>
      <c r="Y70" s="152"/>
      <c r="Z70" s="189"/>
      <c r="AA70" s="177" t="s">
        <v>657</v>
      </c>
      <c r="AB70" s="177">
        <v>33</v>
      </c>
      <c r="AC70" s="177">
        <v>121</v>
      </c>
      <c r="AD70" s="177"/>
      <c r="AE70" s="177"/>
      <c r="AF70" s="177"/>
      <c r="AG70" s="177"/>
      <c r="AH70" s="177"/>
      <c r="AI70" s="177"/>
      <c r="AJ70" s="177"/>
      <c r="AK70" s="177">
        <v>3</v>
      </c>
      <c r="AL70" s="273"/>
      <c r="AM70" s="277">
        <f>X70*P1_reinigen_daken_met_vaste_dakveiligheid</f>
        <v>0</v>
      </c>
      <c r="AN70" s="279">
        <f>Y70*P1_reinigen_goten_met_vaste_dakveiligheid</f>
        <v>0</v>
      </c>
      <c r="AO70" s="279">
        <f>(AE70*P1_Reinigen_Lichtkoepel_50X50)+('Perceel 3'!AF70*P1_Reinigen_Lichtkoepel_60x200)+('Perceel 3'!AG70*P1_Reinigen_Lichtkoepel_180x180)+('Perceel 3'!AH70*P1_Reinigen_Lichtstraten_groter_dan_180x180)</f>
        <v>0</v>
      </c>
      <c r="AP70" s="279">
        <f t="shared" si="8"/>
        <v>0</v>
      </c>
      <c r="AQ70" s="289"/>
      <c r="AR70" s="332">
        <f t="shared" si="9"/>
        <v>0</v>
      </c>
      <c r="AS70" s="336">
        <f t="shared" si="13"/>
        <v>0</v>
      </c>
    </row>
    <row r="71" spans="1:45" s="7" customFormat="1" ht="26.25" hidden="1" thickTop="1" thickBot="1" x14ac:dyDescent="0.5">
      <c r="A71" s="155"/>
      <c r="B71" s="152">
        <v>1</v>
      </c>
      <c r="C71" s="156" t="s">
        <v>135</v>
      </c>
      <c r="D71" s="156" t="s">
        <v>174</v>
      </c>
      <c r="E71" s="156"/>
      <c r="F71" s="156"/>
      <c r="G71" s="156"/>
      <c r="H71" s="151" t="s">
        <v>658</v>
      </c>
      <c r="I71" s="151" t="s">
        <v>659</v>
      </c>
      <c r="J71" s="157"/>
      <c r="K71" s="163"/>
      <c r="L71" s="151" t="s">
        <v>348</v>
      </c>
      <c r="M71" s="159" t="s">
        <v>349</v>
      </c>
      <c r="N71" s="159" t="s">
        <v>660</v>
      </c>
      <c r="O71" s="159" t="s">
        <v>661</v>
      </c>
      <c r="P71" s="159" t="s">
        <v>662</v>
      </c>
      <c r="Q71" s="159" t="s">
        <v>663</v>
      </c>
      <c r="R71" s="42" t="s">
        <v>372</v>
      </c>
      <c r="S71" s="159" t="s">
        <v>189</v>
      </c>
      <c r="T71" s="159" t="s">
        <v>664</v>
      </c>
      <c r="U71" s="159" t="s">
        <v>665</v>
      </c>
      <c r="V71" s="176" t="s">
        <v>666</v>
      </c>
      <c r="W71" s="152">
        <v>1980</v>
      </c>
      <c r="X71" s="152">
        <v>2239</v>
      </c>
      <c r="Y71" s="152"/>
      <c r="Z71" s="189"/>
      <c r="AA71" s="177"/>
      <c r="AB71" s="177"/>
      <c r="AC71" s="177"/>
      <c r="AD71" s="177"/>
      <c r="AE71" s="177"/>
      <c r="AF71" s="177"/>
      <c r="AG71" s="177"/>
      <c r="AH71" s="177"/>
      <c r="AI71" s="177"/>
      <c r="AJ71" s="177"/>
      <c r="AK71" s="257">
        <v>1</v>
      </c>
      <c r="AL71" s="271"/>
      <c r="AM71" s="277">
        <f>X71*P1_Reinigen_daken_incl._extra_maatregelen_veilig_werken_volgens_VCA__eventuele_vergunningen_leges___voorrijkosten__adminstratieve_kosten__fotorapportage_en_kleine_reparaties_¹</f>
        <v>0</v>
      </c>
      <c r="AN71" s="279">
        <f>Y71*P1_Reinigen_goten_incl._extra_maatregelen_veilig_werken_volgens_VCA__eventuele_vergunningen_leges___voorrijkosten__adminstratieve_kosten__fotorapportage_en_kleine_reparaties_¹</f>
        <v>0</v>
      </c>
      <c r="AO71" s="279">
        <f>(AE71*P1_Reinigen_Lichtkoepel_50X50)+('Perceel 3'!AF71*P1_Reinigen_Lichtkoepel_60x200)+('Perceel 3'!AG71*P1_Reinigen_Lichtkoepel_180x180)+('Perceel 3'!AH71*P1_Reinigen_Lichtstraten_groter_dan_180x180)</f>
        <v>0</v>
      </c>
      <c r="AP71" s="279">
        <f t="shared" si="8"/>
        <v>0</v>
      </c>
      <c r="AQ71" s="298"/>
      <c r="AR71" s="332">
        <f t="shared" si="9"/>
        <v>0</v>
      </c>
      <c r="AS71" s="336">
        <f t="shared" si="13"/>
        <v>0</v>
      </c>
    </row>
    <row r="72" spans="1:45" s="7" customFormat="1" ht="26.25" hidden="1" thickTop="1" thickBot="1" x14ac:dyDescent="0.5">
      <c r="A72" s="155"/>
      <c r="B72" s="152">
        <v>1</v>
      </c>
      <c r="C72" s="156" t="s">
        <v>135</v>
      </c>
      <c r="D72" s="156" t="s">
        <v>174</v>
      </c>
      <c r="E72" s="156"/>
      <c r="F72" s="156"/>
      <c r="G72" s="156"/>
      <c r="H72" s="151" t="s">
        <v>667</v>
      </c>
      <c r="I72" s="151" t="s">
        <v>668</v>
      </c>
      <c r="J72" s="157"/>
      <c r="K72" s="158"/>
      <c r="L72" s="151" t="s">
        <v>280</v>
      </c>
      <c r="M72" s="159" t="s">
        <v>669</v>
      </c>
      <c r="N72" s="159" t="s">
        <v>670</v>
      </c>
      <c r="O72" s="159" t="s">
        <v>671</v>
      </c>
      <c r="P72" s="159" t="s">
        <v>672</v>
      </c>
      <c r="Q72" s="159" t="s">
        <v>673</v>
      </c>
      <c r="R72" s="42" t="s">
        <v>302</v>
      </c>
      <c r="S72" s="159" t="s">
        <v>146</v>
      </c>
      <c r="T72" s="159" t="s">
        <v>674</v>
      </c>
      <c r="U72" s="159" t="s">
        <v>675</v>
      </c>
      <c r="V72" s="176" t="s">
        <v>676</v>
      </c>
      <c r="W72" s="152">
        <v>2011</v>
      </c>
      <c r="X72" s="152">
        <f>25+41</f>
        <v>66</v>
      </c>
      <c r="Y72" s="152">
        <v>29</v>
      </c>
      <c r="Z72" s="177"/>
      <c r="AA72" s="177"/>
      <c r="AB72" s="177"/>
      <c r="AC72" s="177"/>
      <c r="AD72" s="177"/>
      <c r="AE72" s="177"/>
      <c r="AF72" s="177"/>
      <c r="AG72" s="177"/>
      <c r="AH72" s="177"/>
      <c r="AI72" s="177"/>
      <c r="AJ72" s="177"/>
      <c r="AK72" s="177">
        <v>1</v>
      </c>
      <c r="AL72" s="276"/>
      <c r="AM72" s="277">
        <f>X72*P1_Reinigen_daken_incl._extra_maatregelen_veilig_werken_volgens_VCA__eventuele_vergunningen_leges___voorrijkosten__adminstratieve_kosten__fotorapportage_en_kleine_reparaties_¹</f>
        <v>0</v>
      </c>
      <c r="AN72" s="279">
        <f>Y72*P1_Reinigen_goten_incl._extra_maatregelen_veilig_werken_volgens_VCA__eventuele_vergunningen_leges___voorrijkosten__adminstratieve_kosten__fotorapportage_en_kleine_reparaties_¹</f>
        <v>0</v>
      </c>
      <c r="AO72" s="279">
        <f>(AE72*P1_Reinigen_Lichtkoepel_50X50)+('Perceel 3'!AF72*P1_Reinigen_Lichtkoepel_60x200)+('Perceel 3'!AG72*P1_Reinigen_Lichtkoepel_180x180)+('Perceel 3'!AH72*P1_Reinigen_Lichtstraten_groter_dan_180x180)</f>
        <v>0</v>
      </c>
      <c r="AP72" s="279">
        <f t="shared" si="8"/>
        <v>0</v>
      </c>
      <c r="AQ72" s="298"/>
      <c r="AR72" s="332">
        <f t="shared" si="9"/>
        <v>0</v>
      </c>
      <c r="AS72" s="336">
        <f t="shared" si="13"/>
        <v>29</v>
      </c>
    </row>
    <row r="73" spans="1:45" s="7" customFormat="1" ht="26.25" hidden="1" thickTop="1" thickBot="1" x14ac:dyDescent="0.5">
      <c r="A73" s="155"/>
      <c r="B73" s="152">
        <v>1</v>
      </c>
      <c r="C73" s="156" t="s">
        <v>135</v>
      </c>
      <c r="D73" s="156" t="s">
        <v>174</v>
      </c>
      <c r="E73" s="156"/>
      <c r="F73" s="156"/>
      <c r="G73" s="156"/>
      <c r="H73" s="151" t="s">
        <v>677</v>
      </c>
      <c r="I73" s="151" t="s">
        <v>678</v>
      </c>
      <c r="J73" s="157"/>
      <c r="K73" s="158"/>
      <c r="L73" s="151" t="s">
        <v>348</v>
      </c>
      <c r="M73" s="159" t="s">
        <v>349</v>
      </c>
      <c r="N73" s="164">
        <v>1486</v>
      </c>
      <c r="O73" s="159" t="s">
        <v>679</v>
      </c>
      <c r="P73" s="159" t="s">
        <v>680</v>
      </c>
      <c r="Q73" s="159" t="s">
        <v>681</v>
      </c>
      <c r="R73" s="42" t="s">
        <v>302</v>
      </c>
      <c r="S73" s="159" t="s">
        <v>146</v>
      </c>
      <c r="T73" s="159" t="s">
        <v>682</v>
      </c>
      <c r="U73" s="159" t="s">
        <v>683</v>
      </c>
      <c r="V73" s="176" t="s">
        <v>684</v>
      </c>
      <c r="W73" s="152">
        <v>2016</v>
      </c>
      <c r="X73" s="152">
        <v>1116</v>
      </c>
      <c r="Y73" s="152"/>
      <c r="Z73" s="177"/>
      <c r="AA73" s="177"/>
      <c r="AB73" s="177"/>
      <c r="AC73" s="177"/>
      <c r="AD73" s="177"/>
      <c r="AE73" s="177"/>
      <c r="AF73" s="177"/>
      <c r="AG73" s="177"/>
      <c r="AH73" s="177"/>
      <c r="AI73" s="221"/>
      <c r="AJ73" s="177"/>
      <c r="AK73" s="257">
        <v>1</v>
      </c>
      <c r="AL73" s="271"/>
      <c r="AM73" s="277">
        <f>X73*P1_Reinigen_daken_incl._extra_maatregelen_veilig_werken_volgens_VCA__eventuele_vergunningen_leges___voorrijkosten__adminstratieve_kosten__fotorapportage_en_kleine_reparaties_¹</f>
        <v>0</v>
      </c>
      <c r="AN73" s="279">
        <f>Y73*P1_Reinigen_goten_incl._extra_maatregelen_veilig_werken_volgens_VCA__eventuele_vergunningen_leges___voorrijkosten__adminstratieve_kosten__fotorapportage_en_kleine_reparaties_¹</f>
        <v>0</v>
      </c>
      <c r="AO73" s="279">
        <f>(AE73*P1_Reinigen_Lichtkoepel_50X50)+('Perceel 3'!AF73*P1_Reinigen_Lichtkoepel_60x200)+('Perceel 3'!AG73*P1_Reinigen_Lichtkoepel_180x180)+('Perceel 3'!AH73*P1_Reinigen_Lichtstraten_groter_dan_180x180)</f>
        <v>0</v>
      </c>
      <c r="AP73" s="279">
        <f t="shared" si="8"/>
        <v>0</v>
      </c>
      <c r="AQ73" s="298"/>
      <c r="AR73" s="332">
        <f t="shared" si="9"/>
        <v>0</v>
      </c>
      <c r="AS73" s="336">
        <f t="shared" si="13"/>
        <v>0</v>
      </c>
    </row>
    <row r="74" spans="1:45" s="7" customFormat="1" ht="26.25" hidden="1" thickTop="1" thickBot="1" x14ac:dyDescent="0.5">
      <c r="A74" s="211"/>
      <c r="B74" s="212">
        <v>1</v>
      </c>
      <c r="C74" s="171" t="s">
        <v>135</v>
      </c>
      <c r="D74" s="171" t="s">
        <v>174</v>
      </c>
      <c r="E74" s="171" t="s">
        <v>136</v>
      </c>
      <c r="F74" s="171"/>
      <c r="G74" s="171"/>
      <c r="H74" s="15"/>
      <c r="I74" s="15"/>
      <c r="J74" s="15"/>
      <c r="K74" s="15"/>
      <c r="L74" s="196"/>
      <c r="M74" s="171"/>
      <c r="N74" s="171">
        <v>1288.1184000000001</v>
      </c>
      <c r="O74" s="171" t="s">
        <v>685</v>
      </c>
      <c r="P74" s="171" t="s">
        <v>686</v>
      </c>
      <c r="Q74" s="211"/>
      <c r="R74" s="58"/>
      <c r="S74" s="211"/>
      <c r="T74" s="171"/>
      <c r="U74" s="171"/>
      <c r="V74" s="171"/>
      <c r="W74" s="211"/>
      <c r="X74" s="261">
        <v>2010</v>
      </c>
      <c r="Y74" s="211"/>
      <c r="Z74" s="171"/>
      <c r="AA74" s="171" t="s">
        <v>150</v>
      </c>
      <c r="AB74" s="171">
        <v>16</v>
      </c>
      <c r="AC74" s="171">
        <v>180</v>
      </c>
      <c r="AD74" s="171"/>
      <c r="AE74" s="171"/>
      <c r="AF74" s="171"/>
      <c r="AG74" s="171"/>
      <c r="AH74" s="171"/>
      <c r="AI74" s="171"/>
      <c r="AJ74" s="171"/>
      <c r="AK74" s="261">
        <v>1</v>
      </c>
      <c r="AL74" s="271"/>
      <c r="AM74" s="299"/>
      <c r="AN74" s="298"/>
      <c r="AO74" s="298"/>
      <c r="AP74" s="298"/>
      <c r="AQ74" s="298"/>
      <c r="AR74" s="333"/>
      <c r="AS74" s="337"/>
    </row>
    <row r="75" spans="1:45" s="7" customFormat="1" ht="25.5" hidden="1" customHeight="1" x14ac:dyDescent="0.45">
      <c r="A75" s="213"/>
      <c r="B75" s="214">
        <v>1</v>
      </c>
      <c r="C75" s="175" t="s">
        <v>135</v>
      </c>
      <c r="D75" s="175" t="s">
        <v>174</v>
      </c>
      <c r="E75" s="175"/>
      <c r="F75" s="175"/>
      <c r="G75" s="175"/>
      <c r="H75" s="215" t="s">
        <v>687</v>
      </c>
      <c r="I75" s="215" t="s">
        <v>688</v>
      </c>
      <c r="J75" s="216"/>
      <c r="K75" s="216"/>
      <c r="L75" s="215"/>
      <c r="M75" s="213" t="s">
        <v>349</v>
      </c>
      <c r="N75" s="213" t="s">
        <v>689</v>
      </c>
      <c r="O75" s="213" t="s">
        <v>690</v>
      </c>
      <c r="P75" s="213" t="s">
        <v>691</v>
      </c>
      <c r="Q75" s="213" t="s">
        <v>692</v>
      </c>
      <c r="R75" s="59" t="s">
        <v>693</v>
      </c>
      <c r="S75" s="213" t="s">
        <v>146</v>
      </c>
      <c r="T75" s="213" t="s">
        <v>524</v>
      </c>
      <c r="U75" s="213" t="s">
        <v>525</v>
      </c>
      <c r="V75" s="213" t="s">
        <v>526</v>
      </c>
      <c r="W75" s="213">
        <v>2010</v>
      </c>
      <c r="X75" s="262">
        <f>X74*50%</f>
        <v>1005</v>
      </c>
      <c r="Y75" s="213"/>
      <c r="Z75" s="213"/>
      <c r="AA75" s="213" t="s">
        <v>150</v>
      </c>
      <c r="AB75" s="213">
        <v>16</v>
      </c>
      <c r="AC75" s="213">
        <v>180</v>
      </c>
      <c r="AD75" s="213"/>
      <c r="AE75" s="213"/>
      <c r="AF75" s="213"/>
      <c r="AG75" s="213"/>
      <c r="AH75" s="213"/>
      <c r="AI75" s="213"/>
      <c r="AJ75" s="213"/>
      <c r="AK75" s="262">
        <v>1</v>
      </c>
      <c r="AL75" s="271"/>
      <c r="AM75" s="277">
        <f>X75*P1_reinigen_daken_met_vaste_dakveiligheid</f>
        <v>0</v>
      </c>
      <c r="AN75" s="279">
        <f>Y75*P1_reinigen_goten_met_vaste_dakveiligheid</f>
        <v>0</v>
      </c>
      <c r="AO75" s="279">
        <f>(AE75*P1_Reinigen_Lichtkoepel_50X50)+('Perceel 3'!AF75*P1_Reinigen_Lichtkoepel_60x200)+('Perceel 3'!AG75*P1_Reinigen_Lichtkoepel_180x180)+('Perceel 3'!AH75*P1_Reinigen_Lichtstraten_groter_dan_180x180)</f>
        <v>0</v>
      </c>
      <c r="AP75" s="279">
        <f t="shared" ref="AP75:AP81" si="14">(X75+Y75)*P1_Inspecteren_daken_en_goten_1x_per_jaar_gelijktijdig_met_reiniging_inclusief_inspectierapport_en_een_managementrapport</f>
        <v>0</v>
      </c>
      <c r="AQ75" s="289"/>
      <c r="AR75" s="332">
        <f t="shared" ref="AR75:AR81" si="15">AQ75*P1_keuren_dakveiligheid_per_man_uur</f>
        <v>0</v>
      </c>
      <c r="AS75" s="336">
        <f t="shared" si="13"/>
        <v>0</v>
      </c>
    </row>
    <row r="76" spans="1:45" s="7" customFormat="1" ht="51.75" hidden="1" thickTop="1" thickBot="1" x14ac:dyDescent="0.5">
      <c r="A76" s="213"/>
      <c r="B76" s="214">
        <v>1</v>
      </c>
      <c r="C76" s="175" t="s">
        <v>135</v>
      </c>
      <c r="D76" s="175" t="s">
        <v>136</v>
      </c>
      <c r="E76" s="175"/>
      <c r="F76" s="175"/>
      <c r="G76" s="175"/>
      <c r="H76" s="215" t="s">
        <v>694</v>
      </c>
      <c r="I76" s="215" t="s">
        <v>695</v>
      </c>
      <c r="J76" s="216"/>
      <c r="K76" s="216"/>
      <c r="L76" s="215"/>
      <c r="M76" s="190" t="s">
        <v>544</v>
      </c>
      <c r="N76" s="213" t="s">
        <v>696</v>
      </c>
      <c r="O76" s="213" t="s">
        <v>697</v>
      </c>
      <c r="P76" s="213" t="s">
        <v>698</v>
      </c>
      <c r="Q76" s="213" t="s">
        <v>699</v>
      </c>
      <c r="R76" s="59" t="s">
        <v>693</v>
      </c>
      <c r="S76" s="213" t="s">
        <v>146</v>
      </c>
      <c r="T76" s="213" t="s">
        <v>169</v>
      </c>
      <c r="U76" s="213" t="s">
        <v>170</v>
      </c>
      <c r="V76" s="213" t="s">
        <v>171</v>
      </c>
      <c r="W76" s="213">
        <v>2010</v>
      </c>
      <c r="X76" s="262">
        <f>X74*50%</f>
        <v>1005</v>
      </c>
      <c r="Y76" s="213"/>
      <c r="Z76" s="213"/>
      <c r="AA76" s="213" t="s">
        <v>150</v>
      </c>
      <c r="AB76" s="213"/>
      <c r="AC76" s="213"/>
      <c r="AD76" s="213"/>
      <c r="AE76" s="213"/>
      <c r="AF76" s="213"/>
      <c r="AG76" s="213"/>
      <c r="AH76" s="213"/>
      <c r="AI76" s="213"/>
      <c r="AJ76" s="213"/>
      <c r="AK76" s="262">
        <v>1</v>
      </c>
      <c r="AL76" s="271"/>
      <c r="AM76" s="277">
        <f>X76*P1_reinigen_daken_met_vaste_dakveiligheid</f>
        <v>0</v>
      </c>
      <c r="AN76" s="279">
        <f>Y76*P1_reinigen_goten_met_vaste_dakveiligheid</f>
        <v>0</v>
      </c>
      <c r="AO76" s="279">
        <f>(AE76*P1_Reinigen_Lichtkoepel_50X50)+('Perceel 3'!AF76*P1_Reinigen_Lichtkoepel_60x200)+('Perceel 3'!AG76*P1_Reinigen_Lichtkoepel_180x180)+('Perceel 3'!AH76*P1_Reinigen_Lichtstraten_groter_dan_180x180)</f>
        <v>0</v>
      </c>
      <c r="AP76" s="279">
        <f t="shared" si="14"/>
        <v>0</v>
      </c>
      <c r="AQ76" s="298"/>
      <c r="AR76" s="332">
        <f t="shared" si="15"/>
        <v>0</v>
      </c>
      <c r="AS76" s="336">
        <f t="shared" si="13"/>
        <v>0</v>
      </c>
    </row>
    <row r="77" spans="1:45" s="7" customFormat="1" ht="27" hidden="1" thickTop="1" thickBot="1" x14ac:dyDescent="0.5">
      <c r="A77" s="194"/>
      <c r="B77" s="217">
        <v>1</v>
      </c>
      <c r="C77" s="156" t="s">
        <v>135</v>
      </c>
      <c r="D77" s="156" t="s">
        <v>174</v>
      </c>
      <c r="E77" s="156"/>
      <c r="F77" s="156"/>
      <c r="G77" s="156"/>
      <c r="H77" s="218" t="s">
        <v>700</v>
      </c>
      <c r="I77" s="203" t="s">
        <v>701</v>
      </c>
      <c r="J77" s="218"/>
      <c r="K77" s="218"/>
      <c r="L77" s="151" t="s">
        <v>280</v>
      </c>
      <c r="M77" s="192" t="s">
        <v>669</v>
      </c>
      <c r="N77" s="194" t="s">
        <v>702</v>
      </c>
      <c r="O77" s="194" t="s">
        <v>703</v>
      </c>
      <c r="P77" s="194" t="s">
        <v>704</v>
      </c>
      <c r="Q77" s="194" t="s">
        <v>692</v>
      </c>
      <c r="R77" s="60" t="s">
        <v>693</v>
      </c>
      <c r="S77" s="194" t="s">
        <v>146</v>
      </c>
      <c r="T77" s="192" t="s">
        <v>524</v>
      </c>
      <c r="U77" s="192" t="s">
        <v>525</v>
      </c>
      <c r="V77" s="222" t="s">
        <v>526</v>
      </c>
      <c r="W77" s="194">
        <v>2009</v>
      </c>
      <c r="X77" s="263">
        <v>881</v>
      </c>
      <c r="Y77" s="194"/>
      <c r="Z77" s="194"/>
      <c r="AA77" s="194" t="s">
        <v>150</v>
      </c>
      <c r="AB77" s="194">
        <v>22</v>
      </c>
      <c r="AC77" s="194">
        <v>5</v>
      </c>
      <c r="AD77" s="194"/>
      <c r="AE77" s="194"/>
      <c r="AF77" s="194"/>
      <c r="AG77" s="194"/>
      <c r="AH77" s="194"/>
      <c r="AI77" s="194"/>
      <c r="AJ77" s="194"/>
      <c r="AK77" s="263">
        <v>1</v>
      </c>
      <c r="AL77" s="273"/>
      <c r="AM77" s="277">
        <f>X77*P1_reinigen_daken_met_vaste_dakveiligheid</f>
        <v>0</v>
      </c>
      <c r="AN77" s="279">
        <f>Y77*P1_reinigen_goten_met_vaste_dakveiligheid</f>
        <v>0</v>
      </c>
      <c r="AO77" s="279">
        <f>(AE77*P1_Reinigen_Lichtkoepel_50X50)+('Perceel 3'!AF77*P1_Reinigen_Lichtkoepel_60x200)+('Perceel 3'!AG77*P1_Reinigen_Lichtkoepel_180x180)+('Perceel 3'!AH77*P1_Reinigen_Lichtstraten_groter_dan_180x180)</f>
        <v>0</v>
      </c>
      <c r="AP77" s="279">
        <f t="shared" si="14"/>
        <v>0</v>
      </c>
      <c r="AQ77" s="289"/>
      <c r="AR77" s="332">
        <f t="shared" si="15"/>
        <v>0</v>
      </c>
      <c r="AS77" s="336">
        <f t="shared" si="13"/>
        <v>0</v>
      </c>
    </row>
    <row r="78" spans="1:45" s="7" customFormat="1" ht="141" hidden="1" thickTop="1" thickBot="1" x14ac:dyDescent="0.5">
      <c r="A78" s="192"/>
      <c r="B78" s="152">
        <v>1</v>
      </c>
      <c r="C78" s="156" t="s">
        <v>135</v>
      </c>
      <c r="D78" s="156" t="s">
        <v>136</v>
      </c>
      <c r="E78" s="156"/>
      <c r="F78" s="156"/>
      <c r="G78" s="156"/>
      <c r="H78" s="203" t="s">
        <v>705</v>
      </c>
      <c r="I78" s="203" t="s">
        <v>706</v>
      </c>
      <c r="J78" s="219"/>
      <c r="K78" s="218"/>
      <c r="L78" s="151" t="s">
        <v>348</v>
      </c>
      <c r="M78" s="192" t="s">
        <v>349</v>
      </c>
      <c r="N78" s="220">
        <v>1491</v>
      </c>
      <c r="O78" s="192" t="s">
        <v>707</v>
      </c>
      <c r="P78" s="192" t="s">
        <v>708</v>
      </c>
      <c r="Q78" s="192" t="s">
        <v>709</v>
      </c>
      <c r="R78" s="42" t="s">
        <v>710</v>
      </c>
      <c r="S78" s="159" t="s">
        <v>146</v>
      </c>
      <c r="T78" s="192" t="s">
        <v>711</v>
      </c>
      <c r="U78" s="192" t="s">
        <v>712</v>
      </c>
      <c r="V78" s="222" t="s">
        <v>713</v>
      </c>
      <c r="W78" s="203">
        <v>2020</v>
      </c>
      <c r="X78" s="217">
        <v>1100</v>
      </c>
      <c r="Y78" s="192"/>
      <c r="Z78" s="192"/>
      <c r="AA78" s="192"/>
      <c r="AB78" s="192"/>
      <c r="AC78" s="192"/>
      <c r="AD78" s="192"/>
      <c r="AE78" s="192"/>
      <c r="AF78" s="192"/>
      <c r="AG78" s="192"/>
      <c r="AH78" s="192"/>
      <c r="AI78" s="192" t="s">
        <v>714</v>
      </c>
      <c r="AJ78" s="192" t="s">
        <v>715</v>
      </c>
      <c r="AK78" s="281">
        <v>1</v>
      </c>
      <c r="AL78" s="273"/>
      <c r="AM78" s="277">
        <f>X78*P1_Reinigen_daken_incl._extra_maatregelen_veilig_werken_volgens_VCA__eventuele_vergunningen_leges___voorrijkosten__adminstratieve_kosten__fotorapportage_en_kleine_reparaties_¹</f>
        <v>0</v>
      </c>
      <c r="AN78" s="279">
        <f>Y78*P1_Reinigen_goten_incl._extra_maatregelen_veilig_werken_volgens_VCA__eventuele_vergunningen_leges___voorrijkosten__adminstratieve_kosten__fotorapportage_en_kleine_reparaties_¹</f>
        <v>0</v>
      </c>
      <c r="AO78" s="279">
        <f>(AE78*P1_Reinigen_Lichtkoepel_50X50)+('Perceel 3'!AF78*P1_Reinigen_Lichtkoepel_60x200)+('Perceel 3'!AG78*P1_Reinigen_Lichtkoepel_180x180)+('Perceel 3'!AH78*P1_Reinigen_Lichtstraten_groter_dan_180x180)</f>
        <v>0</v>
      </c>
      <c r="AP78" s="279">
        <f t="shared" si="14"/>
        <v>0</v>
      </c>
      <c r="AQ78" s="298"/>
      <c r="AR78" s="332">
        <f t="shared" si="15"/>
        <v>0</v>
      </c>
      <c r="AS78" s="336">
        <f t="shared" si="13"/>
        <v>0</v>
      </c>
    </row>
    <row r="79" spans="1:45" s="7" customFormat="1" ht="39" hidden="1" thickTop="1" thickBot="1" x14ac:dyDescent="0.5">
      <c r="A79" s="155"/>
      <c r="B79" s="152">
        <v>1</v>
      </c>
      <c r="C79" s="156" t="s">
        <v>135</v>
      </c>
      <c r="D79" s="156" t="s">
        <v>136</v>
      </c>
      <c r="E79" s="156"/>
      <c r="F79" s="156"/>
      <c r="G79" s="156"/>
      <c r="H79" s="151" t="s">
        <v>716</v>
      </c>
      <c r="I79" s="151" t="s">
        <v>717</v>
      </c>
      <c r="J79" s="163"/>
      <c r="K79" s="163"/>
      <c r="L79" s="163" t="s">
        <v>154</v>
      </c>
      <c r="M79" s="166" t="s">
        <v>544</v>
      </c>
      <c r="N79" s="159" t="s">
        <v>718</v>
      </c>
      <c r="O79" s="159" t="s">
        <v>719</v>
      </c>
      <c r="P79" s="160" t="s">
        <v>720</v>
      </c>
      <c r="Q79" s="160" t="s">
        <v>721</v>
      </c>
      <c r="R79" s="53" t="s">
        <v>710</v>
      </c>
      <c r="S79" s="160" t="s">
        <v>146</v>
      </c>
      <c r="T79" s="159" t="s">
        <v>722</v>
      </c>
      <c r="U79" s="168" t="s">
        <v>723</v>
      </c>
      <c r="V79" s="209" t="s">
        <v>724</v>
      </c>
      <c r="W79" s="152">
        <v>2007</v>
      </c>
      <c r="X79" s="152">
        <v>7396</v>
      </c>
      <c r="Y79" s="152"/>
      <c r="Z79" s="177" t="s">
        <v>311</v>
      </c>
      <c r="AA79" s="177" t="s">
        <v>150</v>
      </c>
      <c r="AB79" s="177">
        <v>45</v>
      </c>
      <c r="AC79" s="177">
        <v>207</v>
      </c>
      <c r="AD79" s="177"/>
      <c r="AE79" s="177"/>
      <c r="AF79" s="177"/>
      <c r="AG79" s="177"/>
      <c r="AH79" s="177"/>
      <c r="AI79" s="177"/>
      <c r="AJ79" s="177"/>
      <c r="AK79" s="257">
        <v>1</v>
      </c>
      <c r="AL79" s="271"/>
      <c r="AM79" s="277">
        <f>X79*P1_reinigen_daken_met_vaste_dakveiligheid</f>
        <v>0</v>
      </c>
      <c r="AN79" s="279">
        <f>Y79*P1_reinigen_goten_met_vaste_dakveiligheid</f>
        <v>0</v>
      </c>
      <c r="AO79" s="279">
        <f>(AE79*P1_Reinigen_Lichtkoepel_50X50)+('Perceel 3'!AF79*P1_Reinigen_Lichtkoepel_60x200)+('Perceel 3'!AG79*P1_Reinigen_Lichtkoepel_180x180)+('Perceel 3'!AH79*P1_Reinigen_Lichtstraten_groter_dan_180x180)</f>
        <v>0</v>
      </c>
      <c r="AP79" s="279">
        <f t="shared" si="14"/>
        <v>0</v>
      </c>
      <c r="AQ79" s="289"/>
      <c r="AR79" s="332">
        <f t="shared" si="15"/>
        <v>0</v>
      </c>
      <c r="AS79" s="336">
        <f t="shared" si="13"/>
        <v>0</v>
      </c>
    </row>
    <row r="80" spans="1:45" s="7" customFormat="1" ht="38.450000000000003" hidden="1" customHeight="1" x14ac:dyDescent="0.45">
      <c r="A80" s="155"/>
      <c r="B80" s="152">
        <v>1</v>
      </c>
      <c r="C80" s="156" t="s">
        <v>135</v>
      </c>
      <c r="D80" s="156" t="s">
        <v>136</v>
      </c>
      <c r="E80" s="156"/>
      <c r="F80" s="156"/>
      <c r="G80" s="156"/>
      <c r="H80" s="151" t="s">
        <v>725</v>
      </c>
      <c r="I80" s="151" t="s">
        <v>726</v>
      </c>
      <c r="J80" s="157"/>
      <c r="K80" s="163"/>
      <c r="L80" s="163" t="s">
        <v>154</v>
      </c>
      <c r="M80" s="166" t="s">
        <v>544</v>
      </c>
      <c r="N80" s="164">
        <v>2104</v>
      </c>
      <c r="O80" s="159" t="s">
        <v>727</v>
      </c>
      <c r="P80" s="159" t="s">
        <v>728</v>
      </c>
      <c r="Q80" s="160" t="s">
        <v>721</v>
      </c>
      <c r="R80" s="53" t="s">
        <v>710</v>
      </c>
      <c r="S80" s="160" t="s">
        <v>146</v>
      </c>
      <c r="T80" s="159" t="s">
        <v>722</v>
      </c>
      <c r="U80" s="168" t="s">
        <v>723</v>
      </c>
      <c r="V80" s="209" t="s">
        <v>724</v>
      </c>
      <c r="W80" s="152">
        <v>2016</v>
      </c>
      <c r="X80" s="152">
        <v>1701</v>
      </c>
      <c r="Y80" s="152"/>
      <c r="Z80" s="177" t="s">
        <v>311</v>
      </c>
      <c r="AA80" s="177" t="s">
        <v>150</v>
      </c>
      <c r="AB80" s="177">
        <v>22</v>
      </c>
      <c r="AC80" s="177">
        <v>186</v>
      </c>
      <c r="AD80" s="177"/>
      <c r="AE80" s="177"/>
      <c r="AF80" s="177"/>
      <c r="AG80" s="177"/>
      <c r="AH80" s="177"/>
      <c r="AI80" s="177" t="s">
        <v>345</v>
      </c>
      <c r="AJ80" s="177"/>
      <c r="AK80" s="257">
        <v>1</v>
      </c>
      <c r="AL80" s="271"/>
      <c r="AM80" s="277">
        <f>X80*P1_reinigen_daken_met_vaste_dakveiligheid</f>
        <v>0</v>
      </c>
      <c r="AN80" s="279">
        <f>Y80*P1_reinigen_goten_met_vaste_dakveiligheid</f>
        <v>0</v>
      </c>
      <c r="AO80" s="279">
        <f>(AE80*P1_Reinigen_Lichtkoepel_50X50)+('Perceel 3'!AF80*P1_Reinigen_Lichtkoepel_60x200)+('Perceel 3'!AG80*P1_Reinigen_Lichtkoepel_180x180)+('Perceel 3'!AH80*P1_Reinigen_Lichtstraten_groter_dan_180x180)</f>
        <v>0</v>
      </c>
      <c r="AP80" s="279">
        <f t="shared" si="14"/>
        <v>0</v>
      </c>
      <c r="AQ80" s="289"/>
      <c r="AR80" s="332">
        <f t="shared" si="15"/>
        <v>0</v>
      </c>
      <c r="AS80" s="336">
        <f t="shared" si="13"/>
        <v>0</v>
      </c>
    </row>
    <row r="81" spans="1:45" s="7" customFormat="1" ht="26.25" hidden="1" thickTop="1" thickBot="1" x14ac:dyDescent="0.5">
      <c r="A81" s="155"/>
      <c r="B81" s="165">
        <v>1</v>
      </c>
      <c r="C81" s="156" t="s">
        <v>135</v>
      </c>
      <c r="D81" s="156" t="s">
        <v>136</v>
      </c>
      <c r="E81" s="156"/>
      <c r="F81" s="156"/>
      <c r="G81" s="156"/>
      <c r="H81" s="151" t="s">
        <v>729</v>
      </c>
      <c r="I81" s="151" t="s">
        <v>730</v>
      </c>
      <c r="J81" s="157"/>
      <c r="K81" s="163"/>
      <c r="L81" s="163" t="s">
        <v>154</v>
      </c>
      <c r="M81" s="163" t="s">
        <v>155</v>
      </c>
      <c r="N81" s="159" t="s">
        <v>731</v>
      </c>
      <c r="O81" s="164" t="s">
        <v>732</v>
      </c>
      <c r="P81" s="159" t="s">
        <v>733</v>
      </c>
      <c r="Q81" s="159" t="s">
        <v>734</v>
      </c>
      <c r="R81" s="42" t="s">
        <v>339</v>
      </c>
      <c r="S81" s="159" t="s">
        <v>340</v>
      </c>
      <c r="T81" s="159" t="s">
        <v>735</v>
      </c>
      <c r="U81" s="159" t="s">
        <v>736</v>
      </c>
      <c r="V81" s="176" t="s">
        <v>737</v>
      </c>
      <c r="W81" s="152">
        <v>1990</v>
      </c>
      <c r="X81" s="152">
        <v>1008</v>
      </c>
      <c r="Y81" s="152"/>
      <c r="Z81" s="189"/>
      <c r="AA81" s="177"/>
      <c r="AB81" s="177"/>
      <c r="AC81" s="177"/>
      <c r="AD81" s="177"/>
      <c r="AE81" s="177"/>
      <c r="AF81" s="177"/>
      <c r="AG81" s="177"/>
      <c r="AH81" s="177"/>
      <c r="AI81" s="177"/>
      <c r="AJ81" s="177"/>
      <c r="AK81" s="177">
        <v>2</v>
      </c>
      <c r="AL81" s="273"/>
      <c r="AM81" s="277">
        <f>X81*P1_Reinigen_daken_incl._extra_maatregelen_veilig_werken_volgens_VCA__eventuele_vergunningen_leges___voorrijkosten__adminstratieve_kosten__fotorapportage_en_kleine_reparaties_¹</f>
        <v>0</v>
      </c>
      <c r="AN81" s="279">
        <f>Y81*P1_Reinigen_goten_incl._extra_maatregelen_veilig_werken_volgens_VCA__eventuele_vergunningen_leges___voorrijkosten__adminstratieve_kosten__fotorapportage_en_kleine_reparaties_¹</f>
        <v>0</v>
      </c>
      <c r="AO81" s="279">
        <f>(AE81*P1_Reinigen_Lichtkoepel_50X50)+('Perceel 3'!AF81*P1_Reinigen_Lichtkoepel_60x200)+('Perceel 3'!AG81*P1_Reinigen_Lichtkoepel_180x180)+('Perceel 3'!AH81*P1_Reinigen_Lichtstraten_groter_dan_180x180)</f>
        <v>0</v>
      </c>
      <c r="AP81" s="279">
        <f t="shared" si="14"/>
        <v>0</v>
      </c>
      <c r="AQ81" s="298"/>
      <c r="AR81" s="332">
        <f t="shared" si="15"/>
        <v>0</v>
      </c>
      <c r="AS81" s="336">
        <f t="shared" si="13"/>
        <v>0</v>
      </c>
    </row>
    <row r="82" spans="1:45" s="7" customFormat="1" ht="38.450000000000003" hidden="1" customHeight="1" x14ac:dyDescent="0.45">
      <c r="A82" s="238"/>
      <c r="B82" s="212">
        <v>1</v>
      </c>
      <c r="C82" s="156" t="s">
        <v>135</v>
      </c>
      <c r="D82" s="156" t="s">
        <v>136</v>
      </c>
      <c r="E82" s="156" t="s">
        <v>174</v>
      </c>
      <c r="F82" s="156"/>
      <c r="G82" s="156"/>
      <c r="H82" s="15"/>
      <c r="I82" s="15"/>
      <c r="J82" s="15"/>
      <c r="K82" s="16"/>
      <c r="L82" s="196"/>
      <c r="M82" s="171"/>
      <c r="N82" s="211" t="s">
        <v>738</v>
      </c>
      <c r="O82" s="171" t="s">
        <v>739</v>
      </c>
      <c r="P82" s="211" t="s">
        <v>740</v>
      </c>
      <c r="Q82" s="211" t="s">
        <v>741</v>
      </c>
      <c r="R82" s="58" t="s">
        <v>339</v>
      </c>
      <c r="S82" s="211" t="s">
        <v>340</v>
      </c>
      <c r="T82" s="171"/>
      <c r="U82" s="171"/>
      <c r="V82" s="171"/>
      <c r="W82" s="211">
        <v>1990</v>
      </c>
      <c r="X82" s="261">
        <v>2316</v>
      </c>
      <c r="Y82" s="211"/>
      <c r="Z82" s="171"/>
      <c r="AA82" s="171"/>
      <c r="AB82" s="171"/>
      <c r="AC82" s="171"/>
      <c r="AD82" s="171"/>
      <c r="AE82" s="171"/>
      <c r="AF82" s="171"/>
      <c r="AG82" s="171"/>
      <c r="AH82" s="171"/>
      <c r="AI82" s="171"/>
      <c r="AJ82" s="171"/>
      <c r="AK82" s="282">
        <v>3</v>
      </c>
      <c r="AL82" s="273"/>
      <c r="AM82" s="299"/>
      <c r="AN82" s="298"/>
      <c r="AO82" s="298"/>
      <c r="AP82" s="298"/>
      <c r="AQ82" s="298"/>
      <c r="AR82" s="333"/>
      <c r="AS82" s="337"/>
    </row>
    <row r="83" spans="1:45" s="7" customFormat="1" ht="38.450000000000003" hidden="1" customHeight="1" x14ac:dyDescent="0.45">
      <c r="A83" s="182"/>
      <c r="B83" s="185">
        <v>1</v>
      </c>
      <c r="C83" s="156" t="s">
        <v>135</v>
      </c>
      <c r="D83" s="156" t="s">
        <v>174</v>
      </c>
      <c r="E83" s="156"/>
      <c r="F83" s="156"/>
      <c r="G83" s="156"/>
      <c r="H83" s="174" t="s">
        <v>742</v>
      </c>
      <c r="I83" s="174" t="s">
        <v>743</v>
      </c>
      <c r="J83" s="197"/>
      <c r="K83" s="197"/>
      <c r="L83" s="174"/>
      <c r="M83" s="175" t="s">
        <v>349</v>
      </c>
      <c r="N83" s="182" t="s">
        <v>744</v>
      </c>
      <c r="O83" s="175" t="s">
        <v>745</v>
      </c>
      <c r="P83" s="182" t="s">
        <v>746</v>
      </c>
      <c r="Q83" s="182" t="s">
        <v>747</v>
      </c>
      <c r="R83" s="50" t="s">
        <v>339</v>
      </c>
      <c r="S83" s="182" t="s">
        <v>340</v>
      </c>
      <c r="T83" s="175" t="s">
        <v>748</v>
      </c>
      <c r="U83" s="175" t="s">
        <v>749</v>
      </c>
      <c r="V83" s="187" t="s">
        <v>750</v>
      </c>
      <c r="W83" s="182">
        <v>1990</v>
      </c>
      <c r="X83" s="255">
        <f>X82*59%</f>
        <v>1366.4399999999998</v>
      </c>
      <c r="Y83" s="182"/>
      <c r="Z83" s="175"/>
      <c r="AA83" s="175"/>
      <c r="AB83" s="175"/>
      <c r="AC83" s="175"/>
      <c r="AD83" s="175"/>
      <c r="AE83" s="175"/>
      <c r="AF83" s="175"/>
      <c r="AG83" s="175"/>
      <c r="AH83" s="175"/>
      <c r="AI83" s="175"/>
      <c r="AJ83" s="175"/>
      <c r="AK83" s="255">
        <v>3</v>
      </c>
      <c r="AL83" s="273"/>
      <c r="AM83" s="277">
        <f>X83*P1_Reinigen_daken_incl._extra_maatregelen_veilig_werken_volgens_VCA__eventuele_vergunningen_leges___voorrijkosten__adminstratieve_kosten__fotorapportage_en_kleine_reparaties_¹</f>
        <v>0</v>
      </c>
      <c r="AN83" s="279">
        <f>Y83*P1_Reinigen_goten_incl._extra_maatregelen_veilig_werken_volgens_VCA__eventuele_vergunningen_leges___voorrijkosten__adminstratieve_kosten__fotorapportage_en_kleine_reparaties_¹</f>
        <v>0</v>
      </c>
      <c r="AO83" s="279">
        <f>(AE83*P1_Reinigen_Lichtkoepel_50X50)+('Perceel 3'!AF83*P1_Reinigen_Lichtkoepel_60x200)+('Perceel 3'!AG83*P1_Reinigen_Lichtkoepel_180x180)+('Perceel 3'!AH83*P1_Reinigen_Lichtstraten_groter_dan_180x180)</f>
        <v>0</v>
      </c>
      <c r="AP83" s="279">
        <f>(X83+Y83)*P1_Inspecteren_daken_en_goten_1x_per_jaar_gelijktijdig_met_reiniging_inclusief_inspectierapport_en_een_managementrapport</f>
        <v>0</v>
      </c>
      <c r="AQ83" s="298"/>
      <c r="AR83" s="332">
        <f>AQ83*P1_keuren_dakveiligheid_per_man_uur</f>
        <v>0</v>
      </c>
      <c r="AS83" s="336">
        <f t="shared" si="13"/>
        <v>0</v>
      </c>
    </row>
    <row r="84" spans="1:45" s="7" customFormat="1" ht="12.75" hidden="1" customHeight="1" x14ac:dyDescent="0.45">
      <c r="A84" s="182"/>
      <c r="B84" s="185">
        <v>1</v>
      </c>
      <c r="C84" s="156" t="s">
        <v>135</v>
      </c>
      <c r="D84" s="156" t="s">
        <v>136</v>
      </c>
      <c r="E84" s="156"/>
      <c r="F84" s="156"/>
      <c r="G84" s="156"/>
      <c r="H84" s="174" t="s">
        <v>751</v>
      </c>
      <c r="I84" s="174" t="s">
        <v>752</v>
      </c>
      <c r="J84" s="197"/>
      <c r="K84" s="197"/>
      <c r="L84" s="174"/>
      <c r="M84" s="175" t="s">
        <v>140</v>
      </c>
      <c r="N84" s="182" t="s">
        <v>753</v>
      </c>
      <c r="O84" s="175" t="s">
        <v>754</v>
      </c>
      <c r="P84" s="182" t="s">
        <v>755</v>
      </c>
      <c r="Q84" s="182" t="s">
        <v>741</v>
      </c>
      <c r="R84" s="50" t="s">
        <v>339</v>
      </c>
      <c r="S84" s="182" t="s">
        <v>340</v>
      </c>
      <c r="T84" s="175" t="s">
        <v>756</v>
      </c>
      <c r="U84" s="175" t="s">
        <v>757</v>
      </c>
      <c r="V84" s="175" t="s">
        <v>758</v>
      </c>
      <c r="W84" s="182">
        <v>1990</v>
      </c>
      <c r="X84" s="255">
        <f>X82*21%</f>
        <v>486.35999999999996</v>
      </c>
      <c r="Y84" s="182"/>
      <c r="Z84" s="175"/>
      <c r="AA84" s="175"/>
      <c r="AB84" s="175"/>
      <c r="AC84" s="175"/>
      <c r="AD84" s="175"/>
      <c r="AE84" s="175"/>
      <c r="AF84" s="175"/>
      <c r="AG84" s="175"/>
      <c r="AH84" s="175"/>
      <c r="AI84" s="175"/>
      <c r="AJ84" s="175"/>
      <c r="AK84" s="255">
        <v>3</v>
      </c>
      <c r="AL84" s="273"/>
      <c r="AM84" s="277">
        <f>X84*P1_Reinigen_daken_incl._extra_maatregelen_veilig_werken_volgens_VCA__eventuele_vergunningen_leges___voorrijkosten__adminstratieve_kosten__fotorapportage_en_kleine_reparaties_¹</f>
        <v>0</v>
      </c>
      <c r="AN84" s="279">
        <f>Y84*P1_Reinigen_goten_incl._extra_maatregelen_veilig_werken_volgens_VCA__eventuele_vergunningen_leges___voorrijkosten__adminstratieve_kosten__fotorapportage_en_kleine_reparaties_¹</f>
        <v>0</v>
      </c>
      <c r="AO84" s="279">
        <f>(AE84*P1_Reinigen_Lichtkoepel_50X50)+('Perceel 3'!AF84*P1_Reinigen_Lichtkoepel_60x200)+('Perceel 3'!AG84*P1_Reinigen_Lichtkoepel_180x180)+('Perceel 3'!AH84*P1_Reinigen_Lichtstraten_groter_dan_180x180)</f>
        <v>0</v>
      </c>
      <c r="AP84" s="279">
        <f>(X84+Y84)*P1_Inspecteren_daken_en_goten_1x_per_jaar_gelijktijdig_met_reiniging_inclusief_inspectierapport_en_een_managementrapport</f>
        <v>0</v>
      </c>
      <c r="AQ84" s="298"/>
      <c r="AR84" s="332">
        <f>AQ84*P1_keuren_dakveiligheid_per_man_uur</f>
        <v>0</v>
      </c>
      <c r="AS84" s="336">
        <f t="shared" si="13"/>
        <v>0</v>
      </c>
    </row>
    <row r="85" spans="1:45" s="7" customFormat="1" ht="51.75" hidden="1" thickTop="1" thickBot="1" x14ac:dyDescent="0.5">
      <c r="A85" s="182"/>
      <c r="B85" s="185">
        <v>1</v>
      </c>
      <c r="C85" s="156" t="s">
        <v>135</v>
      </c>
      <c r="D85" s="156" t="s">
        <v>136</v>
      </c>
      <c r="E85" s="156"/>
      <c r="F85" s="156"/>
      <c r="G85" s="156"/>
      <c r="H85" s="174" t="s">
        <v>759</v>
      </c>
      <c r="I85" s="174" t="s">
        <v>760</v>
      </c>
      <c r="J85" s="202"/>
      <c r="K85" s="197"/>
      <c r="L85" s="174"/>
      <c r="M85" s="191" t="s">
        <v>544</v>
      </c>
      <c r="N85" s="182" t="s">
        <v>761</v>
      </c>
      <c r="O85" s="175" t="s">
        <v>762</v>
      </c>
      <c r="P85" s="182" t="s">
        <v>763</v>
      </c>
      <c r="Q85" s="182" t="s">
        <v>741</v>
      </c>
      <c r="R85" s="50" t="s">
        <v>339</v>
      </c>
      <c r="S85" s="182" t="s">
        <v>340</v>
      </c>
      <c r="T85" s="175" t="s">
        <v>169</v>
      </c>
      <c r="U85" s="175" t="s">
        <v>170</v>
      </c>
      <c r="V85" s="175" t="s">
        <v>171</v>
      </c>
      <c r="W85" s="182">
        <v>1990</v>
      </c>
      <c r="X85" s="255">
        <f>X82*20%</f>
        <v>463.20000000000005</v>
      </c>
      <c r="Y85" s="182"/>
      <c r="Z85" s="175"/>
      <c r="AA85" s="175"/>
      <c r="AB85" s="175"/>
      <c r="AC85" s="175"/>
      <c r="AD85" s="175"/>
      <c r="AE85" s="175"/>
      <c r="AF85" s="175"/>
      <c r="AG85" s="175"/>
      <c r="AH85" s="175"/>
      <c r="AI85" s="175"/>
      <c r="AJ85" s="175"/>
      <c r="AK85" s="255">
        <v>3</v>
      </c>
      <c r="AL85" s="273"/>
      <c r="AM85" s="277">
        <f>X85*P1_Reinigen_daken_incl._extra_maatregelen_veilig_werken_volgens_VCA__eventuele_vergunningen_leges___voorrijkosten__adminstratieve_kosten__fotorapportage_en_kleine_reparaties_¹</f>
        <v>0</v>
      </c>
      <c r="AN85" s="279">
        <f>Y85*P1_Reinigen_goten_incl._extra_maatregelen_veilig_werken_volgens_VCA__eventuele_vergunningen_leges___voorrijkosten__adminstratieve_kosten__fotorapportage_en_kleine_reparaties_¹</f>
        <v>0</v>
      </c>
      <c r="AO85" s="279">
        <f>(AE85*P1_Reinigen_Lichtkoepel_50X50)+('Perceel 3'!AF85*P1_Reinigen_Lichtkoepel_60x200)+('Perceel 3'!AG85*P1_Reinigen_Lichtkoepel_180x180)+('Perceel 3'!AH85*P1_Reinigen_Lichtstraten_groter_dan_180x180)</f>
        <v>0</v>
      </c>
      <c r="AP85" s="279">
        <f>(X85+Y85)*P1_Inspecteren_daken_en_goten_1x_per_jaar_gelijktijdig_met_reiniging_inclusief_inspectierapport_en_een_managementrapport</f>
        <v>0</v>
      </c>
      <c r="AQ85" s="298"/>
      <c r="AR85" s="332">
        <f>AQ85*P1_keuren_dakveiligheid_per_man_uur</f>
        <v>0</v>
      </c>
      <c r="AS85" s="336">
        <f t="shared" si="13"/>
        <v>0</v>
      </c>
    </row>
    <row r="86" spans="1:45" s="7" customFormat="1" ht="30" hidden="1" customHeight="1" x14ac:dyDescent="0.45">
      <c r="A86" s="211"/>
      <c r="B86" s="225">
        <v>1</v>
      </c>
      <c r="C86" s="156" t="s">
        <v>135</v>
      </c>
      <c r="D86" s="156" t="s">
        <v>136</v>
      </c>
      <c r="E86" s="156"/>
      <c r="F86" s="156"/>
      <c r="G86" s="156"/>
      <c r="H86" s="15"/>
      <c r="I86" s="15"/>
      <c r="J86" s="16"/>
      <c r="K86" s="16"/>
      <c r="L86" s="196"/>
      <c r="M86" s="196"/>
      <c r="N86" s="211" t="s">
        <v>764</v>
      </c>
      <c r="O86" s="171" t="s">
        <v>765</v>
      </c>
      <c r="P86" s="211" t="s">
        <v>766</v>
      </c>
      <c r="Q86" s="211" t="s">
        <v>767</v>
      </c>
      <c r="R86" s="58" t="s">
        <v>768</v>
      </c>
      <c r="S86" s="211" t="s">
        <v>340</v>
      </c>
      <c r="T86" s="171"/>
      <c r="U86" s="171"/>
      <c r="V86" s="171"/>
      <c r="W86" s="211">
        <v>2001</v>
      </c>
      <c r="X86" s="261">
        <v>1636</v>
      </c>
      <c r="Y86" s="211"/>
      <c r="Z86" s="171"/>
      <c r="AA86" s="171"/>
      <c r="AB86" s="171"/>
      <c r="AC86" s="171"/>
      <c r="AD86" s="171"/>
      <c r="AE86" s="171"/>
      <c r="AF86" s="171"/>
      <c r="AG86" s="171"/>
      <c r="AH86" s="171"/>
      <c r="AI86" s="171"/>
      <c r="AJ86" s="171"/>
      <c r="AK86" s="261">
        <v>1</v>
      </c>
      <c r="AL86" s="274"/>
      <c r="AM86" s="299"/>
      <c r="AN86" s="298"/>
      <c r="AO86" s="298"/>
      <c r="AP86" s="298"/>
      <c r="AQ86" s="298"/>
      <c r="AR86" s="333"/>
      <c r="AS86" s="337"/>
    </row>
    <row r="87" spans="1:45" s="7" customFormat="1" ht="30" hidden="1" customHeight="1" x14ac:dyDescent="0.45">
      <c r="A87" s="182"/>
      <c r="B87" s="185">
        <v>1</v>
      </c>
      <c r="C87" s="156" t="s">
        <v>135</v>
      </c>
      <c r="D87" s="156" t="s">
        <v>136</v>
      </c>
      <c r="E87" s="156"/>
      <c r="F87" s="156"/>
      <c r="G87" s="156"/>
      <c r="H87" s="174" t="s">
        <v>769</v>
      </c>
      <c r="I87" s="174" t="s">
        <v>770</v>
      </c>
      <c r="J87" s="197"/>
      <c r="K87" s="197"/>
      <c r="L87" s="174"/>
      <c r="M87" s="175" t="s">
        <v>140</v>
      </c>
      <c r="N87" s="182" t="s">
        <v>771</v>
      </c>
      <c r="O87" s="175" t="s">
        <v>772</v>
      </c>
      <c r="P87" s="182" t="s">
        <v>773</v>
      </c>
      <c r="Q87" s="182" t="s">
        <v>767</v>
      </c>
      <c r="R87" s="50" t="s">
        <v>768</v>
      </c>
      <c r="S87" s="182" t="s">
        <v>340</v>
      </c>
      <c r="T87" s="175" t="s">
        <v>774</v>
      </c>
      <c r="U87" s="175" t="s">
        <v>775</v>
      </c>
      <c r="V87" s="175" t="s">
        <v>776</v>
      </c>
      <c r="W87" s="182">
        <v>2001</v>
      </c>
      <c r="X87" s="255">
        <f>X86*31%</f>
        <v>507.15999999999997</v>
      </c>
      <c r="Y87" s="182"/>
      <c r="Z87" s="175" t="s">
        <v>311</v>
      </c>
      <c r="AA87" s="175"/>
      <c r="AB87" s="175"/>
      <c r="AC87" s="175"/>
      <c r="AD87" s="175"/>
      <c r="AE87" s="175"/>
      <c r="AF87" s="175"/>
      <c r="AG87" s="175"/>
      <c r="AH87" s="175"/>
      <c r="AI87" s="175"/>
      <c r="AJ87" s="175"/>
      <c r="AK87" s="255">
        <v>1</v>
      </c>
      <c r="AL87" s="274"/>
      <c r="AM87" s="277">
        <f>X87*P1_Reinigen_daken_incl._extra_maatregelen_veilig_werken_volgens_VCA__eventuele_vergunningen_leges___voorrijkosten__adminstratieve_kosten__fotorapportage_en_kleine_reparaties_¹</f>
        <v>0</v>
      </c>
      <c r="AN87" s="279">
        <f>Y87*P1_Reinigen_goten_incl._extra_maatregelen_veilig_werken_volgens_VCA__eventuele_vergunningen_leges___voorrijkosten__adminstratieve_kosten__fotorapportage_en_kleine_reparaties_¹</f>
        <v>0</v>
      </c>
      <c r="AO87" s="279">
        <f>(AE87*P1_Reinigen_Lichtkoepel_50X50)+('Perceel 3'!AF87*P1_Reinigen_Lichtkoepel_60x200)+('Perceel 3'!AG87*P1_Reinigen_Lichtkoepel_180x180)+('Perceel 3'!AH87*P1_Reinigen_Lichtstraten_groter_dan_180x180)</f>
        <v>0</v>
      </c>
      <c r="AP87" s="279">
        <f>(X87+Y87)*P1_Inspecteren_daken_en_goten_1x_per_jaar_gelijktijdig_met_reiniging_inclusief_inspectierapport_en_een_managementrapport</f>
        <v>0</v>
      </c>
      <c r="AQ87" s="298"/>
      <c r="AR87" s="332">
        <f>AQ87*P1_keuren_dakveiligheid_per_man_uur</f>
        <v>0</v>
      </c>
      <c r="AS87" s="336">
        <f t="shared" si="13"/>
        <v>0</v>
      </c>
    </row>
    <row r="88" spans="1:45" s="7" customFormat="1" ht="51.75" hidden="1" thickTop="1" thickBot="1" x14ac:dyDescent="0.5">
      <c r="A88" s="182"/>
      <c r="B88" s="185">
        <v>1</v>
      </c>
      <c r="C88" s="156" t="s">
        <v>135</v>
      </c>
      <c r="D88" s="156" t="s">
        <v>136</v>
      </c>
      <c r="E88" s="156"/>
      <c r="F88" s="156"/>
      <c r="G88" s="156"/>
      <c r="H88" s="174" t="s">
        <v>777</v>
      </c>
      <c r="I88" s="174" t="s">
        <v>778</v>
      </c>
      <c r="J88" s="197"/>
      <c r="K88" s="197"/>
      <c r="L88" s="197"/>
      <c r="M88" s="197" t="s">
        <v>349</v>
      </c>
      <c r="N88" s="182" t="s">
        <v>779</v>
      </c>
      <c r="O88" s="175" t="s">
        <v>780</v>
      </c>
      <c r="P88" s="182" t="s">
        <v>781</v>
      </c>
      <c r="Q88" s="182" t="s">
        <v>767</v>
      </c>
      <c r="R88" s="50" t="s">
        <v>768</v>
      </c>
      <c r="S88" s="182" t="s">
        <v>340</v>
      </c>
      <c r="T88" s="175" t="s">
        <v>782</v>
      </c>
      <c r="U88" s="175" t="s">
        <v>783</v>
      </c>
      <c r="V88" s="175" t="s">
        <v>784</v>
      </c>
      <c r="W88" s="182">
        <v>2001</v>
      </c>
      <c r="X88" s="255">
        <f>X86*15%</f>
        <v>245.39999999999998</v>
      </c>
      <c r="Y88" s="182"/>
      <c r="Z88" s="175"/>
      <c r="AA88" s="175"/>
      <c r="AB88" s="175"/>
      <c r="AC88" s="175"/>
      <c r="AD88" s="175"/>
      <c r="AE88" s="175"/>
      <c r="AF88" s="175"/>
      <c r="AG88" s="175"/>
      <c r="AH88" s="175"/>
      <c r="AI88" s="175"/>
      <c r="AJ88" s="175"/>
      <c r="AK88" s="255">
        <v>1</v>
      </c>
      <c r="AL88" s="272" t="s">
        <v>785</v>
      </c>
      <c r="AM88" s="277">
        <f>X88*P1_Reinigen_daken_incl._extra_maatregelen_veilig_werken_volgens_VCA__eventuele_vergunningen_leges___voorrijkosten__adminstratieve_kosten__fotorapportage_en_kleine_reparaties_¹</f>
        <v>0</v>
      </c>
      <c r="AN88" s="279">
        <f>Y88*P1_Reinigen_goten_incl._extra_maatregelen_veilig_werken_volgens_VCA__eventuele_vergunningen_leges___voorrijkosten__adminstratieve_kosten__fotorapportage_en_kleine_reparaties_¹</f>
        <v>0</v>
      </c>
      <c r="AO88" s="279">
        <f>(AE88*P1_Reinigen_Lichtkoepel_50X50)+('Perceel 3'!AF88*P1_Reinigen_Lichtkoepel_60x200)+('Perceel 3'!AG88*P1_Reinigen_Lichtkoepel_180x180)+('Perceel 3'!AH88*P1_Reinigen_Lichtstraten_groter_dan_180x180)</f>
        <v>0</v>
      </c>
      <c r="AP88" s="279">
        <f>(X88+Y88)*P1_Inspecteren_daken_en_goten_1x_per_jaar_gelijktijdig_met_reiniging_inclusief_inspectierapport_en_een_managementrapport</f>
        <v>0</v>
      </c>
      <c r="AQ88" s="298"/>
      <c r="AR88" s="332">
        <f>AQ88*P1_keuren_dakveiligheid_per_man_uur</f>
        <v>0</v>
      </c>
      <c r="AS88" s="336">
        <f t="shared" si="13"/>
        <v>0</v>
      </c>
    </row>
    <row r="89" spans="1:45" s="7" customFormat="1" ht="51.75" hidden="1" thickTop="1" thickBot="1" x14ac:dyDescent="0.5">
      <c r="A89" s="182"/>
      <c r="B89" s="185">
        <v>1</v>
      </c>
      <c r="C89" s="156" t="s">
        <v>135</v>
      </c>
      <c r="D89" s="156" t="s">
        <v>136</v>
      </c>
      <c r="E89" s="156"/>
      <c r="F89" s="156"/>
      <c r="G89" s="156"/>
      <c r="H89" s="174" t="s">
        <v>786</v>
      </c>
      <c r="I89" s="174" t="s">
        <v>787</v>
      </c>
      <c r="J89" s="202"/>
      <c r="K89" s="197"/>
      <c r="L89" s="174"/>
      <c r="M89" s="191" t="s">
        <v>544</v>
      </c>
      <c r="N89" s="182" t="s">
        <v>788</v>
      </c>
      <c r="O89" s="175" t="s">
        <v>789</v>
      </c>
      <c r="P89" s="182" t="s">
        <v>790</v>
      </c>
      <c r="Q89" s="182" t="s">
        <v>767</v>
      </c>
      <c r="R89" s="50" t="s">
        <v>768</v>
      </c>
      <c r="S89" s="182" t="s">
        <v>340</v>
      </c>
      <c r="T89" s="175" t="s">
        <v>169</v>
      </c>
      <c r="U89" s="175" t="s">
        <v>170</v>
      </c>
      <c r="V89" s="175" t="s">
        <v>171</v>
      </c>
      <c r="W89" s="182">
        <v>2001</v>
      </c>
      <c r="X89" s="255">
        <f>X86*54%</f>
        <v>883.44</v>
      </c>
      <c r="Y89" s="182"/>
      <c r="Z89" s="175" t="s">
        <v>311</v>
      </c>
      <c r="AA89" s="175"/>
      <c r="AB89" s="175"/>
      <c r="AC89" s="175"/>
      <c r="AD89" s="175"/>
      <c r="AE89" s="175"/>
      <c r="AF89" s="175"/>
      <c r="AG89" s="175"/>
      <c r="AH89" s="175"/>
      <c r="AI89" s="175"/>
      <c r="AJ89" s="175"/>
      <c r="AK89" s="255">
        <v>1</v>
      </c>
      <c r="AL89" s="274"/>
      <c r="AM89" s="277">
        <f>X89*P1_Reinigen_daken_incl._extra_maatregelen_veilig_werken_volgens_VCA__eventuele_vergunningen_leges___voorrijkosten__adminstratieve_kosten__fotorapportage_en_kleine_reparaties_¹</f>
        <v>0</v>
      </c>
      <c r="AN89" s="279">
        <f>Y89*P1_Reinigen_goten_incl._extra_maatregelen_veilig_werken_volgens_VCA__eventuele_vergunningen_leges___voorrijkosten__adminstratieve_kosten__fotorapportage_en_kleine_reparaties_¹</f>
        <v>0</v>
      </c>
      <c r="AO89" s="279">
        <f>(AE89*P1_Reinigen_Lichtkoepel_50X50)+('Perceel 3'!AF89*P1_Reinigen_Lichtkoepel_60x200)+('Perceel 3'!AG89*P1_Reinigen_Lichtkoepel_180x180)+('Perceel 3'!AH89*P1_Reinigen_Lichtstraten_groter_dan_180x180)</f>
        <v>0</v>
      </c>
      <c r="AP89" s="279">
        <f>(X89+Y89)*P1_Inspecteren_daken_en_goten_1x_per_jaar_gelijktijdig_met_reiniging_inclusief_inspectierapport_en_een_managementrapport</f>
        <v>0</v>
      </c>
      <c r="AQ89" s="298"/>
      <c r="AR89" s="332">
        <f>AQ89*P1_keuren_dakveiligheid_per_man_uur</f>
        <v>0</v>
      </c>
      <c r="AS89" s="336">
        <f t="shared" si="13"/>
        <v>0</v>
      </c>
    </row>
    <row r="90" spans="1:45" s="7" customFormat="1" ht="15.75" hidden="1" thickTop="1" thickBot="1" x14ac:dyDescent="0.5">
      <c r="A90" s="155"/>
      <c r="B90" s="165">
        <v>1</v>
      </c>
      <c r="C90" s="156" t="s">
        <v>135</v>
      </c>
      <c r="D90" s="156" t="s">
        <v>136</v>
      </c>
      <c r="E90" s="156"/>
      <c r="F90" s="156"/>
      <c r="G90" s="156"/>
      <c r="H90" s="151" t="s">
        <v>791</v>
      </c>
      <c r="I90" s="151" t="s">
        <v>792</v>
      </c>
      <c r="J90" s="157"/>
      <c r="K90" s="163"/>
      <c r="L90" s="151" t="s">
        <v>348</v>
      </c>
      <c r="M90" s="159" t="s">
        <v>349</v>
      </c>
      <c r="N90" s="160" t="s">
        <v>793</v>
      </c>
      <c r="O90" s="159" t="s">
        <v>794</v>
      </c>
      <c r="P90" s="160" t="s">
        <v>795</v>
      </c>
      <c r="Q90" s="160" t="s">
        <v>796</v>
      </c>
      <c r="R90" s="53" t="s">
        <v>768</v>
      </c>
      <c r="S90" s="160" t="s">
        <v>340</v>
      </c>
      <c r="T90" s="159" t="s">
        <v>797</v>
      </c>
      <c r="U90" s="230" t="s">
        <v>798</v>
      </c>
      <c r="V90" s="176" t="s">
        <v>799</v>
      </c>
      <c r="W90" s="152">
        <v>2007</v>
      </c>
      <c r="X90" s="152">
        <v>314</v>
      </c>
      <c r="Y90" s="152"/>
      <c r="Z90" s="177"/>
      <c r="AA90" s="177"/>
      <c r="AB90" s="177"/>
      <c r="AC90" s="177"/>
      <c r="AD90" s="177"/>
      <c r="AE90" s="177"/>
      <c r="AF90" s="177"/>
      <c r="AG90" s="177"/>
      <c r="AH90" s="177"/>
      <c r="AI90" s="177"/>
      <c r="AJ90" s="177"/>
      <c r="AK90" s="257">
        <v>1</v>
      </c>
      <c r="AL90" s="271"/>
      <c r="AM90" s="277">
        <f>X90*P1_Reinigen_daken_incl._extra_maatregelen_veilig_werken_volgens_VCA__eventuele_vergunningen_leges___voorrijkosten__adminstratieve_kosten__fotorapportage_en_kleine_reparaties_¹</f>
        <v>0</v>
      </c>
      <c r="AN90" s="279">
        <f>Y90*P1_Reinigen_goten_incl._extra_maatregelen_veilig_werken_volgens_VCA__eventuele_vergunningen_leges___voorrijkosten__adminstratieve_kosten__fotorapportage_en_kleine_reparaties_¹</f>
        <v>0</v>
      </c>
      <c r="AO90" s="279">
        <f>(AE90*P1_Reinigen_Lichtkoepel_50X50)+('Perceel 3'!AF90*P1_Reinigen_Lichtkoepel_60x200)+('Perceel 3'!AG90*P1_Reinigen_Lichtkoepel_180x180)+('Perceel 3'!AH90*P1_Reinigen_Lichtstraten_groter_dan_180x180)</f>
        <v>0</v>
      </c>
      <c r="AP90" s="279">
        <f>(X90+Y90)*P1_Inspecteren_daken_en_goten_1x_per_jaar_gelijktijdig_met_reiniging_inclusief_inspectierapport_en_een_managementrapport</f>
        <v>0</v>
      </c>
      <c r="AQ90" s="298"/>
      <c r="AR90" s="332">
        <f>AQ90*P1_keuren_dakveiligheid_per_man_uur</f>
        <v>0</v>
      </c>
      <c r="AS90" s="336">
        <f t="shared" si="13"/>
        <v>0</v>
      </c>
    </row>
    <row r="91" spans="1:45" s="7" customFormat="1" ht="26.25" hidden="1" thickTop="1" thickBot="1" x14ac:dyDescent="0.5">
      <c r="A91" s="155"/>
      <c r="B91" s="165">
        <v>1</v>
      </c>
      <c r="C91" s="156" t="s">
        <v>135</v>
      </c>
      <c r="D91" s="156" t="s">
        <v>136</v>
      </c>
      <c r="E91" s="156"/>
      <c r="F91" s="156"/>
      <c r="G91" s="156"/>
      <c r="H91" s="151" t="s">
        <v>800</v>
      </c>
      <c r="I91" s="151" t="s">
        <v>801</v>
      </c>
      <c r="J91" s="157"/>
      <c r="K91" s="163"/>
      <c r="L91" s="151" t="s">
        <v>348</v>
      </c>
      <c r="M91" s="159" t="s">
        <v>349</v>
      </c>
      <c r="N91" s="160" t="s">
        <v>802</v>
      </c>
      <c r="O91" s="159" t="s">
        <v>803</v>
      </c>
      <c r="P91" s="159" t="s">
        <v>804</v>
      </c>
      <c r="Q91" s="160" t="s">
        <v>805</v>
      </c>
      <c r="R91" s="55" t="s">
        <v>768</v>
      </c>
      <c r="S91" s="160" t="s">
        <v>340</v>
      </c>
      <c r="T91" s="227" t="s">
        <v>806</v>
      </c>
      <c r="U91" s="227" t="s">
        <v>807</v>
      </c>
      <c r="V91" s="228" t="s">
        <v>808</v>
      </c>
      <c r="W91" s="152">
        <v>2003</v>
      </c>
      <c r="X91" s="152">
        <v>504</v>
      </c>
      <c r="Y91" s="152"/>
      <c r="Z91" s="177"/>
      <c r="AA91" s="177"/>
      <c r="AB91" s="177"/>
      <c r="AC91" s="177"/>
      <c r="AD91" s="177"/>
      <c r="AE91" s="177"/>
      <c r="AF91" s="177"/>
      <c r="AG91" s="177"/>
      <c r="AH91" s="177"/>
      <c r="AI91" s="177"/>
      <c r="AJ91" s="177"/>
      <c r="AK91" s="257">
        <v>1</v>
      </c>
      <c r="AL91" s="271"/>
      <c r="AM91" s="277">
        <f>X91*P1_Reinigen_daken_incl._extra_maatregelen_veilig_werken_volgens_VCA__eventuele_vergunningen_leges___voorrijkosten__adminstratieve_kosten__fotorapportage_en_kleine_reparaties_¹</f>
        <v>0</v>
      </c>
      <c r="AN91" s="279">
        <f>Y91*P1_Reinigen_goten_incl._extra_maatregelen_veilig_werken_volgens_VCA__eventuele_vergunningen_leges___voorrijkosten__adminstratieve_kosten__fotorapportage_en_kleine_reparaties_¹</f>
        <v>0</v>
      </c>
      <c r="AO91" s="279">
        <f>(AE91*P1_Reinigen_Lichtkoepel_50X50)+('Perceel 3'!AF91*P1_Reinigen_Lichtkoepel_60x200)+('Perceel 3'!AG91*P1_Reinigen_Lichtkoepel_180x180)+('Perceel 3'!AH91*P1_Reinigen_Lichtstraten_groter_dan_180x180)</f>
        <v>0</v>
      </c>
      <c r="AP91" s="279">
        <f>(X91+Y91)*P1_Inspecteren_daken_en_goten_1x_per_jaar_gelijktijdig_met_reiniging_inclusief_inspectierapport_en_een_managementrapport</f>
        <v>0</v>
      </c>
      <c r="AQ91" s="298"/>
      <c r="AR91" s="332">
        <f>AQ91*P1_keuren_dakveiligheid_per_man_uur</f>
        <v>0</v>
      </c>
      <c r="AS91" s="336">
        <f t="shared" si="13"/>
        <v>0</v>
      </c>
    </row>
    <row r="92" spans="1:45" s="7" customFormat="1" ht="15" hidden="1" thickTop="1" thickBot="1" x14ac:dyDescent="0.5">
      <c r="A92" s="211"/>
      <c r="B92" s="212">
        <v>1</v>
      </c>
      <c r="C92" s="156" t="s">
        <v>135</v>
      </c>
      <c r="D92" s="156" t="s">
        <v>136</v>
      </c>
      <c r="E92" s="156" t="s">
        <v>174</v>
      </c>
      <c r="F92" s="156"/>
      <c r="G92" s="156"/>
      <c r="H92" s="15"/>
      <c r="I92" s="15"/>
      <c r="J92" s="16"/>
      <c r="K92" s="16"/>
      <c r="L92" s="196"/>
      <c r="M92" s="196"/>
      <c r="N92" s="211" t="s">
        <v>809</v>
      </c>
      <c r="O92" s="171" t="s">
        <v>810</v>
      </c>
      <c r="P92" s="211" t="s">
        <v>811</v>
      </c>
      <c r="Q92" s="211" t="s">
        <v>805</v>
      </c>
      <c r="R92" s="58" t="s">
        <v>768</v>
      </c>
      <c r="S92" s="211"/>
      <c r="T92" s="171"/>
      <c r="U92" s="171"/>
      <c r="V92" s="171"/>
      <c r="W92" s="211">
        <v>2001</v>
      </c>
      <c r="X92" s="261">
        <v>1814</v>
      </c>
      <c r="Y92" s="211"/>
      <c r="Z92" s="171"/>
      <c r="AA92" s="171"/>
      <c r="AB92" s="171"/>
      <c r="AC92" s="171"/>
      <c r="AD92" s="171"/>
      <c r="AE92" s="171"/>
      <c r="AF92" s="171"/>
      <c r="AG92" s="171"/>
      <c r="AH92" s="171"/>
      <c r="AI92" s="171"/>
      <c r="AJ92" s="171"/>
      <c r="AK92" s="261">
        <v>1</v>
      </c>
      <c r="AL92" s="274"/>
      <c r="AM92" s="299"/>
      <c r="AN92" s="298"/>
      <c r="AO92" s="298"/>
      <c r="AP92" s="298"/>
      <c r="AQ92" s="298"/>
      <c r="AR92" s="333"/>
      <c r="AS92" s="337"/>
    </row>
    <row r="93" spans="1:45" s="7" customFormat="1" ht="26.25" hidden="1" thickTop="1" thickBot="1" x14ac:dyDescent="0.5">
      <c r="A93" s="182"/>
      <c r="B93" s="185">
        <v>1</v>
      </c>
      <c r="C93" s="156" t="s">
        <v>135</v>
      </c>
      <c r="D93" s="156" t="s">
        <v>136</v>
      </c>
      <c r="E93" s="156"/>
      <c r="F93" s="156"/>
      <c r="G93" s="156"/>
      <c r="H93" s="174" t="s">
        <v>812</v>
      </c>
      <c r="I93" s="174" t="s">
        <v>813</v>
      </c>
      <c r="J93" s="197"/>
      <c r="K93" s="197"/>
      <c r="L93" s="174"/>
      <c r="M93" s="174" t="s">
        <v>349</v>
      </c>
      <c r="N93" s="182" t="s">
        <v>814</v>
      </c>
      <c r="O93" s="175" t="s">
        <v>815</v>
      </c>
      <c r="P93" s="182" t="s">
        <v>811</v>
      </c>
      <c r="Q93" s="182" t="s">
        <v>805</v>
      </c>
      <c r="R93" s="50" t="s">
        <v>768</v>
      </c>
      <c r="S93" s="182" t="s">
        <v>340</v>
      </c>
      <c r="T93" s="175" t="s">
        <v>816</v>
      </c>
      <c r="U93" s="175" t="s">
        <v>817</v>
      </c>
      <c r="V93" s="175" t="s">
        <v>818</v>
      </c>
      <c r="W93" s="182">
        <v>2001</v>
      </c>
      <c r="X93" s="255">
        <f>X92*9%</f>
        <v>163.26</v>
      </c>
      <c r="Y93" s="182"/>
      <c r="Z93" s="175"/>
      <c r="AA93" s="175"/>
      <c r="AB93" s="175"/>
      <c r="AC93" s="175"/>
      <c r="AD93" s="175"/>
      <c r="AE93" s="175"/>
      <c r="AF93" s="175"/>
      <c r="AG93" s="175"/>
      <c r="AH93" s="175"/>
      <c r="AI93" s="175"/>
      <c r="AJ93" s="175"/>
      <c r="AK93" s="255">
        <v>1</v>
      </c>
      <c r="AL93" s="274"/>
      <c r="AM93" s="277">
        <f>X93*P1_Reinigen_daken_incl._extra_maatregelen_veilig_werken_volgens_VCA__eventuele_vergunningen_leges___voorrijkosten__adminstratieve_kosten__fotorapportage_en_kleine_reparaties_¹</f>
        <v>0</v>
      </c>
      <c r="AN93" s="279">
        <f>Y93*P1_Reinigen_goten_incl._extra_maatregelen_veilig_werken_volgens_VCA__eventuele_vergunningen_leges___voorrijkosten__adminstratieve_kosten__fotorapportage_en_kleine_reparaties_¹</f>
        <v>0</v>
      </c>
      <c r="AO93" s="279">
        <f>(AE93*P1_Reinigen_Lichtkoepel_50X50)+('Perceel 3'!AF93*P1_Reinigen_Lichtkoepel_60x200)+('Perceel 3'!AG93*P1_Reinigen_Lichtkoepel_180x180)+('Perceel 3'!AH93*P1_Reinigen_Lichtstraten_groter_dan_180x180)</f>
        <v>0</v>
      </c>
      <c r="AP93" s="279">
        <f>(X93+Y93)*P1_Inspecteren_daken_en_goten_1x_per_jaar_gelijktijdig_met_reiniging_inclusief_inspectierapport_en_een_managementrapport</f>
        <v>0</v>
      </c>
      <c r="AQ93" s="298"/>
      <c r="AR93" s="332">
        <f>AQ93*P1_keuren_dakveiligheid_per_man_uur</f>
        <v>0</v>
      </c>
      <c r="AS93" s="336">
        <f t="shared" si="13"/>
        <v>0</v>
      </c>
    </row>
    <row r="94" spans="1:45" s="7" customFormat="1" ht="26.25" hidden="1" thickTop="1" thickBot="1" x14ac:dyDescent="0.5">
      <c r="A94" s="182"/>
      <c r="B94" s="185">
        <v>1</v>
      </c>
      <c r="C94" s="156" t="s">
        <v>135</v>
      </c>
      <c r="D94" s="156" t="s">
        <v>174</v>
      </c>
      <c r="E94" s="156"/>
      <c r="F94" s="156"/>
      <c r="G94" s="156"/>
      <c r="H94" s="174" t="s">
        <v>819</v>
      </c>
      <c r="I94" s="174" t="s">
        <v>820</v>
      </c>
      <c r="J94" s="197"/>
      <c r="K94" s="197"/>
      <c r="L94" s="174"/>
      <c r="M94" s="174" t="s">
        <v>349</v>
      </c>
      <c r="N94" s="182" t="s">
        <v>821</v>
      </c>
      <c r="O94" s="175" t="s">
        <v>822</v>
      </c>
      <c r="P94" s="182" t="s">
        <v>811</v>
      </c>
      <c r="Q94" s="182" t="s">
        <v>805</v>
      </c>
      <c r="R94" s="50" t="s">
        <v>768</v>
      </c>
      <c r="S94" s="182" t="s">
        <v>340</v>
      </c>
      <c r="T94" s="175" t="s">
        <v>806</v>
      </c>
      <c r="U94" s="175" t="s">
        <v>807</v>
      </c>
      <c r="V94" s="187" t="s">
        <v>808</v>
      </c>
      <c r="W94" s="182">
        <v>2001</v>
      </c>
      <c r="X94" s="255">
        <f>X92*91%</f>
        <v>1650.74</v>
      </c>
      <c r="Y94" s="182"/>
      <c r="Z94" s="175"/>
      <c r="AA94" s="175"/>
      <c r="AB94" s="175"/>
      <c r="AC94" s="175"/>
      <c r="AD94" s="175"/>
      <c r="AE94" s="175"/>
      <c r="AF94" s="175"/>
      <c r="AG94" s="175"/>
      <c r="AH94" s="175"/>
      <c r="AI94" s="175"/>
      <c r="AJ94" s="175"/>
      <c r="AK94" s="255">
        <v>1</v>
      </c>
      <c r="AL94" s="274"/>
      <c r="AM94" s="277">
        <f>X94*P1_Reinigen_daken_incl._extra_maatregelen_veilig_werken_volgens_VCA__eventuele_vergunningen_leges___voorrijkosten__adminstratieve_kosten__fotorapportage_en_kleine_reparaties_¹</f>
        <v>0</v>
      </c>
      <c r="AN94" s="279">
        <f>Y94*P1_Reinigen_goten_incl._extra_maatregelen_veilig_werken_volgens_VCA__eventuele_vergunningen_leges___voorrijkosten__adminstratieve_kosten__fotorapportage_en_kleine_reparaties_¹</f>
        <v>0</v>
      </c>
      <c r="AO94" s="279">
        <f>(AE94*P1_Reinigen_Lichtkoepel_50X50)+('Perceel 3'!AF94*P1_Reinigen_Lichtkoepel_60x200)+('Perceel 3'!AG94*P1_Reinigen_Lichtkoepel_180x180)+('Perceel 3'!AH94*P1_Reinigen_Lichtstraten_groter_dan_180x180)</f>
        <v>0</v>
      </c>
      <c r="AP94" s="279">
        <f>(X94+Y94)*P1_Inspecteren_daken_en_goten_1x_per_jaar_gelijktijdig_met_reiniging_inclusief_inspectierapport_en_een_managementrapport</f>
        <v>0</v>
      </c>
      <c r="AQ94" s="298"/>
      <c r="AR94" s="332">
        <f>AQ94*P1_keuren_dakveiligheid_per_man_uur</f>
        <v>0</v>
      </c>
      <c r="AS94" s="336">
        <f t="shared" si="13"/>
        <v>0</v>
      </c>
    </row>
    <row r="95" spans="1:45" s="7" customFormat="1" ht="77.25" hidden="1" thickTop="1" thickBot="1" x14ac:dyDescent="0.5">
      <c r="A95" s="161"/>
      <c r="B95" s="152">
        <v>1</v>
      </c>
      <c r="C95" s="156" t="s">
        <v>135</v>
      </c>
      <c r="D95" s="156" t="s">
        <v>136</v>
      </c>
      <c r="E95" s="156"/>
      <c r="F95" s="156"/>
      <c r="G95" s="156"/>
      <c r="H95" s="151" t="s">
        <v>823</v>
      </c>
      <c r="I95" s="151"/>
      <c r="J95" s="163"/>
      <c r="K95" s="163"/>
      <c r="L95" s="151" t="s">
        <v>348</v>
      </c>
      <c r="M95" s="151" t="s">
        <v>349</v>
      </c>
      <c r="N95" s="164">
        <v>1294</v>
      </c>
      <c r="O95" s="166" t="s">
        <v>824</v>
      </c>
      <c r="P95" s="159" t="s">
        <v>825</v>
      </c>
      <c r="Q95" s="159" t="s">
        <v>826</v>
      </c>
      <c r="R95" s="42" t="s">
        <v>827</v>
      </c>
      <c r="S95" s="159" t="s">
        <v>146</v>
      </c>
      <c r="T95" s="159" t="s">
        <v>828</v>
      </c>
      <c r="U95" s="159" t="s">
        <v>829</v>
      </c>
      <c r="V95" s="176" t="s">
        <v>830</v>
      </c>
      <c r="W95" s="152">
        <v>2020</v>
      </c>
      <c r="X95" s="152">
        <v>1677</v>
      </c>
      <c r="Y95" s="152"/>
      <c r="Z95" s="177"/>
      <c r="AA95" s="177" t="s">
        <v>150</v>
      </c>
      <c r="AB95" s="177">
        <v>19</v>
      </c>
      <c r="AC95" s="177">
        <v>61</v>
      </c>
      <c r="AD95" s="177"/>
      <c r="AE95" s="177"/>
      <c r="AF95" s="177"/>
      <c r="AG95" s="177"/>
      <c r="AH95" s="177"/>
      <c r="AI95" s="177" t="s">
        <v>324</v>
      </c>
      <c r="AJ95" s="177" t="s">
        <v>831</v>
      </c>
      <c r="AK95" s="177">
        <v>1</v>
      </c>
      <c r="AL95" s="272"/>
      <c r="AM95" s="277">
        <f>X95*P1_reinigen_daken_met_vaste_dakveiligheid</f>
        <v>0</v>
      </c>
      <c r="AN95" s="279">
        <f>Y95*P1_reinigen_goten_met_vaste_dakveiligheid</f>
        <v>0</v>
      </c>
      <c r="AO95" s="279">
        <f>(AE95*P1_Reinigen_Lichtkoepel_50X50)+('Perceel 3'!AF95*P1_Reinigen_Lichtkoepel_60x200)+('Perceel 3'!AG95*P1_Reinigen_Lichtkoepel_180x180)+('Perceel 3'!AH95*P1_Reinigen_Lichtstraten_groter_dan_180x180)</f>
        <v>0</v>
      </c>
      <c r="AP95" s="279">
        <f>(X95+Y95)*P1_Inspecteren_daken_en_goten_1x_per_jaar_gelijktijdig_met_reiniging_inclusief_inspectierapport_en_een_managementrapport</f>
        <v>0</v>
      </c>
      <c r="AQ95" s="289"/>
      <c r="AR95" s="332">
        <f>AQ95*P1_keuren_dakveiligheid_per_man_uur</f>
        <v>0</v>
      </c>
      <c r="AS95" s="336">
        <f t="shared" si="13"/>
        <v>0</v>
      </c>
    </row>
    <row r="96" spans="1:45" s="7" customFormat="1" ht="102.75" hidden="1" thickTop="1" thickBot="1" x14ac:dyDescent="0.5">
      <c r="A96" s="155"/>
      <c r="B96" s="152">
        <v>1</v>
      </c>
      <c r="C96" s="156" t="s">
        <v>135</v>
      </c>
      <c r="D96" s="156" t="s">
        <v>136</v>
      </c>
      <c r="E96" s="156" t="s">
        <v>832</v>
      </c>
      <c r="F96" s="156"/>
      <c r="G96" s="156" t="s">
        <v>833</v>
      </c>
      <c r="H96" s="151" t="s">
        <v>834</v>
      </c>
      <c r="I96" s="151" t="s">
        <v>835</v>
      </c>
      <c r="J96" s="157"/>
      <c r="K96" s="163"/>
      <c r="L96" s="151" t="s">
        <v>280</v>
      </c>
      <c r="M96" s="159" t="s">
        <v>669</v>
      </c>
      <c r="N96" s="168" t="s">
        <v>836</v>
      </c>
      <c r="O96" s="159" t="s">
        <v>837</v>
      </c>
      <c r="P96" s="159" t="s">
        <v>838</v>
      </c>
      <c r="Q96" s="159" t="s">
        <v>839</v>
      </c>
      <c r="R96" s="42" t="s">
        <v>827</v>
      </c>
      <c r="S96" s="159" t="s">
        <v>146</v>
      </c>
      <c r="T96" s="159" t="s">
        <v>840</v>
      </c>
      <c r="U96" s="159" t="s">
        <v>841</v>
      </c>
      <c r="V96" s="176" t="s">
        <v>842</v>
      </c>
      <c r="W96" s="152">
        <v>2015</v>
      </c>
      <c r="X96" s="152">
        <v>1836</v>
      </c>
      <c r="Y96" s="152"/>
      <c r="Z96" s="177" t="s">
        <v>311</v>
      </c>
      <c r="AA96" s="177" t="s">
        <v>150</v>
      </c>
      <c r="AB96" s="177">
        <v>30</v>
      </c>
      <c r="AC96" s="177">
        <v>176</v>
      </c>
      <c r="AD96" s="177"/>
      <c r="AE96" s="177"/>
      <c r="AF96" s="177"/>
      <c r="AG96" s="177"/>
      <c r="AH96" s="177"/>
      <c r="AI96" s="177"/>
      <c r="AJ96" s="177"/>
      <c r="AK96" s="257">
        <v>1</v>
      </c>
      <c r="AL96" s="271"/>
      <c r="AM96" s="300">
        <f>X96*P1_reinigen_daken_met_vaste_dakveiligheid</f>
        <v>0</v>
      </c>
      <c r="AN96" s="301">
        <f>Y96*P1_reinigen_goten_met_vaste_dakveiligheid</f>
        <v>0</v>
      </c>
      <c r="AO96" s="301">
        <f>(AE96*P1_Reinigen_Lichtkoepel_50X50)+('Perceel 3'!AF96*P1_Reinigen_Lichtkoepel_60x200)+('Perceel 3'!AG96*P1_Reinigen_Lichtkoepel_180x180)+('Perceel 3'!AH96*P1_Reinigen_Lichtstraten_groter_dan_180x180)</f>
        <v>0</v>
      </c>
      <c r="AP96" s="301">
        <f>(X96+Y96)*P1_Inspecteren_daken_en_goten_1x_per_jaar_gelijktijdig_met_reiniging_inclusief_inspectierapport_en_een_managementrapport</f>
        <v>0</v>
      </c>
      <c r="AQ96" s="290"/>
      <c r="AR96" s="334">
        <f>AQ96*P1_keuren_dakveiligheid_per_man_uur</f>
        <v>0</v>
      </c>
      <c r="AS96" s="338">
        <f t="shared" si="13"/>
        <v>0</v>
      </c>
    </row>
    <row r="97" spans="1:46" s="7" customFormat="1" ht="15" hidden="1" thickTop="1" thickBot="1" x14ac:dyDescent="0.5">
      <c r="A97" s="8"/>
      <c r="B97" s="40">
        <v>1</v>
      </c>
      <c r="C97" s="2" t="s">
        <v>135</v>
      </c>
      <c r="D97" s="2"/>
      <c r="E97" s="2"/>
      <c r="F97" s="2"/>
      <c r="G97" s="2"/>
      <c r="H97" s="38"/>
      <c r="I97" s="38"/>
      <c r="J97" s="244"/>
      <c r="K97" s="245"/>
      <c r="L97" s="245"/>
      <c r="M97" s="245"/>
      <c r="N97" s="19" t="s">
        <v>843</v>
      </c>
      <c r="O97" s="291" t="s">
        <v>844</v>
      </c>
      <c r="P97" s="19"/>
      <c r="Q97" s="19"/>
      <c r="R97" s="19"/>
      <c r="S97" s="19"/>
      <c r="T97" s="19"/>
      <c r="U97" s="19"/>
      <c r="V97" s="20"/>
      <c r="W97" s="30"/>
      <c r="X97" s="30">
        <f>X2+X3+X4+X5+X6+X7+X8+X11+X12+X13+X14+X19+X20+X21+X22+X23+X25+X26+X27+X28+X29+X31+X32+X33+X34+X35+X36+X37+X38+X40+X41+X42+X43+X44+X45+X46+X47+X48+X49+X50+X51+X52+X54+X55+X56+X57+X58+X59+X60+X61+X62+X63+X64+X65+X66+X67+X68+X69+X70+X71+X72+X73+X75+X76+X77+X78+X79+X80+X81+X83+X84+X85+X87+X88+X89+X90+X91+X93+X94+X95+X96</f>
        <v>73772</v>
      </c>
      <c r="Y97" s="30">
        <f>Y2+Y3+Y4+Y5+Y6+Y7+Y8+Y11+Y12+Y13+Y14+Y19+Y20+Y21+Y22+Y23+Y25+Y26+Y27+Y28+Y29+Y31+Y32+Y33+Y34+Y35+Y36+Y37+Y38+Y40+Y41+Y42+Y43+Y44+Y45+Y46+Y47+Y48+Y49+Y50+Y51+Y52+Y54+Y55+Y56+Y57+Y58+Y59+Y60+Y61+Y62+Y63+Y64+Y65+Y66+Y67+Y68+Y69+Y70+Y71+Y72+Y73+Y75+Y76+Y77+Y78+Y79+Y80+Y81+Y83+Y84+Y85+Y87+Y88+Y89+Y90+Y91+Y93+Y94+Y95+Y96</f>
        <v>624</v>
      </c>
      <c r="Z97" s="250"/>
      <c r="AA97" s="39"/>
      <c r="AB97" s="30">
        <f t="shared" ref="AB97:AC97" si="16">AB2+AB3+AB4+AB5+AB6+AB7+AB8+AB11+AB12+AB13+AB14+AB19+AB20+AB21+AB22+AB23+AB25+AB26+AB27+AB28+AB29+AB31+AB32+AB33+AB34+AB35+AB36+AB37+AB38+AB40+AB41+AB42+AB43+AB44+AB45+AB46+AB47+AB48+AB49+AB50+AB51+AB52+AB54+AB55+AB56+AB57+AB58+AB59+AB60+AB61+AB62+AB63+AB64+AB65+AB66+AB67+AB68+AB69+AB70+AB71+AB72+AB73+AB75+AB76+AB77+AB78+AB79+AB80+AB81+AB83+AB84+AB85+AB87+AB88+AB89+AB90+AB91+AB93+AB94+AB95+AB96</f>
        <v>603</v>
      </c>
      <c r="AC97" s="30">
        <f t="shared" si="16"/>
        <v>2863</v>
      </c>
      <c r="AD97" s="39"/>
      <c r="AE97" s="39"/>
      <c r="AF97" s="39"/>
      <c r="AG97" s="39"/>
      <c r="AH97" s="39"/>
      <c r="AI97" s="39"/>
      <c r="AJ97" s="39"/>
      <c r="AK97" s="39"/>
      <c r="AL97" s="246"/>
      <c r="AM97" s="293">
        <f>AM2+AM3+AM4+AM5+AM6+AM7+AM8+AM11+AM12+AM13+AM14+AM19+AM20+AM21+AM22+AM23+AM25+AM26+AM27+AM28+AM29+AM31+AM32+AM33+AM34+AM35+AM36+AM37+AM38+AM40+AM41+AM42+AM43+AM44+AM45+AM46+AM47+AM48+AM49+AM50+AM51+AM52+AM54+AM55+AM56+AM57+AM58+AM59+AM60+AM61+AM61+AM62+AM63+AM64+AM65+AM66+AM67+AM68+AM69+AM70+AM71+AM72+AM73+AM75+AM76+AM77+AM78+AM79+AM80+AM81+AM83+AM84+AM85+AM87+AM88+AM89+AM90+AM91+AM93+AM94+AM95+AM96</f>
        <v>0</v>
      </c>
      <c r="AN97" s="293">
        <f>AN2+AN3+AN4+AN5+AN6+AN7+AN8+AN11+AN12+AN13+AN14+AN19+AN20+AN21+AN22+AN23+AN25+AN26+AN27+AN28+AN29+AN31+AN32+AN33+AN34+AN35+AN36+AN37+AN38+AN40+AN41+AN42+AN43+AN44+AN45+AN46+AN47+AN48+AN49+AN50+AN51+AN52+AN54+AN55+AN56+AN57+AN58+AN59+AN60+AN61+AN61+AN62+AN63+AN64+AN65+AN66+AN67+AN68+AN69+AN70+AN71+AN72+AN73+AN75+AN76+AN77+AN78+AN79+AN80+AN81+AN83+AN84+AN85+AN87+AN88+AN89+AN90+AN91+AN93+AN94+AN95+AN96</f>
        <v>0</v>
      </c>
      <c r="AO97" s="293">
        <f t="shared" ref="AO97:AS97" si="17">AO2+AO3+AO4+AO5+AO6+AO7+AO8+AO11+AO12+AO13+AO14+AO19+AO20+AO21+AO22+AO23+AO25+AO26+AO27+AO28+AO29+AO31+AO32+AO33+AO34+AO35+AO36+AO37+AO38+AO40+AO41+AO42+AO43+AO44+AO45+AO46+AO47+AO48+AO49+AO50+AO51+AO52+AO54+AO55+AO56+AO57+AO58+AO59+AO60+AO61+AO61+AO62+AO63+AO64+AO65+AO66+AO67+AO68+AO69+AO70+AO71+AO72+AO73+AO75+AO76+AO77+AO78+AO79+AO80+AO81+AO83+AO84+AO85+AO87+AO88+AO89+AO90+AO91+AO93+AO94+AO95+AO96</f>
        <v>0</v>
      </c>
      <c r="AP97" s="293">
        <f t="shared" si="17"/>
        <v>0</v>
      </c>
      <c r="AQ97" s="292">
        <f t="shared" si="17"/>
        <v>0</v>
      </c>
      <c r="AR97" s="293">
        <f t="shared" si="17"/>
        <v>0</v>
      </c>
      <c r="AS97" s="293">
        <f t="shared" si="17"/>
        <v>847</v>
      </c>
      <c r="AT97" s="293"/>
    </row>
    <row r="98" spans="1:46" s="7" customFormat="1" ht="15" hidden="1" thickTop="1" thickBot="1" x14ac:dyDescent="0.5">
      <c r="A98" s="8"/>
      <c r="B98" s="40"/>
      <c r="C98" s="2"/>
      <c r="D98" s="2"/>
      <c r="E98" s="2"/>
      <c r="F98" s="2"/>
      <c r="G98" s="2"/>
      <c r="H98" s="38"/>
      <c r="I98" s="38"/>
      <c r="J98" s="244"/>
      <c r="K98" s="245"/>
      <c r="L98" s="245"/>
      <c r="M98" s="245"/>
      <c r="N98" s="19"/>
      <c r="O98" s="247"/>
      <c r="P98" s="19"/>
      <c r="Q98" s="19"/>
      <c r="R98" s="19"/>
      <c r="S98" s="19"/>
      <c r="T98" s="19"/>
      <c r="U98" s="19"/>
      <c r="V98" s="20"/>
      <c r="W98" s="30"/>
      <c r="X98" s="30"/>
      <c r="Y98" s="30"/>
      <c r="Z98" s="250"/>
      <c r="AA98" s="39"/>
      <c r="AB98" s="39"/>
      <c r="AC98" s="39"/>
      <c r="AD98" s="39"/>
      <c r="AE98" s="39"/>
      <c r="AF98" s="39"/>
      <c r="AG98" s="39"/>
      <c r="AH98" s="39"/>
      <c r="AI98" s="39"/>
      <c r="AJ98" s="39"/>
      <c r="AK98" s="39"/>
      <c r="AL98" s="246"/>
      <c r="AM98" s="278"/>
      <c r="AN98" s="278"/>
      <c r="AO98" s="278"/>
      <c r="AP98" s="278"/>
      <c r="AR98" s="278"/>
      <c r="AS98" s="278"/>
    </row>
    <row r="99" spans="1:46" s="7" customFormat="1" ht="15" hidden="1" thickTop="1" thickBot="1" x14ac:dyDescent="0.5">
      <c r="A99" s="8"/>
      <c r="B99" s="40"/>
      <c r="C99" s="2"/>
      <c r="D99" s="2"/>
      <c r="E99" s="2"/>
      <c r="F99" s="2"/>
      <c r="G99" s="2"/>
      <c r="H99" s="38"/>
      <c r="I99" s="38"/>
      <c r="J99" s="244"/>
      <c r="K99" s="245"/>
      <c r="L99" s="245"/>
      <c r="M99" s="245"/>
      <c r="N99" s="19"/>
      <c r="O99" s="247"/>
      <c r="P99" s="19"/>
      <c r="Q99" s="19"/>
      <c r="R99" s="19"/>
      <c r="S99" s="19"/>
      <c r="T99" s="19"/>
      <c r="U99" s="19"/>
      <c r="V99" s="20"/>
      <c r="W99" s="30"/>
      <c r="X99" s="30"/>
      <c r="Y99" s="30"/>
      <c r="Z99" s="250"/>
      <c r="AA99" s="39"/>
      <c r="AB99" s="39"/>
      <c r="AC99" s="39"/>
      <c r="AD99" s="39"/>
      <c r="AE99" s="39"/>
      <c r="AF99" s="39"/>
      <c r="AG99" s="39"/>
      <c r="AH99" s="39"/>
      <c r="AI99" s="39"/>
      <c r="AJ99" s="39"/>
      <c r="AK99" s="39"/>
      <c r="AL99" s="246"/>
      <c r="AM99" s="278"/>
      <c r="AN99" s="278"/>
      <c r="AO99" s="278"/>
      <c r="AP99" s="278"/>
      <c r="AR99" s="278"/>
      <c r="AS99" s="278"/>
    </row>
    <row r="100" spans="1:46" s="7" customFormat="1" ht="38.450000000000003" hidden="1" customHeight="1" x14ac:dyDescent="0.45">
      <c r="A100" s="8"/>
      <c r="B100" s="30"/>
      <c r="C100" s="2"/>
      <c r="D100" s="2"/>
      <c r="E100" s="2"/>
      <c r="F100" s="2"/>
      <c r="G100" s="2"/>
      <c r="H100" s="38"/>
      <c r="I100" s="38"/>
      <c r="J100" s="244"/>
      <c r="K100" s="245"/>
      <c r="L100" s="245"/>
      <c r="M100" s="246"/>
      <c r="N100" s="247"/>
      <c r="O100" s="19"/>
      <c r="P100" s="19"/>
      <c r="Q100" s="1"/>
      <c r="R100" s="1"/>
      <c r="S100" s="1"/>
      <c r="T100" s="19"/>
      <c r="U100" s="248"/>
      <c r="V100" s="249"/>
      <c r="W100" s="30"/>
      <c r="X100" s="30"/>
      <c r="Y100" s="30"/>
      <c r="Z100" s="39"/>
      <c r="AA100" s="39"/>
      <c r="AB100" s="39"/>
      <c r="AC100" s="39"/>
      <c r="AD100" s="39"/>
      <c r="AE100" s="39"/>
      <c r="AF100" s="39"/>
      <c r="AG100" s="39"/>
      <c r="AH100" s="39"/>
      <c r="AI100" s="39"/>
      <c r="AJ100" s="39"/>
      <c r="AK100" s="283"/>
      <c r="AM100" s="278"/>
      <c r="AN100" s="278"/>
      <c r="AO100" s="278"/>
      <c r="AP100" s="278"/>
      <c r="AR100" s="278"/>
      <c r="AS100" s="278"/>
    </row>
    <row r="101" spans="1:46" s="7" customFormat="1" ht="15" hidden="1" thickTop="1" thickBot="1" x14ac:dyDescent="0.5">
      <c r="A101" s="8"/>
      <c r="B101" s="40"/>
      <c r="C101" s="1"/>
      <c r="D101" s="1"/>
      <c r="E101" s="1"/>
      <c r="F101" s="1"/>
      <c r="G101" s="1"/>
      <c r="H101" s="38"/>
      <c r="I101" s="38"/>
      <c r="J101" s="38"/>
      <c r="K101" s="38"/>
      <c r="L101" s="38"/>
      <c r="M101" s="19"/>
      <c r="N101" s="1"/>
      <c r="O101" s="1"/>
      <c r="P101" s="1"/>
      <c r="Q101" s="1"/>
      <c r="R101" s="1"/>
      <c r="S101" s="1"/>
      <c r="T101" s="19"/>
      <c r="U101" s="19"/>
      <c r="V101" s="19"/>
      <c r="W101" s="30"/>
      <c r="X101" s="30"/>
      <c r="Y101" s="30"/>
      <c r="Z101" s="39"/>
      <c r="AA101" s="39"/>
      <c r="AB101" s="39"/>
      <c r="AC101" s="39"/>
      <c r="AD101" s="39"/>
      <c r="AE101" s="39"/>
      <c r="AF101" s="39"/>
      <c r="AG101" s="39"/>
      <c r="AH101" s="39"/>
      <c r="AI101" s="39"/>
      <c r="AJ101" s="39"/>
      <c r="AK101" s="283"/>
      <c r="AM101" s="278"/>
      <c r="AN101" s="278"/>
      <c r="AO101" s="278"/>
      <c r="AP101" s="278"/>
      <c r="AR101" s="278"/>
      <c r="AS101" s="278"/>
    </row>
    <row r="102" spans="1:46" s="7" customFormat="1" ht="45" hidden="1" customHeight="1" thickTop="1" x14ac:dyDescent="0.45">
      <c r="A102" s="169"/>
      <c r="B102" s="180">
        <v>2</v>
      </c>
      <c r="C102" s="171" t="s">
        <v>135</v>
      </c>
      <c r="D102" s="171" t="s">
        <v>136</v>
      </c>
      <c r="E102" s="171"/>
      <c r="F102" s="171"/>
      <c r="G102" s="171"/>
      <c r="H102" s="170" t="s">
        <v>202</v>
      </c>
      <c r="I102" s="170" t="s">
        <v>203</v>
      </c>
      <c r="J102" s="172"/>
      <c r="K102" s="173"/>
      <c r="L102" s="170" t="s">
        <v>139</v>
      </c>
      <c r="M102" s="169" t="s">
        <v>140</v>
      </c>
      <c r="N102" s="169" t="s">
        <v>845</v>
      </c>
      <c r="O102" s="169" t="s">
        <v>205</v>
      </c>
      <c r="P102" s="169"/>
      <c r="Q102" s="169"/>
      <c r="R102" s="45"/>
      <c r="S102" s="169"/>
      <c r="T102" s="169"/>
      <c r="U102" s="169"/>
      <c r="V102" s="169"/>
      <c r="W102" s="169"/>
      <c r="X102" s="180">
        <f>X103+X104+X105+X106</f>
        <v>92</v>
      </c>
      <c r="Y102" s="169"/>
      <c r="Z102" s="169"/>
      <c r="AA102" s="169"/>
      <c r="AB102" s="169"/>
      <c r="AC102" s="169"/>
      <c r="AD102" s="169"/>
      <c r="AE102" s="169"/>
      <c r="AF102" s="169"/>
      <c r="AG102" s="169"/>
      <c r="AH102" s="169"/>
      <c r="AI102" s="186"/>
      <c r="AJ102" s="186"/>
      <c r="AK102" s="177">
        <v>2</v>
      </c>
      <c r="AL102" s="272"/>
      <c r="AM102" s="308">
        <f>X102*P2_Reinigen_daken_incl._extra_maatregelen_veilig_werken_volgens_VCA__eventuele_vergunningen_leges___voorrijkosten__adminstratieve_kosten__fotorapportage_en_kleine_reparaties</f>
        <v>0</v>
      </c>
      <c r="AN102" s="309">
        <f>Y102*P2_Reinigen_goten_incl._extra_maatregelen_veilig_werken_volgens_VCA__eventuele_vergunningen_leges___voorrijkosten__adminstratieve_kosten__fotorapportage_en_kleine_reparaties</f>
        <v>0</v>
      </c>
      <c r="AO102" s="309">
        <f>(AE102*P2_Reinigen_Lichtkoepel_50X50)+('Perceel 3'!AF102*P2_Reinigen_Lichtkoepel_60x200)+('Perceel 3'!AG102*P2_Reinigen_Lichtkoepel_180x180)+('Perceel 3'!AH102*P2_Reinigen_Lichtstraten_groter_dan_180x180)</f>
        <v>0</v>
      </c>
      <c r="AP102" s="309">
        <f>('Perceel 3'!X102+'Perceel 3'!Y102)*P2_Inspecteren_daken_en_goten_1x_per_jaar_gelijktijdig_met_reiniging_inclusief_inspectierapport_en_een_managementrapport</f>
        <v>0</v>
      </c>
      <c r="AQ102" s="324"/>
      <c r="AR102" s="331">
        <f>AQ102*P2_keuren_dakveiligheid_per_man_uur</f>
        <v>0</v>
      </c>
      <c r="AS102" s="335">
        <f t="shared" ref="AS102" si="18">(AM102*AK102)+(Y102*AK102)+AO102+AP102+AR102</f>
        <v>0</v>
      </c>
    </row>
    <row r="103" spans="1:46" s="7" customFormat="1" ht="51.75" hidden="1" thickTop="1" thickBot="1" x14ac:dyDescent="0.5">
      <c r="A103" s="174"/>
      <c r="B103" s="181">
        <v>2</v>
      </c>
      <c r="C103" s="175" t="s">
        <v>135</v>
      </c>
      <c r="D103" s="175" t="s">
        <v>136</v>
      </c>
      <c r="E103" s="175"/>
      <c r="F103" s="175"/>
      <c r="G103" s="175"/>
      <c r="H103" s="174" t="s">
        <v>202</v>
      </c>
      <c r="I103" s="174" t="s">
        <v>203</v>
      </c>
      <c r="J103" s="10"/>
      <c r="K103" s="10"/>
      <c r="L103" s="175"/>
      <c r="M103" s="175" t="s">
        <v>140</v>
      </c>
      <c r="N103" s="175" t="s">
        <v>846</v>
      </c>
      <c r="O103" s="175" t="s">
        <v>847</v>
      </c>
      <c r="P103" s="175" t="s">
        <v>848</v>
      </c>
      <c r="Q103" s="175"/>
      <c r="R103" s="46" t="s">
        <v>849</v>
      </c>
      <c r="S103" s="175" t="s">
        <v>340</v>
      </c>
      <c r="T103" s="175" t="s">
        <v>169</v>
      </c>
      <c r="U103" s="175" t="s">
        <v>170</v>
      </c>
      <c r="V103" s="187" t="s">
        <v>171</v>
      </c>
      <c r="W103" s="175">
        <v>1995</v>
      </c>
      <c r="X103" s="258">
        <v>38</v>
      </c>
      <c r="Y103" s="175"/>
      <c r="Z103" s="175"/>
      <c r="AA103" s="175"/>
      <c r="AB103" s="175"/>
      <c r="AC103" s="188"/>
      <c r="AD103" s="188"/>
      <c r="AE103" s="188"/>
      <c r="AF103" s="188"/>
      <c r="AG103" s="188"/>
      <c r="AH103" s="188"/>
      <c r="AI103" s="188"/>
      <c r="AJ103" s="188"/>
      <c r="AK103" s="177">
        <v>2</v>
      </c>
      <c r="AL103" s="272"/>
      <c r="AM103" s="327"/>
      <c r="AN103" s="310"/>
      <c r="AO103" s="310"/>
      <c r="AP103" s="310"/>
      <c r="AQ103" s="312"/>
      <c r="AR103" s="339"/>
      <c r="AS103" s="342"/>
    </row>
    <row r="104" spans="1:46" s="7" customFormat="1" ht="51.75" hidden="1" thickTop="1" thickBot="1" x14ac:dyDescent="0.5">
      <c r="A104" s="182"/>
      <c r="B104" s="181">
        <v>2</v>
      </c>
      <c r="C104" s="175" t="s">
        <v>135</v>
      </c>
      <c r="D104" s="175" t="s">
        <v>136</v>
      </c>
      <c r="E104" s="175"/>
      <c r="F104" s="175"/>
      <c r="G104" s="175"/>
      <c r="H104" s="174" t="s">
        <v>202</v>
      </c>
      <c r="I104" s="174" t="s">
        <v>203</v>
      </c>
      <c r="J104" s="10"/>
      <c r="K104" s="10"/>
      <c r="L104" s="175"/>
      <c r="M104" s="175" t="s">
        <v>140</v>
      </c>
      <c r="N104" s="175" t="s">
        <v>850</v>
      </c>
      <c r="O104" s="175" t="s">
        <v>851</v>
      </c>
      <c r="P104" s="175" t="s">
        <v>852</v>
      </c>
      <c r="Q104" s="175"/>
      <c r="R104" s="47" t="s">
        <v>853</v>
      </c>
      <c r="S104" s="175" t="s">
        <v>340</v>
      </c>
      <c r="T104" s="175" t="s">
        <v>169</v>
      </c>
      <c r="U104" s="175" t="s">
        <v>170</v>
      </c>
      <c r="V104" s="187" t="s">
        <v>171</v>
      </c>
      <c r="W104" s="175">
        <v>1989</v>
      </c>
      <c r="X104" s="258">
        <v>18</v>
      </c>
      <c r="Y104" s="175"/>
      <c r="Z104" s="175"/>
      <c r="AA104" s="175"/>
      <c r="AB104" s="175"/>
      <c r="AC104" s="175"/>
      <c r="AD104" s="175"/>
      <c r="AE104" s="175"/>
      <c r="AF104" s="175"/>
      <c r="AG104" s="175"/>
      <c r="AH104" s="175"/>
      <c r="AI104" s="188"/>
      <c r="AJ104" s="188"/>
      <c r="AK104" s="177">
        <v>2</v>
      </c>
      <c r="AL104" s="272"/>
      <c r="AM104" s="327"/>
      <c r="AN104" s="310"/>
      <c r="AO104" s="310"/>
      <c r="AP104" s="310"/>
      <c r="AQ104" s="312"/>
      <c r="AR104" s="339"/>
      <c r="AS104" s="342"/>
    </row>
    <row r="105" spans="1:46" s="7" customFormat="1" ht="51.75" hidden="1" thickTop="1" thickBot="1" x14ac:dyDescent="0.5">
      <c r="A105" s="174"/>
      <c r="B105" s="181">
        <v>2</v>
      </c>
      <c r="C105" s="175" t="s">
        <v>135</v>
      </c>
      <c r="D105" s="175" t="s">
        <v>136</v>
      </c>
      <c r="E105" s="175"/>
      <c r="F105" s="175"/>
      <c r="G105" s="175"/>
      <c r="H105" s="174" t="s">
        <v>202</v>
      </c>
      <c r="I105" s="174" t="s">
        <v>203</v>
      </c>
      <c r="J105" s="10"/>
      <c r="K105" s="10"/>
      <c r="L105" s="175"/>
      <c r="M105" s="175" t="s">
        <v>140</v>
      </c>
      <c r="N105" s="175" t="s">
        <v>854</v>
      </c>
      <c r="O105" s="175" t="s">
        <v>855</v>
      </c>
      <c r="P105" s="175" t="s">
        <v>856</v>
      </c>
      <c r="Q105" s="175"/>
      <c r="R105" s="47" t="s">
        <v>857</v>
      </c>
      <c r="S105" s="175" t="s">
        <v>340</v>
      </c>
      <c r="T105" s="175" t="s">
        <v>169</v>
      </c>
      <c r="U105" s="175" t="s">
        <v>170</v>
      </c>
      <c r="V105" s="187" t="s">
        <v>171</v>
      </c>
      <c r="W105" s="175">
        <v>1998</v>
      </c>
      <c r="X105" s="258">
        <v>18</v>
      </c>
      <c r="Y105" s="175"/>
      <c r="Z105" s="175"/>
      <c r="AA105" s="175"/>
      <c r="AB105" s="175"/>
      <c r="AC105" s="188"/>
      <c r="AD105" s="188"/>
      <c r="AE105" s="188"/>
      <c r="AF105" s="188"/>
      <c r="AG105" s="188"/>
      <c r="AH105" s="188"/>
      <c r="AI105" s="188"/>
      <c r="AJ105" s="188"/>
      <c r="AK105" s="177">
        <v>2</v>
      </c>
      <c r="AL105" s="272"/>
      <c r="AM105" s="327"/>
      <c r="AN105" s="310"/>
      <c r="AO105" s="310"/>
      <c r="AP105" s="310"/>
      <c r="AQ105" s="312"/>
      <c r="AR105" s="339"/>
      <c r="AS105" s="342"/>
    </row>
    <row r="106" spans="1:46" s="7" customFormat="1" ht="51.75" hidden="1" thickTop="1" thickBot="1" x14ac:dyDescent="0.5">
      <c r="A106" s="174"/>
      <c r="B106" s="181">
        <v>2</v>
      </c>
      <c r="C106" s="175" t="s">
        <v>135</v>
      </c>
      <c r="D106" s="175" t="s">
        <v>136</v>
      </c>
      <c r="E106" s="175"/>
      <c r="F106" s="175"/>
      <c r="G106" s="175"/>
      <c r="H106" s="174" t="s">
        <v>202</v>
      </c>
      <c r="I106" s="174" t="s">
        <v>203</v>
      </c>
      <c r="J106" s="10"/>
      <c r="K106" s="10"/>
      <c r="L106" s="175"/>
      <c r="M106" s="175" t="s">
        <v>140</v>
      </c>
      <c r="N106" s="175" t="s">
        <v>858</v>
      </c>
      <c r="O106" s="175" t="s">
        <v>859</v>
      </c>
      <c r="P106" s="175" t="s">
        <v>860</v>
      </c>
      <c r="Q106" s="175"/>
      <c r="R106" s="47" t="s">
        <v>857</v>
      </c>
      <c r="S106" s="175" t="s">
        <v>340</v>
      </c>
      <c r="T106" s="175" t="s">
        <v>169</v>
      </c>
      <c r="U106" s="175" t="s">
        <v>170</v>
      </c>
      <c r="V106" s="187" t="s">
        <v>171</v>
      </c>
      <c r="W106" s="175">
        <v>1985</v>
      </c>
      <c r="X106" s="258">
        <v>18</v>
      </c>
      <c r="Y106" s="175"/>
      <c r="Z106" s="175"/>
      <c r="AA106" s="175"/>
      <c r="AB106" s="175"/>
      <c r="AC106" s="188"/>
      <c r="AD106" s="188"/>
      <c r="AE106" s="188"/>
      <c r="AF106" s="188"/>
      <c r="AG106" s="188"/>
      <c r="AH106" s="188"/>
      <c r="AI106" s="188"/>
      <c r="AJ106" s="188"/>
      <c r="AK106" s="177">
        <v>2</v>
      </c>
      <c r="AL106" s="272"/>
      <c r="AM106" s="327"/>
      <c r="AN106" s="310"/>
      <c r="AO106" s="310"/>
      <c r="AP106" s="310"/>
      <c r="AQ106" s="312"/>
      <c r="AR106" s="339"/>
      <c r="AS106" s="342"/>
    </row>
    <row r="107" spans="1:46" s="7" customFormat="1" ht="26.25" hidden="1" thickTop="1" thickBot="1" x14ac:dyDescent="0.5">
      <c r="A107" s="155"/>
      <c r="B107" s="165">
        <v>2</v>
      </c>
      <c r="C107" s="156" t="s">
        <v>135</v>
      </c>
      <c r="D107" s="156" t="s">
        <v>861</v>
      </c>
      <c r="E107" s="156"/>
      <c r="F107" s="156"/>
      <c r="G107" s="156"/>
      <c r="H107" s="151" t="s">
        <v>862</v>
      </c>
      <c r="I107" s="151" t="s">
        <v>863</v>
      </c>
      <c r="J107" s="157"/>
      <c r="K107" s="163"/>
      <c r="L107" s="151" t="s">
        <v>280</v>
      </c>
      <c r="M107" s="159" t="s">
        <v>669</v>
      </c>
      <c r="N107" s="160" t="s">
        <v>864</v>
      </c>
      <c r="O107" s="159" t="s">
        <v>865</v>
      </c>
      <c r="P107" s="159" t="s">
        <v>866</v>
      </c>
      <c r="Q107" s="160" t="s">
        <v>867</v>
      </c>
      <c r="R107" s="53" t="s">
        <v>868</v>
      </c>
      <c r="S107" s="160" t="s">
        <v>869</v>
      </c>
      <c r="T107" s="159" t="s">
        <v>870</v>
      </c>
      <c r="U107" s="159" t="s">
        <v>871</v>
      </c>
      <c r="V107" s="176" t="s">
        <v>872</v>
      </c>
      <c r="W107" s="152">
        <v>2001</v>
      </c>
      <c r="X107" s="152">
        <v>1102</v>
      </c>
      <c r="Y107" s="152"/>
      <c r="Z107" s="177" t="s">
        <v>311</v>
      </c>
      <c r="AA107" s="177"/>
      <c r="AB107" s="177"/>
      <c r="AC107" s="177"/>
      <c r="AD107" s="177"/>
      <c r="AE107" s="177"/>
      <c r="AF107" s="177"/>
      <c r="AG107" s="177"/>
      <c r="AH107" s="177"/>
      <c r="AI107" s="177"/>
      <c r="AJ107" s="177"/>
      <c r="AK107" s="257">
        <v>1</v>
      </c>
      <c r="AL107" s="271"/>
      <c r="AM107" s="277">
        <f t="shared" ref="AM107:AM117" si="19">X107*P2_Reinigen_daken_incl._extra_maatregelen_veilig_werken_volgens_VCA__eventuele_vergunningen_leges___voorrijkosten__adminstratieve_kosten__fotorapportage_en_kleine_reparaties</f>
        <v>0</v>
      </c>
      <c r="AN107" s="279">
        <f t="shared" ref="AN107:AN115" si="20">Y107*P2_Reinigen_goten_incl._extra_maatregelen_veilig_werken_volgens_VCA__eventuele_vergunningen_leges___voorrijkosten__adminstratieve_kosten__fotorapportage_en_kleine_reparaties</f>
        <v>0</v>
      </c>
      <c r="AO107" s="279">
        <f>(AE107*P2_Reinigen_Lichtkoepel_50X50)+('Perceel 3'!AF107*P2_Reinigen_Lichtkoepel_60x200)+('Perceel 3'!AG107*P2_Reinigen_Lichtkoepel_180x180)+('Perceel 3'!AH107*P2_Reinigen_Lichtstraten_groter_dan_180x180)</f>
        <v>0</v>
      </c>
      <c r="AP107" s="279">
        <f>('Perceel 3'!X107+'Perceel 3'!Y107)*P2_Inspecteren_daken_en_goten_1x_per_jaar_gelijktijdig_met_reiniging_inclusief_inspectierapport_en_een_managementrapport</f>
        <v>0</v>
      </c>
      <c r="AQ107" s="312"/>
      <c r="AR107" s="332">
        <f t="shared" ref="AR107:AR135" si="21">AQ107*P2_keuren_dakveiligheid_per_man_uur</f>
        <v>0</v>
      </c>
      <c r="AS107" s="336">
        <f t="shared" ref="AS107:AS135" si="22">(AM107*AK107)+(Y107*AK107)+AO107+AP107+AR107</f>
        <v>0</v>
      </c>
    </row>
    <row r="108" spans="1:46" s="7" customFormat="1" ht="64.5" hidden="1" thickTop="1" thickBot="1" x14ac:dyDescent="0.5">
      <c r="A108" s="155"/>
      <c r="B108" s="165">
        <v>2</v>
      </c>
      <c r="C108" s="156" t="s">
        <v>135</v>
      </c>
      <c r="D108" s="156" t="s">
        <v>861</v>
      </c>
      <c r="E108" s="156"/>
      <c r="F108" s="156"/>
      <c r="G108" s="156"/>
      <c r="H108" s="151" t="s">
        <v>873</v>
      </c>
      <c r="I108" s="151" t="s">
        <v>874</v>
      </c>
      <c r="J108" s="157"/>
      <c r="K108" s="163"/>
      <c r="L108" s="151" t="s">
        <v>280</v>
      </c>
      <c r="M108" s="159" t="s">
        <v>669</v>
      </c>
      <c r="N108" s="160" t="s">
        <v>875</v>
      </c>
      <c r="O108" s="159" t="s">
        <v>876</v>
      </c>
      <c r="P108" s="160" t="s">
        <v>877</v>
      </c>
      <c r="Q108" s="160" t="s">
        <v>878</v>
      </c>
      <c r="R108" s="53" t="s">
        <v>868</v>
      </c>
      <c r="S108" s="160" t="s">
        <v>869</v>
      </c>
      <c r="T108" s="159" t="s">
        <v>879</v>
      </c>
      <c r="U108" s="159" t="s">
        <v>880</v>
      </c>
      <c r="V108" s="176" t="s">
        <v>881</v>
      </c>
      <c r="W108" s="152">
        <v>2002</v>
      </c>
      <c r="X108" s="152">
        <v>465</v>
      </c>
      <c r="Y108" s="152"/>
      <c r="Z108" s="177"/>
      <c r="AA108" s="177"/>
      <c r="AB108" s="177"/>
      <c r="AC108" s="177"/>
      <c r="AD108" s="177"/>
      <c r="AE108" s="177"/>
      <c r="AF108" s="177"/>
      <c r="AG108" s="177"/>
      <c r="AH108" s="177"/>
      <c r="AI108" s="177"/>
      <c r="AJ108" s="177"/>
      <c r="AK108" s="257">
        <v>1</v>
      </c>
      <c r="AL108" s="271"/>
      <c r="AM108" s="277">
        <f t="shared" si="19"/>
        <v>0</v>
      </c>
      <c r="AN108" s="279">
        <f t="shared" si="20"/>
        <v>0</v>
      </c>
      <c r="AO108" s="279">
        <f>(AE108*P2_Reinigen_Lichtkoepel_50X50)+('Perceel 3'!AF108*P2_Reinigen_Lichtkoepel_60x200)+('Perceel 3'!AG108*P2_Reinigen_Lichtkoepel_180x180)+('Perceel 3'!AH108*P2_Reinigen_Lichtstraten_groter_dan_180x180)</f>
        <v>0</v>
      </c>
      <c r="AP108" s="279">
        <f>('Perceel 3'!X108+'Perceel 3'!Y108)*P2_Inspecteren_daken_en_goten_1x_per_jaar_gelijktijdig_met_reiniging_inclusief_inspectierapport_en_een_managementrapport</f>
        <v>0</v>
      </c>
      <c r="AQ108" s="312"/>
      <c r="AR108" s="332">
        <f t="shared" si="21"/>
        <v>0</v>
      </c>
      <c r="AS108" s="336">
        <f t="shared" si="22"/>
        <v>0</v>
      </c>
    </row>
    <row r="109" spans="1:46" s="7" customFormat="1" ht="26.25" hidden="1" thickTop="1" thickBot="1" x14ac:dyDescent="0.5">
      <c r="A109" s="155"/>
      <c r="B109" s="152">
        <v>2</v>
      </c>
      <c r="C109" s="156" t="s">
        <v>135</v>
      </c>
      <c r="D109" s="156" t="s">
        <v>136</v>
      </c>
      <c r="E109" s="156"/>
      <c r="F109" s="156"/>
      <c r="G109" s="156"/>
      <c r="H109" s="167" t="s">
        <v>882</v>
      </c>
      <c r="I109" s="151"/>
      <c r="J109" s="157"/>
      <c r="K109" s="163"/>
      <c r="L109" s="151"/>
      <c r="M109" s="151" t="s">
        <v>176</v>
      </c>
      <c r="N109" s="164">
        <v>1011</v>
      </c>
      <c r="O109" s="159" t="s">
        <v>883</v>
      </c>
      <c r="P109" s="159" t="s">
        <v>884</v>
      </c>
      <c r="Q109" s="159" t="s">
        <v>885</v>
      </c>
      <c r="R109" s="42" t="s">
        <v>849</v>
      </c>
      <c r="S109" s="159" t="s">
        <v>340</v>
      </c>
      <c r="T109" s="159" t="s">
        <v>886</v>
      </c>
      <c r="U109" s="159">
        <v>627961026</v>
      </c>
      <c r="V109" s="179" t="s">
        <v>887</v>
      </c>
      <c r="W109" s="152">
        <v>2000</v>
      </c>
      <c r="X109" s="152">
        <f>560+113</f>
        <v>673</v>
      </c>
      <c r="Y109" s="152">
        <v>130</v>
      </c>
      <c r="Z109" s="177"/>
      <c r="AA109" s="177"/>
      <c r="AB109" s="177"/>
      <c r="AC109" s="177"/>
      <c r="AD109" s="177"/>
      <c r="AE109" s="177"/>
      <c r="AF109" s="177"/>
      <c r="AG109" s="177"/>
      <c r="AH109" s="177"/>
      <c r="AI109" s="177"/>
      <c r="AJ109" s="177"/>
      <c r="AK109" s="177">
        <v>2</v>
      </c>
      <c r="AL109" s="273"/>
      <c r="AM109" s="277">
        <f t="shared" si="19"/>
        <v>0</v>
      </c>
      <c r="AN109" s="279">
        <f t="shared" si="20"/>
        <v>0</v>
      </c>
      <c r="AO109" s="279">
        <f>(AE109*P2_Reinigen_Lichtkoepel_50X50)+('Perceel 3'!AF109*P2_Reinigen_Lichtkoepel_60x200)+('Perceel 3'!AG109*P2_Reinigen_Lichtkoepel_180x180)+('Perceel 3'!AH109*P2_Reinigen_Lichtstraten_groter_dan_180x180)</f>
        <v>0</v>
      </c>
      <c r="AP109" s="279">
        <f>('Perceel 3'!X109+'Perceel 3'!Y109)*P2_Inspecteren_daken_en_goten_1x_per_jaar_gelijktijdig_met_reiniging_inclusief_inspectierapport_en_een_managementrapport</f>
        <v>0</v>
      </c>
      <c r="AQ109" s="312"/>
      <c r="AR109" s="332">
        <f t="shared" si="21"/>
        <v>0</v>
      </c>
      <c r="AS109" s="336">
        <f t="shared" si="22"/>
        <v>260</v>
      </c>
    </row>
    <row r="110" spans="1:46" s="7" customFormat="1" ht="39" hidden="1" thickTop="1" thickBot="1" x14ac:dyDescent="0.5">
      <c r="A110" s="155"/>
      <c r="B110" s="152">
        <v>2</v>
      </c>
      <c r="C110" s="156" t="s">
        <v>135</v>
      </c>
      <c r="D110" s="156" t="s">
        <v>136</v>
      </c>
      <c r="E110" s="156"/>
      <c r="F110" s="156"/>
      <c r="G110" s="156"/>
      <c r="H110" s="162" t="s">
        <v>888</v>
      </c>
      <c r="I110" s="162" t="s">
        <v>889</v>
      </c>
      <c r="J110" s="157"/>
      <c r="K110" s="163"/>
      <c r="L110" s="163" t="s">
        <v>191</v>
      </c>
      <c r="M110" s="166" t="s">
        <v>890</v>
      </c>
      <c r="N110" s="223" t="s">
        <v>891</v>
      </c>
      <c r="O110" s="159" t="s">
        <v>892</v>
      </c>
      <c r="P110" s="159" t="s">
        <v>893</v>
      </c>
      <c r="Q110" s="159" t="s">
        <v>894</v>
      </c>
      <c r="R110" s="42" t="s">
        <v>895</v>
      </c>
      <c r="S110" s="159" t="s">
        <v>340</v>
      </c>
      <c r="T110" s="159" t="s">
        <v>198</v>
      </c>
      <c r="U110" s="159" t="s">
        <v>896</v>
      </c>
      <c r="V110" s="209" t="s">
        <v>200</v>
      </c>
      <c r="W110" s="152">
        <v>1986</v>
      </c>
      <c r="X110" s="152">
        <f>40+13+343</f>
        <v>396</v>
      </c>
      <c r="Y110" s="152"/>
      <c r="Z110" s="177"/>
      <c r="AA110" s="177"/>
      <c r="AB110" s="177"/>
      <c r="AC110" s="177"/>
      <c r="AD110" s="177"/>
      <c r="AE110" s="177"/>
      <c r="AF110" s="177"/>
      <c r="AG110" s="177"/>
      <c r="AH110" s="177"/>
      <c r="AI110" s="177"/>
      <c r="AJ110" s="177"/>
      <c r="AK110" s="177">
        <v>1</v>
      </c>
      <c r="AL110" s="272" t="s">
        <v>201</v>
      </c>
      <c r="AM110" s="277">
        <f t="shared" si="19"/>
        <v>0</v>
      </c>
      <c r="AN110" s="279">
        <f t="shared" si="20"/>
        <v>0</v>
      </c>
      <c r="AO110" s="279">
        <f>(AE110*P2_Reinigen_Lichtkoepel_50X50)+('Perceel 3'!AF110*P2_Reinigen_Lichtkoepel_60x200)+('Perceel 3'!AG110*P2_Reinigen_Lichtkoepel_180x180)+('Perceel 3'!AH110*P2_Reinigen_Lichtstraten_groter_dan_180x180)</f>
        <v>0</v>
      </c>
      <c r="AP110" s="279">
        <f>('Perceel 3'!X110+'Perceel 3'!Y110)*P2_Inspecteren_daken_en_goten_1x_per_jaar_gelijktijdig_met_reiniging_inclusief_inspectierapport_en_een_managementrapport</f>
        <v>0</v>
      </c>
      <c r="AQ110" s="312"/>
      <c r="AR110" s="332">
        <f t="shared" si="21"/>
        <v>0</v>
      </c>
      <c r="AS110" s="336">
        <f t="shared" si="22"/>
        <v>0</v>
      </c>
    </row>
    <row r="111" spans="1:46" s="7" customFormat="1" ht="39" hidden="1" thickTop="1" thickBot="1" x14ac:dyDescent="0.5">
      <c r="A111" s="155"/>
      <c r="B111" s="152">
        <v>2</v>
      </c>
      <c r="C111" s="156" t="s">
        <v>135</v>
      </c>
      <c r="D111" s="156" t="s">
        <v>136</v>
      </c>
      <c r="E111" s="156"/>
      <c r="F111" s="156"/>
      <c r="G111" s="156"/>
      <c r="H111" s="162" t="s">
        <v>897</v>
      </c>
      <c r="I111" s="162" t="s">
        <v>898</v>
      </c>
      <c r="J111" s="157"/>
      <c r="K111" s="163"/>
      <c r="L111" s="163" t="s">
        <v>191</v>
      </c>
      <c r="M111" s="166" t="s">
        <v>890</v>
      </c>
      <c r="N111" s="223" t="s">
        <v>899</v>
      </c>
      <c r="O111" s="159" t="s">
        <v>900</v>
      </c>
      <c r="P111" s="159" t="s">
        <v>901</v>
      </c>
      <c r="Q111" s="159" t="s">
        <v>902</v>
      </c>
      <c r="R111" s="42" t="s">
        <v>895</v>
      </c>
      <c r="S111" s="159" t="s">
        <v>340</v>
      </c>
      <c r="T111" s="159" t="s">
        <v>198</v>
      </c>
      <c r="U111" s="159" t="s">
        <v>896</v>
      </c>
      <c r="V111" s="209" t="s">
        <v>200</v>
      </c>
      <c r="W111" s="152">
        <v>1988</v>
      </c>
      <c r="X111" s="152">
        <f>11+145+50+55+79</f>
        <v>340</v>
      </c>
      <c r="Y111" s="152">
        <f>11+17.5+5.5+80</f>
        <v>114</v>
      </c>
      <c r="Z111" s="177" t="s">
        <v>311</v>
      </c>
      <c r="AA111" s="177"/>
      <c r="AB111" s="177"/>
      <c r="AC111" s="177"/>
      <c r="AD111" s="177"/>
      <c r="AE111" s="177"/>
      <c r="AF111" s="177"/>
      <c r="AG111" s="177"/>
      <c r="AH111" s="177"/>
      <c r="AI111" s="177"/>
      <c r="AJ111" s="177"/>
      <c r="AK111" s="177">
        <v>1</v>
      </c>
      <c r="AL111" s="272" t="s">
        <v>201</v>
      </c>
      <c r="AM111" s="277">
        <f t="shared" si="19"/>
        <v>0</v>
      </c>
      <c r="AN111" s="279">
        <f t="shared" si="20"/>
        <v>0</v>
      </c>
      <c r="AO111" s="279">
        <f>(AE111*P2_Reinigen_Lichtkoepel_50X50)+('Perceel 3'!AF111*P2_Reinigen_Lichtkoepel_60x200)+('Perceel 3'!AG111*P2_Reinigen_Lichtkoepel_180x180)+('Perceel 3'!AH111*P2_Reinigen_Lichtstraten_groter_dan_180x180)</f>
        <v>0</v>
      </c>
      <c r="AP111" s="279">
        <f>('Perceel 3'!X111+'Perceel 3'!Y111)*P2_Inspecteren_daken_en_goten_1x_per_jaar_gelijktijdig_met_reiniging_inclusief_inspectierapport_en_een_managementrapport</f>
        <v>0</v>
      </c>
      <c r="AQ111" s="312"/>
      <c r="AR111" s="332">
        <f t="shared" si="21"/>
        <v>0</v>
      </c>
      <c r="AS111" s="336">
        <f t="shared" si="22"/>
        <v>114</v>
      </c>
    </row>
    <row r="112" spans="1:46" s="7" customFormat="1" ht="39" hidden="1" thickTop="1" thickBot="1" x14ac:dyDescent="0.5">
      <c r="A112" s="155"/>
      <c r="B112" s="152">
        <v>2</v>
      </c>
      <c r="C112" s="156" t="s">
        <v>135</v>
      </c>
      <c r="D112" s="156" t="s">
        <v>136</v>
      </c>
      <c r="E112" s="156"/>
      <c r="F112" s="156"/>
      <c r="G112" s="156"/>
      <c r="H112" s="162" t="s">
        <v>903</v>
      </c>
      <c r="I112" s="162" t="s">
        <v>904</v>
      </c>
      <c r="J112" s="157"/>
      <c r="K112" s="163"/>
      <c r="L112" s="163" t="s">
        <v>191</v>
      </c>
      <c r="M112" s="166" t="s">
        <v>890</v>
      </c>
      <c r="N112" s="223" t="s">
        <v>905</v>
      </c>
      <c r="O112" s="159" t="s">
        <v>906</v>
      </c>
      <c r="P112" s="159" t="s">
        <v>907</v>
      </c>
      <c r="Q112" s="159" t="s">
        <v>902</v>
      </c>
      <c r="R112" s="42" t="s">
        <v>895</v>
      </c>
      <c r="S112" s="159" t="s">
        <v>340</v>
      </c>
      <c r="T112" s="159" t="s">
        <v>198</v>
      </c>
      <c r="U112" s="159" t="s">
        <v>896</v>
      </c>
      <c r="V112" s="209" t="s">
        <v>200</v>
      </c>
      <c r="W112" s="152">
        <v>1993</v>
      </c>
      <c r="X112" s="152">
        <f>10+25+19.5+27.5</f>
        <v>82</v>
      </c>
      <c r="Y112" s="152">
        <v>1</v>
      </c>
      <c r="Z112" s="177" t="s">
        <v>311</v>
      </c>
      <c r="AA112" s="177"/>
      <c r="AB112" s="177"/>
      <c r="AC112" s="177"/>
      <c r="AD112" s="177"/>
      <c r="AE112" s="177"/>
      <c r="AF112" s="177"/>
      <c r="AG112" s="177"/>
      <c r="AH112" s="177"/>
      <c r="AI112" s="177"/>
      <c r="AJ112" s="177"/>
      <c r="AK112" s="177">
        <v>1</v>
      </c>
      <c r="AL112" s="272" t="s">
        <v>201</v>
      </c>
      <c r="AM112" s="277">
        <f t="shared" si="19"/>
        <v>0</v>
      </c>
      <c r="AN112" s="279">
        <f t="shared" si="20"/>
        <v>0</v>
      </c>
      <c r="AO112" s="279">
        <f>(AE112*P2_Reinigen_Lichtkoepel_50X50)+('Perceel 3'!AF112*P2_Reinigen_Lichtkoepel_60x200)+('Perceel 3'!AG112*P2_Reinigen_Lichtkoepel_180x180)+('Perceel 3'!AH112*P2_Reinigen_Lichtstraten_groter_dan_180x180)</f>
        <v>0</v>
      </c>
      <c r="AP112" s="279">
        <f>('Perceel 3'!X112+'Perceel 3'!Y112)*P2_Inspecteren_daken_en_goten_1x_per_jaar_gelijktijdig_met_reiniging_inclusief_inspectierapport_en_een_managementrapport</f>
        <v>0</v>
      </c>
      <c r="AQ112" s="312"/>
      <c r="AR112" s="332">
        <f t="shared" si="21"/>
        <v>0</v>
      </c>
      <c r="AS112" s="336">
        <f t="shared" si="22"/>
        <v>1</v>
      </c>
    </row>
    <row r="113" spans="1:45" s="7" customFormat="1" ht="39" hidden="1" thickTop="1" thickBot="1" x14ac:dyDescent="0.5">
      <c r="A113" s="155"/>
      <c r="B113" s="152">
        <v>2</v>
      </c>
      <c r="C113" s="156" t="s">
        <v>135</v>
      </c>
      <c r="D113" s="156" t="s">
        <v>136</v>
      </c>
      <c r="E113" s="156"/>
      <c r="F113" s="156"/>
      <c r="G113" s="156"/>
      <c r="H113" s="162" t="s">
        <v>908</v>
      </c>
      <c r="I113" s="162" t="s">
        <v>909</v>
      </c>
      <c r="J113" s="157"/>
      <c r="K113" s="163"/>
      <c r="L113" s="163" t="s">
        <v>191</v>
      </c>
      <c r="M113" s="166" t="s">
        <v>890</v>
      </c>
      <c r="N113" s="223" t="s">
        <v>910</v>
      </c>
      <c r="O113" s="159" t="s">
        <v>911</v>
      </c>
      <c r="P113" s="159" t="s">
        <v>912</v>
      </c>
      <c r="Q113" s="159" t="s">
        <v>913</v>
      </c>
      <c r="R113" s="42" t="s">
        <v>895</v>
      </c>
      <c r="S113" s="159" t="s">
        <v>340</v>
      </c>
      <c r="T113" s="159" t="s">
        <v>198</v>
      </c>
      <c r="U113" s="159" t="s">
        <v>896</v>
      </c>
      <c r="V113" s="209" t="s">
        <v>200</v>
      </c>
      <c r="W113" s="152">
        <v>1992</v>
      </c>
      <c r="X113" s="152">
        <f>11+184</f>
        <v>195</v>
      </c>
      <c r="Y113" s="152">
        <v>42</v>
      </c>
      <c r="Z113" s="177"/>
      <c r="AA113" s="177"/>
      <c r="AB113" s="177"/>
      <c r="AC113" s="177"/>
      <c r="AD113" s="177"/>
      <c r="AE113" s="177"/>
      <c r="AF113" s="177"/>
      <c r="AG113" s="177"/>
      <c r="AH113" s="177"/>
      <c r="AI113" s="177"/>
      <c r="AJ113" s="177"/>
      <c r="AK113" s="177">
        <v>1</v>
      </c>
      <c r="AL113" s="272" t="s">
        <v>201</v>
      </c>
      <c r="AM113" s="277">
        <f t="shared" si="19"/>
        <v>0</v>
      </c>
      <c r="AN113" s="279">
        <f t="shared" si="20"/>
        <v>0</v>
      </c>
      <c r="AO113" s="279">
        <f>(AE113*P2_Reinigen_Lichtkoepel_50X50)+('Perceel 3'!AF113*P2_Reinigen_Lichtkoepel_60x200)+('Perceel 3'!AG113*P2_Reinigen_Lichtkoepel_180x180)+('Perceel 3'!AH113*P2_Reinigen_Lichtstraten_groter_dan_180x180)</f>
        <v>0</v>
      </c>
      <c r="AP113" s="279">
        <f>('Perceel 3'!X113+'Perceel 3'!Y113)*P2_Inspecteren_daken_en_goten_1x_per_jaar_gelijktijdig_met_reiniging_inclusief_inspectierapport_en_een_managementrapport</f>
        <v>0</v>
      </c>
      <c r="AQ113" s="312"/>
      <c r="AR113" s="332">
        <f t="shared" si="21"/>
        <v>0</v>
      </c>
      <c r="AS113" s="336">
        <f t="shared" si="22"/>
        <v>42</v>
      </c>
    </row>
    <row r="114" spans="1:45" s="7" customFormat="1" ht="126" hidden="1" customHeight="1" x14ac:dyDescent="0.45">
      <c r="A114" s="155"/>
      <c r="B114" s="152">
        <v>2</v>
      </c>
      <c r="C114" s="156" t="s">
        <v>135</v>
      </c>
      <c r="D114" s="156" t="s">
        <v>136</v>
      </c>
      <c r="E114" s="156"/>
      <c r="F114" s="156"/>
      <c r="G114" s="156"/>
      <c r="H114" s="203" t="s">
        <v>914</v>
      </c>
      <c r="I114" s="151" t="s">
        <v>915</v>
      </c>
      <c r="J114" s="157"/>
      <c r="K114" s="163"/>
      <c r="L114" s="163" t="s">
        <v>191</v>
      </c>
      <c r="M114" s="166" t="s">
        <v>890</v>
      </c>
      <c r="N114" s="192" t="s">
        <v>916</v>
      </c>
      <c r="O114" s="159" t="s">
        <v>917</v>
      </c>
      <c r="P114" s="159" t="s">
        <v>918</v>
      </c>
      <c r="Q114" s="159" t="s">
        <v>919</v>
      </c>
      <c r="R114" s="42" t="s">
        <v>895</v>
      </c>
      <c r="S114" s="159" t="s">
        <v>340</v>
      </c>
      <c r="T114" s="159" t="s">
        <v>198</v>
      </c>
      <c r="U114" s="159" t="s">
        <v>896</v>
      </c>
      <c r="V114" s="209" t="s">
        <v>200</v>
      </c>
      <c r="W114" s="152">
        <v>1980</v>
      </c>
      <c r="X114" s="152">
        <f>19+52+7+52+19</f>
        <v>149</v>
      </c>
      <c r="Y114" s="152"/>
      <c r="Z114" s="177"/>
      <c r="AA114" s="177"/>
      <c r="AB114" s="177"/>
      <c r="AC114" s="177"/>
      <c r="AD114" s="177"/>
      <c r="AE114" s="177"/>
      <c r="AF114" s="177"/>
      <c r="AG114" s="177"/>
      <c r="AH114" s="177"/>
      <c r="AI114" s="177"/>
      <c r="AJ114" s="177"/>
      <c r="AK114" s="177">
        <v>1</v>
      </c>
      <c r="AL114" s="272" t="s">
        <v>920</v>
      </c>
      <c r="AM114" s="277">
        <f t="shared" si="19"/>
        <v>0</v>
      </c>
      <c r="AN114" s="279">
        <f t="shared" si="20"/>
        <v>0</v>
      </c>
      <c r="AO114" s="279">
        <f>(AE114*P2_Reinigen_Lichtkoepel_50X50)+('Perceel 3'!AF114*P2_Reinigen_Lichtkoepel_60x200)+('Perceel 3'!AG114*P2_Reinigen_Lichtkoepel_180x180)+('Perceel 3'!AH114*P2_Reinigen_Lichtstraten_groter_dan_180x180)</f>
        <v>0</v>
      </c>
      <c r="AP114" s="279">
        <f>('Perceel 3'!X114+'Perceel 3'!Y114)*P2_Inspecteren_daken_en_goten_1x_per_jaar_gelijktijdig_met_reiniging_inclusief_inspectierapport_en_een_managementrapport</f>
        <v>0</v>
      </c>
      <c r="AQ114" s="312"/>
      <c r="AR114" s="332">
        <f t="shared" si="21"/>
        <v>0</v>
      </c>
      <c r="AS114" s="336">
        <f t="shared" si="22"/>
        <v>0</v>
      </c>
    </row>
    <row r="115" spans="1:45" s="7" customFormat="1" ht="15" hidden="1" thickTop="1" thickBot="1" x14ac:dyDescent="0.5">
      <c r="A115" s="155"/>
      <c r="B115" s="152">
        <v>2</v>
      </c>
      <c r="C115" s="156" t="s">
        <v>135</v>
      </c>
      <c r="D115" s="156" t="s">
        <v>136</v>
      </c>
      <c r="E115" s="156"/>
      <c r="F115" s="156"/>
      <c r="G115" s="156"/>
      <c r="H115" s="203" t="s">
        <v>921</v>
      </c>
      <c r="I115" s="203" t="s">
        <v>922</v>
      </c>
      <c r="J115" s="157"/>
      <c r="K115" s="163"/>
      <c r="L115" s="163" t="s">
        <v>191</v>
      </c>
      <c r="M115" s="166" t="s">
        <v>890</v>
      </c>
      <c r="N115" s="224" t="s">
        <v>923</v>
      </c>
      <c r="O115" s="159" t="s">
        <v>924</v>
      </c>
      <c r="P115" s="159" t="s">
        <v>925</v>
      </c>
      <c r="Q115" s="159" t="s">
        <v>926</v>
      </c>
      <c r="R115" s="42" t="s">
        <v>895</v>
      </c>
      <c r="S115" s="159" t="s">
        <v>340</v>
      </c>
      <c r="T115" s="159" t="s">
        <v>198</v>
      </c>
      <c r="U115" s="159" t="s">
        <v>896</v>
      </c>
      <c r="V115" s="209" t="s">
        <v>200</v>
      </c>
      <c r="W115" s="152">
        <v>2004</v>
      </c>
      <c r="X115" s="152">
        <v>74</v>
      </c>
      <c r="Y115" s="152">
        <f>22+22+22+22+22+20</f>
        <v>130</v>
      </c>
      <c r="Z115" s="177"/>
      <c r="AA115" s="177"/>
      <c r="AB115" s="177"/>
      <c r="AC115" s="177"/>
      <c r="AD115" s="177"/>
      <c r="AE115" s="177"/>
      <c r="AF115" s="177"/>
      <c r="AG115" s="177"/>
      <c r="AH115" s="177"/>
      <c r="AI115" s="177"/>
      <c r="AJ115" s="177"/>
      <c r="AK115" s="177">
        <v>1</v>
      </c>
      <c r="AL115" s="272"/>
      <c r="AM115" s="277">
        <f t="shared" si="19"/>
        <v>0</v>
      </c>
      <c r="AN115" s="279">
        <f t="shared" si="20"/>
        <v>0</v>
      </c>
      <c r="AO115" s="279">
        <f>(AE115*P2_Reinigen_Lichtkoepel_50X50)+('Perceel 3'!AF115*P2_Reinigen_Lichtkoepel_60x200)+('Perceel 3'!AG115*P2_Reinigen_Lichtkoepel_180x180)+('Perceel 3'!AH115*P2_Reinigen_Lichtstraten_groter_dan_180x180)</f>
        <v>0</v>
      </c>
      <c r="AP115" s="279">
        <f>('Perceel 3'!X115+'Perceel 3'!Y115)*P2_Inspecteren_daken_en_goten_1x_per_jaar_gelijktijdig_met_reiniging_inclusief_inspectierapport_en_een_managementrapport</f>
        <v>0</v>
      </c>
      <c r="AQ115" s="312"/>
      <c r="AR115" s="332">
        <f t="shared" si="21"/>
        <v>0</v>
      </c>
      <c r="AS115" s="336">
        <f t="shared" si="22"/>
        <v>130</v>
      </c>
    </row>
    <row r="116" spans="1:45" s="7" customFormat="1" ht="67.5" hidden="1" customHeight="1" x14ac:dyDescent="0.45">
      <c r="A116" s="155"/>
      <c r="B116" s="152">
        <v>2</v>
      </c>
      <c r="C116" s="156" t="s">
        <v>135</v>
      </c>
      <c r="D116" s="156" t="s">
        <v>136</v>
      </c>
      <c r="E116" s="156"/>
      <c r="F116" s="156"/>
      <c r="G116" s="156"/>
      <c r="H116" s="151" t="s">
        <v>927</v>
      </c>
      <c r="I116" s="151" t="s">
        <v>928</v>
      </c>
      <c r="J116" s="157"/>
      <c r="K116" s="163"/>
      <c r="L116" s="151" t="s">
        <v>191</v>
      </c>
      <c r="M116" s="159" t="s">
        <v>890</v>
      </c>
      <c r="N116" s="159" t="s">
        <v>929</v>
      </c>
      <c r="O116" s="159" t="s">
        <v>930</v>
      </c>
      <c r="P116" s="160" t="s">
        <v>931</v>
      </c>
      <c r="Q116" s="160" t="s">
        <v>932</v>
      </c>
      <c r="R116" s="53" t="s">
        <v>895</v>
      </c>
      <c r="S116" s="160" t="s">
        <v>340</v>
      </c>
      <c r="T116" s="159" t="s">
        <v>933</v>
      </c>
      <c r="U116" s="159" t="s">
        <v>934</v>
      </c>
      <c r="V116" s="176" t="s">
        <v>935</v>
      </c>
      <c r="W116" s="152">
        <v>2006</v>
      </c>
      <c r="X116" s="152">
        <v>9436</v>
      </c>
      <c r="Y116" s="152"/>
      <c r="Z116" s="177" t="s">
        <v>311</v>
      </c>
      <c r="AA116" s="177"/>
      <c r="AB116" s="177">
        <f>29+43</f>
        <v>72</v>
      </c>
      <c r="AC116" s="177">
        <f>150+12+48+68+77+80+52+43</f>
        <v>530</v>
      </c>
      <c r="AD116" s="177"/>
      <c r="AE116" s="177"/>
      <c r="AF116" s="177"/>
      <c r="AG116" s="177"/>
      <c r="AH116" s="177"/>
      <c r="AI116" s="177"/>
      <c r="AJ116" s="177"/>
      <c r="AK116" s="257">
        <v>1</v>
      </c>
      <c r="AL116" s="271"/>
      <c r="AM116" s="277">
        <f>X116*P2_reinigen_daken_met_vaste_dakveiligheid</f>
        <v>0</v>
      </c>
      <c r="AN116" s="279">
        <f>Y116*P2_reinigen_goten_met_vaste_dakveiligheid</f>
        <v>0</v>
      </c>
      <c r="AO116" s="279">
        <f>(AE116*P2_Reinigen_Lichtkoepel_50X50)+('Perceel 3'!AF116*P2_Reinigen_Lichtkoepel_60x200)+('Perceel 3'!AG116*P2_Reinigen_Lichtkoepel_180x180)+('Perceel 3'!AH116*P2_Reinigen_Lichtstraten_groter_dan_180x180)</f>
        <v>0</v>
      </c>
      <c r="AP116" s="279">
        <f>('Perceel 3'!X116+'Perceel 3'!Y116)*P2_Inspecteren_daken_en_goten_1x_per_jaar_gelijktijdig_met_reiniging_inclusief_inspectierapport_en_een_managementrapport</f>
        <v>0</v>
      </c>
      <c r="AQ116" s="305"/>
      <c r="AR116" s="332">
        <f t="shared" si="21"/>
        <v>0</v>
      </c>
      <c r="AS116" s="336">
        <f t="shared" si="22"/>
        <v>0</v>
      </c>
    </row>
    <row r="117" spans="1:45" s="7" customFormat="1" ht="26.25" hidden="1" thickTop="1" thickBot="1" x14ac:dyDescent="0.5">
      <c r="A117" s="155"/>
      <c r="B117" s="152">
        <v>2</v>
      </c>
      <c r="C117" s="156" t="s">
        <v>135</v>
      </c>
      <c r="D117" s="156" t="s">
        <v>136</v>
      </c>
      <c r="E117" s="156"/>
      <c r="F117" s="156"/>
      <c r="G117" s="156"/>
      <c r="H117" s="151" t="s">
        <v>936</v>
      </c>
      <c r="I117" s="151" t="s">
        <v>937</v>
      </c>
      <c r="J117" s="157"/>
      <c r="K117" s="163"/>
      <c r="L117" s="163" t="s">
        <v>154</v>
      </c>
      <c r="M117" s="166" t="s">
        <v>544</v>
      </c>
      <c r="N117" s="159" t="s">
        <v>938</v>
      </c>
      <c r="O117" s="159" t="s">
        <v>939</v>
      </c>
      <c r="P117" s="159" t="s">
        <v>940</v>
      </c>
      <c r="Q117" s="160" t="s">
        <v>941</v>
      </c>
      <c r="R117" s="53" t="s">
        <v>942</v>
      </c>
      <c r="S117" s="160" t="s">
        <v>340</v>
      </c>
      <c r="T117" s="159" t="s">
        <v>943</v>
      </c>
      <c r="U117" s="159" t="s">
        <v>944</v>
      </c>
      <c r="V117" s="176" t="s">
        <v>945</v>
      </c>
      <c r="W117" s="152">
        <v>1989</v>
      </c>
      <c r="X117" s="152">
        <v>412</v>
      </c>
      <c r="Y117" s="152"/>
      <c r="Z117" s="177"/>
      <c r="AA117" s="177"/>
      <c r="AB117" s="177"/>
      <c r="AC117" s="177"/>
      <c r="AD117" s="177"/>
      <c r="AE117" s="177"/>
      <c r="AF117" s="177"/>
      <c r="AG117" s="177"/>
      <c r="AH117" s="177"/>
      <c r="AI117" s="177"/>
      <c r="AJ117" s="177"/>
      <c r="AK117" s="257">
        <v>1</v>
      </c>
      <c r="AL117" s="271"/>
      <c r="AM117" s="277">
        <f t="shared" si="19"/>
        <v>0</v>
      </c>
      <c r="AN117" s="279">
        <f>Y117*P2_Reinigen_goten_incl._extra_maatregelen_veilig_werken_volgens_VCA__eventuele_vergunningen_leges___voorrijkosten__adminstratieve_kosten__fotorapportage_en_kleine_reparaties</f>
        <v>0</v>
      </c>
      <c r="AO117" s="279">
        <f>(AE117*P2_Reinigen_Lichtkoepel_50X50)+('Perceel 3'!AF117*P2_Reinigen_Lichtkoepel_60x200)+('Perceel 3'!AG117*P2_Reinigen_Lichtkoepel_180x180)+('Perceel 3'!AH117*P2_Reinigen_Lichtstraten_groter_dan_180x180)</f>
        <v>0</v>
      </c>
      <c r="AP117" s="279">
        <f>('Perceel 3'!X117+'Perceel 3'!Y117)*P2_Inspecteren_daken_en_goten_1x_per_jaar_gelijktijdig_met_reiniging_inclusief_inspectierapport_en_een_managementrapport</f>
        <v>0</v>
      </c>
      <c r="AQ117" s="312"/>
      <c r="AR117" s="332">
        <f>AQ117*P2_keuren_dakveiligheid_per_man_uur</f>
        <v>0</v>
      </c>
      <c r="AS117" s="336">
        <f t="shared" si="22"/>
        <v>0</v>
      </c>
    </row>
    <row r="118" spans="1:45" s="7" customFormat="1" ht="25.5" hidden="1" customHeight="1" x14ac:dyDescent="0.45">
      <c r="A118" s="211"/>
      <c r="B118" s="212">
        <v>2</v>
      </c>
      <c r="C118" s="171" t="s">
        <v>135</v>
      </c>
      <c r="D118" s="171" t="s">
        <v>174</v>
      </c>
      <c r="E118" s="171"/>
      <c r="F118" s="171"/>
      <c r="G118" s="171"/>
      <c r="H118" s="15"/>
      <c r="I118" s="196"/>
      <c r="J118" s="15"/>
      <c r="K118" s="15"/>
      <c r="L118" s="196"/>
      <c r="M118" s="196"/>
      <c r="N118" s="211" t="s">
        <v>946</v>
      </c>
      <c r="O118" s="171" t="s">
        <v>947</v>
      </c>
      <c r="P118" s="211" t="s">
        <v>948</v>
      </c>
      <c r="Q118" s="211" t="s">
        <v>949</v>
      </c>
      <c r="R118" s="58" t="s">
        <v>853</v>
      </c>
      <c r="S118" s="211" t="s">
        <v>340</v>
      </c>
      <c r="T118" s="171"/>
      <c r="U118" s="171"/>
      <c r="V118" s="171"/>
      <c r="W118" s="211">
        <v>1992</v>
      </c>
      <c r="X118" s="261">
        <v>1530</v>
      </c>
      <c r="Y118" s="211"/>
      <c r="Z118" s="171"/>
      <c r="AA118" s="171" t="s">
        <v>150</v>
      </c>
      <c r="AB118" s="171">
        <v>39</v>
      </c>
      <c r="AC118" s="171">
        <v>121</v>
      </c>
      <c r="AD118" s="171"/>
      <c r="AE118" s="171"/>
      <c r="AF118" s="171"/>
      <c r="AG118" s="171"/>
      <c r="AH118" s="171"/>
      <c r="AI118" s="171"/>
      <c r="AJ118" s="171"/>
      <c r="AK118" s="282">
        <v>1</v>
      </c>
      <c r="AL118" s="271"/>
      <c r="AM118" s="328"/>
      <c r="AN118" s="311"/>
      <c r="AO118" s="311"/>
      <c r="AP118" s="311"/>
      <c r="AQ118" s="305"/>
      <c r="AR118" s="340"/>
      <c r="AS118" s="343"/>
    </row>
    <row r="119" spans="1:45" s="7" customFormat="1" ht="25.5" hidden="1" customHeight="1" x14ac:dyDescent="0.45">
      <c r="A119" s="182"/>
      <c r="B119" s="181">
        <v>2</v>
      </c>
      <c r="C119" s="175" t="s">
        <v>135</v>
      </c>
      <c r="D119" s="175" t="s">
        <v>174</v>
      </c>
      <c r="E119" s="175"/>
      <c r="F119" s="175"/>
      <c r="G119" s="175"/>
      <c r="H119" s="174" t="s">
        <v>950</v>
      </c>
      <c r="I119" s="174" t="s">
        <v>951</v>
      </c>
      <c r="J119" s="197"/>
      <c r="K119" s="197"/>
      <c r="L119" s="174"/>
      <c r="M119" s="175" t="s">
        <v>349</v>
      </c>
      <c r="N119" s="182" t="s">
        <v>952</v>
      </c>
      <c r="O119" s="175" t="s">
        <v>953</v>
      </c>
      <c r="P119" s="182" t="s">
        <v>954</v>
      </c>
      <c r="Q119" s="182" t="s">
        <v>949</v>
      </c>
      <c r="R119" s="50" t="s">
        <v>853</v>
      </c>
      <c r="S119" s="182" t="s">
        <v>340</v>
      </c>
      <c r="T119" s="175" t="s">
        <v>955</v>
      </c>
      <c r="U119" s="175" t="s">
        <v>956</v>
      </c>
      <c r="V119" s="175" t="s">
        <v>957</v>
      </c>
      <c r="W119" s="182">
        <v>1992</v>
      </c>
      <c r="X119" s="306">
        <f>X118*21%</f>
        <v>321.3</v>
      </c>
      <c r="Y119" s="182"/>
      <c r="Z119" s="175"/>
      <c r="AA119" s="175" t="s">
        <v>150</v>
      </c>
      <c r="AB119" s="306"/>
      <c r="AC119" s="306"/>
      <c r="AD119" s="175"/>
      <c r="AE119" s="175"/>
      <c r="AF119" s="175"/>
      <c r="AG119" s="175"/>
      <c r="AH119" s="175"/>
      <c r="AI119" s="175"/>
      <c r="AJ119" s="175"/>
      <c r="AK119" s="255">
        <v>1</v>
      </c>
      <c r="AL119" s="271"/>
      <c r="AM119" s="277">
        <f>X119*P2_reinigen_daken_met_vaste_dakveiligheid</f>
        <v>0</v>
      </c>
      <c r="AN119" s="279">
        <f>Y119*P2_reinigen_goten_met_vaste_dakveiligheid</f>
        <v>0</v>
      </c>
      <c r="AO119" s="279">
        <f>(AE119*P2_Reinigen_Lichtkoepel_50X50)+('Perceel 3'!AF119*P2_Reinigen_Lichtkoepel_60x200)+('Perceel 3'!AG119*P2_Reinigen_Lichtkoepel_180x180)+('Perceel 3'!AH119*P2_Reinigen_Lichtstraten_groter_dan_180x180)</f>
        <v>0</v>
      </c>
      <c r="AP119" s="279">
        <f>('Perceel 3'!X119+'Perceel 3'!Y119)*P2_Inspecteren_daken_en_goten_1x_per_jaar_gelijktijdig_met_reiniging_inclusief_inspectierapport_en_een_managementrapport</f>
        <v>0</v>
      </c>
      <c r="AQ119" s="307">
        <f>AQ118*21%</f>
        <v>0</v>
      </c>
      <c r="AR119" s="332">
        <f t="shared" si="21"/>
        <v>0</v>
      </c>
      <c r="AS119" s="336">
        <f t="shared" si="22"/>
        <v>0</v>
      </c>
    </row>
    <row r="120" spans="1:45" s="7" customFormat="1" ht="26.25" hidden="1" thickTop="1" thickBot="1" x14ac:dyDescent="0.5">
      <c r="A120" s="182"/>
      <c r="B120" s="181">
        <v>2</v>
      </c>
      <c r="C120" s="175" t="s">
        <v>135</v>
      </c>
      <c r="D120" s="175" t="s">
        <v>174</v>
      </c>
      <c r="E120" s="175"/>
      <c r="F120" s="175"/>
      <c r="G120" s="175"/>
      <c r="H120" s="174" t="s">
        <v>958</v>
      </c>
      <c r="I120" s="174" t="s">
        <v>959</v>
      </c>
      <c r="J120" s="197"/>
      <c r="K120" s="197"/>
      <c r="L120" s="174"/>
      <c r="M120" s="175" t="s">
        <v>349</v>
      </c>
      <c r="N120" s="182" t="s">
        <v>960</v>
      </c>
      <c r="O120" s="175" t="s">
        <v>961</v>
      </c>
      <c r="P120" s="182" t="s">
        <v>962</v>
      </c>
      <c r="Q120" s="182" t="s">
        <v>949</v>
      </c>
      <c r="R120" s="50" t="s">
        <v>853</v>
      </c>
      <c r="S120" s="182" t="s">
        <v>340</v>
      </c>
      <c r="T120" s="175" t="s">
        <v>955</v>
      </c>
      <c r="U120" s="175" t="s">
        <v>956</v>
      </c>
      <c r="V120" s="175" t="s">
        <v>957</v>
      </c>
      <c r="W120" s="182">
        <v>1992</v>
      </c>
      <c r="X120" s="306">
        <f>X118*79%</f>
        <v>1208.7</v>
      </c>
      <c r="Y120" s="182"/>
      <c r="Z120" s="175"/>
      <c r="AA120" s="175" t="s">
        <v>150</v>
      </c>
      <c r="AB120" s="306"/>
      <c r="AC120" s="306"/>
      <c r="AD120" s="175"/>
      <c r="AE120" s="175"/>
      <c r="AF120" s="175"/>
      <c r="AG120" s="175"/>
      <c r="AH120" s="175"/>
      <c r="AI120" s="175"/>
      <c r="AJ120" s="175"/>
      <c r="AK120" s="255">
        <v>1</v>
      </c>
      <c r="AL120" s="271"/>
      <c r="AM120" s="277">
        <f>X120*P2_reinigen_daken_met_vaste_dakveiligheid</f>
        <v>0</v>
      </c>
      <c r="AN120" s="279">
        <f>Y120*P2_reinigen_goten_met_vaste_dakveiligheid</f>
        <v>0</v>
      </c>
      <c r="AO120" s="279">
        <f>(AE120*P2_Reinigen_Lichtkoepel_50X50)+('Perceel 3'!AF120*P2_Reinigen_Lichtkoepel_60x200)+('Perceel 3'!AG120*P2_Reinigen_Lichtkoepel_180x180)+('Perceel 3'!AH120*P2_Reinigen_Lichtstraten_groter_dan_180x180)</f>
        <v>0</v>
      </c>
      <c r="AP120" s="279">
        <f>('Perceel 3'!X120+'Perceel 3'!Y120)*P2_Inspecteren_daken_en_goten_1x_per_jaar_gelijktijdig_met_reiniging_inclusief_inspectierapport_en_een_managementrapport</f>
        <v>0</v>
      </c>
      <c r="AQ120" s="307">
        <f>AQ118*79%</f>
        <v>0</v>
      </c>
      <c r="AR120" s="332">
        <f t="shared" si="21"/>
        <v>0</v>
      </c>
      <c r="AS120" s="336">
        <f t="shared" si="22"/>
        <v>0</v>
      </c>
    </row>
    <row r="121" spans="1:45" s="7" customFormat="1" ht="64.5" hidden="1" thickTop="1" thickBot="1" x14ac:dyDescent="0.5">
      <c r="A121" s="155"/>
      <c r="B121" s="152">
        <v>2</v>
      </c>
      <c r="C121" s="156" t="s">
        <v>135</v>
      </c>
      <c r="D121" s="156" t="s">
        <v>136</v>
      </c>
      <c r="E121" s="156"/>
      <c r="F121" s="156"/>
      <c r="G121" s="156"/>
      <c r="H121" s="151" t="s">
        <v>963</v>
      </c>
      <c r="I121" s="151" t="s">
        <v>964</v>
      </c>
      <c r="J121" s="157"/>
      <c r="K121" s="163"/>
      <c r="L121" s="163" t="s">
        <v>139</v>
      </c>
      <c r="M121" s="166" t="s">
        <v>140</v>
      </c>
      <c r="N121" s="160" t="s">
        <v>965</v>
      </c>
      <c r="O121" s="159" t="s">
        <v>966</v>
      </c>
      <c r="P121" s="160" t="s">
        <v>967</v>
      </c>
      <c r="Q121" s="160" t="s">
        <v>949</v>
      </c>
      <c r="R121" s="53" t="s">
        <v>853</v>
      </c>
      <c r="S121" s="160" t="s">
        <v>340</v>
      </c>
      <c r="T121" s="159" t="s">
        <v>968</v>
      </c>
      <c r="U121" s="159" t="s">
        <v>969</v>
      </c>
      <c r="V121" s="159" t="s">
        <v>970</v>
      </c>
      <c r="W121" s="152">
        <v>1995</v>
      </c>
      <c r="X121" s="152">
        <v>621</v>
      </c>
      <c r="Y121" s="152"/>
      <c r="Z121" s="177"/>
      <c r="AA121" s="177" t="s">
        <v>150</v>
      </c>
      <c r="AB121" s="177">
        <v>10</v>
      </c>
      <c r="AC121" s="177"/>
      <c r="AD121" s="177"/>
      <c r="AE121" s="177"/>
      <c r="AF121" s="177"/>
      <c r="AG121" s="177"/>
      <c r="AH121" s="177"/>
      <c r="AI121" s="177"/>
      <c r="AJ121" s="177"/>
      <c r="AK121" s="257">
        <v>1</v>
      </c>
      <c r="AL121" s="271"/>
      <c r="AM121" s="277">
        <f>X121*P2_reinigen_daken_met_vaste_dakveiligheid</f>
        <v>0</v>
      </c>
      <c r="AN121" s="279">
        <f>Y121*P2_reinigen_goten_met_vaste_dakveiligheid</f>
        <v>0</v>
      </c>
      <c r="AO121" s="279">
        <f>(AE121*P2_Reinigen_Lichtkoepel_50X50)+('Perceel 3'!AF121*P2_Reinigen_Lichtkoepel_60x200)+('Perceel 3'!AG121*P2_Reinigen_Lichtkoepel_180x180)+('Perceel 3'!AH121*P2_Reinigen_Lichtstraten_groter_dan_180x180)</f>
        <v>0</v>
      </c>
      <c r="AP121" s="279">
        <f>('Perceel 3'!X121+'Perceel 3'!Y121)*P2_Inspecteren_daken_en_goten_1x_per_jaar_gelijktijdig_met_reiniging_inclusief_inspectierapport_en_een_managementrapport</f>
        <v>0</v>
      </c>
      <c r="AQ121" s="305"/>
      <c r="AR121" s="332">
        <f t="shared" si="21"/>
        <v>0</v>
      </c>
      <c r="AS121" s="336">
        <f t="shared" si="22"/>
        <v>0</v>
      </c>
    </row>
    <row r="122" spans="1:45" s="7" customFormat="1" ht="54" hidden="1" customHeight="1" x14ac:dyDescent="0.45">
      <c r="A122" s="155"/>
      <c r="B122" s="152">
        <v>2</v>
      </c>
      <c r="C122" s="156" t="s">
        <v>135</v>
      </c>
      <c r="D122" s="156" t="s">
        <v>136</v>
      </c>
      <c r="E122" s="156"/>
      <c r="F122" s="156"/>
      <c r="G122" s="156"/>
      <c r="H122" s="151" t="s">
        <v>971</v>
      </c>
      <c r="I122" s="151" t="s">
        <v>972</v>
      </c>
      <c r="J122" s="157"/>
      <c r="K122" s="163"/>
      <c r="L122" s="151" t="s">
        <v>348</v>
      </c>
      <c r="M122" s="159" t="s">
        <v>349</v>
      </c>
      <c r="N122" s="160" t="s">
        <v>973</v>
      </c>
      <c r="O122" s="159" t="s">
        <v>974</v>
      </c>
      <c r="P122" s="160" t="s">
        <v>975</v>
      </c>
      <c r="Q122" s="160" t="s">
        <v>976</v>
      </c>
      <c r="R122" s="53" t="s">
        <v>942</v>
      </c>
      <c r="S122" s="160" t="s">
        <v>340</v>
      </c>
      <c r="T122" s="159" t="s">
        <v>977</v>
      </c>
      <c r="U122" s="159" t="s">
        <v>978</v>
      </c>
      <c r="V122" s="176" t="s">
        <v>979</v>
      </c>
      <c r="W122" s="152">
        <v>2000</v>
      </c>
      <c r="X122" s="152">
        <v>1350</v>
      </c>
      <c r="Y122" s="152"/>
      <c r="Z122" s="177"/>
      <c r="AA122" s="177"/>
      <c r="AB122" s="177"/>
      <c r="AC122" s="177"/>
      <c r="AD122" s="177"/>
      <c r="AE122" s="177"/>
      <c r="AF122" s="177"/>
      <c r="AG122" s="177"/>
      <c r="AH122" s="177"/>
      <c r="AI122" s="177"/>
      <c r="AJ122" s="177"/>
      <c r="AK122" s="257">
        <v>1</v>
      </c>
      <c r="AL122" s="271"/>
      <c r="AM122" s="277">
        <f>X122*P2_Reinigen_daken_incl._extra_maatregelen_veilig_werken_volgens_VCA__eventuele_vergunningen_leges___voorrijkosten__adminstratieve_kosten__fotorapportage_en_kleine_reparaties</f>
        <v>0</v>
      </c>
      <c r="AN122" s="279">
        <f>Y122*P2_Reinigen_goten_incl._extra_maatregelen_veilig_werken_volgens_VCA__eventuele_vergunningen_leges___voorrijkosten__adminstratieve_kosten__fotorapportage_en_kleine_reparaties</f>
        <v>0</v>
      </c>
      <c r="AO122" s="279">
        <f>(AE122*P2_Reinigen_Lichtkoepel_50X50)+('Perceel 3'!AF122*P2_Reinigen_Lichtkoepel_60x200)+('Perceel 3'!AG122*P2_Reinigen_Lichtkoepel_180x180)+('Perceel 3'!AH122*P2_Reinigen_Lichtstraten_groter_dan_180x180)</f>
        <v>0</v>
      </c>
      <c r="AP122" s="279">
        <f>('Perceel 3'!X122+'Perceel 3'!Y122)*P2_Inspecteren_daken_en_goten_1x_per_jaar_gelijktijdig_met_reiniging_inclusief_inspectierapport_en_een_managementrapport</f>
        <v>0</v>
      </c>
      <c r="AQ122" s="312"/>
      <c r="AR122" s="332">
        <f>AQ122*P2_keuren_dakveiligheid_per_man_uur</f>
        <v>0</v>
      </c>
      <c r="AS122" s="336">
        <f t="shared" si="22"/>
        <v>0</v>
      </c>
    </row>
    <row r="123" spans="1:45" s="7" customFormat="1" ht="39" hidden="1" thickTop="1" thickBot="1" x14ac:dyDescent="0.5">
      <c r="A123" s="155"/>
      <c r="B123" s="152">
        <v>2</v>
      </c>
      <c r="C123" s="156" t="s">
        <v>135</v>
      </c>
      <c r="D123" s="156" t="s">
        <v>136</v>
      </c>
      <c r="E123" s="156"/>
      <c r="F123" s="156"/>
      <c r="G123" s="156"/>
      <c r="H123" s="151" t="s">
        <v>980</v>
      </c>
      <c r="I123" s="151" t="s">
        <v>981</v>
      </c>
      <c r="J123" s="157"/>
      <c r="K123" s="163"/>
      <c r="L123" s="163" t="s">
        <v>154</v>
      </c>
      <c r="M123" s="166" t="s">
        <v>544</v>
      </c>
      <c r="N123" s="160" t="s">
        <v>982</v>
      </c>
      <c r="O123" s="159" t="s">
        <v>983</v>
      </c>
      <c r="P123" s="160" t="s">
        <v>984</v>
      </c>
      <c r="Q123" s="160" t="s">
        <v>985</v>
      </c>
      <c r="R123" s="53" t="s">
        <v>942</v>
      </c>
      <c r="S123" s="160" t="s">
        <v>340</v>
      </c>
      <c r="T123" s="159" t="s">
        <v>722</v>
      </c>
      <c r="U123" s="168" t="s">
        <v>723</v>
      </c>
      <c r="V123" s="209" t="s">
        <v>724</v>
      </c>
      <c r="W123" s="152">
        <v>2000</v>
      </c>
      <c r="X123" s="152">
        <v>1791</v>
      </c>
      <c r="Y123" s="152"/>
      <c r="Z123" s="177"/>
      <c r="AA123" s="177" t="s">
        <v>150</v>
      </c>
      <c r="AB123" s="177">
        <v>26</v>
      </c>
      <c r="AC123" s="177">
        <v>218</v>
      </c>
      <c r="AD123" s="177" t="s">
        <v>986</v>
      </c>
      <c r="AE123" s="177"/>
      <c r="AF123" s="177"/>
      <c r="AG123" s="177"/>
      <c r="AH123" s="177"/>
      <c r="AI123" s="177"/>
      <c r="AJ123" s="177"/>
      <c r="AK123" s="257">
        <v>1</v>
      </c>
      <c r="AL123" s="271"/>
      <c r="AM123" s="277">
        <f>X123*P2_reinigen_daken_met_vaste_dakveiligheid</f>
        <v>0</v>
      </c>
      <c r="AN123" s="279">
        <f>Y123*P2_reinigen_goten_met_vaste_dakveiligheid</f>
        <v>0</v>
      </c>
      <c r="AO123" s="279">
        <f>(AE123*P2_Reinigen_Lichtkoepel_50X50)+('Perceel 3'!AF123*P2_Reinigen_Lichtkoepel_60x200)+('Perceel 3'!AG123*P2_Reinigen_Lichtkoepel_180x180)+('Perceel 3'!AH123*P2_Reinigen_Lichtstraten_groter_dan_180x180)</f>
        <v>0</v>
      </c>
      <c r="AP123" s="279">
        <f>('Perceel 3'!X123+'Perceel 3'!Y123)*P2_Inspecteren_daken_en_goten_1x_per_jaar_gelijktijdig_met_reiniging_inclusief_inspectierapport_en_een_managementrapport</f>
        <v>0</v>
      </c>
      <c r="AQ123" s="305"/>
      <c r="AR123" s="332">
        <f t="shared" si="21"/>
        <v>0</v>
      </c>
      <c r="AS123" s="336">
        <f t="shared" si="22"/>
        <v>0</v>
      </c>
    </row>
    <row r="124" spans="1:45" s="7" customFormat="1" ht="43.35" hidden="1" customHeight="1" x14ac:dyDescent="0.45">
      <c r="A124" s="155"/>
      <c r="B124" s="152">
        <v>2</v>
      </c>
      <c r="C124" s="156" t="s">
        <v>135</v>
      </c>
      <c r="D124" s="156" t="s">
        <v>136</v>
      </c>
      <c r="E124" s="156"/>
      <c r="F124" s="156"/>
      <c r="G124" s="156"/>
      <c r="H124" s="151" t="s">
        <v>987</v>
      </c>
      <c r="I124" s="151" t="s">
        <v>988</v>
      </c>
      <c r="J124" s="157"/>
      <c r="K124" s="163"/>
      <c r="L124" s="151" t="s">
        <v>348</v>
      </c>
      <c r="M124" s="151" t="s">
        <v>349</v>
      </c>
      <c r="N124" s="164">
        <v>2483</v>
      </c>
      <c r="O124" s="159" t="s">
        <v>989</v>
      </c>
      <c r="P124" s="159" t="s">
        <v>990</v>
      </c>
      <c r="Q124" s="159" t="s">
        <v>976</v>
      </c>
      <c r="R124" s="42" t="s">
        <v>942</v>
      </c>
      <c r="S124" s="159" t="s">
        <v>340</v>
      </c>
      <c r="T124" s="159" t="s">
        <v>991</v>
      </c>
      <c r="U124" s="159" t="s">
        <v>992</v>
      </c>
      <c r="V124" s="176" t="s">
        <v>993</v>
      </c>
      <c r="W124" s="152">
        <v>2014</v>
      </c>
      <c r="X124" s="152">
        <v>291</v>
      </c>
      <c r="Y124" s="152"/>
      <c r="Z124" s="189"/>
      <c r="AA124" s="177" t="s">
        <v>150</v>
      </c>
      <c r="AB124" s="177">
        <v>10</v>
      </c>
      <c r="AC124" s="177">
        <v>54</v>
      </c>
      <c r="AD124" s="177" t="s">
        <v>423</v>
      </c>
      <c r="AE124" s="177"/>
      <c r="AF124" s="177"/>
      <c r="AG124" s="177"/>
      <c r="AH124" s="177"/>
      <c r="AI124" s="177"/>
      <c r="AJ124" s="177"/>
      <c r="AK124" s="257">
        <v>1</v>
      </c>
      <c r="AL124" s="271"/>
      <c r="AM124" s="277">
        <f>X124*P2_reinigen_daken_met_vaste_dakveiligheid</f>
        <v>0</v>
      </c>
      <c r="AN124" s="279">
        <f>Y124*P2_reinigen_goten_met_vaste_dakveiligheid</f>
        <v>0</v>
      </c>
      <c r="AO124" s="279">
        <f>(AE124*P2_Reinigen_Lichtkoepel_50X50)+('Perceel 3'!AF124*P2_Reinigen_Lichtkoepel_60x200)+('Perceel 3'!AG124*P2_Reinigen_Lichtkoepel_180x180)+('Perceel 3'!AH124*P2_Reinigen_Lichtstraten_groter_dan_180x180)</f>
        <v>0</v>
      </c>
      <c r="AP124" s="279">
        <f>('Perceel 3'!X124+'Perceel 3'!Y124)*P2_Inspecteren_daken_en_goten_1x_per_jaar_gelijktijdig_met_reiniging_inclusief_inspectierapport_en_een_managementrapport</f>
        <v>0</v>
      </c>
      <c r="AQ124" s="305"/>
      <c r="AR124" s="332">
        <f t="shared" si="21"/>
        <v>0</v>
      </c>
      <c r="AS124" s="336">
        <f t="shared" si="22"/>
        <v>0</v>
      </c>
    </row>
    <row r="125" spans="1:45" s="7" customFormat="1" ht="71.25" hidden="1" customHeight="1" x14ac:dyDescent="0.45">
      <c r="A125" s="155"/>
      <c r="B125" s="152">
        <v>2</v>
      </c>
      <c r="C125" s="156" t="s">
        <v>135</v>
      </c>
      <c r="D125" s="156" t="s">
        <v>136</v>
      </c>
      <c r="E125" s="156"/>
      <c r="F125" s="156"/>
      <c r="G125" s="156" t="s">
        <v>833</v>
      </c>
      <c r="H125" s="151" t="s">
        <v>994</v>
      </c>
      <c r="I125" s="151" t="s">
        <v>995</v>
      </c>
      <c r="J125" s="157"/>
      <c r="K125" s="163"/>
      <c r="L125" s="151" t="s">
        <v>139</v>
      </c>
      <c r="M125" s="159" t="s">
        <v>140</v>
      </c>
      <c r="N125" s="160" t="s">
        <v>996</v>
      </c>
      <c r="O125" s="159" t="s">
        <v>997</v>
      </c>
      <c r="P125" s="159" t="s">
        <v>998</v>
      </c>
      <c r="Q125" s="159" t="s">
        <v>999</v>
      </c>
      <c r="R125" s="42" t="s">
        <v>895</v>
      </c>
      <c r="S125" s="159" t="s">
        <v>340</v>
      </c>
      <c r="T125" s="159" t="s">
        <v>756</v>
      </c>
      <c r="U125" s="159" t="s">
        <v>1000</v>
      </c>
      <c r="V125" s="176" t="s">
        <v>1001</v>
      </c>
      <c r="W125" s="152">
        <v>1993</v>
      </c>
      <c r="X125" s="152">
        <v>769</v>
      </c>
      <c r="Y125" s="152"/>
      <c r="Z125" s="177"/>
      <c r="AA125" s="177" t="s">
        <v>311</v>
      </c>
      <c r="AB125" s="177">
        <v>12</v>
      </c>
      <c r="AC125" s="177">
        <v>32</v>
      </c>
      <c r="AD125" s="177" t="s">
        <v>1002</v>
      </c>
      <c r="AE125" s="177"/>
      <c r="AF125" s="177"/>
      <c r="AG125" s="177"/>
      <c r="AH125" s="177"/>
      <c r="AI125" s="177"/>
      <c r="AJ125" s="177"/>
      <c r="AK125" s="189">
        <v>1</v>
      </c>
      <c r="AL125" s="273"/>
      <c r="AM125" s="277">
        <f>X125*P2_reinigen_daken_met_vaste_dakveiligheid</f>
        <v>0</v>
      </c>
      <c r="AN125" s="279">
        <f>Y125*P2_reinigen_goten_met_vaste_dakveiligheid</f>
        <v>0</v>
      </c>
      <c r="AO125" s="279">
        <f>(AE125*P2_Reinigen_Lichtkoepel_50X50)+('Perceel 3'!AF125*P2_Reinigen_Lichtkoepel_60x200)+('Perceel 3'!AG125*P2_Reinigen_Lichtkoepel_180x180)+('Perceel 3'!AH125*P2_Reinigen_Lichtstraten_groter_dan_180x180)</f>
        <v>0</v>
      </c>
      <c r="AP125" s="279">
        <f>('Perceel 3'!X125+'Perceel 3'!Y125)*P2_Inspecteren_daken_en_goten_1x_per_jaar_gelijktijdig_met_reiniging_inclusief_inspectierapport_en_een_managementrapport</f>
        <v>0</v>
      </c>
      <c r="AQ125" s="305"/>
      <c r="AR125" s="332">
        <f t="shared" si="21"/>
        <v>0</v>
      </c>
      <c r="AS125" s="336">
        <f t="shared" si="22"/>
        <v>0</v>
      </c>
    </row>
    <row r="126" spans="1:45" s="7" customFormat="1" ht="38.450000000000003" hidden="1" customHeight="1" x14ac:dyDescent="0.45">
      <c r="A126" s="155"/>
      <c r="B126" s="152">
        <v>2</v>
      </c>
      <c r="C126" s="156" t="s">
        <v>135</v>
      </c>
      <c r="D126" s="156" t="s">
        <v>136</v>
      </c>
      <c r="E126" s="156"/>
      <c r="F126" s="156"/>
      <c r="G126" s="156"/>
      <c r="H126" s="151" t="s">
        <v>1003</v>
      </c>
      <c r="I126" s="151" t="s">
        <v>1004</v>
      </c>
      <c r="J126" s="157"/>
      <c r="K126" s="163"/>
      <c r="L126" s="151" t="s">
        <v>139</v>
      </c>
      <c r="M126" s="159" t="s">
        <v>140</v>
      </c>
      <c r="N126" s="160" t="s">
        <v>1005</v>
      </c>
      <c r="O126" s="159" t="s">
        <v>1006</v>
      </c>
      <c r="P126" s="160" t="s">
        <v>1007</v>
      </c>
      <c r="Q126" s="160" t="s">
        <v>1008</v>
      </c>
      <c r="R126" s="53" t="s">
        <v>895</v>
      </c>
      <c r="S126" s="160" t="s">
        <v>340</v>
      </c>
      <c r="T126" s="159" t="s">
        <v>1009</v>
      </c>
      <c r="U126" s="159" t="s">
        <v>1010</v>
      </c>
      <c r="V126" s="176" t="s">
        <v>1011</v>
      </c>
      <c r="W126" s="152">
        <v>1991</v>
      </c>
      <c r="X126" s="152">
        <v>207</v>
      </c>
      <c r="Y126" s="152"/>
      <c r="Z126" s="177"/>
      <c r="AA126" s="177"/>
      <c r="AB126" s="177"/>
      <c r="AC126" s="177"/>
      <c r="AD126" s="177"/>
      <c r="AE126" s="177"/>
      <c r="AF126" s="177"/>
      <c r="AG126" s="177"/>
      <c r="AH126" s="177"/>
      <c r="AI126" s="177"/>
      <c r="AJ126" s="177"/>
      <c r="AK126" s="257">
        <v>1</v>
      </c>
      <c r="AL126" s="271"/>
      <c r="AM126" s="277">
        <f>X126*P2_Reinigen_daken_incl._extra_maatregelen_veilig_werken_volgens_VCA__eventuele_vergunningen_leges___voorrijkosten__adminstratieve_kosten__fotorapportage_en_kleine_reparaties</f>
        <v>0</v>
      </c>
      <c r="AN126" s="279">
        <f>Y126*P2_Reinigen_goten_incl._extra_maatregelen_veilig_werken_volgens_VCA__eventuele_vergunningen_leges___voorrijkosten__adminstratieve_kosten__fotorapportage_en_kleine_reparaties</f>
        <v>0</v>
      </c>
      <c r="AO126" s="279">
        <f>(AE126*P2_Reinigen_Lichtkoepel_50X50)+('Perceel 3'!AF126*P2_Reinigen_Lichtkoepel_60x200)+('Perceel 3'!AG126*P2_Reinigen_Lichtkoepel_180x180)+('Perceel 3'!AH126*P2_Reinigen_Lichtstraten_groter_dan_180x180)</f>
        <v>0</v>
      </c>
      <c r="AP126" s="279">
        <f>('Perceel 3'!X126+'Perceel 3'!Y126)*P2_Inspecteren_daken_en_goten_1x_per_jaar_gelijktijdig_met_reiniging_inclusief_inspectierapport_en_een_managementrapport</f>
        <v>0</v>
      </c>
      <c r="AQ126" s="312"/>
      <c r="AR126" s="332">
        <f>AQ126*P2_keuren_dakveiligheid_per_man_uur</f>
        <v>0</v>
      </c>
      <c r="AS126" s="336">
        <f t="shared" si="22"/>
        <v>0</v>
      </c>
    </row>
    <row r="127" spans="1:45" s="7" customFormat="1" ht="38.450000000000003" hidden="1" customHeight="1" x14ac:dyDescent="0.45">
      <c r="A127" s="211"/>
      <c r="B127" s="225">
        <v>2</v>
      </c>
      <c r="C127" s="171" t="s">
        <v>135</v>
      </c>
      <c r="D127" s="171" t="s">
        <v>174</v>
      </c>
      <c r="E127" s="171"/>
      <c r="F127" s="171"/>
      <c r="G127" s="171"/>
      <c r="H127" s="15"/>
      <c r="I127" s="196"/>
      <c r="J127" s="15"/>
      <c r="K127" s="15"/>
      <c r="L127" s="196"/>
      <c r="M127" s="171"/>
      <c r="N127" s="211" t="s">
        <v>1012</v>
      </c>
      <c r="O127" s="171" t="s">
        <v>1013</v>
      </c>
      <c r="P127" s="211" t="s">
        <v>1014</v>
      </c>
      <c r="Q127" s="211" t="s">
        <v>1015</v>
      </c>
      <c r="R127" s="58" t="s">
        <v>853</v>
      </c>
      <c r="S127" s="211" t="s">
        <v>340</v>
      </c>
      <c r="T127" s="171"/>
      <c r="U127" s="171"/>
      <c r="V127" s="171"/>
      <c r="W127" s="211">
        <v>1995</v>
      </c>
      <c r="X127" s="261">
        <v>1236</v>
      </c>
      <c r="Y127" s="211"/>
      <c r="Z127" s="171"/>
      <c r="AA127" s="171" t="s">
        <v>150</v>
      </c>
      <c r="AB127" s="171">
        <v>20</v>
      </c>
      <c r="AC127" s="171"/>
      <c r="AD127" s="171" t="s">
        <v>1016</v>
      </c>
      <c r="AE127" s="171"/>
      <c r="AF127" s="171"/>
      <c r="AG127" s="171"/>
      <c r="AH127" s="171"/>
      <c r="AI127" s="171" t="s">
        <v>1017</v>
      </c>
      <c r="AJ127" s="171" t="s">
        <v>1018</v>
      </c>
      <c r="AK127" s="261">
        <v>1</v>
      </c>
      <c r="AL127" s="271"/>
      <c r="AM127" s="327"/>
      <c r="AN127" s="310"/>
      <c r="AO127" s="310"/>
      <c r="AP127" s="310"/>
      <c r="AQ127" s="305"/>
      <c r="AR127" s="339"/>
      <c r="AS127" s="342"/>
    </row>
    <row r="128" spans="1:45" s="7" customFormat="1" ht="55.5" hidden="1" customHeight="1" x14ac:dyDescent="0.45">
      <c r="A128" s="182"/>
      <c r="B128" s="181">
        <v>2</v>
      </c>
      <c r="C128" s="175" t="s">
        <v>135</v>
      </c>
      <c r="D128" s="175" t="s">
        <v>174</v>
      </c>
      <c r="E128" s="175"/>
      <c r="F128" s="175"/>
      <c r="G128" s="175"/>
      <c r="H128" s="174" t="s">
        <v>1019</v>
      </c>
      <c r="I128" s="174" t="s">
        <v>1020</v>
      </c>
      <c r="J128" s="197"/>
      <c r="K128" s="197"/>
      <c r="L128" s="174"/>
      <c r="M128" s="175" t="s">
        <v>349</v>
      </c>
      <c r="N128" s="182" t="s">
        <v>1021</v>
      </c>
      <c r="O128" s="175" t="s">
        <v>1022</v>
      </c>
      <c r="P128" s="182" t="s">
        <v>1014</v>
      </c>
      <c r="Q128" s="182" t="s">
        <v>1015</v>
      </c>
      <c r="R128" s="50" t="s">
        <v>853</v>
      </c>
      <c r="S128" s="182" t="s">
        <v>340</v>
      </c>
      <c r="T128" s="175" t="s">
        <v>169</v>
      </c>
      <c r="U128" s="175" t="s">
        <v>170</v>
      </c>
      <c r="V128" s="175" t="s">
        <v>171</v>
      </c>
      <c r="W128" s="182">
        <v>1995</v>
      </c>
      <c r="X128" s="306">
        <f>X127*4.25%</f>
        <v>52.53</v>
      </c>
      <c r="Y128" s="182"/>
      <c r="Z128" s="175"/>
      <c r="AA128" s="175" t="s">
        <v>150</v>
      </c>
      <c r="AB128" s="175"/>
      <c r="AC128" s="175"/>
      <c r="AD128" s="175"/>
      <c r="AE128" s="175"/>
      <c r="AF128" s="175"/>
      <c r="AG128" s="175"/>
      <c r="AH128" s="175"/>
      <c r="AI128" s="175" t="s">
        <v>345</v>
      </c>
      <c r="AJ128" s="175" t="s">
        <v>1018</v>
      </c>
      <c r="AK128" s="255">
        <v>1</v>
      </c>
      <c r="AL128" s="271"/>
      <c r="AM128" s="277">
        <f>X128*P2_reinigen_daken_met_vaste_dakveiligheid</f>
        <v>0</v>
      </c>
      <c r="AN128" s="279">
        <f>Y128*P2_reinigen_goten_met_vaste_dakveiligheid</f>
        <v>0</v>
      </c>
      <c r="AO128" s="279">
        <f>(AE128*P2_Reinigen_Lichtkoepel_50X50)+('Perceel 3'!AF128*P2_Reinigen_Lichtkoepel_60x200)+('Perceel 3'!AG128*P2_Reinigen_Lichtkoepel_180x180)+('Perceel 3'!AH128*P2_Reinigen_Lichtstraten_groter_dan_180x180)</f>
        <v>0</v>
      </c>
      <c r="AP128" s="279">
        <f>('Perceel 3'!X128+'Perceel 3'!Y128)*P2_Inspecteren_daken_en_goten_1x_per_jaar_gelijktijdig_met_reiniging_inclusief_inspectierapport_en_een_managementrapport</f>
        <v>0</v>
      </c>
      <c r="AQ128" s="307">
        <f>AQ127*4.25%</f>
        <v>0</v>
      </c>
      <c r="AR128" s="332">
        <f t="shared" si="21"/>
        <v>0</v>
      </c>
      <c r="AS128" s="336">
        <f t="shared" si="22"/>
        <v>0</v>
      </c>
    </row>
    <row r="129" spans="1:45" s="7" customFormat="1" ht="54" hidden="1" customHeight="1" x14ac:dyDescent="0.45">
      <c r="A129" s="182"/>
      <c r="B129" s="181">
        <v>2</v>
      </c>
      <c r="C129" s="175" t="s">
        <v>135</v>
      </c>
      <c r="D129" s="175" t="s">
        <v>174</v>
      </c>
      <c r="E129" s="175"/>
      <c r="F129" s="175"/>
      <c r="G129" s="175"/>
      <c r="H129" s="174" t="s">
        <v>1023</v>
      </c>
      <c r="I129" s="174" t="s">
        <v>1024</v>
      </c>
      <c r="J129" s="197"/>
      <c r="K129" s="197"/>
      <c r="L129" s="174"/>
      <c r="M129" s="175" t="s">
        <v>349</v>
      </c>
      <c r="N129" s="182" t="s">
        <v>1025</v>
      </c>
      <c r="O129" s="175" t="s">
        <v>1026</v>
      </c>
      <c r="P129" s="182" t="s">
        <v>1014</v>
      </c>
      <c r="Q129" s="182" t="s">
        <v>1015</v>
      </c>
      <c r="R129" s="50" t="s">
        <v>853</v>
      </c>
      <c r="S129" s="182" t="s">
        <v>340</v>
      </c>
      <c r="T129" s="175" t="s">
        <v>1027</v>
      </c>
      <c r="U129" s="175" t="s">
        <v>1028</v>
      </c>
      <c r="V129" s="175" t="s">
        <v>1029</v>
      </c>
      <c r="W129" s="182">
        <v>1995</v>
      </c>
      <c r="X129" s="306">
        <f>X127*95.75%</f>
        <v>1183.47</v>
      </c>
      <c r="Y129" s="182"/>
      <c r="Z129" s="175"/>
      <c r="AA129" s="175" t="s">
        <v>150</v>
      </c>
      <c r="AB129" s="175"/>
      <c r="AC129" s="175"/>
      <c r="AD129" s="175"/>
      <c r="AE129" s="175"/>
      <c r="AF129" s="175"/>
      <c r="AG129" s="175"/>
      <c r="AH129" s="175"/>
      <c r="AI129" s="175" t="s">
        <v>1017</v>
      </c>
      <c r="AJ129" s="175" t="s">
        <v>1018</v>
      </c>
      <c r="AK129" s="255">
        <v>1</v>
      </c>
      <c r="AL129" s="271"/>
      <c r="AM129" s="277">
        <f>X129*P2_reinigen_daken_met_vaste_dakveiligheid</f>
        <v>0</v>
      </c>
      <c r="AN129" s="279">
        <f>Y129*P2_reinigen_goten_met_vaste_dakveiligheid</f>
        <v>0</v>
      </c>
      <c r="AO129" s="279">
        <f>(AE129*P2_Reinigen_Lichtkoepel_50X50)+('Perceel 3'!AF129*P2_Reinigen_Lichtkoepel_60x200)+('Perceel 3'!AG129*P2_Reinigen_Lichtkoepel_180x180)+('Perceel 3'!AH129*P2_Reinigen_Lichtstraten_groter_dan_180x180)</f>
        <v>0</v>
      </c>
      <c r="AP129" s="279">
        <f>('Perceel 3'!X129+'Perceel 3'!Y129)*P2_Inspecteren_daken_en_goten_1x_per_jaar_gelijktijdig_met_reiniging_inclusief_inspectierapport_en_een_managementrapport</f>
        <v>0</v>
      </c>
      <c r="AQ129" s="307">
        <f>AQ127*95.75%</f>
        <v>0</v>
      </c>
      <c r="AR129" s="332">
        <f t="shared" si="21"/>
        <v>0</v>
      </c>
      <c r="AS129" s="336">
        <f t="shared" si="22"/>
        <v>0</v>
      </c>
    </row>
    <row r="130" spans="1:45" s="7" customFormat="1" ht="51.75" hidden="1" thickTop="1" thickBot="1" x14ac:dyDescent="0.5">
      <c r="A130" s="155"/>
      <c r="B130" s="152">
        <v>2</v>
      </c>
      <c r="C130" s="156" t="s">
        <v>135</v>
      </c>
      <c r="D130" s="156" t="s">
        <v>136</v>
      </c>
      <c r="E130" s="156"/>
      <c r="F130" s="156"/>
      <c r="G130" s="156"/>
      <c r="H130" s="151" t="s">
        <v>1030</v>
      </c>
      <c r="I130" s="151" t="s">
        <v>1031</v>
      </c>
      <c r="J130" s="157"/>
      <c r="K130" s="163"/>
      <c r="L130" s="151" t="s">
        <v>139</v>
      </c>
      <c r="M130" s="159" t="s">
        <v>140</v>
      </c>
      <c r="N130" s="159" t="s">
        <v>1032</v>
      </c>
      <c r="O130" s="159" t="s">
        <v>1033</v>
      </c>
      <c r="P130" s="160" t="s">
        <v>1034</v>
      </c>
      <c r="Q130" s="160" t="s">
        <v>1035</v>
      </c>
      <c r="R130" s="53" t="s">
        <v>895</v>
      </c>
      <c r="S130" s="160" t="s">
        <v>340</v>
      </c>
      <c r="T130" s="159" t="s">
        <v>1036</v>
      </c>
      <c r="U130" s="159" t="s">
        <v>1037</v>
      </c>
      <c r="V130" s="176" t="s">
        <v>1038</v>
      </c>
      <c r="W130" s="152">
        <v>1986</v>
      </c>
      <c r="X130" s="152">
        <v>14321</v>
      </c>
      <c r="Y130" s="152"/>
      <c r="Z130" s="177" t="s">
        <v>311</v>
      </c>
      <c r="AA130" s="177" t="s">
        <v>150</v>
      </c>
      <c r="AB130" s="177">
        <f>130+14+31</f>
        <v>175</v>
      </c>
      <c r="AC130" s="177">
        <v>500</v>
      </c>
      <c r="AD130" s="177" t="s">
        <v>1039</v>
      </c>
      <c r="AE130" s="177"/>
      <c r="AF130" s="177"/>
      <c r="AG130" s="177"/>
      <c r="AH130" s="177"/>
      <c r="AI130" s="189" t="s">
        <v>1040</v>
      </c>
      <c r="AJ130" s="189" t="s">
        <v>1041</v>
      </c>
      <c r="AK130" s="257">
        <v>1</v>
      </c>
      <c r="AL130" s="294"/>
      <c r="AM130" s="277">
        <f>X130*P2_reinigen_daken_met_vaste_dakveiligheid</f>
        <v>0</v>
      </c>
      <c r="AN130" s="279">
        <f>Y130*P2_reinigen_goten_met_vaste_dakveiligheid</f>
        <v>0</v>
      </c>
      <c r="AO130" s="279">
        <f>(AE130*P2_Reinigen_Lichtkoepel_50X50)+('Perceel 3'!AF130*P2_Reinigen_Lichtkoepel_60x200)+('Perceel 3'!AG130*P2_Reinigen_Lichtkoepel_180x180)+('Perceel 3'!AH130*P2_Reinigen_Lichtstraten_groter_dan_180x180)</f>
        <v>0</v>
      </c>
      <c r="AP130" s="279">
        <f>('Perceel 3'!X130+'Perceel 3'!Y130)*P2_Inspecteren_daken_en_goten_1x_per_jaar_gelijktijdig_met_reiniging_inclusief_inspectierapport_en_een_managementrapport</f>
        <v>0</v>
      </c>
      <c r="AQ130" s="305"/>
      <c r="AR130" s="332">
        <f t="shared" si="21"/>
        <v>0</v>
      </c>
      <c r="AS130" s="336">
        <f t="shared" si="22"/>
        <v>0</v>
      </c>
    </row>
    <row r="131" spans="1:45" s="7" customFormat="1" ht="39.200000000000003" hidden="1" customHeight="1" x14ac:dyDescent="0.45">
      <c r="A131" s="155"/>
      <c r="B131" s="152">
        <v>2</v>
      </c>
      <c r="C131" s="156" t="s">
        <v>135</v>
      </c>
      <c r="D131" s="156" t="s">
        <v>136</v>
      </c>
      <c r="E131" s="156"/>
      <c r="F131" s="156"/>
      <c r="G131" s="156"/>
      <c r="H131" s="151" t="s">
        <v>1042</v>
      </c>
      <c r="I131" s="151" t="s">
        <v>1043</v>
      </c>
      <c r="J131" s="157"/>
      <c r="K131" s="163"/>
      <c r="L131" s="151" t="s">
        <v>191</v>
      </c>
      <c r="M131" s="151" t="s">
        <v>890</v>
      </c>
      <c r="N131" s="159" t="s">
        <v>1044</v>
      </c>
      <c r="O131" s="159" t="s">
        <v>1045</v>
      </c>
      <c r="P131" s="160" t="s">
        <v>1046</v>
      </c>
      <c r="Q131" s="160" t="s">
        <v>1047</v>
      </c>
      <c r="R131" s="53" t="s">
        <v>895</v>
      </c>
      <c r="S131" s="160" t="s">
        <v>340</v>
      </c>
      <c r="T131" s="159" t="s">
        <v>1048</v>
      </c>
      <c r="U131" s="159" t="s">
        <v>1049</v>
      </c>
      <c r="V131" s="176" t="s">
        <v>1050</v>
      </c>
      <c r="W131" s="152">
        <v>2009</v>
      </c>
      <c r="X131" s="152">
        <v>4226</v>
      </c>
      <c r="Y131" s="152"/>
      <c r="Z131" s="177"/>
      <c r="AA131" s="177" t="s">
        <v>311</v>
      </c>
      <c r="AB131" s="177">
        <v>15</v>
      </c>
      <c r="AC131" s="177">
        <v>30</v>
      </c>
      <c r="AD131" s="177"/>
      <c r="AE131" s="177"/>
      <c r="AF131" s="177"/>
      <c r="AG131" s="177"/>
      <c r="AH131" s="177"/>
      <c r="AI131" s="177"/>
      <c r="AJ131" s="177"/>
      <c r="AK131" s="257">
        <v>1</v>
      </c>
      <c r="AL131" s="271"/>
      <c r="AM131" s="277">
        <f>X131*P2_reinigen_daken_met_vaste_dakveiligheid</f>
        <v>0</v>
      </c>
      <c r="AN131" s="279">
        <f>Y131*P2_reinigen_goten_met_vaste_dakveiligheid</f>
        <v>0</v>
      </c>
      <c r="AO131" s="279">
        <f>(AE131*P2_Reinigen_Lichtkoepel_50X50)+('Perceel 3'!AF131*P2_Reinigen_Lichtkoepel_60x200)+('Perceel 3'!AG131*P2_Reinigen_Lichtkoepel_180x180)+('Perceel 3'!AH131*P2_Reinigen_Lichtstraten_groter_dan_180x180)</f>
        <v>0</v>
      </c>
      <c r="AP131" s="279">
        <f>('Perceel 3'!X131+'Perceel 3'!Y131)*P2_Inspecteren_daken_en_goten_1x_per_jaar_gelijktijdig_met_reiniging_inclusief_inspectierapport_en_een_managementrapport</f>
        <v>0</v>
      </c>
      <c r="AQ131" s="305"/>
      <c r="AR131" s="332">
        <f t="shared" si="21"/>
        <v>0</v>
      </c>
      <c r="AS131" s="336">
        <f t="shared" si="22"/>
        <v>0</v>
      </c>
    </row>
    <row r="132" spans="1:45" s="7" customFormat="1" ht="89.25" hidden="1" customHeight="1" x14ac:dyDescent="0.45">
      <c r="A132" s="155"/>
      <c r="B132" s="152">
        <v>2</v>
      </c>
      <c r="C132" s="156" t="s">
        <v>135</v>
      </c>
      <c r="D132" s="156" t="s">
        <v>136</v>
      </c>
      <c r="E132" s="156"/>
      <c r="F132" s="156"/>
      <c r="G132" s="156"/>
      <c r="H132" s="151" t="s">
        <v>1051</v>
      </c>
      <c r="I132" s="151" t="s">
        <v>1052</v>
      </c>
      <c r="J132" s="157"/>
      <c r="K132" s="163"/>
      <c r="L132" s="151" t="s">
        <v>191</v>
      </c>
      <c r="M132" s="151" t="s">
        <v>890</v>
      </c>
      <c r="N132" s="159" t="s">
        <v>1053</v>
      </c>
      <c r="O132" s="159" t="s">
        <v>1054</v>
      </c>
      <c r="P132" s="159" t="s">
        <v>1055</v>
      </c>
      <c r="Q132" s="159" t="s">
        <v>1056</v>
      </c>
      <c r="R132" s="42" t="s">
        <v>895</v>
      </c>
      <c r="S132" s="159" t="s">
        <v>340</v>
      </c>
      <c r="T132" s="159" t="s">
        <v>1057</v>
      </c>
      <c r="U132" s="159" t="s">
        <v>1058</v>
      </c>
      <c r="V132" s="176" t="s">
        <v>1059</v>
      </c>
      <c r="W132" s="152">
        <v>1987</v>
      </c>
      <c r="X132" s="152">
        <v>2275</v>
      </c>
      <c r="Y132" s="152"/>
      <c r="Z132" s="177" t="s">
        <v>311</v>
      </c>
      <c r="AA132" s="177" t="s">
        <v>150</v>
      </c>
      <c r="AB132" s="177">
        <v>73</v>
      </c>
      <c r="AC132" s="177">
        <v>174</v>
      </c>
      <c r="AD132" s="177"/>
      <c r="AE132" s="177"/>
      <c r="AF132" s="177"/>
      <c r="AG132" s="177"/>
      <c r="AH132" s="177"/>
      <c r="AI132" s="177" t="s">
        <v>345</v>
      </c>
      <c r="AJ132" s="177" t="s">
        <v>1018</v>
      </c>
      <c r="AK132" s="257">
        <v>1</v>
      </c>
      <c r="AL132" s="271"/>
      <c r="AM132" s="277">
        <f>X132*P2_reinigen_daken_met_vaste_dakveiligheid</f>
        <v>0</v>
      </c>
      <c r="AN132" s="279">
        <f>Y132*P2_reinigen_goten_met_vaste_dakveiligheid</f>
        <v>0</v>
      </c>
      <c r="AO132" s="279">
        <f>(AE132*P2_Reinigen_Lichtkoepel_50X50)+('Perceel 3'!AF132*P2_Reinigen_Lichtkoepel_60x200)+('Perceel 3'!AG132*P2_Reinigen_Lichtkoepel_180x180)+('Perceel 3'!AH132*P2_Reinigen_Lichtstraten_groter_dan_180x180)</f>
        <v>0</v>
      </c>
      <c r="AP132" s="279">
        <f>('Perceel 3'!X132+'Perceel 3'!Y132)*P2_Inspecteren_daken_en_goten_1x_per_jaar_gelijktijdig_met_reiniging_inclusief_inspectierapport_en_een_managementrapport</f>
        <v>0</v>
      </c>
      <c r="AQ132" s="305"/>
      <c r="AR132" s="332">
        <f t="shared" si="21"/>
        <v>0</v>
      </c>
      <c r="AS132" s="336">
        <f t="shared" si="22"/>
        <v>0</v>
      </c>
    </row>
    <row r="133" spans="1:45" s="7" customFormat="1" ht="96.75" hidden="1" customHeight="1" x14ac:dyDescent="0.45">
      <c r="A133" s="161"/>
      <c r="B133" s="152">
        <v>2</v>
      </c>
      <c r="C133" s="156" t="s">
        <v>135</v>
      </c>
      <c r="D133" s="156" t="s">
        <v>136</v>
      </c>
      <c r="E133" s="156"/>
      <c r="F133" s="156"/>
      <c r="G133" s="156"/>
      <c r="H133" s="203" t="s">
        <v>1060</v>
      </c>
      <c r="I133" s="203" t="s">
        <v>1061</v>
      </c>
      <c r="J133" s="157"/>
      <c r="K133" s="163"/>
      <c r="L133" s="151" t="s">
        <v>139</v>
      </c>
      <c r="M133" s="159" t="s">
        <v>140</v>
      </c>
      <c r="N133" s="192" t="s">
        <v>1062</v>
      </c>
      <c r="O133" s="159" t="s">
        <v>1063</v>
      </c>
      <c r="P133" s="159" t="s">
        <v>1063</v>
      </c>
      <c r="Q133" s="159" t="s">
        <v>1064</v>
      </c>
      <c r="R133" s="42" t="s">
        <v>895</v>
      </c>
      <c r="S133" s="159" t="s">
        <v>340</v>
      </c>
      <c r="T133" s="159" t="s">
        <v>169</v>
      </c>
      <c r="U133" s="159" t="s">
        <v>170</v>
      </c>
      <c r="V133" s="176" t="s">
        <v>171</v>
      </c>
      <c r="W133" s="152">
        <v>2017</v>
      </c>
      <c r="X133" s="152">
        <f>75+28+30</f>
        <v>133</v>
      </c>
      <c r="Y133" s="152">
        <v>13</v>
      </c>
      <c r="Z133" s="177"/>
      <c r="AA133" s="177"/>
      <c r="AB133" s="177"/>
      <c r="AC133" s="177"/>
      <c r="AD133" s="177"/>
      <c r="AE133" s="177"/>
      <c r="AF133" s="177"/>
      <c r="AG133" s="177"/>
      <c r="AH133" s="177"/>
      <c r="AI133" s="177" t="s">
        <v>1065</v>
      </c>
      <c r="AJ133" s="177"/>
      <c r="AK133" s="177">
        <v>1</v>
      </c>
      <c r="AL133" s="272"/>
      <c r="AM133" s="277">
        <f>X133*P2_Reinigen_daken_incl._extra_maatregelen_veilig_werken_volgens_VCA__eventuele_vergunningen_leges___voorrijkosten__adminstratieve_kosten__fotorapportage_en_kleine_reparaties</f>
        <v>0</v>
      </c>
      <c r="AN133" s="279">
        <f>Y133*P2_Reinigen_goten_incl._extra_maatregelen_veilig_werken_volgens_VCA__eventuele_vergunningen_leges___voorrijkosten__adminstratieve_kosten__fotorapportage_en_kleine_reparaties</f>
        <v>0</v>
      </c>
      <c r="AO133" s="279">
        <f>(AE133*P2_Reinigen_Lichtkoepel_50X50)+('Perceel 3'!AF133*P2_Reinigen_Lichtkoepel_60x200)+('Perceel 3'!AG133*P2_Reinigen_Lichtkoepel_180x180)+('Perceel 3'!AH133*P2_Reinigen_Lichtstraten_groter_dan_180x180)</f>
        <v>0</v>
      </c>
      <c r="AP133" s="279">
        <f>('Perceel 3'!X133+'Perceel 3'!Y133)*P2_Inspecteren_daken_en_goten_1x_per_jaar_gelijktijdig_met_reiniging_inclusief_inspectierapport_en_een_managementrapport</f>
        <v>0</v>
      </c>
      <c r="AQ133" s="312"/>
      <c r="AR133" s="332">
        <f>AQ133*P2_keuren_dakveiligheid_per_man_uur</f>
        <v>0</v>
      </c>
      <c r="AS133" s="336">
        <f t="shared" si="22"/>
        <v>13</v>
      </c>
    </row>
    <row r="134" spans="1:45" s="7" customFormat="1" ht="25.5" hidden="1" customHeight="1" x14ac:dyDescent="0.45">
      <c r="A134" s="155"/>
      <c r="B134" s="152">
        <v>2</v>
      </c>
      <c r="C134" s="156" t="s">
        <v>135</v>
      </c>
      <c r="D134" s="156" t="s">
        <v>136</v>
      </c>
      <c r="E134" s="156"/>
      <c r="F134" s="156"/>
      <c r="G134" s="156"/>
      <c r="H134" s="151" t="s">
        <v>1066</v>
      </c>
      <c r="I134" s="151" t="s">
        <v>1067</v>
      </c>
      <c r="J134" s="157"/>
      <c r="K134" s="163"/>
      <c r="L134" s="163" t="s">
        <v>154</v>
      </c>
      <c r="M134" s="166" t="s">
        <v>544</v>
      </c>
      <c r="N134" s="164">
        <v>4115</v>
      </c>
      <c r="O134" s="159" t="s">
        <v>1068</v>
      </c>
      <c r="P134" s="159" t="s">
        <v>1069</v>
      </c>
      <c r="Q134" s="159" t="s">
        <v>1070</v>
      </c>
      <c r="R134" s="42" t="s">
        <v>1071</v>
      </c>
      <c r="S134" s="159" t="s">
        <v>340</v>
      </c>
      <c r="T134" s="166" t="s">
        <v>160</v>
      </c>
      <c r="U134" s="166" t="s">
        <v>161</v>
      </c>
      <c r="V134" s="178" t="s">
        <v>162</v>
      </c>
      <c r="W134" s="152">
        <v>2014</v>
      </c>
      <c r="X134" s="152">
        <v>912</v>
      </c>
      <c r="Y134" s="152"/>
      <c r="Z134" s="177" t="s">
        <v>311</v>
      </c>
      <c r="AA134" s="177" t="s">
        <v>150</v>
      </c>
      <c r="AB134" s="177">
        <v>13</v>
      </c>
      <c r="AC134" s="177">
        <v>69</v>
      </c>
      <c r="AD134" s="177" t="s">
        <v>423</v>
      </c>
      <c r="AE134" s="177"/>
      <c r="AF134" s="177"/>
      <c r="AG134" s="177"/>
      <c r="AH134" s="177"/>
      <c r="AI134" s="177"/>
      <c r="AJ134" s="177"/>
      <c r="AK134" s="257">
        <v>1</v>
      </c>
      <c r="AL134" s="271"/>
      <c r="AM134" s="277">
        <f>X134*P2_reinigen_daken_met_vaste_dakveiligheid</f>
        <v>0</v>
      </c>
      <c r="AN134" s="279">
        <f>Y134*P2_reinigen_goten_met_vaste_dakveiligheid</f>
        <v>0</v>
      </c>
      <c r="AO134" s="279">
        <f>(AE134*P2_Reinigen_Lichtkoepel_50X50)+('Perceel 3'!AF134*P2_Reinigen_Lichtkoepel_60x200)+('Perceel 3'!AG134*P2_Reinigen_Lichtkoepel_180x180)+('Perceel 3'!AH134*P2_Reinigen_Lichtstraten_groter_dan_180x180)</f>
        <v>0</v>
      </c>
      <c r="AP134" s="279">
        <f>('Perceel 3'!X134+'Perceel 3'!Y134)*P2_Inspecteren_daken_en_goten_1x_per_jaar_gelijktijdig_met_reiniging_inclusief_inspectierapport_en_een_managementrapport</f>
        <v>0</v>
      </c>
      <c r="AQ134" s="305"/>
      <c r="AR134" s="332">
        <f t="shared" si="21"/>
        <v>0</v>
      </c>
      <c r="AS134" s="336">
        <f t="shared" si="22"/>
        <v>0</v>
      </c>
    </row>
    <row r="135" spans="1:45" s="7" customFormat="1" ht="76.5" hidden="1" customHeight="1" x14ac:dyDescent="0.45">
      <c r="A135" s="155"/>
      <c r="B135" s="152">
        <v>2</v>
      </c>
      <c r="C135" s="156" t="s">
        <v>135</v>
      </c>
      <c r="D135" s="156" t="s">
        <v>136</v>
      </c>
      <c r="E135" s="156"/>
      <c r="F135" s="156"/>
      <c r="G135" s="156"/>
      <c r="H135" s="151" t="s">
        <v>1072</v>
      </c>
      <c r="I135" s="151" t="s">
        <v>1073</v>
      </c>
      <c r="J135" s="157"/>
      <c r="K135" s="163"/>
      <c r="L135" s="151" t="s">
        <v>139</v>
      </c>
      <c r="M135" s="159" t="s">
        <v>140</v>
      </c>
      <c r="N135" s="159" t="s">
        <v>1074</v>
      </c>
      <c r="O135" s="159" t="s">
        <v>1075</v>
      </c>
      <c r="P135" s="160" t="s">
        <v>1076</v>
      </c>
      <c r="Q135" s="160" t="s">
        <v>1077</v>
      </c>
      <c r="R135" s="53" t="s">
        <v>895</v>
      </c>
      <c r="S135" s="160" t="s">
        <v>340</v>
      </c>
      <c r="T135" s="159" t="s">
        <v>1078</v>
      </c>
      <c r="U135" s="159" t="s">
        <v>1079</v>
      </c>
      <c r="V135" s="176" t="s">
        <v>1080</v>
      </c>
      <c r="W135" s="152">
        <v>1980</v>
      </c>
      <c r="X135" s="152">
        <v>312</v>
      </c>
      <c r="Y135" s="152"/>
      <c r="Z135" s="177"/>
      <c r="AA135" s="177" t="s">
        <v>150</v>
      </c>
      <c r="AB135" s="177">
        <v>7</v>
      </c>
      <c r="AC135" s="177"/>
      <c r="AD135" s="177"/>
      <c r="AE135" s="177"/>
      <c r="AF135" s="177"/>
      <c r="AG135" s="177"/>
      <c r="AH135" s="177"/>
      <c r="AI135" s="177" t="s">
        <v>345</v>
      </c>
      <c r="AJ135" s="177" t="s">
        <v>1081</v>
      </c>
      <c r="AK135" s="257">
        <v>1</v>
      </c>
      <c r="AL135" s="271"/>
      <c r="AM135" s="277">
        <f>X135*P2_reinigen_daken_met_vaste_dakveiligheid</f>
        <v>0</v>
      </c>
      <c r="AN135" s="279">
        <f>Y135*P2_reinigen_goten_met_vaste_dakveiligheid</f>
        <v>0</v>
      </c>
      <c r="AO135" s="279">
        <f>(AE135*P2_Reinigen_Lichtkoepel_50X50)+('Perceel 3'!AF135*P2_Reinigen_Lichtkoepel_60x200)+('Perceel 3'!AG135*P2_Reinigen_Lichtkoepel_180x180)+('Perceel 3'!AH135*P2_Reinigen_Lichtstraten_groter_dan_180x180)</f>
        <v>0</v>
      </c>
      <c r="AP135" s="279">
        <f>('Perceel 3'!X135+'Perceel 3'!Y135)*P2_Inspecteren_daken_en_goten_1x_per_jaar_gelijktijdig_met_reiniging_inclusief_inspectierapport_en_een_managementrapport</f>
        <v>0</v>
      </c>
      <c r="AQ135" s="305"/>
      <c r="AR135" s="332">
        <f t="shared" si="21"/>
        <v>0</v>
      </c>
      <c r="AS135" s="336">
        <f t="shared" si="22"/>
        <v>0</v>
      </c>
    </row>
    <row r="136" spans="1:45" s="7" customFormat="1" ht="25.5" hidden="1" customHeight="1" x14ac:dyDescent="0.45">
      <c r="A136" s="211"/>
      <c r="B136" s="212">
        <v>2</v>
      </c>
      <c r="C136" s="171" t="s">
        <v>135</v>
      </c>
      <c r="D136" s="171" t="s">
        <v>136</v>
      </c>
      <c r="E136" s="171" t="s">
        <v>174</v>
      </c>
      <c r="F136" s="171"/>
      <c r="G136" s="171"/>
      <c r="H136" s="15"/>
      <c r="I136" s="196"/>
      <c r="J136" s="15"/>
      <c r="K136" s="15"/>
      <c r="L136" s="196"/>
      <c r="M136" s="171"/>
      <c r="N136" s="211" t="s">
        <v>1082</v>
      </c>
      <c r="O136" s="171" t="s">
        <v>1083</v>
      </c>
      <c r="P136" s="211" t="s">
        <v>1084</v>
      </c>
      <c r="Q136" s="211" t="s">
        <v>1085</v>
      </c>
      <c r="R136" s="58" t="s">
        <v>853</v>
      </c>
      <c r="S136" s="211" t="s">
        <v>340</v>
      </c>
      <c r="T136" s="171"/>
      <c r="U136" s="171"/>
      <c r="V136" s="171"/>
      <c r="W136" s="211">
        <v>1997</v>
      </c>
      <c r="X136" s="261">
        <v>1028</v>
      </c>
      <c r="Y136" s="211"/>
      <c r="Z136" s="171"/>
      <c r="AA136" s="171"/>
      <c r="AB136" s="171"/>
      <c r="AC136" s="171"/>
      <c r="AD136" s="171"/>
      <c r="AE136" s="171"/>
      <c r="AF136" s="171"/>
      <c r="AG136" s="171"/>
      <c r="AH136" s="171"/>
      <c r="AI136" s="171"/>
      <c r="AJ136" s="171"/>
      <c r="AK136" s="261">
        <v>1</v>
      </c>
      <c r="AL136" s="276"/>
      <c r="AM136" s="327"/>
      <c r="AN136" s="310"/>
      <c r="AO136" s="310"/>
      <c r="AP136" s="310"/>
      <c r="AQ136" s="312"/>
      <c r="AR136" s="339"/>
      <c r="AS136" s="342"/>
    </row>
    <row r="137" spans="1:45" s="7" customFormat="1" ht="25.5" hidden="1" customHeight="1" x14ac:dyDescent="0.45">
      <c r="A137" s="182"/>
      <c r="B137" s="181">
        <v>2</v>
      </c>
      <c r="C137" s="175" t="s">
        <v>135</v>
      </c>
      <c r="D137" s="175" t="s">
        <v>174</v>
      </c>
      <c r="E137" s="175"/>
      <c r="F137" s="175"/>
      <c r="G137" s="175"/>
      <c r="H137" s="174" t="s">
        <v>1086</v>
      </c>
      <c r="I137" s="174" t="s">
        <v>1087</v>
      </c>
      <c r="J137" s="197"/>
      <c r="K137" s="197"/>
      <c r="L137" s="174"/>
      <c r="M137" s="175" t="s">
        <v>349</v>
      </c>
      <c r="N137" s="182" t="s">
        <v>1088</v>
      </c>
      <c r="O137" s="175" t="s">
        <v>1089</v>
      </c>
      <c r="P137" s="182" t="s">
        <v>1090</v>
      </c>
      <c r="Q137" s="182" t="s">
        <v>1085</v>
      </c>
      <c r="R137" s="50" t="s">
        <v>853</v>
      </c>
      <c r="S137" s="182" t="s">
        <v>340</v>
      </c>
      <c r="T137" s="175" t="s">
        <v>1091</v>
      </c>
      <c r="U137" s="175" t="s">
        <v>1092</v>
      </c>
      <c r="V137" s="187" t="s">
        <v>1093</v>
      </c>
      <c r="W137" s="182">
        <v>1997</v>
      </c>
      <c r="X137" s="255">
        <f>X136*84%</f>
        <v>863.52</v>
      </c>
      <c r="Y137" s="182"/>
      <c r="Z137" s="175"/>
      <c r="AA137" s="175"/>
      <c r="AB137" s="175"/>
      <c r="AC137" s="175"/>
      <c r="AD137" s="175"/>
      <c r="AE137" s="175"/>
      <c r="AF137" s="175"/>
      <c r="AG137" s="175"/>
      <c r="AH137" s="175"/>
      <c r="AI137" s="175"/>
      <c r="AJ137" s="175"/>
      <c r="AK137" s="255">
        <v>1</v>
      </c>
      <c r="AL137" s="271"/>
      <c r="AM137" s="277">
        <f t="shared" ref="AM137:AM146" si="23">X137*P2_Reinigen_daken_incl._extra_maatregelen_veilig_werken_volgens_VCA__eventuele_vergunningen_leges___voorrijkosten__adminstratieve_kosten__fotorapportage_en_kleine_reparaties</f>
        <v>0</v>
      </c>
      <c r="AN137" s="279">
        <f t="shared" ref="AN137:AN146" si="24">Y137*P2_Reinigen_goten_incl._extra_maatregelen_veilig_werken_volgens_VCA__eventuele_vergunningen_leges___voorrijkosten__adminstratieve_kosten__fotorapportage_en_kleine_reparaties</f>
        <v>0</v>
      </c>
      <c r="AO137" s="279">
        <f>(AE137*P2_Reinigen_Lichtkoepel_50X50)+('Perceel 3'!AF137*P2_Reinigen_Lichtkoepel_60x200)+('Perceel 3'!AG137*P2_Reinigen_Lichtkoepel_180x180)+('Perceel 3'!AH137*P2_Reinigen_Lichtstraten_groter_dan_180x180)</f>
        <v>0</v>
      </c>
      <c r="AP137" s="279">
        <f>('Perceel 3'!X137+'Perceel 3'!Y137)*P2_Inspecteren_daken_en_goten_1x_per_jaar_gelijktijdig_met_reiniging_inclusief_inspectierapport_en_een_managementrapport</f>
        <v>0</v>
      </c>
      <c r="AQ137" s="312"/>
      <c r="AR137" s="332">
        <f t="shared" ref="AR137:AR175" si="25">AQ137*P2_keuren_dakveiligheid_per_man_uur</f>
        <v>0</v>
      </c>
      <c r="AS137" s="336">
        <f t="shared" ref="AS137:AS192" si="26">(AM137*AK137)+(Y137*AK137)+AO137+AP137+AR137</f>
        <v>0</v>
      </c>
    </row>
    <row r="138" spans="1:45" s="7" customFormat="1" ht="51.75" hidden="1" thickTop="1" thickBot="1" x14ac:dyDescent="0.5">
      <c r="A138" s="182"/>
      <c r="B138" s="181">
        <v>2</v>
      </c>
      <c r="C138" s="175" t="s">
        <v>135</v>
      </c>
      <c r="D138" s="175" t="s">
        <v>136</v>
      </c>
      <c r="E138" s="175"/>
      <c r="F138" s="175"/>
      <c r="G138" s="175"/>
      <c r="H138" s="174" t="s">
        <v>1094</v>
      </c>
      <c r="I138" s="174" t="s">
        <v>1095</v>
      </c>
      <c r="J138" s="197"/>
      <c r="K138" s="197"/>
      <c r="L138" s="174"/>
      <c r="M138" s="191" t="s">
        <v>544</v>
      </c>
      <c r="N138" s="182" t="s">
        <v>1096</v>
      </c>
      <c r="O138" s="175" t="s">
        <v>1097</v>
      </c>
      <c r="P138" s="182" t="s">
        <v>1098</v>
      </c>
      <c r="Q138" s="182" t="s">
        <v>1085</v>
      </c>
      <c r="R138" s="50" t="s">
        <v>853</v>
      </c>
      <c r="S138" s="182" t="s">
        <v>340</v>
      </c>
      <c r="T138" s="175" t="s">
        <v>169</v>
      </c>
      <c r="U138" s="175" t="s">
        <v>170</v>
      </c>
      <c r="V138" s="175" t="s">
        <v>171</v>
      </c>
      <c r="W138" s="182">
        <v>1997</v>
      </c>
      <c r="X138" s="255">
        <f>X136*16%</f>
        <v>164.48</v>
      </c>
      <c r="Y138" s="182"/>
      <c r="Z138" s="175"/>
      <c r="AA138" s="175"/>
      <c r="AB138" s="175"/>
      <c r="AC138" s="175"/>
      <c r="AD138" s="175"/>
      <c r="AE138" s="175"/>
      <c r="AF138" s="175"/>
      <c r="AG138" s="175"/>
      <c r="AH138" s="175"/>
      <c r="AI138" s="175"/>
      <c r="AJ138" s="175"/>
      <c r="AK138" s="255">
        <v>1</v>
      </c>
      <c r="AL138" s="271"/>
      <c r="AM138" s="277">
        <f t="shared" si="23"/>
        <v>0</v>
      </c>
      <c r="AN138" s="279">
        <f t="shared" si="24"/>
        <v>0</v>
      </c>
      <c r="AO138" s="279">
        <f>(AE138*P2_Reinigen_Lichtkoepel_50X50)+('Perceel 3'!AF138*P2_Reinigen_Lichtkoepel_60x200)+('Perceel 3'!AG138*P2_Reinigen_Lichtkoepel_180x180)+('Perceel 3'!AH138*P2_Reinigen_Lichtstraten_groter_dan_180x180)</f>
        <v>0</v>
      </c>
      <c r="AP138" s="279">
        <f>('Perceel 3'!X138+'Perceel 3'!Y138)*P2_Inspecteren_daken_en_goten_1x_per_jaar_gelijktijdig_met_reiniging_inclusief_inspectierapport_en_een_managementrapport</f>
        <v>0</v>
      </c>
      <c r="AQ138" s="312"/>
      <c r="AR138" s="332">
        <f t="shared" si="25"/>
        <v>0</v>
      </c>
      <c r="AS138" s="336">
        <f t="shared" si="26"/>
        <v>0</v>
      </c>
    </row>
    <row r="139" spans="1:45" s="7" customFormat="1" ht="25.5" hidden="1" customHeight="1" x14ac:dyDescent="0.45">
      <c r="A139" s="155"/>
      <c r="B139" s="152">
        <v>2</v>
      </c>
      <c r="C139" s="156" t="s">
        <v>135</v>
      </c>
      <c r="D139" s="156" t="s">
        <v>136</v>
      </c>
      <c r="E139" s="156"/>
      <c r="F139" s="156"/>
      <c r="G139" s="156"/>
      <c r="H139" s="151" t="s">
        <v>1099</v>
      </c>
      <c r="I139" s="151" t="s">
        <v>1100</v>
      </c>
      <c r="J139" s="157"/>
      <c r="K139" s="163"/>
      <c r="L139" s="151" t="s">
        <v>139</v>
      </c>
      <c r="M139" s="159" t="s">
        <v>140</v>
      </c>
      <c r="N139" s="160" t="s">
        <v>1101</v>
      </c>
      <c r="O139" s="159" t="s">
        <v>1102</v>
      </c>
      <c r="P139" s="160" t="s">
        <v>1103</v>
      </c>
      <c r="Q139" s="160" t="s">
        <v>1085</v>
      </c>
      <c r="R139" s="53" t="s">
        <v>853</v>
      </c>
      <c r="S139" s="160" t="s">
        <v>340</v>
      </c>
      <c r="T139" s="159" t="s">
        <v>1104</v>
      </c>
      <c r="U139" s="159" t="s">
        <v>1105</v>
      </c>
      <c r="V139" s="176" t="s">
        <v>400</v>
      </c>
      <c r="W139" s="152">
        <v>1999</v>
      </c>
      <c r="X139" s="152">
        <v>735</v>
      </c>
      <c r="Y139" s="152"/>
      <c r="Z139" s="177"/>
      <c r="AA139" s="177"/>
      <c r="AB139" s="177"/>
      <c r="AC139" s="177"/>
      <c r="AD139" s="177"/>
      <c r="AE139" s="177"/>
      <c r="AF139" s="177"/>
      <c r="AG139" s="177"/>
      <c r="AH139" s="177"/>
      <c r="AI139" s="177"/>
      <c r="AJ139" s="177"/>
      <c r="AK139" s="257">
        <v>1</v>
      </c>
      <c r="AL139" s="271"/>
      <c r="AM139" s="277">
        <f t="shared" si="23"/>
        <v>0</v>
      </c>
      <c r="AN139" s="279">
        <f t="shared" si="24"/>
        <v>0</v>
      </c>
      <c r="AO139" s="279">
        <f>(AE139*P2_Reinigen_Lichtkoepel_50X50)+('Perceel 3'!AF139*P2_Reinigen_Lichtkoepel_60x200)+('Perceel 3'!AG139*P2_Reinigen_Lichtkoepel_180x180)+('Perceel 3'!AH139*P2_Reinigen_Lichtstraten_groter_dan_180x180)</f>
        <v>0</v>
      </c>
      <c r="AP139" s="279">
        <f>('Perceel 3'!X139+'Perceel 3'!Y139)*P2_Inspecteren_daken_en_goten_1x_per_jaar_gelijktijdig_met_reiniging_inclusief_inspectierapport_en_een_managementrapport</f>
        <v>0</v>
      </c>
      <c r="AQ139" s="312"/>
      <c r="AR139" s="332">
        <f t="shared" si="25"/>
        <v>0</v>
      </c>
      <c r="AS139" s="336">
        <f t="shared" si="26"/>
        <v>0</v>
      </c>
    </row>
    <row r="140" spans="1:45" s="7" customFormat="1" ht="26.25" hidden="1" thickTop="1" thickBot="1" x14ac:dyDescent="0.5">
      <c r="A140" s="155"/>
      <c r="B140" s="152">
        <v>2</v>
      </c>
      <c r="C140" s="156" t="s">
        <v>135</v>
      </c>
      <c r="D140" s="156" t="s">
        <v>136</v>
      </c>
      <c r="E140" s="156"/>
      <c r="F140" s="156"/>
      <c r="G140" s="156"/>
      <c r="H140" s="151" t="s">
        <v>1106</v>
      </c>
      <c r="I140" s="151" t="s">
        <v>1107</v>
      </c>
      <c r="J140" s="157"/>
      <c r="K140" s="163"/>
      <c r="L140" s="151" t="s">
        <v>348</v>
      </c>
      <c r="M140" s="159" t="s">
        <v>349</v>
      </c>
      <c r="N140" s="160" t="s">
        <v>1108</v>
      </c>
      <c r="O140" s="159" t="s">
        <v>1109</v>
      </c>
      <c r="P140" s="160" t="s">
        <v>1110</v>
      </c>
      <c r="Q140" s="160" t="s">
        <v>1085</v>
      </c>
      <c r="R140" s="53" t="s">
        <v>853</v>
      </c>
      <c r="S140" s="160" t="s">
        <v>340</v>
      </c>
      <c r="T140" s="159" t="s">
        <v>1111</v>
      </c>
      <c r="U140" s="226" t="s">
        <v>1112</v>
      </c>
      <c r="V140" s="176" t="s">
        <v>1113</v>
      </c>
      <c r="W140" s="152">
        <v>1997</v>
      </c>
      <c r="X140" s="152">
        <v>721</v>
      </c>
      <c r="Y140" s="152"/>
      <c r="Z140" s="177"/>
      <c r="AA140" s="177"/>
      <c r="AB140" s="177"/>
      <c r="AC140" s="177"/>
      <c r="AD140" s="177"/>
      <c r="AE140" s="177"/>
      <c r="AF140" s="177"/>
      <c r="AG140" s="177"/>
      <c r="AH140" s="177"/>
      <c r="AI140" s="177"/>
      <c r="AJ140" s="177"/>
      <c r="AK140" s="257">
        <v>1</v>
      </c>
      <c r="AL140" s="271"/>
      <c r="AM140" s="277">
        <f t="shared" si="23"/>
        <v>0</v>
      </c>
      <c r="AN140" s="279">
        <f t="shared" si="24"/>
        <v>0</v>
      </c>
      <c r="AO140" s="279">
        <f>(AE140*P2_Reinigen_Lichtkoepel_50X50)+('Perceel 3'!AF140*P2_Reinigen_Lichtkoepel_60x200)+('Perceel 3'!AG140*P2_Reinigen_Lichtkoepel_180x180)+('Perceel 3'!AH140*P2_Reinigen_Lichtstraten_groter_dan_180x180)</f>
        <v>0</v>
      </c>
      <c r="AP140" s="279">
        <f>('Perceel 3'!X140+'Perceel 3'!Y140)*P2_Inspecteren_daken_en_goten_1x_per_jaar_gelijktijdig_met_reiniging_inclusief_inspectierapport_en_een_managementrapport</f>
        <v>0</v>
      </c>
      <c r="AQ140" s="312"/>
      <c r="AR140" s="332">
        <f t="shared" si="25"/>
        <v>0</v>
      </c>
      <c r="AS140" s="336">
        <f t="shared" si="26"/>
        <v>0</v>
      </c>
    </row>
    <row r="141" spans="1:45" s="7" customFormat="1" ht="15" hidden="1" thickTop="1" thickBot="1" x14ac:dyDescent="0.5">
      <c r="A141" s="155"/>
      <c r="B141" s="152">
        <v>2</v>
      </c>
      <c r="C141" s="156" t="s">
        <v>135</v>
      </c>
      <c r="D141" s="156" t="s">
        <v>136</v>
      </c>
      <c r="E141" s="156"/>
      <c r="F141" s="156"/>
      <c r="G141" s="156"/>
      <c r="H141" s="151" t="s">
        <v>1114</v>
      </c>
      <c r="I141" s="151" t="s">
        <v>1115</v>
      </c>
      <c r="J141" s="157"/>
      <c r="K141" s="163"/>
      <c r="L141" s="151" t="s">
        <v>139</v>
      </c>
      <c r="M141" s="159" t="s">
        <v>140</v>
      </c>
      <c r="N141" s="160" t="s">
        <v>1116</v>
      </c>
      <c r="O141" s="159" t="s">
        <v>1117</v>
      </c>
      <c r="P141" s="160" t="s">
        <v>1118</v>
      </c>
      <c r="Q141" s="160" t="s">
        <v>1119</v>
      </c>
      <c r="R141" s="53" t="s">
        <v>1120</v>
      </c>
      <c r="S141" s="160" t="s">
        <v>340</v>
      </c>
      <c r="T141" s="227" t="s">
        <v>561</v>
      </c>
      <c r="U141" s="227" t="s">
        <v>1121</v>
      </c>
      <c r="V141" s="228" t="s">
        <v>400</v>
      </c>
      <c r="W141" s="152">
        <v>1999</v>
      </c>
      <c r="X141" s="152">
        <v>243</v>
      </c>
      <c r="Y141" s="152"/>
      <c r="Z141" s="177"/>
      <c r="AA141" s="177"/>
      <c r="AB141" s="177"/>
      <c r="AC141" s="177"/>
      <c r="AD141" s="177"/>
      <c r="AE141" s="177"/>
      <c r="AF141" s="177"/>
      <c r="AG141" s="177"/>
      <c r="AH141" s="177"/>
      <c r="AI141" s="177"/>
      <c r="AJ141" s="177"/>
      <c r="AK141" s="257">
        <v>1</v>
      </c>
      <c r="AL141" s="271"/>
      <c r="AM141" s="277">
        <f t="shared" si="23"/>
        <v>0</v>
      </c>
      <c r="AN141" s="279">
        <f t="shared" si="24"/>
        <v>0</v>
      </c>
      <c r="AO141" s="279">
        <f>(AE141*P2_Reinigen_Lichtkoepel_50X50)+('Perceel 3'!AF141*P2_Reinigen_Lichtkoepel_60x200)+('Perceel 3'!AG141*P2_Reinigen_Lichtkoepel_180x180)+('Perceel 3'!AH141*P2_Reinigen_Lichtstraten_groter_dan_180x180)</f>
        <v>0</v>
      </c>
      <c r="AP141" s="279">
        <f>('Perceel 3'!X141+'Perceel 3'!Y141)*P2_Inspecteren_daken_en_goten_1x_per_jaar_gelijktijdig_met_reiniging_inclusief_inspectierapport_en_een_managementrapport</f>
        <v>0</v>
      </c>
      <c r="AQ141" s="312"/>
      <c r="AR141" s="332">
        <f t="shared" si="25"/>
        <v>0</v>
      </c>
      <c r="AS141" s="336">
        <f t="shared" si="26"/>
        <v>0</v>
      </c>
    </row>
    <row r="142" spans="1:45" s="7" customFormat="1" ht="12.75" hidden="1" customHeight="1" x14ac:dyDescent="0.45">
      <c r="A142" s="211"/>
      <c r="B142" s="212">
        <v>2</v>
      </c>
      <c r="C142" s="171" t="s">
        <v>135</v>
      </c>
      <c r="D142" s="171" t="s">
        <v>136</v>
      </c>
      <c r="E142" s="171" t="s">
        <v>174</v>
      </c>
      <c r="F142" s="171"/>
      <c r="G142" s="171"/>
      <c r="H142" s="196"/>
      <c r="I142" s="196"/>
      <c r="J142" s="15"/>
      <c r="K142" s="16"/>
      <c r="L142" s="196"/>
      <c r="M142" s="171"/>
      <c r="N142" s="211" t="s">
        <v>1122</v>
      </c>
      <c r="O142" s="171" t="s">
        <v>1123</v>
      </c>
      <c r="P142" s="211" t="s">
        <v>1124</v>
      </c>
      <c r="Q142" s="211" t="s">
        <v>1125</v>
      </c>
      <c r="R142" s="61" t="s">
        <v>1126</v>
      </c>
      <c r="S142" s="211" t="s">
        <v>340</v>
      </c>
      <c r="T142" s="171"/>
      <c r="U142" s="171"/>
      <c r="V142" s="171"/>
      <c r="W142" s="211">
        <v>1981</v>
      </c>
      <c r="X142" s="261">
        <v>1981</v>
      </c>
      <c r="Y142" s="211"/>
      <c r="Z142" s="171"/>
      <c r="AA142" s="171"/>
      <c r="AB142" s="171"/>
      <c r="AC142" s="171"/>
      <c r="AD142" s="171"/>
      <c r="AE142" s="171"/>
      <c r="AF142" s="171"/>
      <c r="AG142" s="171"/>
      <c r="AH142" s="171"/>
      <c r="AI142" s="171"/>
      <c r="AJ142" s="171"/>
      <c r="AK142" s="261">
        <v>1</v>
      </c>
      <c r="AL142" s="271"/>
      <c r="AM142" s="327"/>
      <c r="AN142" s="310"/>
      <c r="AO142" s="310"/>
      <c r="AP142" s="310"/>
      <c r="AQ142" s="312"/>
      <c r="AR142" s="339"/>
      <c r="AS142" s="342"/>
    </row>
    <row r="143" spans="1:45" s="7" customFormat="1" ht="51.75" hidden="1" thickTop="1" thickBot="1" x14ac:dyDescent="0.5">
      <c r="A143" s="182"/>
      <c r="B143" s="185">
        <v>2</v>
      </c>
      <c r="C143" s="175" t="s">
        <v>135</v>
      </c>
      <c r="D143" s="175" t="s">
        <v>136</v>
      </c>
      <c r="E143" s="175"/>
      <c r="F143" s="175"/>
      <c r="G143" s="175"/>
      <c r="H143" s="174" t="s">
        <v>1127</v>
      </c>
      <c r="I143" s="174" t="s">
        <v>1128</v>
      </c>
      <c r="J143" s="197"/>
      <c r="K143" s="197"/>
      <c r="L143" s="174"/>
      <c r="M143" s="191" t="s">
        <v>544</v>
      </c>
      <c r="N143" s="182" t="s">
        <v>1129</v>
      </c>
      <c r="O143" s="175" t="s">
        <v>1130</v>
      </c>
      <c r="P143" s="175" t="s">
        <v>1124</v>
      </c>
      <c r="Q143" s="182" t="s">
        <v>1125</v>
      </c>
      <c r="R143" s="50" t="s">
        <v>1126</v>
      </c>
      <c r="S143" s="182" t="s">
        <v>340</v>
      </c>
      <c r="T143" s="175" t="s">
        <v>169</v>
      </c>
      <c r="U143" s="175" t="s">
        <v>170</v>
      </c>
      <c r="V143" s="175" t="s">
        <v>171</v>
      </c>
      <c r="W143" s="182">
        <v>1980</v>
      </c>
      <c r="X143" s="255">
        <f>X142*35%</f>
        <v>693.34999999999991</v>
      </c>
      <c r="Y143" s="182"/>
      <c r="Z143" s="175"/>
      <c r="AA143" s="175"/>
      <c r="AB143" s="175"/>
      <c r="AC143" s="175"/>
      <c r="AD143" s="175"/>
      <c r="AE143" s="175"/>
      <c r="AF143" s="175"/>
      <c r="AG143" s="175"/>
      <c r="AH143" s="175"/>
      <c r="AI143" s="175"/>
      <c r="AJ143" s="175"/>
      <c r="AK143" s="255">
        <v>1</v>
      </c>
      <c r="AL143" s="271"/>
      <c r="AM143" s="277">
        <f t="shared" si="23"/>
        <v>0</v>
      </c>
      <c r="AN143" s="279">
        <f t="shared" si="24"/>
        <v>0</v>
      </c>
      <c r="AO143" s="279">
        <f>(AE143*P2_Reinigen_Lichtkoepel_50X50)+('Perceel 3'!AF143*P2_Reinigen_Lichtkoepel_60x200)+('Perceel 3'!AG143*P2_Reinigen_Lichtkoepel_180x180)+('Perceel 3'!AH143*P2_Reinigen_Lichtstraten_groter_dan_180x180)</f>
        <v>0</v>
      </c>
      <c r="AP143" s="279">
        <f>('Perceel 3'!X143+'Perceel 3'!Y143)*P2_Inspecteren_daken_en_goten_1x_per_jaar_gelijktijdig_met_reiniging_inclusief_inspectierapport_en_een_managementrapport</f>
        <v>0</v>
      </c>
      <c r="AQ143" s="312"/>
      <c r="AR143" s="332">
        <f t="shared" si="25"/>
        <v>0</v>
      </c>
      <c r="AS143" s="336">
        <f t="shared" si="26"/>
        <v>0</v>
      </c>
    </row>
    <row r="144" spans="1:45" s="7" customFormat="1" ht="25.5" hidden="1" customHeight="1" x14ac:dyDescent="0.45">
      <c r="A144" s="182"/>
      <c r="B144" s="185">
        <v>2</v>
      </c>
      <c r="C144" s="175" t="s">
        <v>135</v>
      </c>
      <c r="D144" s="175" t="s">
        <v>174</v>
      </c>
      <c r="E144" s="175"/>
      <c r="F144" s="175"/>
      <c r="G144" s="175"/>
      <c r="H144" s="174" t="s">
        <v>1131</v>
      </c>
      <c r="I144" s="174" t="s">
        <v>1132</v>
      </c>
      <c r="J144" s="197"/>
      <c r="K144" s="197"/>
      <c r="L144" s="174"/>
      <c r="M144" s="175" t="s">
        <v>349</v>
      </c>
      <c r="N144" s="182" t="s">
        <v>1133</v>
      </c>
      <c r="O144" s="175" t="s">
        <v>1134</v>
      </c>
      <c r="P144" s="182" t="s">
        <v>1124</v>
      </c>
      <c r="Q144" s="182" t="s">
        <v>1125</v>
      </c>
      <c r="R144" s="50" t="s">
        <v>1126</v>
      </c>
      <c r="S144" s="182" t="s">
        <v>340</v>
      </c>
      <c r="T144" s="175" t="s">
        <v>1135</v>
      </c>
      <c r="U144" s="175" t="s">
        <v>1136</v>
      </c>
      <c r="V144" s="187" t="s">
        <v>1137</v>
      </c>
      <c r="W144" s="182">
        <v>1981</v>
      </c>
      <c r="X144" s="255">
        <f>X142*65%</f>
        <v>1287.6500000000001</v>
      </c>
      <c r="Y144" s="182"/>
      <c r="Z144" s="175"/>
      <c r="AA144" s="175"/>
      <c r="AB144" s="175"/>
      <c r="AC144" s="175"/>
      <c r="AD144" s="175"/>
      <c r="AE144" s="175"/>
      <c r="AF144" s="175"/>
      <c r="AG144" s="175"/>
      <c r="AH144" s="175"/>
      <c r="AI144" s="175"/>
      <c r="AJ144" s="175"/>
      <c r="AK144" s="255">
        <v>1</v>
      </c>
      <c r="AL144" s="271"/>
      <c r="AM144" s="277">
        <f t="shared" si="23"/>
        <v>0</v>
      </c>
      <c r="AN144" s="279">
        <f t="shared" si="24"/>
        <v>0</v>
      </c>
      <c r="AO144" s="279">
        <f>(AE144*P2_Reinigen_Lichtkoepel_50X50)+('Perceel 3'!AF144*P2_Reinigen_Lichtkoepel_60x200)+('Perceel 3'!AG144*P2_Reinigen_Lichtkoepel_180x180)+('Perceel 3'!AH144*P2_Reinigen_Lichtstraten_groter_dan_180x180)</f>
        <v>0</v>
      </c>
      <c r="AP144" s="279">
        <f>('Perceel 3'!X144+'Perceel 3'!Y144)*P2_Inspecteren_daken_en_goten_1x_per_jaar_gelijktijdig_met_reiniging_inclusief_inspectierapport_en_een_managementrapport</f>
        <v>0</v>
      </c>
      <c r="AQ144" s="312"/>
      <c r="AR144" s="332">
        <f t="shared" si="25"/>
        <v>0</v>
      </c>
      <c r="AS144" s="336">
        <f t="shared" si="26"/>
        <v>0</v>
      </c>
    </row>
    <row r="145" spans="1:45" s="7" customFormat="1" ht="51.75" hidden="1" thickTop="1" thickBot="1" x14ac:dyDescent="0.5">
      <c r="A145" s="155"/>
      <c r="B145" s="165">
        <v>2</v>
      </c>
      <c r="C145" s="156" t="s">
        <v>135</v>
      </c>
      <c r="D145" s="156" t="s">
        <v>136</v>
      </c>
      <c r="E145" s="156"/>
      <c r="F145" s="156"/>
      <c r="G145" s="156"/>
      <c r="H145" s="151" t="s">
        <v>1138</v>
      </c>
      <c r="I145" s="151" t="s">
        <v>1139</v>
      </c>
      <c r="J145" s="157"/>
      <c r="K145" s="163"/>
      <c r="L145" s="163" t="s">
        <v>154</v>
      </c>
      <c r="M145" s="166" t="s">
        <v>544</v>
      </c>
      <c r="N145" s="160" t="s">
        <v>1140</v>
      </c>
      <c r="O145" s="159" t="s">
        <v>1141</v>
      </c>
      <c r="P145" s="160" t="s">
        <v>1142</v>
      </c>
      <c r="Q145" s="160" t="s">
        <v>1143</v>
      </c>
      <c r="R145" s="53" t="s">
        <v>1144</v>
      </c>
      <c r="S145" s="160" t="s">
        <v>340</v>
      </c>
      <c r="T145" s="159" t="s">
        <v>169</v>
      </c>
      <c r="U145" s="159" t="s">
        <v>170</v>
      </c>
      <c r="V145" s="176" t="s">
        <v>171</v>
      </c>
      <c r="W145" s="152">
        <v>1986</v>
      </c>
      <c r="X145" s="152">
        <v>952</v>
      </c>
      <c r="Y145" s="152"/>
      <c r="Z145" s="177" t="s">
        <v>311</v>
      </c>
      <c r="AA145" s="177"/>
      <c r="AB145" s="177"/>
      <c r="AC145" s="177"/>
      <c r="AD145" s="177"/>
      <c r="AE145" s="177"/>
      <c r="AF145" s="177"/>
      <c r="AG145" s="177"/>
      <c r="AH145" s="177"/>
      <c r="AI145" s="177"/>
      <c r="AJ145" s="177"/>
      <c r="AK145" s="257">
        <v>1</v>
      </c>
      <c r="AL145" s="271"/>
      <c r="AM145" s="277">
        <f t="shared" si="23"/>
        <v>0</v>
      </c>
      <c r="AN145" s="279">
        <f t="shared" si="24"/>
        <v>0</v>
      </c>
      <c r="AO145" s="279">
        <f>(AE145*P2_Reinigen_Lichtkoepel_50X50)+('Perceel 3'!AF145*P2_Reinigen_Lichtkoepel_60x200)+('Perceel 3'!AG145*P2_Reinigen_Lichtkoepel_180x180)+('Perceel 3'!AH145*P2_Reinigen_Lichtstraten_groter_dan_180x180)</f>
        <v>0</v>
      </c>
      <c r="AP145" s="279">
        <f>('Perceel 3'!X145+'Perceel 3'!Y145)*P2_Inspecteren_daken_en_goten_1x_per_jaar_gelijktijdig_met_reiniging_inclusief_inspectierapport_en_een_managementrapport</f>
        <v>0</v>
      </c>
      <c r="AQ145" s="312"/>
      <c r="AR145" s="332">
        <f t="shared" si="25"/>
        <v>0</v>
      </c>
      <c r="AS145" s="336">
        <f t="shared" si="26"/>
        <v>0</v>
      </c>
    </row>
    <row r="146" spans="1:45" s="7" customFormat="1" ht="25.5" hidden="1" customHeight="1" x14ac:dyDescent="0.45">
      <c r="A146" s="155"/>
      <c r="B146" s="152">
        <v>2</v>
      </c>
      <c r="C146" s="156" t="s">
        <v>135</v>
      </c>
      <c r="D146" s="156" t="s">
        <v>174</v>
      </c>
      <c r="E146" s="156"/>
      <c r="F146" s="156"/>
      <c r="G146" s="156"/>
      <c r="H146" s="151" t="s">
        <v>1145</v>
      </c>
      <c r="I146" s="151" t="s">
        <v>1146</v>
      </c>
      <c r="J146" s="157"/>
      <c r="K146" s="163"/>
      <c r="L146" s="151" t="s">
        <v>348</v>
      </c>
      <c r="M146" s="159" t="s">
        <v>349</v>
      </c>
      <c r="N146" s="160" t="s">
        <v>1147</v>
      </c>
      <c r="O146" s="159" t="s">
        <v>1148</v>
      </c>
      <c r="P146" s="160" t="s">
        <v>1149</v>
      </c>
      <c r="Q146" s="160" t="s">
        <v>1150</v>
      </c>
      <c r="R146" s="53" t="s">
        <v>1144</v>
      </c>
      <c r="S146" s="160" t="s">
        <v>340</v>
      </c>
      <c r="T146" s="159" t="s">
        <v>1151</v>
      </c>
      <c r="U146" s="159" t="s">
        <v>1152</v>
      </c>
      <c r="V146" s="176" t="s">
        <v>1153</v>
      </c>
      <c r="W146" s="152">
        <v>1986</v>
      </c>
      <c r="X146" s="152">
        <v>1177</v>
      </c>
      <c r="Y146" s="152"/>
      <c r="Z146" s="177"/>
      <c r="AA146" s="177"/>
      <c r="AB146" s="177"/>
      <c r="AC146" s="177"/>
      <c r="AD146" s="177"/>
      <c r="AE146" s="177"/>
      <c r="AF146" s="177"/>
      <c r="AG146" s="177"/>
      <c r="AH146" s="177"/>
      <c r="AI146" s="177"/>
      <c r="AJ146" s="177"/>
      <c r="AK146" s="257">
        <v>1</v>
      </c>
      <c r="AL146" s="271"/>
      <c r="AM146" s="277">
        <f t="shared" si="23"/>
        <v>0</v>
      </c>
      <c r="AN146" s="279">
        <f t="shared" si="24"/>
        <v>0</v>
      </c>
      <c r="AO146" s="279">
        <f>(AE146*P2_Reinigen_Lichtkoepel_50X50)+('Perceel 3'!AF146*P2_Reinigen_Lichtkoepel_60x200)+('Perceel 3'!AG146*P2_Reinigen_Lichtkoepel_180x180)+('Perceel 3'!AH146*P2_Reinigen_Lichtstraten_groter_dan_180x180)</f>
        <v>0</v>
      </c>
      <c r="AP146" s="279">
        <f>('Perceel 3'!X146+'Perceel 3'!Y146)*P2_Inspecteren_daken_en_goten_1x_per_jaar_gelijktijdig_met_reiniging_inclusief_inspectierapport_en_een_managementrapport</f>
        <v>0</v>
      </c>
      <c r="AQ146" s="312"/>
      <c r="AR146" s="332">
        <f t="shared" si="25"/>
        <v>0</v>
      </c>
      <c r="AS146" s="336">
        <f t="shared" si="26"/>
        <v>0</v>
      </c>
    </row>
    <row r="147" spans="1:45" s="7" customFormat="1" ht="63.75" hidden="1" customHeight="1" x14ac:dyDescent="0.45">
      <c r="A147" s="211"/>
      <c r="B147" s="212">
        <v>2</v>
      </c>
      <c r="C147" s="171" t="s">
        <v>135</v>
      </c>
      <c r="D147" s="171" t="s">
        <v>174</v>
      </c>
      <c r="E147" s="171"/>
      <c r="F147" s="171"/>
      <c r="G147" s="171"/>
      <c r="H147" s="196"/>
      <c r="I147" s="196"/>
      <c r="J147" s="15"/>
      <c r="K147" s="16"/>
      <c r="L147" s="196" t="s">
        <v>348</v>
      </c>
      <c r="M147" s="171" t="s">
        <v>349</v>
      </c>
      <c r="N147" s="171" t="s">
        <v>1154</v>
      </c>
      <c r="O147" s="171" t="s">
        <v>1155</v>
      </c>
      <c r="P147" s="211" t="s">
        <v>1156</v>
      </c>
      <c r="Q147" s="211" t="s">
        <v>1157</v>
      </c>
      <c r="R147" s="58" t="s">
        <v>1158</v>
      </c>
      <c r="S147" s="211" t="s">
        <v>340</v>
      </c>
      <c r="T147" s="171"/>
      <c r="U147" s="171"/>
      <c r="V147" s="171"/>
      <c r="W147" s="211">
        <v>1985</v>
      </c>
      <c r="X147" s="261">
        <v>4390</v>
      </c>
      <c r="Y147" s="211"/>
      <c r="Z147" s="171"/>
      <c r="AA147" s="171" t="s">
        <v>150</v>
      </c>
      <c r="AB147" s="171">
        <v>16</v>
      </c>
      <c r="AC147" s="171">
        <v>76</v>
      </c>
      <c r="AD147" s="171"/>
      <c r="AE147" s="171"/>
      <c r="AF147" s="171"/>
      <c r="AG147" s="171"/>
      <c r="AH147" s="171"/>
      <c r="AI147" s="171"/>
      <c r="AJ147" s="171"/>
      <c r="AK147" s="261">
        <v>1</v>
      </c>
      <c r="AL147" s="271"/>
      <c r="AM147" s="327"/>
      <c r="AN147" s="310"/>
      <c r="AO147" s="310"/>
      <c r="AP147" s="310"/>
      <c r="AQ147" s="305"/>
      <c r="AR147" s="339"/>
      <c r="AS147" s="342"/>
    </row>
    <row r="148" spans="1:45" s="7" customFormat="1" ht="76.5" hidden="1" customHeight="1" x14ac:dyDescent="0.45">
      <c r="A148" s="182"/>
      <c r="B148" s="185">
        <v>2</v>
      </c>
      <c r="C148" s="175" t="s">
        <v>135</v>
      </c>
      <c r="D148" s="175" t="s">
        <v>174</v>
      </c>
      <c r="E148" s="175"/>
      <c r="F148" s="175"/>
      <c r="G148" s="175"/>
      <c r="H148" s="174" t="s">
        <v>1159</v>
      </c>
      <c r="I148" s="174" t="s">
        <v>1160</v>
      </c>
      <c r="J148" s="197"/>
      <c r="K148" s="197"/>
      <c r="L148" s="174"/>
      <c r="M148" s="175" t="s">
        <v>349</v>
      </c>
      <c r="N148" s="182" t="s">
        <v>1161</v>
      </c>
      <c r="O148" s="175" t="s">
        <v>1162</v>
      </c>
      <c r="P148" s="182" t="s">
        <v>1163</v>
      </c>
      <c r="Q148" s="182" t="s">
        <v>1157</v>
      </c>
      <c r="R148" s="50" t="s">
        <v>1158</v>
      </c>
      <c r="S148" s="182" t="s">
        <v>340</v>
      </c>
      <c r="T148" s="175" t="s">
        <v>1164</v>
      </c>
      <c r="U148" s="175" t="s">
        <v>1165</v>
      </c>
      <c r="V148" s="187" t="s">
        <v>1166</v>
      </c>
      <c r="W148" s="182">
        <v>1985</v>
      </c>
      <c r="X148" s="255">
        <f>X147*8.1%</f>
        <v>355.59000000000003</v>
      </c>
      <c r="Y148" s="182"/>
      <c r="Z148" s="175"/>
      <c r="AA148" s="175" t="s">
        <v>150</v>
      </c>
      <c r="AB148" s="175"/>
      <c r="AC148" s="175"/>
      <c r="AD148" s="175"/>
      <c r="AE148" s="175"/>
      <c r="AF148" s="175"/>
      <c r="AG148" s="175"/>
      <c r="AH148" s="175"/>
      <c r="AI148" s="191" t="s">
        <v>1167</v>
      </c>
      <c r="AJ148" s="191" t="s">
        <v>1168</v>
      </c>
      <c r="AK148" s="255">
        <v>1</v>
      </c>
      <c r="AL148" s="271"/>
      <c r="AM148" s="277">
        <f>X148*P2_reinigen_daken_met_vaste_dakveiligheid</f>
        <v>0</v>
      </c>
      <c r="AN148" s="279">
        <f>Y148*P2_reinigen_goten_met_vaste_dakveiligheid</f>
        <v>0</v>
      </c>
      <c r="AO148" s="279">
        <f>(AE148*P2_Reinigen_Lichtkoepel_50X50)+('Perceel 3'!AF148*P2_Reinigen_Lichtkoepel_60x200)+('Perceel 3'!AG148*P2_Reinigen_Lichtkoepel_180x180)+('Perceel 3'!AH148*P2_Reinigen_Lichtstraten_groter_dan_180x180)</f>
        <v>0</v>
      </c>
      <c r="AP148" s="279">
        <f>('Perceel 3'!X148+'Perceel 3'!Y148)*P2_Inspecteren_daken_en_goten_1x_per_jaar_gelijktijdig_met_reiniging_inclusief_inspectierapport_en_een_managementrapport</f>
        <v>0</v>
      </c>
      <c r="AQ148" s="305">
        <f>AQ147*8.1%</f>
        <v>0</v>
      </c>
      <c r="AR148" s="332">
        <f t="shared" si="25"/>
        <v>0</v>
      </c>
      <c r="AS148" s="336">
        <f t="shared" si="26"/>
        <v>0</v>
      </c>
    </row>
    <row r="149" spans="1:45" s="7" customFormat="1" ht="25.5" hidden="1" customHeight="1" x14ac:dyDescent="0.45">
      <c r="A149" s="182"/>
      <c r="B149" s="185">
        <v>2</v>
      </c>
      <c r="C149" s="175" t="s">
        <v>135</v>
      </c>
      <c r="D149" s="175" t="s">
        <v>174</v>
      </c>
      <c r="E149" s="175"/>
      <c r="F149" s="175"/>
      <c r="G149" s="175"/>
      <c r="H149" s="174" t="s">
        <v>1169</v>
      </c>
      <c r="I149" s="174" t="s">
        <v>1170</v>
      </c>
      <c r="J149" s="197"/>
      <c r="K149" s="197"/>
      <c r="L149" s="174"/>
      <c r="M149" s="175" t="s">
        <v>349</v>
      </c>
      <c r="N149" s="182" t="s">
        <v>1171</v>
      </c>
      <c r="O149" s="175" t="s">
        <v>1172</v>
      </c>
      <c r="P149" s="182" t="s">
        <v>1156</v>
      </c>
      <c r="Q149" s="182" t="s">
        <v>1157</v>
      </c>
      <c r="R149" s="50" t="s">
        <v>1158</v>
      </c>
      <c r="S149" s="182" t="s">
        <v>340</v>
      </c>
      <c r="T149" s="175" t="s">
        <v>1164</v>
      </c>
      <c r="U149" s="175" t="s">
        <v>1165</v>
      </c>
      <c r="V149" s="187" t="s">
        <v>1166</v>
      </c>
      <c r="W149" s="182">
        <v>1985</v>
      </c>
      <c r="X149" s="255">
        <f>X147*83.8%</f>
        <v>3678.8199999999997</v>
      </c>
      <c r="Y149" s="182"/>
      <c r="Z149" s="175"/>
      <c r="AA149" s="175" t="s">
        <v>150</v>
      </c>
      <c r="AB149" s="175"/>
      <c r="AC149" s="175"/>
      <c r="AD149" s="175"/>
      <c r="AE149" s="175"/>
      <c r="AF149" s="175"/>
      <c r="AG149" s="175"/>
      <c r="AH149" s="175"/>
      <c r="AI149" s="175"/>
      <c r="AJ149" s="175"/>
      <c r="AK149" s="255">
        <v>1</v>
      </c>
      <c r="AL149" s="294"/>
      <c r="AM149" s="277">
        <f>X149*P2_reinigen_daken_met_vaste_dakveiligheid</f>
        <v>0</v>
      </c>
      <c r="AN149" s="279">
        <f>Y149*P2_reinigen_goten_met_vaste_dakveiligheid</f>
        <v>0</v>
      </c>
      <c r="AO149" s="279">
        <f>(AE149*P2_Reinigen_Lichtkoepel_50X50)+('Perceel 3'!AF149*P2_Reinigen_Lichtkoepel_60x200)+('Perceel 3'!AG149*P2_Reinigen_Lichtkoepel_180x180)+('Perceel 3'!AH149*P2_Reinigen_Lichtstraten_groter_dan_180x180)</f>
        <v>0</v>
      </c>
      <c r="AP149" s="279">
        <f>('Perceel 3'!X149+'Perceel 3'!Y149)*P2_Inspecteren_daken_en_goten_1x_per_jaar_gelijktijdig_met_reiniging_inclusief_inspectierapport_en_een_managementrapport</f>
        <v>0</v>
      </c>
      <c r="AQ149" s="305">
        <f>AQ147*83.8%</f>
        <v>0</v>
      </c>
      <c r="AR149" s="332">
        <f t="shared" si="25"/>
        <v>0</v>
      </c>
      <c r="AS149" s="336">
        <f t="shared" si="26"/>
        <v>0</v>
      </c>
    </row>
    <row r="150" spans="1:45" s="7" customFormat="1" ht="76.5" hidden="1" customHeight="1" x14ac:dyDescent="0.45">
      <c r="A150" s="182"/>
      <c r="B150" s="181">
        <v>2</v>
      </c>
      <c r="C150" s="175" t="s">
        <v>135</v>
      </c>
      <c r="D150" s="175" t="s">
        <v>174</v>
      </c>
      <c r="E150" s="175"/>
      <c r="F150" s="175"/>
      <c r="G150" s="175"/>
      <c r="H150" s="175" t="s">
        <v>1159</v>
      </c>
      <c r="I150" s="197" t="s">
        <v>1160</v>
      </c>
      <c r="J150" s="197"/>
      <c r="K150" s="197"/>
      <c r="L150" s="197"/>
      <c r="M150" s="174" t="s">
        <v>349</v>
      </c>
      <c r="N150" s="175" t="s">
        <v>1161</v>
      </c>
      <c r="O150" s="175" t="s">
        <v>1173</v>
      </c>
      <c r="P150" s="175" t="s">
        <v>1174</v>
      </c>
      <c r="Q150" s="175" t="s">
        <v>1157</v>
      </c>
      <c r="R150" s="47" t="s">
        <v>1158</v>
      </c>
      <c r="S150" s="175" t="s">
        <v>340</v>
      </c>
      <c r="T150" s="175" t="s">
        <v>1164</v>
      </c>
      <c r="U150" s="175" t="s">
        <v>1165</v>
      </c>
      <c r="V150" s="187" t="s">
        <v>1166</v>
      </c>
      <c r="W150" s="182">
        <v>1985</v>
      </c>
      <c r="X150" s="255">
        <f>X147*8.1%</f>
        <v>355.59000000000003</v>
      </c>
      <c r="Y150" s="182"/>
      <c r="Z150" s="175"/>
      <c r="AA150" s="175" t="s">
        <v>150</v>
      </c>
      <c r="AB150" s="175"/>
      <c r="AC150" s="175"/>
      <c r="AD150" s="175"/>
      <c r="AE150" s="175"/>
      <c r="AF150" s="175"/>
      <c r="AG150" s="175"/>
      <c r="AH150" s="175"/>
      <c r="AI150" s="191" t="s">
        <v>1167</v>
      </c>
      <c r="AJ150" s="191" t="s">
        <v>1168</v>
      </c>
      <c r="AK150" s="255">
        <v>1</v>
      </c>
      <c r="AL150" s="271"/>
      <c r="AM150" s="277">
        <f>X150*P2_reinigen_daken_met_vaste_dakveiligheid</f>
        <v>0</v>
      </c>
      <c r="AN150" s="279">
        <f>Y150*P2_reinigen_goten_met_vaste_dakveiligheid</f>
        <v>0</v>
      </c>
      <c r="AO150" s="279">
        <f>(AE150*P2_Reinigen_Lichtkoepel_50X50)+('Perceel 3'!AF150*P2_Reinigen_Lichtkoepel_60x200)+('Perceel 3'!AG150*P2_Reinigen_Lichtkoepel_180x180)+('Perceel 3'!AH150*P2_Reinigen_Lichtstraten_groter_dan_180x180)</f>
        <v>0</v>
      </c>
      <c r="AP150" s="279">
        <f>('Perceel 3'!X150+'Perceel 3'!Y150)*P2_Inspecteren_daken_en_goten_1x_per_jaar_gelijktijdig_met_reiniging_inclusief_inspectierapport_en_een_managementrapport</f>
        <v>0</v>
      </c>
      <c r="AQ150" s="305">
        <f>AQ147*8.1%</f>
        <v>0</v>
      </c>
      <c r="AR150" s="332">
        <f t="shared" si="25"/>
        <v>0</v>
      </c>
      <c r="AS150" s="336">
        <f t="shared" si="26"/>
        <v>0</v>
      </c>
    </row>
    <row r="151" spans="1:45" s="7" customFormat="1" ht="25.5" hidden="1" customHeight="1" x14ac:dyDescent="0.45">
      <c r="A151" s="161"/>
      <c r="B151" s="152">
        <v>2</v>
      </c>
      <c r="C151" s="156" t="s">
        <v>135</v>
      </c>
      <c r="D151" s="156" t="s">
        <v>174</v>
      </c>
      <c r="E151" s="156"/>
      <c r="F151" s="156"/>
      <c r="G151" s="156"/>
      <c r="H151" s="159" t="s">
        <v>1175</v>
      </c>
      <c r="I151" s="159" t="s">
        <v>1176</v>
      </c>
      <c r="J151" s="229"/>
      <c r="K151" s="166"/>
      <c r="L151" s="151" t="s">
        <v>348</v>
      </c>
      <c r="M151" s="159" t="s">
        <v>349</v>
      </c>
      <c r="N151" s="159" t="s">
        <v>1177</v>
      </c>
      <c r="O151" s="159" t="s">
        <v>1178</v>
      </c>
      <c r="P151" s="159" t="s">
        <v>1179</v>
      </c>
      <c r="Q151" s="159" t="s">
        <v>1180</v>
      </c>
      <c r="R151" s="42" t="s">
        <v>1126</v>
      </c>
      <c r="S151" s="159" t="s">
        <v>340</v>
      </c>
      <c r="T151" s="159" t="s">
        <v>1181</v>
      </c>
      <c r="U151" s="159" t="s">
        <v>1182</v>
      </c>
      <c r="V151" s="176" t="s">
        <v>1183</v>
      </c>
      <c r="W151" s="177">
        <v>1982</v>
      </c>
      <c r="X151" s="177">
        <v>1107</v>
      </c>
      <c r="Y151" s="177"/>
      <c r="Z151" s="177"/>
      <c r="AA151" s="177"/>
      <c r="AB151" s="177"/>
      <c r="AC151" s="177"/>
      <c r="AD151" s="177"/>
      <c r="AE151" s="177"/>
      <c r="AF151" s="177"/>
      <c r="AG151" s="177"/>
      <c r="AH151" s="177"/>
      <c r="AI151" s="177"/>
      <c r="AJ151" s="177"/>
      <c r="AK151" s="177">
        <v>1</v>
      </c>
      <c r="AL151" s="276"/>
      <c r="AM151" s="277">
        <f t="shared" ref="AM151:AM157" si="27">X151*P2_Reinigen_daken_incl._extra_maatregelen_veilig_werken_volgens_VCA__eventuele_vergunningen_leges___voorrijkosten__adminstratieve_kosten__fotorapportage_en_kleine_reparaties</f>
        <v>0</v>
      </c>
      <c r="AN151" s="279">
        <f t="shared" ref="AN151:AN157" si="28">Y151*P2_Reinigen_goten_incl._extra_maatregelen_veilig_werken_volgens_VCA__eventuele_vergunningen_leges___voorrijkosten__adminstratieve_kosten__fotorapportage_en_kleine_reparaties</f>
        <v>0</v>
      </c>
      <c r="AO151" s="279">
        <f>(AE151*P2_Reinigen_Lichtkoepel_50X50)+('Perceel 3'!AF151*P2_Reinigen_Lichtkoepel_60x200)+('Perceel 3'!AG151*P2_Reinigen_Lichtkoepel_180x180)+('Perceel 3'!AH151*P2_Reinigen_Lichtstraten_groter_dan_180x180)</f>
        <v>0</v>
      </c>
      <c r="AP151" s="279">
        <f>('Perceel 3'!X151+'Perceel 3'!Y151)*P2_Inspecteren_daken_en_goten_1x_per_jaar_gelijktijdig_met_reiniging_inclusief_inspectierapport_en_een_managementrapport</f>
        <v>0</v>
      </c>
      <c r="AQ151" s="312"/>
      <c r="AR151" s="332">
        <f t="shared" si="25"/>
        <v>0</v>
      </c>
      <c r="AS151" s="336">
        <f t="shared" si="26"/>
        <v>0</v>
      </c>
    </row>
    <row r="152" spans="1:45" s="7" customFormat="1" ht="51.75" hidden="1" thickTop="1" thickBot="1" x14ac:dyDescent="0.5">
      <c r="A152" s="155"/>
      <c r="B152" s="165">
        <v>2</v>
      </c>
      <c r="C152" s="156" t="s">
        <v>135</v>
      </c>
      <c r="D152" s="156" t="s">
        <v>136</v>
      </c>
      <c r="E152" s="156"/>
      <c r="F152" s="156"/>
      <c r="G152" s="156"/>
      <c r="H152" s="151" t="s">
        <v>1184</v>
      </c>
      <c r="I152" s="151" t="s">
        <v>1185</v>
      </c>
      <c r="J152" s="157"/>
      <c r="K152" s="163"/>
      <c r="L152" s="163" t="s">
        <v>154</v>
      </c>
      <c r="M152" s="166" t="s">
        <v>544</v>
      </c>
      <c r="N152" s="160" t="s">
        <v>1186</v>
      </c>
      <c r="O152" s="159" t="s">
        <v>1187</v>
      </c>
      <c r="P152" s="160" t="s">
        <v>1188</v>
      </c>
      <c r="Q152" s="160" t="s">
        <v>1189</v>
      </c>
      <c r="R152" s="53" t="s">
        <v>1126</v>
      </c>
      <c r="S152" s="160" t="s">
        <v>340</v>
      </c>
      <c r="T152" s="159" t="s">
        <v>169</v>
      </c>
      <c r="U152" s="159" t="s">
        <v>170</v>
      </c>
      <c r="V152" s="176" t="s">
        <v>171</v>
      </c>
      <c r="W152" s="152">
        <v>1980</v>
      </c>
      <c r="X152" s="152">
        <v>494</v>
      </c>
      <c r="Y152" s="152"/>
      <c r="Z152" s="177" t="s">
        <v>311</v>
      </c>
      <c r="AA152" s="177"/>
      <c r="AB152" s="177"/>
      <c r="AC152" s="177"/>
      <c r="AD152" s="177"/>
      <c r="AE152" s="177"/>
      <c r="AF152" s="177"/>
      <c r="AG152" s="177"/>
      <c r="AH152" s="177"/>
      <c r="AI152" s="177"/>
      <c r="AJ152" s="177"/>
      <c r="AK152" s="257">
        <v>1</v>
      </c>
      <c r="AL152" s="271"/>
      <c r="AM152" s="277">
        <f t="shared" si="27"/>
        <v>0</v>
      </c>
      <c r="AN152" s="279">
        <f t="shared" si="28"/>
        <v>0</v>
      </c>
      <c r="AO152" s="279">
        <f>(AE152*P2_Reinigen_Lichtkoepel_50X50)+('Perceel 3'!AF152*P2_Reinigen_Lichtkoepel_60x200)+('Perceel 3'!AG152*P2_Reinigen_Lichtkoepel_180x180)+('Perceel 3'!AH152*P2_Reinigen_Lichtstraten_groter_dan_180x180)</f>
        <v>0</v>
      </c>
      <c r="AP152" s="279">
        <f>('Perceel 3'!X152+'Perceel 3'!Y152)*P2_Inspecteren_daken_en_goten_1x_per_jaar_gelijktijdig_met_reiniging_inclusief_inspectierapport_en_een_managementrapport</f>
        <v>0</v>
      </c>
      <c r="AQ152" s="312"/>
      <c r="AR152" s="332">
        <f t="shared" si="25"/>
        <v>0</v>
      </c>
      <c r="AS152" s="336">
        <f t="shared" si="26"/>
        <v>0</v>
      </c>
    </row>
    <row r="153" spans="1:45" s="7" customFormat="1" ht="51" hidden="1" customHeight="1" x14ac:dyDescent="0.45">
      <c r="A153" s="155"/>
      <c r="B153" s="165">
        <v>2</v>
      </c>
      <c r="C153" s="156" t="s">
        <v>135</v>
      </c>
      <c r="D153" s="156" t="s">
        <v>861</v>
      </c>
      <c r="E153" s="156"/>
      <c r="F153" s="156"/>
      <c r="G153" s="156"/>
      <c r="H153" s="151" t="s">
        <v>1190</v>
      </c>
      <c r="I153" s="151" t="s">
        <v>1191</v>
      </c>
      <c r="J153" s="157"/>
      <c r="K153" s="163"/>
      <c r="L153" s="151" t="s">
        <v>280</v>
      </c>
      <c r="M153" s="159" t="s">
        <v>669</v>
      </c>
      <c r="N153" s="159" t="s">
        <v>1192</v>
      </c>
      <c r="O153" s="159" t="s">
        <v>1193</v>
      </c>
      <c r="P153" s="160" t="s">
        <v>1194</v>
      </c>
      <c r="Q153" s="160" t="s">
        <v>1195</v>
      </c>
      <c r="R153" s="53" t="s">
        <v>1126</v>
      </c>
      <c r="S153" s="160" t="s">
        <v>340</v>
      </c>
      <c r="T153" s="159" t="s">
        <v>1196</v>
      </c>
      <c r="U153" s="159" t="s">
        <v>1197</v>
      </c>
      <c r="V153" s="176" t="s">
        <v>1198</v>
      </c>
      <c r="W153" s="152">
        <v>2008</v>
      </c>
      <c r="X153" s="152">
        <v>85</v>
      </c>
      <c r="Y153" s="152"/>
      <c r="Z153" s="177" t="s">
        <v>311</v>
      </c>
      <c r="AA153" s="177"/>
      <c r="AB153" s="177"/>
      <c r="AC153" s="177"/>
      <c r="AD153" s="177"/>
      <c r="AE153" s="177"/>
      <c r="AF153" s="177"/>
      <c r="AG153" s="177"/>
      <c r="AH153" s="177"/>
      <c r="AI153" s="177"/>
      <c r="AJ153" s="177"/>
      <c r="AK153" s="257">
        <v>1</v>
      </c>
      <c r="AL153" s="271"/>
      <c r="AM153" s="277">
        <f t="shared" si="27"/>
        <v>0</v>
      </c>
      <c r="AN153" s="279">
        <f t="shared" si="28"/>
        <v>0</v>
      </c>
      <c r="AO153" s="279">
        <f>(AE153*P2_Reinigen_Lichtkoepel_50X50)+('Perceel 3'!AF153*P2_Reinigen_Lichtkoepel_60x200)+('Perceel 3'!AG153*P2_Reinigen_Lichtkoepel_180x180)+('Perceel 3'!AH153*P2_Reinigen_Lichtstraten_groter_dan_180x180)</f>
        <v>0</v>
      </c>
      <c r="AP153" s="279">
        <f>('Perceel 3'!X153+'Perceel 3'!Y153)*P2_Inspecteren_daken_en_goten_1x_per_jaar_gelijktijdig_met_reiniging_inclusief_inspectierapport_en_een_managementrapport</f>
        <v>0</v>
      </c>
      <c r="AQ153" s="312"/>
      <c r="AR153" s="332">
        <f t="shared" si="25"/>
        <v>0</v>
      </c>
      <c r="AS153" s="336">
        <f t="shared" si="26"/>
        <v>0</v>
      </c>
    </row>
    <row r="154" spans="1:45" s="7" customFormat="1" ht="76.5" hidden="1" customHeight="1" x14ac:dyDescent="0.45">
      <c r="A154" s="161"/>
      <c r="B154" s="152">
        <v>2</v>
      </c>
      <c r="C154" s="156" t="s">
        <v>135</v>
      </c>
      <c r="D154" s="156" t="s">
        <v>136</v>
      </c>
      <c r="E154" s="156"/>
      <c r="F154" s="156"/>
      <c r="G154" s="156"/>
      <c r="H154" s="192" t="s">
        <v>1199</v>
      </c>
      <c r="I154" s="192" t="s">
        <v>1200</v>
      </c>
      <c r="J154" s="157"/>
      <c r="K154" s="163"/>
      <c r="L154" s="151" t="s">
        <v>348</v>
      </c>
      <c r="M154" s="159" t="s">
        <v>349</v>
      </c>
      <c r="N154" s="159" t="s">
        <v>1201</v>
      </c>
      <c r="O154" s="159" t="s">
        <v>1202</v>
      </c>
      <c r="P154" s="159" t="s">
        <v>1203</v>
      </c>
      <c r="Q154" s="159" t="s">
        <v>1204</v>
      </c>
      <c r="R154" s="42" t="s">
        <v>1126</v>
      </c>
      <c r="S154" s="159" t="s">
        <v>340</v>
      </c>
      <c r="T154" s="159" t="s">
        <v>1205</v>
      </c>
      <c r="U154" s="159" t="s">
        <v>1206</v>
      </c>
      <c r="V154" s="176" t="s">
        <v>1207</v>
      </c>
      <c r="W154" s="177">
        <v>1980</v>
      </c>
      <c r="X154" s="177">
        <f>1100+16</f>
        <v>1116</v>
      </c>
      <c r="Y154" s="177"/>
      <c r="Z154" s="177"/>
      <c r="AA154" s="177"/>
      <c r="AB154" s="177"/>
      <c r="AC154" s="177"/>
      <c r="AD154" s="177"/>
      <c r="AE154" s="177"/>
      <c r="AF154" s="177"/>
      <c r="AG154" s="177"/>
      <c r="AH154" s="177"/>
      <c r="AI154" s="177"/>
      <c r="AJ154" s="177"/>
      <c r="AK154" s="177">
        <v>1</v>
      </c>
      <c r="AL154" s="272"/>
      <c r="AM154" s="277">
        <f t="shared" si="27"/>
        <v>0</v>
      </c>
      <c r="AN154" s="279">
        <f t="shared" si="28"/>
        <v>0</v>
      </c>
      <c r="AO154" s="279">
        <f>(AE154*P2_Reinigen_Lichtkoepel_50X50)+('Perceel 3'!AF154*P2_Reinigen_Lichtkoepel_60x200)+('Perceel 3'!AG154*P2_Reinigen_Lichtkoepel_180x180)+('Perceel 3'!AH154*P2_Reinigen_Lichtstraten_groter_dan_180x180)</f>
        <v>0</v>
      </c>
      <c r="AP154" s="279">
        <f>('Perceel 3'!X154+'Perceel 3'!Y154)*P2_Inspecteren_daken_en_goten_1x_per_jaar_gelijktijdig_met_reiniging_inclusief_inspectierapport_en_een_managementrapport</f>
        <v>0</v>
      </c>
      <c r="AQ154" s="312"/>
      <c r="AR154" s="332">
        <f t="shared" si="25"/>
        <v>0</v>
      </c>
      <c r="AS154" s="336">
        <f t="shared" si="26"/>
        <v>0</v>
      </c>
    </row>
    <row r="155" spans="1:45" s="7" customFormat="1" ht="36.6" hidden="1" customHeight="1" x14ac:dyDescent="0.45">
      <c r="A155" s="155"/>
      <c r="B155" s="165">
        <v>2</v>
      </c>
      <c r="C155" s="156" t="s">
        <v>135</v>
      </c>
      <c r="D155" s="156" t="s">
        <v>136</v>
      </c>
      <c r="E155" s="156"/>
      <c r="F155" s="156"/>
      <c r="G155" s="156"/>
      <c r="H155" s="151" t="s">
        <v>1208</v>
      </c>
      <c r="I155" s="151" t="s">
        <v>1209</v>
      </c>
      <c r="J155" s="157"/>
      <c r="K155" s="163"/>
      <c r="L155" s="163" t="s">
        <v>154</v>
      </c>
      <c r="M155" s="166" t="s">
        <v>544</v>
      </c>
      <c r="N155" s="160" t="s">
        <v>1210</v>
      </c>
      <c r="O155" s="159" t="s">
        <v>1211</v>
      </c>
      <c r="P155" s="160" t="s">
        <v>1212</v>
      </c>
      <c r="Q155" s="160" t="s">
        <v>1213</v>
      </c>
      <c r="R155" s="53" t="s">
        <v>1214</v>
      </c>
      <c r="S155" s="160" t="s">
        <v>340</v>
      </c>
      <c r="T155" s="159" t="s">
        <v>722</v>
      </c>
      <c r="U155" s="168" t="s">
        <v>723</v>
      </c>
      <c r="V155" s="209" t="s">
        <v>724</v>
      </c>
      <c r="W155" s="152">
        <v>1984</v>
      </c>
      <c r="X155" s="152">
        <v>1725</v>
      </c>
      <c r="Y155" s="152">
        <v>192</v>
      </c>
      <c r="Z155" s="177" t="s">
        <v>311</v>
      </c>
      <c r="AA155" s="177"/>
      <c r="AB155" s="177"/>
      <c r="AC155" s="177"/>
      <c r="AD155" s="177"/>
      <c r="AE155" s="177"/>
      <c r="AF155" s="177"/>
      <c r="AG155" s="177"/>
      <c r="AH155" s="177"/>
      <c r="AI155" s="177"/>
      <c r="AJ155" s="177"/>
      <c r="AK155" s="257">
        <v>1</v>
      </c>
      <c r="AL155" s="271"/>
      <c r="AM155" s="277">
        <f t="shared" si="27"/>
        <v>0</v>
      </c>
      <c r="AN155" s="279">
        <f t="shared" si="28"/>
        <v>0</v>
      </c>
      <c r="AO155" s="279">
        <f>(AE155*P2_Reinigen_Lichtkoepel_50X50)+('Perceel 3'!AF155*P2_Reinigen_Lichtkoepel_60x200)+('Perceel 3'!AG155*P2_Reinigen_Lichtkoepel_180x180)+('Perceel 3'!AH155*P2_Reinigen_Lichtstraten_groter_dan_180x180)</f>
        <v>0</v>
      </c>
      <c r="AP155" s="279">
        <f>('Perceel 3'!X155+'Perceel 3'!Y155)*P2_Inspecteren_daken_en_goten_1x_per_jaar_gelijktijdig_met_reiniging_inclusief_inspectierapport_en_een_managementrapport</f>
        <v>0</v>
      </c>
      <c r="AQ155" s="312"/>
      <c r="AR155" s="332">
        <f t="shared" si="25"/>
        <v>0</v>
      </c>
      <c r="AS155" s="336">
        <f t="shared" si="26"/>
        <v>192</v>
      </c>
    </row>
    <row r="156" spans="1:45" s="7" customFormat="1" ht="25.5" hidden="1" customHeight="1" x14ac:dyDescent="0.45">
      <c r="A156" s="155"/>
      <c r="B156" s="165">
        <v>2</v>
      </c>
      <c r="C156" s="156" t="s">
        <v>135</v>
      </c>
      <c r="D156" s="156" t="s">
        <v>136</v>
      </c>
      <c r="E156" s="156"/>
      <c r="F156" s="156"/>
      <c r="G156" s="156"/>
      <c r="H156" s="151" t="s">
        <v>1215</v>
      </c>
      <c r="I156" s="151" t="s">
        <v>1216</v>
      </c>
      <c r="J156" s="157"/>
      <c r="K156" s="163"/>
      <c r="L156" s="151" t="s">
        <v>139</v>
      </c>
      <c r="M156" s="159" t="s">
        <v>140</v>
      </c>
      <c r="N156" s="160" t="s">
        <v>1217</v>
      </c>
      <c r="O156" s="159" t="s">
        <v>1218</v>
      </c>
      <c r="P156" s="160" t="s">
        <v>1219</v>
      </c>
      <c r="Q156" s="160" t="s">
        <v>1220</v>
      </c>
      <c r="R156" s="53" t="s">
        <v>1158</v>
      </c>
      <c r="S156" s="160" t="s">
        <v>340</v>
      </c>
      <c r="T156" s="159" t="s">
        <v>756</v>
      </c>
      <c r="U156" s="159" t="s">
        <v>1221</v>
      </c>
      <c r="V156" s="176" t="s">
        <v>1222</v>
      </c>
      <c r="W156" s="152">
        <v>1988</v>
      </c>
      <c r="X156" s="152">
        <v>541</v>
      </c>
      <c r="Y156" s="152"/>
      <c r="Z156" s="177" t="s">
        <v>311</v>
      </c>
      <c r="AA156" s="177"/>
      <c r="AB156" s="177"/>
      <c r="AC156" s="177"/>
      <c r="AD156" s="177"/>
      <c r="AE156" s="177"/>
      <c r="AF156" s="177"/>
      <c r="AG156" s="177"/>
      <c r="AH156" s="177"/>
      <c r="AI156" s="177"/>
      <c r="AJ156" s="177"/>
      <c r="AK156" s="257">
        <v>1</v>
      </c>
      <c r="AL156" s="271"/>
      <c r="AM156" s="277">
        <f t="shared" si="27"/>
        <v>0</v>
      </c>
      <c r="AN156" s="279">
        <f t="shared" si="28"/>
        <v>0</v>
      </c>
      <c r="AO156" s="279">
        <f>(AE156*P2_Reinigen_Lichtkoepel_50X50)+('Perceel 3'!AF156*P2_Reinigen_Lichtkoepel_60x200)+('Perceel 3'!AG156*P2_Reinigen_Lichtkoepel_180x180)+('Perceel 3'!AH156*P2_Reinigen_Lichtstraten_groter_dan_180x180)</f>
        <v>0</v>
      </c>
      <c r="AP156" s="279">
        <f>('Perceel 3'!X156+'Perceel 3'!Y156)*P2_Inspecteren_daken_en_goten_1x_per_jaar_gelijktijdig_met_reiniging_inclusief_inspectierapport_en_een_managementrapport</f>
        <v>0</v>
      </c>
      <c r="AQ156" s="312"/>
      <c r="AR156" s="332">
        <f t="shared" si="25"/>
        <v>0</v>
      </c>
      <c r="AS156" s="336">
        <f t="shared" si="26"/>
        <v>0</v>
      </c>
    </row>
    <row r="157" spans="1:45" s="7" customFormat="1" ht="25.5" hidden="1" customHeight="1" x14ac:dyDescent="0.45">
      <c r="A157" s="155"/>
      <c r="B157" s="165">
        <v>2</v>
      </c>
      <c r="C157" s="156" t="s">
        <v>135</v>
      </c>
      <c r="D157" s="156" t="s">
        <v>136</v>
      </c>
      <c r="E157" s="156"/>
      <c r="F157" s="156"/>
      <c r="G157" s="156"/>
      <c r="H157" s="151" t="s">
        <v>1223</v>
      </c>
      <c r="I157" s="151" t="s">
        <v>1224</v>
      </c>
      <c r="J157" s="157"/>
      <c r="K157" s="163"/>
      <c r="L157" s="151" t="s">
        <v>139</v>
      </c>
      <c r="M157" s="159" t="s">
        <v>140</v>
      </c>
      <c r="N157" s="160" t="s">
        <v>1225</v>
      </c>
      <c r="O157" s="159" t="s">
        <v>1226</v>
      </c>
      <c r="P157" s="160" t="s">
        <v>1227</v>
      </c>
      <c r="Q157" s="160" t="s">
        <v>1228</v>
      </c>
      <c r="R157" s="53" t="s">
        <v>1126</v>
      </c>
      <c r="S157" s="160" t="s">
        <v>340</v>
      </c>
      <c r="T157" s="227" t="s">
        <v>561</v>
      </c>
      <c r="U157" s="227" t="s">
        <v>1121</v>
      </c>
      <c r="V157" s="228" t="s">
        <v>400</v>
      </c>
      <c r="W157" s="152">
        <v>1982</v>
      </c>
      <c r="X157" s="152">
        <v>632</v>
      </c>
      <c r="Y157" s="152"/>
      <c r="Z157" s="177" t="s">
        <v>311</v>
      </c>
      <c r="AA157" s="177"/>
      <c r="AB157" s="177"/>
      <c r="AC157" s="177"/>
      <c r="AD157" s="177"/>
      <c r="AE157" s="177"/>
      <c r="AF157" s="177"/>
      <c r="AG157" s="177"/>
      <c r="AH157" s="177"/>
      <c r="AI157" s="177"/>
      <c r="AJ157" s="177"/>
      <c r="AK157" s="257">
        <v>1</v>
      </c>
      <c r="AL157" s="271"/>
      <c r="AM157" s="277">
        <f t="shared" si="27"/>
        <v>0</v>
      </c>
      <c r="AN157" s="279">
        <f t="shared" si="28"/>
        <v>0</v>
      </c>
      <c r="AO157" s="279">
        <f>(AE157*P2_Reinigen_Lichtkoepel_50X50)+('Perceel 3'!AF157*P2_Reinigen_Lichtkoepel_60x200)+('Perceel 3'!AG157*P2_Reinigen_Lichtkoepel_180x180)+('Perceel 3'!AH157*P2_Reinigen_Lichtstraten_groter_dan_180x180)</f>
        <v>0</v>
      </c>
      <c r="AP157" s="279">
        <f>('Perceel 3'!X157+'Perceel 3'!Y157)*P2_Inspecteren_daken_en_goten_1x_per_jaar_gelijktijdig_met_reiniging_inclusief_inspectierapport_en_een_managementrapport</f>
        <v>0</v>
      </c>
      <c r="AQ157" s="312"/>
      <c r="AR157" s="332">
        <f t="shared" si="25"/>
        <v>0</v>
      </c>
      <c r="AS157" s="336">
        <f t="shared" si="26"/>
        <v>0</v>
      </c>
    </row>
    <row r="158" spans="1:45" s="7" customFormat="1" ht="39" hidden="1" thickTop="1" thickBot="1" x14ac:dyDescent="0.5">
      <c r="A158" s="155"/>
      <c r="B158" s="165">
        <v>2</v>
      </c>
      <c r="C158" s="156" t="s">
        <v>135</v>
      </c>
      <c r="D158" s="156" t="s">
        <v>136</v>
      </c>
      <c r="E158" s="156"/>
      <c r="F158" s="156"/>
      <c r="G158" s="156"/>
      <c r="H158" s="151" t="s">
        <v>1229</v>
      </c>
      <c r="I158" s="151" t="s">
        <v>1230</v>
      </c>
      <c r="J158" s="157"/>
      <c r="K158" s="163"/>
      <c r="L158" s="163" t="s">
        <v>154</v>
      </c>
      <c r="M158" s="166" t="s">
        <v>544</v>
      </c>
      <c r="N158" s="160" t="s">
        <v>1231</v>
      </c>
      <c r="O158" s="159" t="s">
        <v>1232</v>
      </c>
      <c r="P158" s="160" t="s">
        <v>1233</v>
      </c>
      <c r="Q158" s="160" t="s">
        <v>1228</v>
      </c>
      <c r="R158" s="53" t="s">
        <v>1126</v>
      </c>
      <c r="S158" s="160" t="s">
        <v>340</v>
      </c>
      <c r="T158" s="159" t="s">
        <v>722</v>
      </c>
      <c r="U158" s="168" t="s">
        <v>723</v>
      </c>
      <c r="V158" s="209" t="s">
        <v>724</v>
      </c>
      <c r="W158" s="152">
        <v>1981</v>
      </c>
      <c r="X158" s="152">
        <v>1698</v>
      </c>
      <c r="Y158" s="152"/>
      <c r="Z158" s="177" t="s">
        <v>311</v>
      </c>
      <c r="AA158" s="177" t="s">
        <v>150</v>
      </c>
      <c r="AB158" s="177">
        <v>22</v>
      </c>
      <c r="AC158" s="177"/>
      <c r="AD158" s="177"/>
      <c r="AE158" s="177"/>
      <c r="AF158" s="177"/>
      <c r="AG158" s="177"/>
      <c r="AH158" s="177"/>
      <c r="AI158" s="177"/>
      <c r="AJ158" s="177"/>
      <c r="AK158" s="257">
        <v>1</v>
      </c>
      <c r="AL158" s="271"/>
      <c r="AM158" s="277">
        <f>X158*P2_reinigen_daken_met_vaste_dakveiligheid</f>
        <v>0</v>
      </c>
      <c r="AN158" s="279">
        <f>Y158*P2_reinigen_goten_met_vaste_dakveiligheid</f>
        <v>0</v>
      </c>
      <c r="AO158" s="279">
        <f>(AE158*P2_Reinigen_Lichtkoepel_50X50)+('Perceel 3'!AF158*P2_Reinigen_Lichtkoepel_60x200)+('Perceel 3'!AG158*P2_Reinigen_Lichtkoepel_180x180)+('Perceel 3'!AH158*P2_Reinigen_Lichtstraten_groter_dan_180x180)</f>
        <v>0</v>
      </c>
      <c r="AP158" s="279">
        <f>('Perceel 3'!X158+'Perceel 3'!Y158)*P2_Inspecteren_daken_en_goten_1x_per_jaar_gelijktijdig_met_reiniging_inclusief_inspectierapport_en_een_managementrapport</f>
        <v>0</v>
      </c>
      <c r="AQ158" s="305"/>
      <c r="AR158" s="332">
        <f t="shared" si="25"/>
        <v>0</v>
      </c>
      <c r="AS158" s="336">
        <f t="shared" si="26"/>
        <v>0</v>
      </c>
    </row>
    <row r="159" spans="1:45" s="7" customFormat="1" ht="51" hidden="1" customHeight="1" x14ac:dyDescent="0.45">
      <c r="A159" s="155"/>
      <c r="B159" s="165">
        <v>2</v>
      </c>
      <c r="C159" s="156" t="s">
        <v>135</v>
      </c>
      <c r="D159" s="156" t="s">
        <v>136</v>
      </c>
      <c r="E159" s="156" t="s">
        <v>174</v>
      </c>
      <c r="F159" s="156" t="s">
        <v>832</v>
      </c>
      <c r="G159" s="156" t="s">
        <v>833</v>
      </c>
      <c r="H159" s="151" t="s">
        <v>1234</v>
      </c>
      <c r="I159" s="151" t="s">
        <v>1235</v>
      </c>
      <c r="J159" s="157"/>
      <c r="K159" s="163"/>
      <c r="L159" s="151" t="s">
        <v>348</v>
      </c>
      <c r="M159" s="159" t="s">
        <v>349</v>
      </c>
      <c r="N159" s="195">
        <v>5002</v>
      </c>
      <c r="O159" s="159" t="s">
        <v>1236</v>
      </c>
      <c r="P159" s="160" t="s">
        <v>1237</v>
      </c>
      <c r="Q159" s="160" t="s">
        <v>1238</v>
      </c>
      <c r="R159" s="53" t="s">
        <v>1239</v>
      </c>
      <c r="S159" s="160" t="s">
        <v>340</v>
      </c>
      <c r="T159" s="159" t="s">
        <v>1240</v>
      </c>
      <c r="U159" s="159" t="s">
        <v>1241</v>
      </c>
      <c r="V159" s="176" t="s">
        <v>1242</v>
      </c>
      <c r="W159" s="152">
        <v>2007</v>
      </c>
      <c r="X159" s="152">
        <v>2850</v>
      </c>
      <c r="Y159" s="152"/>
      <c r="Z159" s="177" t="s">
        <v>311</v>
      </c>
      <c r="AA159" s="177" t="s">
        <v>311</v>
      </c>
      <c r="AB159" s="177">
        <v>10</v>
      </c>
      <c r="AC159" s="177">
        <v>85</v>
      </c>
      <c r="AD159" s="177">
        <v>4</v>
      </c>
      <c r="AE159" s="177"/>
      <c r="AF159" s="177"/>
      <c r="AG159" s="177"/>
      <c r="AH159" s="177"/>
      <c r="AI159" s="177"/>
      <c r="AJ159" s="177"/>
      <c r="AK159" s="257">
        <v>1</v>
      </c>
      <c r="AL159" s="271"/>
      <c r="AM159" s="277">
        <f>X159*P2_reinigen_daken_met_vaste_dakveiligheid</f>
        <v>0</v>
      </c>
      <c r="AN159" s="279">
        <f>Y159*P2_reinigen_goten_met_vaste_dakveiligheid</f>
        <v>0</v>
      </c>
      <c r="AO159" s="279">
        <f>(AE159*P2_Reinigen_Lichtkoepel_50X50)+('Perceel 3'!AF159*P2_Reinigen_Lichtkoepel_60x200)+('Perceel 3'!AG159*P2_Reinigen_Lichtkoepel_180x180)+('Perceel 3'!AH159*P2_Reinigen_Lichtstraten_groter_dan_180x180)</f>
        <v>0</v>
      </c>
      <c r="AP159" s="279">
        <f>('Perceel 3'!X159+'Perceel 3'!Y159)*P2_Inspecteren_daken_en_goten_1x_per_jaar_gelijktijdig_met_reiniging_inclusief_inspectierapport_en_een_managementrapport</f>
        <v>0</v>
      </c>
      <c r="AQ159" s="305"/>
      <c r="AR159" s="332">
        <f t="shared" si="25"/>
        <v>0</v>
      </c>
      <c r="AS159" s="336">
        <f t="shared" si="26"/>
        <v>0</v>
      </c>
    </row>
    <row r="160" spans="1:45" s="7" customFormat="1" ht="29.25" hidden="1" thickTop="1" thickBot="1" x14ac:dyDescent="0.5">
      <c r="A160" s="231"/>
      <c r="B160" s="165">
        <v>2</v>
      </c>
      <c r="C160" s="156" t="s">
        <v>135</v>
      </c>
      <c r="D160" s="156" t="s">
        <v>136</v>
      </c>
      <c r="E160" s="156"/>
      <c r="F160" s="156"/>
      <c r="G160" s="156"/>
      <c r="H160" s="151" t="s">
        <v>1243</v>
      </c>
      <c r="I160" s="151" t="s">
        <v>1244</v>
      </c>
      <c r="J160" s="157"/>
      <c r="K160" s="163"/>
      <c r="L160" s="151" t="s">
        <v>348</v>
      </c>
      <c r="M160" s="151" t="s">
        <v>349</v>
      </c>
      <c r="N160" s="232">
        <v>1473</v>
      </c>
      <c r="O160" s="159" t="s">
        <v>1245</v>
      </c>
      <c r="P160" s="151" t="s">
        <v>1246</v>
      </c>
      <c r="Q160" s="151"/>
      <c r="R160" s="54" t="s">
        <v>1239</v>
      </c>
      <c r="S160" s="151" t="s">
        <v>340</v>
      </c>
      <c r="T160" s="159" t="s">
        <v>1247</v>
      </c>
      <c r="U160" s="159" t="s">
        <v>1248</v>
      </c>
      <c r="V160" s="179" t="s">
        <v>1249</v>
      </c>
      <c r="W160" s="152">
        <v>2015</v>
      </c>
      <c r="X160" s="152">
        <v>576</v>
      </c>
      <c r="Y160" s="152"/>
      <c r="Z160" s="152"/>
      <c r="AA160" s="152"/>
      <c r="AB160" s="152"/>
      <c r="AC160" s="152"/>
      <c r="AD160" s="152"/>
      <c r="AE160" s="152"/>
      <c r="AF160" s="152"/>
      <c r="AG160" s="152"/>
      <c r="AH160" s="152"/>
      <c r="AI160" s="152" t="s">
        <v>1017</v>
      </c>
      <c r="AJ160" s="152" t="s">
        <v>1250</v>
      </c>
      <c r="AK160" s="152">
        <v>1</v>
      </c>
      <c r="AL160" s="295"/>
      <c r="AM160" s="277">
        <f t="shared" ref="AM160:AM166" si="29">X160*P2_Reinigen_daken_incl._extra_maatregelen_veilig_werken_volgens_VCA__eventuele_vergunningen_leges___voorrijkosten__adminstratieve_kosten__fotorapportage_en_kleine_reparaties</f>
        <v>0</v>
      </c>
      <c r="AN160" s="279">
        <f t="shared" ref="AN160:AN166" si="30">Y160*P2_Reinigen_goten_incl._extra_maatregelen_veilig_werken_volgens_VCA__eventuele_vergunningen_leges___voorrijkosten__adminstratieve_kosten__fotorapportage_en_kleine_reparaties</f>
        <v>0</v>
      </c>
      <c r="AO160" s="279">
        <f>(AE160*P2_Reinigen_Lichtkoepel_50X50)+('Perceel 3'!AF160*P2_Reinigen_Lichtkoepel_60x200)+('Perceel 3'!AG160*P2_Reinigen_Lichtkoepel_180x180)+('Perceel 3'!AH160*P2_Reinigen_Lichtstraten_groter_dan_180x180)</f>
        <v>0</v>
      </c>
      <c r="AP160" s="279">
        <f>('Perceel 3'!X160+'Perceel 3'!Y160)*P2_Inspecteren_daken_en_goten_1x_per_jaar_gelijktijdig_met_reiniging_inclusief_inspectierapport_en_een_managementrapport</f>
        <v>0</v>
      </c>
      <c r="AQ160" s="312"/>
      <c r="AR160" s="332">
        <f t="shared" si="25"/>
        <v>0</v>
      </c>
      <c r="AS160" s="336">
        <f t="shared" si="26"/>
        <v>0</v>
      </c>
    </row>
    <row r="161" spans="1:45" s="7" customFormat="1" ht="25.5" hidden="1" customHeight="1" x14ac:dyDescent="0.45">
      <c r="A161" s="155"/>
      <c r="B161" s="165">
        <v>2</v>
      </c>
      <c r="C161" s="156" t="s">
        <v>135</v>
      </c>
      <c r="D161" s="156" t="s">
        <v>136</v>
      </c>
      <c r="E161" s="156"/>
      <c r="F161" s="156"/>
      <c r="G161" s="156"/>
      <c r="H161" s="151" t="s">
        <v>1251</v>
      </c>
      <c r="I161" s="151" t="s">
        <v>1252</v>
      </c>
      <c r="J161" s="157"/>
      <c r="K161" s="163"/>
      <c r="L161" s="151" t="s">
        <v>139</v>
      </c>
      <c r="M161" s="159" t="s">
        <v>140</v>
      </c>
      <c r="N161" s="160" t="s">
        <v>1253</v>
      </c>
      <c r="O161" s="159" t="s">
        <v>1254</v>
      </c>
      <c r="P161" s="160" t="s">
        <v>1255</v>
      </c>
      <c r="Q161" s="160" t="s">
        <v>1256</v>
      </c>
      <c r="R161" s="53" t="s">
        <v>1144</v>
      </c>
      <c r="S161" s="160" t="s">
        <v>340</v>
      </c>
      <c r="T161" s="159" t="s">
        <v>756</v>
      </c>
      <c r="U161" s="159" t="s">
        <v>1257</v>
      </c>
      <c r="V161" s="176" t="s">
        <v>1258</v>
      </c>
      <c r="W161" s="152">
        <v>1998</v>
      </c>
      <c r="X161" s="152">
        <v>358</v>
      </c>
      <c r="Y161" s="152">
        <v>41</v>
      </c>
      <c r="Z161" s="177" t="s">
        <v>311</v>
      </c>
      <c r="AA161" s="177"/>
      <c r="AB161" s="177"/>
      <c r="AC161" s="177"/>
      <c r="AD161" s="177"/>
      <c r="AE161" s="177"/>
      <c r="AF161" s="177"/>
      <c r="AG161" s="177"/>
      <c r="AH161" s="177"/>
      <c r="AI161" s="177"/>
      <c r="AJ161" s="177"/>
      <c r="AK161" s="257">
        <v>1</v>
      </c>
      <c r="AL161" s="271"/>
      <c r="AM161" s="277">
        <f t="shared" si="29"/>
        <v>0</v>
      </c>
      <c r="AN161" s="279">
        <f t="shared" si="30"/>
        <v>0</v>
      </c>
      <c r="AO161" s="279">
        <f>(AE161*P2_Reinigen_Lichtkoepel_50X50)+('Perceel 3'!AF161*P2_Reinigen_Lichtkoepel_60x200)+('Perceel 3'!AG161*P2_Reinigen_Lichtkoepel_180x180)+('Perceel 3'!AH161*P2_Reinigen_Lichtstraten_groter_dan_180x180)</f>
        <v>0</v>
      </c>
      <c r="AP161" s="279">
        <f>('Perceel 3'!X161+'Perceel 3'!Y161)*P2_Inspecteren_daken_en_goten_1x_per_jaar_gelijktijdig_met_reiniging_inclusief_inspectierapport_en_een_managementrapport</f>
        <v>0</v>
      </c>
      <c r="AQ161" s="312"/>
      <c r="AR161" s="332">
        <f t="shared" si="25"/>
        <v>0</v>
      </c>
      <c r="AS161" s="336">
        <f t="shared" si="26"/>
        <v>41</v>
      </c>
    </row>
    <row r="162" spans="1:45" s="7" customFormat="1" ht="25.5" hidden="1" customHeight="1" x14ac:dyDescent="0.45">
      <c r="A162" s="155"/>
      <c r="B162" s="165">
        <v>2</v>
      </c>
      <c r="C162" s="156" t="s">
        <v>135</v>
      </c>
      <c r="D162" s="156" t="s">
        <v>174</v>
      </c>
      <c r="E162" s="156"/>
      <c r="F162" s="156"/>
      <c r="G162" s="156"/>
      <c r="H162" s="151" t="s">
        <v>1259</v>
      </c>
      <c r="I162" s="151" t="s">
        <v>1260</v>
      </c>
      <c r="J162" s="157"/>
      <c r="K162" s="163"/>
      <c r="L162" s="151" t="s">
        <v>348</v>
      </c>
      <c r="M162" s="159" t="s">
        <v>349</v>
      </c>
      <c r="N162" s="160" t="s">
        <v>1261</v>
      </c>
      <c r="O162" s="159" t="s">
        <v>1262</v>
      </c>
      <c r="P162" s="160" t="s">
        <v>1263</v>
      </c>
      <c r="Q162" s="160" t="s">
        <v>1264</v>
      </c>
      <c r="R162" s="53" t="s">
        <v>1126</v>
      </c>
      <c r="S162" s="160" t="s">
        <v>340</v>
      </c>
      <c r="T162" s="226" t="s">
        <v>1135</v>
      </c>
      <c r="U162" s="226" t="s">
        <v>1136</v>
      </c>
      <c r="V162" s="234" t="s">
        <v>1137</v>
      </c>
      <c r="W162" s="152">
        <v>1980</v>
      </c>
      <c r="X162" s="152">
        <v>957</v>
      </c>
      <c r="Y162" s="152"/>
      <c r="Z162" s="177"/>
      <c r="AA162" s="177"/>
      <c r="AB162" s="177"/>
      <c r="AC162" s="177"/>
      <c r="AD162" s="177"/>
      <c r="AE162" s="177"/>
      <c r="AF162" s="177"/>
      <c r="AG162" s="177"/>
      <c r="AH162" s="177"/>
      <c r="AI162" s="177"/>
      <c r="AJ162" s="177"/>
      <c r="AK162" s="257">
        <v>1</v>
      </c>
      <c r="AL162" s="271"/>
      <c r="AM162" s="277">
        <f t="shared" si="29"/>
        <v>0</v>
      </c>
      <c r="AN162" s="279">
        <f t="shared" si="30"/>
        <v>0</v>
      </c>
      <c r="AO162" s="279">
        <f>(AE162*P2_Reinigen_Lichtkoepel_50X50)+('Perceel 3'!AF162*P2_Reinigen_Lichtkoepel_60x200)+('Perceel 3'!AG162*P2_Reinigen_Lichtkoepel_180x180)+('Perceel 3'!AH162*P2_Reinigen_Lichtstraten_groter_dan_180x180)</f>
        <v>0</v>
      </c>
      <c r="AP162" s="279">
        <f>('Perceel 3'!X162+'Perceel 3'!Y162)*P2_Inspecteren_daken_en_goten_1x_per_jaar_gelijktijdig_met_reiniging_inclusief_inspectierapport_en_een_managementrapport</f>
        <v>0</v>
      </c>
      <c r="AQ162" s="312"/>
      <c r="AR162" s="332">
        <f t="shared" si="25"/>
        <v>0</v>
      </c>
      <c r="AS162" s="336">
        <f t="shared" si="26"/>
        <v>0</v>
      </c>
    </row>
    <row r="163" spans="1:45" s="7" customFormat="1" ht="51.75" hidden="1" thickTop="1" thickBot="1" x14ac:dyDescent="0.5">
      <c r="A163" s="155"/>
      <c r="B163" s="165">
        <v>2</v>
      </c>
      <c r="C163" s="156" t="s">
        <v>135</v>
      </c>
      <c r="D163" s="156" t="s">
        <v>136</v>
      </c>
      <c r="E163" s="156"/>
      <c r="F163" s="156"/>
      <c r="G163" s="156"/>
      <c r="H163" s="151" t="s">
        <v>1265</v>
      </c>
      <c r="I163" s="151" t="s">
        <v>1266</v>
      </c>
      <c r="J163" s="157"/>
      <c r="K163" s="163"/>
      <c r="L163" s="163" t="s">
        <v>154</v>
      </c>
      <c r="M163" s="166" t="s">
        <v>544</v>
      </c>
      <c r="N163" s="160" t="s">
        <v>1267</v>
      </c>
      <c r="O163" s="159" t="s">
        <v>1268</v>
      </c>
      <c r="P163" s="160" t="s">
        <v>1269</v>
      </c>
      <c r="Q163" s="160" t="s">
        <v>1264</v>
      </c>
      <c r="R163" s="53" t="s">
        <v>1126</v>
      </c>
      <c r="S163" s="160" t="s">
        <v>340</v>
      </c>
      <c r="T163" s="159" t="s">
        <v>169</v>
      </c>
      <c r="U163" s="159" t="s">
        <v>170</v>
      </c>
      <c r="V163" s="176" t="s">
        <v>171</v>
      </c>
      <c r="W163" s="152">
        <v>1980</v>
      </c>
      <c r="X163" s="152">
        <v>489</v>
      </c>
      <c r="Y163" s="152"/>
      <c r="Z163" s="177"/>
      <c r="AA163" s="177"/>
      <c r="AB163" s="177"/>
      <c r="AC163" s="177"/>
      <c r="AD163" s="177"/>
      <c r="AE163" s="177"/>
      <c r="AF163" s="177"/>
      <c r="AG163" s="177"/>
      <c r="AH163" s="177"/>
      <c r="AI163" s="177"/>
      <c r="AJ163" s="177"/>
      <c r="AK163" s="257">
        <v>1</v>
      </c>
      <c r="AL163" s="271"/>
      <c r="AM163" s="277">
        <f t="shared" si="29"/>
        <v>0</v>
      </c>
      <c r="AN163" s="279">
        <f t="shared" si="30"/>
        <v>0</v>
      </c>
      <c r="AO163" s="279">
        <f>(AE163*P2_Reinigen_Lichtkoepel_50X50)+('Perceel 3'!AF163*P2_Reinigen_Lichtkoepel_60x200)+('Perceel 3'!AG163*P2_Reinigen_Lichtkoepel_180x180)+('Perceel 3'!AH163*P2_Reinigen_Lichtstraten_groter_dan_180x180)</f>
        <v>0</v>
      </c>
      <c r="AP163" s="279">
        <f>('Perceel 3'!X163+'Perceel 3'!Y163)*P2_Inspecteren_daken_en_goten_1x_per_jaar_gelijktijdig_met_reiniging_inclusief_inspectierapport_en_een_managementrapport</f>
        <v>0</v>
      </c>
      <c r="AQ163" s="312"/>
      <c r="AR163" s="332">
        <f t="shared" si="25"/>
        <v>0</v>
      </c>
      <c r="AS163" s="336">
        <f t="shared" si="26"/>
        <v>0</v>
      </c>
    </row>
    <row r="164" spans="1:45" s="7" customFormat="1" ht="25.5" hidden="1" customHeight="1" x14ac:dyDescent="0.45">
      <c r="A164" s="155"/>
      <c r="B164" s="165">
        <v>2</v>
      </c>
      <c r="C164" s="156" t="s">
        <v>135</v>
      </c>
      <c r="D164" s="156" t="s">
        <v>136</v>
      </c>
      <c r="E164" s="156"/>
      <c r="F164" s="156"/>
      <c r="G164" s="156"/>
      <c r="H164" s="151" t="s">
        <v>1270</v>
      </c>
      <c r="I164" s="151" t="s">
        <v>1271</v>
      </c>
      <c r="J164" s="157"/>
      <c r="K164" s="163"/>
      <c r="L164" s="151" t="s">
        <v>139</v>
      </c>
      <c r="M164" s="159" t="s">
        <v>140</v>
      </c>
      <c r="N164" s="160" t="s">
        <v>1272</v>
      </c>
      <c r="O164" s="159" t="s">
        <v>1273</v>
      </c>
      <c r="P164" s="160" t="s">
        <v>1274</v>
      </c>
      <c r="Q164" s="160" t="s">
        <v>1275</v>
      </c>
      <c r="R164" s="53" t="s">
        <v>1214</v>
      </c>
      <c r="S164" s="160" t="s">
        <v>340</v>
      </c>
      <c r="T164" s="159" t="s">
        <v>1276</v>
      </c>
      <c r="U164" s="159" t="s">
        <v>1277</v>
      </c>
      <c r="V164" s="176" t="s">
        <v>1278</v>
      </c>
      <c r="W164" s="152">
        <v>1983</v>
      </c>
      <c r="X164" s="152">
        <v>814</v>
      </c>
      <c r="Y164" s="152"/>
      <c r="Z164" s="177"/>
      <c r="AA164" s="177"/>
      <c r="AB164" s="177"/>
      <c r="AC164" s="177"/>
      <c r="AD164" s="177"/>
      <c r="AE164" s="177"/>
      <c r="AF164" s="177"/>
      <c r="AG164" s="177"/>
      <c r="AH164" s="177"/>
      <c r="AI164" s="177"/>
      <c r="AJ164" s="177"/>
      <c r="AK164" s="257">
        <v>2</v>
      </c>
      <c r="AL164" s="271"/>
      <c r="AM164" s="277">
        <f t="shared" si="29"/>
        <v>0</v>
      </c>
      <c r="AN164" s="279">
        <f t="shared" si="30"/>
        <v>0</v>
      </c>
      <c r="AO164" s="279">
        <f>(AE164*P2_Reinigen_Lichtkoepel_50X50)+('Perceel 3'!AF164*P2_Reinigen_Lichtkoepel_60x200)+('Perceel 3'!AG164*P2_Reinigen_Lichtkoepel_180x180)+('Perceel 3'!AH164*P2_Reinigen_Lichtstraten_groter_dan_180x180)</f>
        <v>0</v>
      </c>
      <c r="AP164" s="279">
        <f>('Perceel 3'!X164+'Perceel 3'!Y164)*P2_Inspecteren_daken_en_goten_1x_per_jaar_gelijktijdig_met_reiniging_inclusief_inspectierapport_en_een_managementrapport</f>
        <v>0</v>
      </c>
      <c r="AQ164" s="312"/>
      <c r="AR164" s="332">
        <f t="shared" si="25"/>
        <v>0</v>
      </c>
      <c r="AS164" s="336">
        <f t="shared" si="26"/>
        <v>0</v>
      </c>
    </row>
    <row r="165" spans="1:45" s="7" customFormat="1" ht="25.5" hidden="1" customHeight="1" x14ac:dyDescent="0.45">
      <c r="A165" s="155"/>
      <c r="B165" s="165">
        <v>2</v>
      </c>
      <c r="C165" s="156" t="s">
        <v>135</v>
      </c>
      <c r="D165" s="156" t="s">
        <v>174</v>
      </c>
      <c r="E165" s="156"/>
      <c r="F165" s="156"/>
      <c r="G165" s="156"/>
      <c r="H165" s="151" t="s">
        <v>1279</v>
      </c>
      <c r="I165" s="151" t="s">
        <v>1280</v>
      </c>
      <c r="J165" s="157"/>
      <c r="K165" s="163"/>
      <c r="L165" s="151" t="s">
        <v>348</v>
      </c>
      <c r="M165" s="159" t="s">
        <v>349</v>
      </c>
      <c r="N165" s="160" t="s">
        <v>1281</v>
      </c>
      <c r="O165" s="159" t="s">
        <v>1282</v>
      </c>
      <c r="P165" s="160" t="s">
        <v>1283</v>
      </c>
      <c r="Q165" s="160" t="s">
        <v>1284</v>
      </c>
      <c r="R165" s="53" t="s">
        <v>1214</v>
      </c>
      <c r="S165" s="160" t="s">
        <v>340</v>
      </c>
      <c r="T165" s="159" t="s">
        <v>1285</v>
      </c>
      <c r="U165" s="159" t="s">
        <v>1286</v>
      </c>
      <c r="V165" s="176" t="s">
        <v>1287</v>
      </c>
      <c r="W165" s="152">
        <v>1982</v>
      </c>
      <c r="X165" s="152">
        <v>1176</v>
      </c>
      <c r="Y165" s="152"/>
      <c r="Z165" s="177"/>
      <c r="AA165" s="177"/>
      <c r="AB165" s="177"/>
      <c r="AC165" s="177"/>
      <c r="AD165" s="177"/>
      <c r="AE165" s="177"/>
      <c r="AF165" s="177"/>
      <c r="AG165" s="177"/>
      <c r="AH165" s="177"/>
      <c r="AI165" s="177"/>
      <c r="AJ165" s="177"/>
      <c r="AK165" s="257">
        <v>1</v>
      </c>
      <c r="AL165" s="271"/>
      <c r="AM165" s="277">
        <f t="shared" si="29"/>
        <v>0</v>
      </c>
      <c r="AN165" s="279">
        <f t="shared" si="30"/>
        <v>0</v>
      </c>
      <c r="AO165" s="279">
        <f>(AE165*P2_Reinigen_Lichtkoepel_50X50)+('Perceel 3'!AF165*P2_Reinigen_Lichtkoepel_60x200)+('Perceel 3'!AG165*P2_Reinigen_Lichtkoepel_180x180)+('Perceel 3'!AH165*P2_Reinigen_Lichtstraten_groter_dan_180x180)</f>
        <v>0</v>
      </c>
      <c r="AP165" s="279">
        <f>('Perceel 3'!X165+'Perceel 3'!Y165)*P2_Inspecteren_daken_en_goten_1x_per_jaar_gelijktijdig_met_reiniging_inclusief_inspectierapport_en_een_managementrapport</f>
        <v>0</v>
      </c>
      <c r="AQ165" s="312"/>
      <c r="AR165" s="332">
        <f t="shared" si="25"/>
        <v>0</v>
      </c>
      <c r="AS165" s="336">
        <f t="shared" si="26"/>
        <v>0</v>
      </c>
    </row>
    <row r="166" spans="1:45" s="7" customFormat="1" ht="51.75" hidden="1" thickTop="1" thickBot="1" x14ac:dyDescent="0.5">
      <c r="A166" s="155"/>
      <c r="B166" s="165">
        <v>2</v>
      </c>
      <c r="C166" s="156" t="s">
        <v>135</v>
      </c>
      <c r="D166" s="156" t="s">
        <v>136</v>
      </c>
      <c r="E166" s="156"/>
      <c r="F166" s="156"/>
      <c r="G166" s="156"/>
      <c r="H166" s="151" t="s">
        <v>1288</v>
      </c>
      <c r="I166" s="151" t="s">
        <v>1289</v>
      </c>
      <c r="J166" s="157"/>
      <c r="K166" s="163"/>
      <c r="L166" s="163" t="s">
        <v>154</v>
      </c>
      <c r="M166" s="166" t="s">
        <v>544</v>
      </c>
      <c r="N166" s="160" t="s">
        <v>1290</v>
      </c>
      <c r="O166" s="159" t="s">
        <v>1291</v>
      </c>
      <c r="P166" s="160" t="s">
        <v>1292</v>
      </c>
      <c r="Q166" s="160" t="s">
        <v>1284</v>
      </c>
      <c r="R166" s="53" t="s">
        <v>1214</v>
      </c>
      <c r="S166" s="160" t="s">
        <v>340</v>
      </c>
      <c r="T166" s="159" t="s">
        <v>169</v>
      </c>
      <c r="U166" s="159" t="s">
        <v>170</v>
      </c>
      <c r="V166" s="176" t="s">
        <v>171</v>
      </c>
      <c r="W166" s="152">
        <v>1982</v>
      </c>
      <c r="X166" s="152">
        <v>463</v>
      </c>
      <c r="Y166" s="152"/>
      <c r="Z166" s="177" t="s">
        <v>311</v>
      </c>
      <c r="AA166" s="177"/>
      <c r="AB166" s="177"/>
      <c r="AC166" s="177"/>
      <c r="AD166" s="177"/>
      <c r="AE166" s="177"/>
      <c r="AF166" s="177"/>
      <c r="AG166" s="177"/>
      <c r="AH166" s="177"/>
      <c r="AI166" s="177"/>
      <c r="AJ166" s="177"/>
      <c r="AK166" s="257">
        <v>2</v>
      </c>
      <c r="AL166" s="271"/>
      <c r="AM166" s="277">
        <f t="shared" si="29"/>
        <v>0</v>
      </c>
      <c r="AN166" s="279">
        <f t="shared" si="30"/>
        <v>0</v>
      </c>
      <c r="AO166" s="279">
        <f>(AE166*P2_Reinigen_Lichtkoepel_50X50)+('Perceel 3'!AF166*P2_Reinigen_Lichtkoepel_60x200)+('Perceel 3'!AG166*P2_Reinigen_Lichtkoepel_180x180)+('Perceel 3'!AH166*P2_Reinigen_Lichtstraten_groter_dan_180x180)</f>
        <v>0</v>
      </c>
      <c r="AP166" s="279">
        <f>('Perceel 3'!X166+'Perceel 3'!Y166)*P2_Inspecteren_daken_en_goten_1x_per_jaar_gelijktijdig_met_reiniging_inclusief_inspectierapport_en_een_managementrapport</f>
        <v>0</v>
      </c>
      <c r="AQ166" s="312"/>
      <c r="AR166" s="332">
        <f t="shared" si="25"/>
        <v>0</v>
      </c>
      <c r="AS166" s="336">
        <f t="shared" si="26"/>
        <v>0</v>
      </c>
    </row>
    <row r="167" spans="1:45" s="7" customFormat="1" ht="51" hidden="1" customHeight="1" x14ac:dyDescent="0.45">
      <c r="A167" s="155"/>
      <c r="B167" s="165">
        <v>2</v>
      </c>
      <c r="C167" s="156" t="s">
        <v>135</v>
      </c>
      <c r="D167" s="156" t="s">
        <v>136</v>
      </c>
      <c r="E167" s="156"/>
      <c r="F167" s="156"/>
      <c r="G167" s="156"/>
      <c r="H167" s="151" t="s">
        <v>1293</v>
      </c>
      <c r="I167" s="151" t="s">
        <v>1294</v>
      </c>
      <c r="J167" s="157"/>
      <c r="K167" s="163"/>
      <c r="L167" s="151" t="s">
        <v>191</v>
      </c>
      <c r="M167" s="159" t="s">
        <v>890</v>
      </c>
      <c r="N167" s="160" t="s">
        <v>1295</v>
      </c>
      <c r="O167" s="159" t="s">
        <v>1296</v>
      </c>
      <c r="P167" s="160" t="s">
        <v>1297</v>
      </c>
      <c r="Q167" s="160" t="s">
        <v>1298</v>
      </c>
      <c r="R167" s="53" t="s">
        <v>1299</v>
      </c>
      <c r="S167" s="160" t="s">
        <v>340</v>
      </c>
      <c r="T167" s="159" t="s">
        <v>1300</v>
      </c>
      <c r="U167" s="159" t="s">
        <v>1301</v>
      </c>
      <c r="V167" s="235" t="s">
        <v>1302</v>
      </c>
      <c r="W167" s="152">
        <v>1985</v>
      </c>
      <c r="X167" s="152">
        <v>3362</v>
      </c>
      <c r="Y167" s="152"/>
      <c r="Z167" s="177"/>
      <c r="AA167" s="177" t="s">
        <v>150</v>
      </c>
      <c r="AB167" s="177">
        <v>65</v>
      </c>
      <c r="AC167" s="177">
        <v>135</v>
      </c>
      <c r="AD167" s="177" t="s">
        <v>1303</v>
      </c>
      <c r="AE167" s="177"/>
      <c r="AF167" s="177"/>
      <c r="AG167" s="177"/>
      <c r="AH167" s="177"/>
      <c r="AI167" s="177"/>
      <c r="AJ167" s="177"/>
      <c r="AK167" s="257">
        <v>1</v>
      </c>
      <c r="AL167" s="271"/>
      <c r="AM167" s="277">
        <f>X167*P2_reinigen_daken_met_vaste_dakveiligheid</f>
        <v>0</v>
      </c>
      <c r="AN167" s="279">
        <f>Y167*P2_reinigen_goten_met_vaste_dakveiligheid</f>
        <v>0</v>
      </c>
      <c r="AO167" s="279">
        <f>(AE167*P2_Reinigen_Lichtkoepel_50X50)+('Perceel 3'!AF167*P2_Reinigen_Lichtkoepel_60x200)+('Perceel 3'!AG167*P2_Reinigen_Lichtkoepel_180x180)+('Perceel 3'!AH167*P2_Reinigen_Lichtstraten_groter_dan_180x180)</f>
        <v>0</v>
      </c>
      <c r="AP167" s="279">
        <f>('Perceel 3'!X167+'Perceel 3'!Y167)*P2_Inspecteren_daken_en_goten_1x_per_jaar_gelijktijdig_met_reiniging_inclusief_inspectierapport_en_een_managementrapport</f>
        <v>0</v>
      </c>
      <c r="AQ167" s="305"/>
      <c r="AR167" s="332">
        <f t="shared" si="25"/>
        <v>0</v>
      </c>
      <c r="AS167" s="336">
        <f t="shared" si="26"/>
        <v>0</v>
      </c>
    </row>
    <row r="168" spans="1:45" s="7" customFormat="1" ht="51.75" hidden="1" thickTop="1" thickBot="1" x14ac:dyDescent="0.5">
      <c r="A168" s="155"/>
      <c r="B168" s="165">
        <v>2</v>
      </c>
      <c r="C168" s="156" t="s">
        <v>135</v>
      </c>
      <c r="D168" s="156" t="s">
        <v>136</v>
      </c>
      <c r="E168" s="156"/>
      <c r="F168" s="156"/>
      <c r="G168" s="156"/>
      <c r="H168" s="151" t="s">
        <v>1304</v>
      </c>
      <c r="I168" s="151" t="s">
        <v>1305</v>
      </c>
      <c r="J168" s="157"/>
      <c r="K168" s="163"/>
      <c r="L168" s="163" t="s">
        <v>154</v>
      </c>
      <c r="M168" s="166" t="s">
        <v>544</v>
      </c>
      <c r="N168" s="160" t="s">
        <v>1306</v>
      </c>
      <c r="O168" s="159" t="s">
        <v>1307</v>
      </c>
      <c r="P168" s="160" t="s">
        <v>1308</v>
      </c>
      <c r="Q168" s="160" t="s">
        <v>1309</v>
      </c>
      <c r="R168" s="55" t="s">
        <v>1126</v>
      </c>
      <c r="S168" s="160" t="s">
        <v>340</v>
      </c>
      <c r="T168" s="159" t="s">
        <v>169</v>
      </c>
      <c r="U168" s="159" t="s">
        <v>170</v>
      </c>
      <c r="V168" s="176" t="s">
        <v>171</v>
      </c>
      <c r="W168" s="152">
        <v>1983</v>
      </c>
      <c r="X168" s="152">
        <v>399</v>
      </c>
      <c r="Y168" s="152"/>
      <c r="Z168" s="177" t="s">
        <v>311</v>
      </c>
      <c r="AA168" s="177"/>
      <c r="AB168" s="177"/>
      <c r="AC168" s="177"/>
      <c r="AD168" s="177"/>
      <c r="AE168" s="177"/>
      <c r="AF168" s="177"/>
      <c r="AG168" s="177"/>
      <c r="AH168" s="177"/>
      <c r="AI168" s="177"/>
      <c r="AJ168" s="177"/>
      <c r="AK168" s="257">
        <v>1</v>
      </c>
      <c r="AL168" s="271"/>
      <c r="AM168" s="277">
        <f>X168*P2_Reinigen_daken_incl._extra_maatregelen_veilig_werken_volgens_VCA__eventuele_vergunningen_leges___voorrijkosten__adminstratieve_kosten__fotorapportage_en_kleine_reparaties</f>
        <v>0</v>
      </c>
      <c r="AN168" s="279">
        <f>Y168*P2_Reinigen_goten_incl._extra_maatregelen_veilig_werken_volgens_VCA__eventuele_vergunningen_leges___voorrijkosten__adminstratieve_kosten__fotorapportage_en_kleine_reparaties</f>
        <v>0</v>
      </c>
      <c r="AO168" s="279">
        <f>(AE168*P2_Reinigen_Lichtkoepel_50X50)+('Perceel 3'!AF168*P2_Reinigen_Lichtkoepel_60x200)+('Perceel 3'!AG168*P2_Reinigen_Lichtkoepel_180x180)+('Perceel 3'!AH168*P2_Reinigen_Lichtstraten_groter_dan_180x180)</f>
        <v>0</v>
      </c>
      <c r="AP168" s="279">
        <f>('Perceel 3'!X168+'Perceel 3'!Y168)*P2_Inspecteren_daken_en_goten_1x_per_jaar_gelijktijdig_met_reiniging_inclusief_inspectierapport_en_een_managementrapport</f>
        <v>0</v>
      </c>
      <c r="AQ168" s="312"/>
      <c r="AR168" s="332">
        <f>AQ168*P2_keuren_dakveiligheid_per_man_uur</f>
        <v>0</v>
      </c>
      <c r="AS168" s="336">
        <f t="shared" si="26"/>
        <v>0</v>
      </c>
    </row>
    <row r="169" spans="1:45" s="7" customFormat="1" ht="51.75" hidden="1" thickTop="1" thickBot="1" x14ac:dyDescent="0.5">
      <c r="A169" s="155"/>
      <c r="B169" s="165">
        <v>2</v>
      </c>
      <c r="C169" s="156" t="s">
        <v>135</v>
      </c>
      <c r="D169" s="156" t="s">
        <v>136</v>
      </c>
      <c r="E169" s="156"/>
      <c r="F169" s="156"/>
      <c r="G169" s="156"/>
      <c r="H169" s="151" t="s">
        <v>1310</v>
      </c>
      <c r="I169" s="151" t="s">
        <v>1311</v>
      </c>
      <c r="J169" s="157"/>
      <c r="K169" s="157"/>
      <c r="L169" s="163" t="s">
        <v>154</v>
      </c>
      <c r="M169" s="166" t="s">
        <v>544</v>
      </c>
      <c r="N169" s="160" t="s">
        <v>1312</v>
      </c>
      <c r="O169" s="159" t="s">
        <v>1313</v>
      </c>
      <c r="P169" s="160" t="s">
        <v>1314</v>
      </c>
      <c r="Q169" s="160" t="s">
        <v>1315</v>
      </c>
      <c r="R169" s="56" t="s">
        <v>1316</v>
      </c>
      <c r="S169" s="160" t="s">
        <v>340</v>
      </c>
      <c r="T169" s="159" t="s">
        <v>169</v>
      </c>
      <c r="U169" s="159" t="s">
        <v>170</v>
      </c>
      <c r="V169" s="176" t="s">
        <v>171</v>
      </c>
      <c r="W169" s="152">
        <v>2007</v>
      </c>
      <c r="X169" s="152">
        <v>455</v>
      </c>
      <c r="Y169" s="152"/>
      <c r="Z169" s="177" t="s">
        <v>311</v>
      </c>
      <c r="AA169" s="177" t="s">
        <v>150</v>
      </c>
      <c r="AB169" s="177">
        <v>16</v>
      </c>
      <c r="AC169" s="177">
        <v>79</v>
      </c>
      <c r="AD169" s="177"/>
      <c r="AE169" s="177"/>
      <c r="AF169" s="177"/>
      <c r="AG169" s="177"/>
      <c r="AH169" s="177"/>
      <c r="AI169" s="177"/>
      <c r="AJ169" s="177"/>
      <c r="AK169" s="257">
        <v>1</v>
      </c>
      <c r="AL169" s="296"/>
      <c r="AM169" s="277">
        <f>X169*P2_reinigen_daken_met_vaste_dakveiligheid</f>
        <v>0</v>
      </c>
      <c r="AN169" s="279">
        <f>Y169*P2_reinigen_goten_met_vaste_dakveiligheid</f>
        <v>0</v>
      </c>
      <c r="AO169" s="279">
        <f>(AE169*P2_Reinigen_Lichtkoepel_50X50)+('Perceel 3'!AF169*P2_Reinigen_Lichtkoepel_60x200)+('Perceel 3'!AG169*P2_Reinigen_Lichtkoepel_180x180)+('Perceel 3'!AH169*P2_Reinigen_Lichtstraten_groter_dan_180x180)</f>
        <v>0</v>
      </c>
      <c r="AP169" s="279">
        <f>('Perceel 3'!X169+'Perceel 3'!Y169)*P2_Inspecteren_daken_en_goten_1x_per_jaar_gelijktijdig_met_reiniging_inclusief_inspectierapport_en_een_managementrapport</f>
        <v>0</v>
      </c>
      <c r="AQ169" s="305"/>
      <c r="AR169" s="332">
        <f t="shared" si="25"/>
        <v>0</v>
      </c>
      <c r="AS169" s="336">
        <f t="shared" si="26"/>
        <v>0</v>
      </c>
    </row>
    <row r="170" spans="1:45" s="7" customFormat="1" ht="26.25" hidden="1" thickTop="1" thickBot="1" x14ac:dyDescent="0.5">
      <c r="A170" s="155"/>
      <c r="B170" s="165">
        <v>2</v>
      </c>
      <c r="C170" s="156" t="s">
        <v>135</v>
      </c>
      <c r="D170" s="156" t="s">
        <v>174</v>
      </c>
      <c r="E170" s="156"/>
      <c r="F170" s="156"/>
      <c r="G170" s="156"/>
      <c r="H170" s="151" t="s">
        <v>1317</v>
      </c>
      <c r="I170" s="151" t="s">
        <v>1318</v>
      </c>
      <c r="J170" s="157"/>
      <c r="K170" s="163"/>
      <c r="L170" s="151" t="s">
        <v>348</v>
      </c>
      <c r="M170" s="159" t="s">
        <v>349</v>
      </c>
      <c r="N170" s="160" t="s">
        <v>1319</v>
      </c>
      <c r="O170" s="159" t="s">
        <v>1320</v>
      </c>
      <c r="P170" s="159" t="s">
        <v>1321</v>
      </c>
      <c r="Q170" s="160" t="s">
        <v>1315</v>
      </c>
      <c r="R170" s="53" t="s">
        <v>1316</v>
      </c>
      <c r="S170" s="160" t="s">
        <v>340</v>
      </c>
      <c r="T170" s="159" t="s">
        <v>1322</v>
      </c>
      <c r="U170" s="159" t="s">
        <v>1323</v>
      </c>
      <c r="V170" s="176" t="s">
        <v>750</v>
      </c>
      <c r="W170" s="152">
        <v>2007</v>
      </c>
      <c r="X170" s="152">
        <v>1590</v>
      </c>
      <c r="Y170" s="152"/>
      <c r="Z170" s="177"/>
      <c r="AA170" s="177" t="s">
        <v>150</v>
      </c>
      <c r="AB170" s="177">
        <f>36+2</f>
        <v>38</v>
      </c>
      <c r="AC170" s="177">
        <f>78+10</f>
        <v>88</v>
      </c>
      <c r="AD170" s="177"/>
      <c r="AE170" s="177"/>
      <c r="AF170" s="177"/>
      <c r="AG170" s="177"/>
      <c r="AH170" s="177"/>
      <c r="AI170" s="177"/>
      <c r="AJ170" s="177"/>
      <c r="AK170" s="257">
        <v>1</v>
      </c>
      <c r="AL170" s="297"/>
      <c r="AM170" s="277">
        <f>X170*P2_reinigen_daken_met_vaste_dakveiligheid</f>
        <v>0</v>
      </c>
      <c r="AN170" s="279">
        <f>Y170*P2_reinigen_goten_met_vaste_dakveiligheid</f>
        <v>0</v>
      </c>
      <c r="AO170" s="279">
        <f>(AE170*P2_Reinigen_Lichtkoepel_50X50)+('Perceel 3'!AF170*P2_Reinigen_Lichtkoepel_60x200)+('Perceel 3'!AG170*P2_Reinigen_Lichtkoepel_180x180)+('Perceel 3'!AH170*P2_Reinigen_Lichtstraten_groter_dan_180x180)</f>
        <v>0</v>
      </c>
      <c r="AP170" s="279">
        <f>('Perceel 3'!X170+'Perceel 3'!Y170)*P2_Inspecteren_daken_en_goten_1x_per_jaar_gelijktijdig_met_reiniging_inclusief_inspectierapport_en_een_managementrapport</f>
        <v>0</v>
      </c>
      <c r="AQ170" s="305"/>
      <c r="AR170" s="332">
        <f t="shared" si="25"/>
        <v>0</v>
      </c>
      <c r="AS170" s="336">
        <f t="shared" si="26"/>
        <v>0</v>
      </c>
    </row>
    <row r="171" spans="1:45" s="7" customFormat="1" ht="63.75" hidden="1" customHeight="1" x14ac:dyDescent="0.45">
      <c r="A171" s="155"/>
      <c r="B171" s="165">
        <v>2</v>
      </c>
      <c r="C171" s="156" t="s">
        <v>135</v>
      </c>
      <c r="D171" s="156" t="s">
        <v>136</v>
      </c>
      <c r="E171" s="156"/>
      <c r="F171" s="156"/>
      <c r="G171" s="156"/>
      <c r="H171" s="151" t="s">
        <v>1324</v>
      </c>
      <c r="I171" s="151" t="s">
        <v>1325</v>
      </c>
      <c r="J171" s="157"/>
      <c r="K171" s="163"/>
      <c r="L171" s="151" t="s">
        <v>348</v>
      </c>
      <c r="M171" s="159" t="s">
        <v>349</v>
      </c>
      <c r="N171" s="160" t="s">
        <v>1326</v>
      </c>
      <c r="O171" s="159" t="s">
        <v>1327</v>
      </c>
      <c r="P171" s="160" t="s">
        <v>1328</v>
      </c>
      <c r="Q171" s="160" t="s">
        <v>1329</v>
      </c>
      <c r="R171" s="53" t="s">
        <v>1239</v>
      </c>
      <c r="S171" s="160" t="s">
        <v>340</v>
      </c>
      <c r="T171" s="159" t="s">
        <v>1330</v>
      </c>
      <c r="U171" s="159" t="s">
        <v>1331</v>
      </c>
      <c r="V171" s="179" t="s">
        <v>1332</v>
      </c>
      <c r="W171" s="152">
        <v>2011</v>
      </c>
      <c r="X171" s="152">
        <v>841</v>
      </c>
      <c r="Y171" s="152"/>
      <c r="Z171" s="177"/>
      <c r="AA171" s="177" t="s">
        <v>150</v>
      </c>
      <c r="AB171" s="177">
        <v>20</v>
      </c>
      <c r="AC171" s="177">
        <v>131</v>
      </c>
      <c r="AD171" s="177" t="s">
        <v>1333</v>
      </c>
      <c r="AE171" s="177"/>
      <c r="AF171" s="177"/>
      <c r="AG171" s="177"/>
      <c r="AH171" s="177"/>
      <c r="AI171" s="177"/>
      <c r="AJ171" s="177"/>
      <c r="AK171" s="257">
        <v>1</v>
      </c>
      <c r="AL171" s="271"/>
      <c r="AM171" s="277">
        <f>X171*P2_reinigen_daken_met_vaste_dakveiligheid</f>
        <v>0</v>
      </c>
      <c r="AN171" s="279">
        <f>Y171*P2_reinigen_goten_met_vaste_dakveiligheid</f>
        <v>0</v>
      </c>
      <c r="AO171" s="279">
        <f>(AE171*P2_Reinigen_Lichtkoepel_50X50)+('Perceel 3'!AF171*P2_Reinigen_Lichtkoepel_60x200)+('Perceel 3'!AG171*P2_Reinigen_Lichtkoepel_180x180)+('Perceel 3'!AH171*P2_Reinigen_Lichtstraten_groter_dan_180x180)</f>
        <v>0</v>
      </c>
      <c r="AP171" s="279">
        <f>('Perceel 3'!X171+'Perceel 3'!Y171)*P2_Inspecteren_daken_en_goten_1x_per_jaar_gelijktijdig_met_reiniging_inclusief_inspectierapport_en_een_managementrapport</f>
        <v>0</v>
      </c>
      <c r="AQ171" s="305"/>
      <c r="AR171" s="332">
        <f t="shared" si="25"/>
        <v>0</v>
      </c>
      <c r="AS171" s="336">
        <f t="shared" si="26"/>
        <v>0</v>
      </c>
    </row>
    <row r="172" spans="1:45" s="7" customFormat="1" ht="15" hidden="1" thickTop="1" thickBot="1" x14ac:dyDescent="0.5">
      <c r="A172" s="193"/>
      <c r="B172" s="152">
        <v>2</v>
      </c>
      <c r="C172" s="156" t="s">
        <v>135</v>
      </c>
      <c r="D172" s="156" t="s">
        <v>136</v>
      </c>
      <c r="E172" s="156"/>
      <c r="F172" s="156"/>
      <c r="G172" s="156"/>
      <c r="H172" s="163" t="s">
        <v>1334</v>
      </c>
      <c r="I172" s="163" t="s">
        <v>1335</v>
      </c>
      <c r="J172" s="163"/>
      <c r="K172" s="163"/>
      <c r="L172" s="151"/>
      <c r="M172" s="159"/>
      <c r="N172" s="233">
        <v>1493</v>
      </c>
      <c r="O172" s="166" t="s">
        <v>1336</v>
      </c>
      <c r="P172" s="166" t="s">
        <v>1337</v>
      </c>
      <c r="Q172" s="166" t="s">
        <v>1329</v>
      </c>
      <c r="R172" s="62" t="s">
        <v>1239</v>
      </c>
      <c r="S172" s="166" t="s">
        <v>340</v>
      </c>
      <c r="T172" s="159"/>
      <c r="U172" s="159"/>
      <c r="V172" s="179"/>
      <c r="W172" s="198">
        <v>2011</v>
      </c>
      <c r="X172" s="198">
        <f>370+380</f>
        <v>750</v>
      </c>
      <c r="Y172" s="198"/>
      <c r="Z172" s="189"/>
      <c r="AA172" s="189" t="s">
        <v>150</v>
      </c>
      <c r="AB172" s="189">
        <f>6+10</f>
        <v>16</v>
      </c>
      <c r="AC172" s="189">
        <f>60+75</f>
        <v>135</v>
      </c>
      <c r="AD172" s="189"/>
      <c r="AE172" s="189"/>
      <c r="AF172" s="189"/>
      <c r="AG172" s="189"/>
      <c r="AH172" s="189"/>
      <c r="AI172" s="189"/>
      <c r="AJ172" s="189"/>
      <c r="AK172" s="189">
        <v>1</v>
      </c>
      <c r="AL172" s="273"/>
      <c r="AM172" s="277">
        <f>X172*P2_reinigen_daken_met_vaste_dakveiligheid</f>
        <v>0</v>
      </c>
      <c r="AN172" s="279">
        <f>Y172*P2_reinigen_goten_met_vaste_dakveiligheid</f>
        <v>0</v>
      </c>
      <c r="AO172" s="279">
        <f>(AE172*P2_Reinigen_Lichtkoepel_50X50)+('Perceel 3'!AF172*P2_Reinigen_Lichtkoepel_60x200)+('Perceel 3'!AG172*P2_Reinigen_Lichtkoepel_180x180)+('Perceel 3'!AH172*P2_Reinigen_Lichtstraten_groter_dan_180x180)</f>
        <v>0</v>
      </c>
      <c r="AP172" s="279">
        <f>('Perceel 3'!X172+'Perceel 3'!Y172)*P2_Inspecteren_daken_en_goten_1x_per_jaar_gelijktijdig_met_reiniging_inclusief_inspectierapport_en_een_managementrapport</f>
        <v>0</v>
      </c>
      <c r="AQ172" s="305"/>
      <c r="AR172" s="332">
        <f t="shared" si="25"/>
        <v>0</v>
      </c>
      <c r="AS172" s="336">
        <f t="shared" si="26"/>
        <v>0</v>
      </c>
    </row>
    <row r="173" spans="1:45" s="7" customFormat="1" ht="26.25" hidden="1" thickTop="1" thickBot="1" x14ac:dyDescent="0.5">
      <c r="A173" s="155"/>
      <c r="B173" s="165">
        <v>2</v>
      </c>
      <c r="C173" s="156" t="s">
        <v>135</v>
      </c>
      <c r="D173" s="156" t="s">
        <v>1338</v>
      </c>
      <c r="E173" s="156"/>
      <c r="F173" s="156"/>
      <c r="G173" s="156"/>
      <c r="H173" s="151" t="s">
        <v>1339</v>
      </c>
      <c r="I173" s="151" t="s">
        <v>1340</v>
      </c>
      <c r="J173" s="157"/>
      <c r="K173" s="163"/>
      <c r="L173" s="163" t="s">
        <v>154</v>
      </c>
      <c r="M173" s="166" t="s">
        <v>155</v>
      </c>
      <c r="N173" s="160" t="s">
        <v>1341</v>
      </c>
      <c r="O173" s="159" t="s">
        <v>1342</v>
      </c>
      <c r="P173" s="160" t="s">
        <v>1343</v>
      </c>
      <c r="Q173" s="160" t="s">
        <v>1344</v>
      </c>
      <c r="R173" s="53" t="s">
        <v>1158</v>
      </c>
      <c r="S173" s="160" t="s">
        <v>340</v>
      </c>
      <c r="T173" s="159" t="s">
        <v>1345</v>
      </c>
      <c r="U173" s="159" t="s">
        <v>1346</v>
      </c>
      <c r="V173" s="176" t="s">
        <v>1347</v>
      </c>
      <c r="W173" s="152"/>
      <c r="X173" s="152">
        <v>1232</v>
      </c>
      <c r="Y173" s="152"/>
      <c r="Z173" s="177"/>
      <c r="AA173" s="177"/>
      <c r="AB173" s="177"/>
      <c r="AC173" s="177"/>
      <c r="AD173" s="177"/>
      <c r="AE173" s="177"/>
      <c r="AF173" s="177"/>
      <c r="AG173" s="177"/>
      <c r="AH173" s="177"/>
      <c r="AI173" s="177"/>
      <c r="AJ173" s="177"/>
      <c r="AK173" s="257">
        <v>1</v>
      </c>
      <c r="AL173" s="271"/>
      <c r="AM173" s="277">
        <f>X173*P2_Reinigen_daken_incl._extra_maatregelen_veilig_werken_volgens_VCA__eventuele_vergunningen_leges___voorrijkosten__adminstratieve_kosten__fotorapportage_en_kleine_reparaties</f>
        <v>0</v>
      </c>
      <c r="AN173" s="279">
        <f>Y173*P2_Reinigen_goten_incl._extra_maatregelen_veilig_werken_volgens_VCA__eventuele_vergunningen_leges___voorrijkosten__adminstratieve_kosten__fotorapportage_en_kleine_reparaties</f>
        <v>0</v>
      </c>
      <c r="AO173" s="279">
        <f>(AE173*P2_Reinigen_Lichtkoepel_50X50)+('Perceel 3'!AF173*P2_Reinigen_Lichtkoepel_60x200)+('Perceel 3'!AG173*P2_Reinigen_Lichtkoepel_180x180)+('Perceel 3'!AH173*P2_Reinigen_Lichtstraten_groter_dan_180x180)</f>
        <v>0</v>
      </c>
      <c r="AP173" s="279">
        <f>('Perceel 3'!X173+'Perceel 3'!Y173)*P2_Inspecteren_daken_en_goten_1x_per_jaar_gelijktijdig_met_reiniging_inclusief_inspectierapport_en_een_managementrapport</f>
        <v>0</v>
      </c>
      <c r="AQ173" s="312"/>
      <c r="AR173" s="332">
        <f>AQ173*P2_keuren_dakveiligheid_per_man_uur</f>
        <v>0</v>
      </c>
      <c r="AS173" s="336">
        <f t="shared" si="26"/>
        <v>0</v>
      </c>
    </row>
    <row r="174" spans="1:45" s="7" customFormat="1" ht="127.5" hidden="1" customHeight="1" x14ac:dyDescent="0.45">
      <c r="A174" s="155"/>
      <c r="B174" s="165">
        <v>2</v>
      </c>
      <c r="C174" s="156" t="s">
        <v>135</v>
      </c>
      <c r="D174" s="156" t="s">
        <v>136</v>
      </c>
      <c r="E174" s="156"/>
      <c r="F174" s="156"/>
      <c r="G174" s="156"/>
      <c r="H174" s="151" t="s">
        <v>1348</v>
      </c>
      <c r="I174" s="151" t="s">
        <v>1349</v>
      </c>
      <c r="J174" s="157"/>
      <c r="K174" s="163"/>
      <c r="L174" s="163" t="s">
        <v>154</v>
      </c>
      <c r="M174" s="166" t="s">
        <v>544</v>
      </c>
      <c r="N174" s="159" t="s">
        <v>1350</v>
      </c>
      <c r="O174" s="159" t="s">
        <v>1351</v>
      </c>
      <c r="P174" s="159" t="s">
        <v>1352</v>
      </c>
      <c r="Q174" s="160" t="s">
        <v>1353</v>
      </c>
      <c r="R174" s="53" t="s">
        <v>1144</v>
      </c>
      <c r="S174" s="160" t="s">
        <v>340</v>
      </c>
      <c r="T174" s="159" t="s">
        <v>1354</v>
      </c>
      <c r="U174" s="159" t="s">
        <v>1355</v>
      </c>
      <c r="V174" s="176" t="s">
        <v>1356</v>
      </c>
      <c r="W174" s="152">
        <v>1987</v>
      </c>
      <c r="X174" s="198">
        <f>734+95</f>
        <v>829</v>
      </c>
      <c r="Y174" s="152"/>
      <c r="Z174" s="177"/>
      <c r="AA174" s="189" t="s">
        <v>135</v>
      </c>
      <c r="AB174" s="189">
        <v>12</v>
      </c>
      <c r="AC174" s="189">
        <v>100</v>
      </c>
      <c r="AD174" s="177"/>
      <c r="AE174" s="177"/>
      <c r="AF174" s="177"/>
      <c r="AG174" s="177"/>
      <c r="AH174" s="177"/>
      <c r="AI174" s="177"/>
      <c r="AJ174" s="177"/>
      <c r="AK174" s="257">
        <v>1</v>
      </c>
      <c r="AL174" s="273"/>
      <c r="AM174" s="277">
        <f>X174*P2_reinigen_daken_met_vaste_dakveiligheid</f>
        <v>0</v>
      </c>
      <c r="AN174" s="279">
        <f>Y174*P2_reinigen_goten_met_vaste_dakveiligheid</f>
        <v>0</v>
      </c>
      <c r="AO174" s="279">
        <f>(AE174*P2_Reinigen_Lichtkoepel_50X50)+('Perceel 3'!AF174*P2_Reinigen_Lichtkoepel_60x200)+('Perceel 3'!AG174*P2_Reinigen_Lichtkoepel_180x180)+('Perceel 3'!AH174*P2_Reinigen_Lichtstraten_groter_dan_180x180)</f>
        <v>0</v>
      </c>
      <c r="AP174" s="279">
        <f>('Perceel 3'!X174+'Perceel 3'!Y174)*P2_Inspecteren_daken_en_goten_1x_per_jaar_gelijktijdig_met_reiniging_inclusief_inspectierapport_en_een_managementrapport</f>
        <v>0</v>
      </c>
      <c r="AQ174" s="305"/>
      <c r="AR174" s="332">
        <f t="shared" si="25"/>
        <v>0</v>
      </c>
      <c r="AS174" s="336">
        <f t="shared" si="26"/>
        <v>0</v>
      </c>
    </row>
    <row r="175" spans="1:45" s="7" customFormat="1" ht="72.75" hidden="1" customHeight="1" x14ac:dyDescent="0.45">
      <c r="A175" s="155"/>
      <c r="B175" s="165">
        <v>2</v>
      </c>
      <c r="C175" s="156" t="s">
        <v>135</v>
      </c>
      <c r="D175" s="156" t="s">
        <v>136</v>
      </c>
      <c r="E175" s="156"/>
      <c r="F175" s="156"/>
      <c r="G175" s="156"/>
      <c r="H175" s="151" t="s">
        <v>1357</v>
      </c>
      <c r="I175" s="151" t="s">
        <v>1358</v>
      </c>
      <c r="J175" s="157"/>
      <c r="K175" s="163"/>
      <c r="L175" s="151" t="s">
        <v>139</v>
      </c>
      <c r="M175" s="159" t="s">
        <v>140</v>
      </c>
      <c r="N175" s="160" t="s">
        <v>1359</v>
      </c>
      <c r="O175" s="159" t="s">
        <v>1360</v>
      </c>
      <c r="P175" s="160" t="s">
        <v>1361</v>
      </c>
      <c r="Q175" s="160" t="s">
        <v>1362</v>
      </c>
      <c r="R175" s="53" t="s">
        <v>1363</v>
      </c>
      <c r="S175" s="160" t="s">
        <v>340</v>
      </c>
      <c r="T175" s="159" t="s">
        <v>1364</v>
      </c>
      <c r="U175" s="159" t="s">
        <v>1365</v>
      </c>
      <c r="V175" s="176" t="s">
        <v>1366</v>
      </c>
      <c r="W175" s="152">
        <v>1999</v>
      </c>
      <c r="X175" s="152">
        <v>435</v>
      </c>
      <c r="Y175" s="152"/>
      <c r="Z175" s="177" t="s">
        <v>311</v>
      </c>
      <c r="AA175" s="177" t="s">
        <v>150</v>
      </c>
      <c r="AB175" s="177">
        <v>9</v>
      </c>
      <c r="AC175" s="177">
        <v>37</v>
      </c>
      <c r="AD175" s="177" t="s">
        <v>1367</v>
      </c>
      <c r="AE175" s="177"/>
      <c r="AF175" s="177"/>
      <c r="AG175" s="177"/>
      <c r="AH175" s="177"/>
      <c r="AI175" s="177" t="s">
        <v>345</v>
      </c>
      <c r="AJ175" s="177" t="s">
        <v>1018</v>
      </c>
      <c r="AK175" s="257">
        <v>1</v>
      </c>
      <c r="AL175" s="271"/>
      <c r="AM175" s="277">
        <f>X175*P2_reinigen_daken_met_vaste_dakveiligheid</f>
        <v>0</v>
      </c>
      <c r="AN175" s="279">
        <f>Y175*P2_reinigen_goten_met_vaste_dakveiligheid</f>
        <v>0</v>
      </c>
      <c r="AO175" s="279">
        <f>(AE175*P2_Reinigen_Lichtkoepel_50X50)+('Perceel 3'!AF175*P2_Reinigen_Lichtkoepel_60x200)+('Perceel 3'!AG175*P2_Reinigen_Lichtkoepel_180x180)+('Perceel 3'!AH175*P2_Reinigen_Lichtstraten_groter_dan_180x180)</f>
        <v>0</v>
      </c>
      <c r="AP175" s="279">
        <f>('Perceel 3'!X175+'Perceel 3'!Y175)*P2_Inspecteren_daken_en_goten_1x_per_jaar_gelijktijdig_met_reiniging_inclusief_inspectierapport_en_een_managementrapport</f>
        <v>0</v>
      </c>
      <c r="AQ175" s="305"/>
      <c r="AR175" s="332">
        <f t="shared" si="25"/>
        <v>0</v>
      </c>
      <c r="AS175" s="336">
        <f t="shared" si="26"/>
        <v>0</v>
      </c>
    </row>
    <row r="176" spans="1:45" s="7" customFormat="1" ht="39" hidden="1" thickTop="1" thickBot="1" x14ac:dyDescent="0.5">
      <c r="A176" s="155"/>
      <c r="B176" s="152">
        <v>2</v>
      </c>
      <c r="C176" s="156" t="s">
        <v>135</v>
      </c>
      <c r="D176" s="156" t="s">
        <v>174</v>
      </c>
      <c r="E176" s="156"/>
      <c r="F176" s="156"/>
      <c r="G176" s="156"/>
      <c r="H176" s="151" t="s">
        <v>1368</v>
      </c>
      <c r="I176" s="151" t="s">
        <v>1369</v>
      </c>
      <c r="J176" s="157"/>
      <c r="K176" s="163"/>
      <c r="L176" s="151" t="s">
        <v>348</v>
      </c>
      <c r="M176" s="159" t="s">
        <v>349</v>
      </c>
      <c r="N176" s="160" t="s">
        <v>1370</v>
      </c>
      <c r="O176" s="159" t="s">
        <v>1371</v>
      </c>
      <c r="P176" s="159" t="s">
        <v>1372</v>
      </c>
      <c r="Q176" s="160" t="s">
        <v>1373</v>
      </c>
      <c r="R176" s="53" t="s">
        <v>1144</v>
      </c>
      <c r="S176" s="160" t="s">
        <v>340</v>
      </c>
      <c r="T176" s="159" t="s">
        <v>1374</v>
      </c>
      <c r="U176" s="159" t="s">
        <v>1375</v>
      </c>
      <c r="V176" s="176" t="s">
        <v>1376</v>
      </c>
      <c r="W176" s="152">
        <v>1986</v>
      </c>
      <c r="X176" s="152">
        <v>1004</v>
      </c>
      <c r="Y176" s="152"/>
      <c r="Z176" s="177"/>
      <c r="AA176" s="177"/>
      <c r="AB176" s="177"/>
      <c r="AC176" s="177"/>
      <c r="AD176" s="177"/>
      <c r="AE176" s="177"/>
      <c r="AF176" s="177"/>
      <c r="AG176" s="177"/>
      <c r="AH176" s="177"/>
      <c r="AI176" s="177"/>
      <c r="AJ176" s="177" t="s">
        <v>1377</v>
      </c>
      <c r="AK176" s="257">
        <v>2</v>
      </c>
      <c r="AL176" s="271"/>
      <c r="AM176" s="277">
        <f>X176*P2_Reinigen_daken_incl._extra_maatregelen_veilig_werken_volgens_VCA__eventuele_vergunningen_leges___voorrijkosten__adminstratieve_kosten__fotorapportage_en_kleine_reparaties</f>
        <v>0</v>
      </c>
      <c r="AN176" s="279">
        <f>Y176*P2_Reinigen_goten_incl._extra_maatregelen_veilig_werken_volgens_VCA__eventuele_vergunningen_leges___voorrijkosten__adminstratieve_kosten__fotorapportage_en_kleine_reparaties</f>
        <v>0</v>
      </c>
      <c r="AO176" s="279">
        <f>(AE176*P2_Reinigen_Lichtkoepel_50X50)+('Perceel 3'!AF176*P2_Reinigen_Lichtkoepel_60x200)+('Perceel 3'!AG176*P2_Reinigen_Lichtkoepel_180x180)+('Perceel 3'!AH176*P2_Reinigen_Lichtstraten_groter_dan_180x180)</f>
        <v>0</v>
      </c>
      <c r="AP176" s="279">
        <f>('Perceel 3'!X176+'Perceel 3'!Y176)*P2_Inspecteren_daken_en_goten_1x_per_jaar_gelijktijdig_met_reiniging_inclusief_inspectierapport_en_een_managementrapport</f>
        <v>0</v>
      </c>
      <c r="AQ176" s="312"/>
      <c r="AR176" s="332">
        <f>AQ176*P2_keuren_dakveiligheid_per_man_uur</f>
        <v>0</v>
      </c>
      <c r="AS176" s="336">
        <f t="shared" si="26"/>
        <v>0</v>
      </c>
    </row>
    <row r="177" spans="1:45" s="7" customFormat="1" ht="12.75" hidden="1" customHeight="1" x14ac:dyDescent="0.45">
      <c r="A177" s="155"/>
      <c r="B177" s="152">
        <v>2</v>
      </c>
      <c r="C177" s="156" t="s">
        <v>135</v>
      </c>
      <c r="D177" s="156" t="s">
        <v>174</v>
      </c>
      <c r="E177" s="156"/>
      <c r="F177" s="156"/>
      <c r="G177" s="156"/>
      <c r="H177" s="151" t="s">
        <v>1378</v>
      </c>
      <c r="I177" s="151" t="s">
        <v>1379</v>
      </c>
      <c r="J177" s="157"/>
      <c r="K177" s="163"/>
      <c r="L177" s="151" t="s">
        <v>348</v>
      </c>
      <c r="M177" s="159" t="s">
        <v>349</v>
      </c>
      <c r="N177" s="160" t="s">
        <v>1380</v>
      </c>
      <c r="O177" s="159" t="s">
        <v>1381</v>
      </c>
      <c r="P177" s="160" t="s">
        <v>1382</v>
      </c>
      <c r="Q177" s="160" t="s">
        <v>1383</v>
      </c>
      <c r="R177" s="53" t="s">
        <v>1144</v>
      </c>
      <c r="S177" s="160" t="s">
        <v>340</v>
      </c>
      <c r="T177" s="159" t="s">
        <v>1374</v>
      </c>
      <c r="U177" s="159" t="s">
        <v>1384</v>
      </c>
      <c r="V177" s="176" t="s">
        <v>1376</v>
      </c>
      <c r="W177" s="152">
        <v>1986</v>
      </c>
      <c r="X177" s="152">
        <v>1177</v>
      </c>
      <c r="Y177" s="152"/>
      <c r="Z177" s="177"/>
      <c r="AA177" s="177"/>
      <c r="AB177" s="177"/>
      <c r="AC177" s="177"/>
      <c r="AD177" s="177"/>
      <c r="AE177" s="177"/>
      <c r="AF177" s="177"/>
      <c r="AG177" s="177"/>
      <c r="AH177" s="177"/>
      <c r="AI177" s="177"/>
      <c r="AJ177" s="177"/>
      <c r="AK177" s="257">
        <v>2</v>
      </c>
      <c r="AL177" s="271"/>
      <c r="AM177" s="277">
        <f>X177*P2_Reinigen_daken_incl._extra_maatregelen_veilig_werken_volgens_VCA__eventuele_vergunningen_leges___voorrijkosten__adminstratieve_kosten__fotorapportage_en_kleine_reparaties</f>
        <v>0</v>
      </c>
      <c r="AN177" s="279">
        <f>Y177*P2_Reinigen_goten_incl._extra_maatregelen_veilig_werken_volgens_VCA__eventuele_vergunningen_leges___voorrijkosten__adminstratieve_kosten__fotorapportage_en_kleine_reparaties</f>
        <v>0</v>
      </c>
      <c r="AO177" s="279">
        <f>(AE177*P2_Reinigen_Lichtkoepel_50X50)+('Perceel 3'!AF177*P2_Reinigen_Lichtkoepel_60x200)+('Perceel 3'!AG177*P2_Reinigen_Lichtkoepel_180x180)+('Perceel 3'!AH177*P2_Reinigen_Lichtstraten_groter_dan_180x180)</f>
        <v>0</v>
      </c>
      <c r="AP177" s="279">
        <f>('Perceel 3'!X177+'Perceel 3'!Y177)*P2_Inspecteren_daken_en_goten_1x_per_jaar_gelijktijdig_met_reiniging_inclusief_inspectierapport_en_een_managementrapport</f>
        <v>0</v>
      </c>
      <c r="AQ177" s="312"/>
      <c r="AR177" s="332">
        <f>AQ177*P2_keuren_dakveiligheid_per_man_uur</f>
        <v>0</v>
      </c>
      <c r="AS177" s="336">
        <f t="shared" si="26"/>
        <v>0</v>
      </c>
    </row>
    <row r="178" spans="1:45" s="7" customFormat="1" ht="89.25" hidden="1" customHeight="1" x14ac:dyDescent="0.45">
      <c r="A178" s="155"/>
      <c r="B178" s="165">
        <v>2</v>
      </c>
      <c r="C178" s="156" t="s">
        <v>135</v>
      </c>
      <c r="D178" s="156" t="s">
        <v>136</v>
      </c>
      <c r="E178" s="156"/>
      <c r="F178" s="156"/>
      <c r="G178" s="156"/>
      <c r="H178" s="151" t="s">
        <v>1385</v>
      </c>
      <c r="I178" s="151" t="s">
        <v>1386</v>
      </c>
      <c r="J178" s="157"/>
      <c r="K178" s="163"/>
      <c r="L178" s="163" t="s">
        <v>154</v>
      </c>
      <c r="M178" s="166" t="s">
        <v>544</v>
      </c>
      <c r="N178" s="160" t="s">
        <v>1387</v>
      </c>
      <c r="O178" s="159" t="s">
        <v>1388</v>
      </c>
      <c r="P178" s="160" t="s">
        <v>1389</v>
      </c>
      <c r="Q178" s="195" t="s">
        <v>1390</v>
      </c>
      <c r="R178" s="53" t="s">
        <v>1126</v>
      </c>
      <c r="S178" s="160" t="s">
        <v>340</v>
      </c>
      <c r="T178" s="159" t="s">
        <v>722</v>
      </c>
      <c r="U178" s="168" t="s">
        <v>723</v>
      </c>
      <c r="V178" s="209" t="s">
        <v>724</v>
      </c>
      <c r="W178" s="152">
        <v>2006</v>
      </c>
      <c r="X178" s="152">
        <v>3500</v>
      </c>
      <c r="Y178" s="152"/>
      <c r="Z178" s="177" t="s">
        <v>311</v>
      </c>
      <c r="AA178" s="177" t="s">
        <v>150</v>
      </c>
      <c r="AB178" s="177">
        <v>32</v>
      </c>
      <c r="AC178" s="177">
        <v>290</v>
      </c>
      <c r="AD178" s="177"/>
      <c r="AE178" s="177"/>
      <c r="AF178" s="177"/>
      <c r="AG178" s="177"/>
      <c r="AH178" s="177"/>
      <c r="AI178" s="177"/>
      <c r="AJ178" s="177"/>
      <c r="AK178" s="257">
        <v>1</v>
      </c>
      <c r="AL178" s="317"/>
      <c r="AM178" s="277">
        <f>X178*P2_reinigen_daken_met_vaste_dakveiligheid</f>
        <v>0</v>
      </c>
      <c r="AN178" s="279">
        <f>Y178*P2_reinigen_goten_met_vaste_dakveiligheid</f>
        <v>0</v>
      </c>
      <c r="AO178" s="279">
        <f>(AE178*P2_Reinigen_Lichtkoepel_50X50)+('Perceel 3'!AF178*P2_Reinigen_Lichtkoepel_60x200)+('Perceel 3'!AG178*P2_Reinigen_Lichtkoepel_180x180)+('Perceel 3'!AH178*P2_Reinigen_Lichtstraten_groter_dan_180x180)</f>
        <v>0</v>
      </c>
      <c r="AP178" s="279">
        <f>('Perceel 3'!X178+'Perceel 3'!Y178)*P2_Inspecteren_daken_en_goten_1x_per_jaar_gelijktijdig_met_reiniging_inclusief_inspectierapport_en_een_managementrapport</f>
        <v>0</v>
      </c>
      <c r="AQ178" s="305"/>
      <c r="AR178" s="332">
        <f t="shared" ref="AR178:AR192" si="31">AQ178*P2_keuren_dakveiligheid_per_man_uur</f>
        <v>0</v>
      </c>
      <c r="AS178" s="336">
        <f t="shared" si="26"/>
        <v>0</v>
      </c>
    </row>
    <row r="179" spans="1:45" s="7" customFormat="1" ht="12.75" hidden="1" customHeight="1" x14ac:dyDescent="0.45">
      <c r="A179" s="161"/>
      <c r="B179" s="152">
        <v>2</v>
      </c>
      <c r="C179" s="156" t="s">
        <v>135</v>
      </c>
      <c r="D179" s="156" t="s">
        <v>1391</v>
      </c>
      <c r="E179" s="156"/>
      <c r="F179" s="156"/>
      <c r="G179" s="156"/>
      <c r="H179" s="151" t="s">
        <v>1392</v>
      </c>
      <c r="I179" s="163" t="s">
        <v>1393</v>
      </c>
      <c r="J179" s="157"/>
      <c r="K179" s="163"/>
      <c r="L179" s="163" t="s">
        <v>154</v>
      </c>
      <c r="M179" s="166" t="s">
        <v>155</v>
      </c>
      <c r="N179" s="159" t="s">
        <v>1394</v>
      </c>
      <c r="O179" s="159" t="s">
        <v>1395</v>
      </c>
      <c r="P179" s="159" t="s">
        <v>1396</v>
      </c>
      <c r="Q179" s="159" t="s">
        <v>1397</v>
      </c>
      <c r="R179" s="42" t="s">
        <v>1144</v>
      </c>
      <c r="S179" s="159" t="s">
        <v>340</v>
      </c>
      <c r="T179" s="159" t="s">
        <v>1398</v>
      </c>
      <c r="U179" s="159" t="s">
        <v>1399</v>
      </c>
      <c r="V179" s="176" t="s">
        <v>1113</v>
      </c>
      <c r="W179" s="152">
        <v>1989</v>
      </c>
      <c r="X179" s="152">
        <f>5+5+9+9+527+163+348</f>
        <v>1066</v>
      </c>
      <c r="Y179" s="152"/>
      <c r="Z179" s="177"/>
      <c r="AA179" s="177"/>
      <c r="AB179" s="177"/>
      <c r="AC179" s="177"/>
      <c r="AD179" s="177"/>
      <c r="AE179" s="177"/>
      <c r="AF179" s="177"/>
      <c r="AG179" s="177"/>
      <c r="AH179" s="177"/>
      <c r="AI179" s="177"/>
      <c r="AJ179" s="177"/>
      <c r="AK179" s="177">
        <v>2</v>
      </c>
      <c r="AL179" s="276"/>
      <c r="AM179" s="277">
        <f t="shared" ref="AM179:AM192" si="32">X179*P2_Reinigen_daken_incl._extra_maatregelen_veilig_werken_volgens_VCA__eventuele_vergunningen_leges___voorrijkosten__adminstratieve_kosten__fotorapportage_en_kleine_reparaties</f>
        <v>0</v>
      </c>
      <c r="AN179" s="279">
        <f t="shared" ref="AN179:AN192" si="33">Y179*P2_Reinigen_goten_incl._extra_maatregelen_veilig_werken_volgens_VCA__eventuele_vergunningen_leges___voorrijkosten__adminstratieve_kosten__fotorapportage_en_kleine_reparaties</f>
        <v>0</v>
      </c>
      <c r="AO179" s="279">
        <f>(AE179*P2_Reinigen_Lichtkoepel_50X50)+('Perceel 3'!AF179*P2_Reinigen_Lichtkoepel_60x200)+('Perceel 3'!AG179*P2_Reinigen_Lichtkoepel_180x180)+('Perceel 3'!AH179*P2_Reinigen_Lichtstraten_groter_dan_180x180)</f>
        <v>0</v>
      </c>
      <c r="AP179" s="279">
        <f>('Perceel 3'!X179+'Perceel 3'!Y179)*P2_Inspecteren_daken_en_goten_1x_per_jaar_gelijktijdig_met_reiniging_inclusief_inspectierapport_en_een_managementrapport</f>
        <v>0</v>
      </c>
      <c r="AQ179" s="312"/>
      <c r="AR179" s="332">
        <f t="shared" si="31"/>
        <v>0</v>
      </c>
      <c r="AS179" s="336">
        <f t="shared" si="26"/>
        <v>0</v>
      </c>
    </row>
    <row r="180" spans="1:45" s="7" customFormat="1" ht="25.5" hidden="1" customHeight="1" x14ac:dyDescent="0.45">
      <c r="A180" s="155"/>
      <c r="B180" s="165">
        <v>2</v>
      </c>
      <c r="C180" s="156" t="s">
        <v>135</v>
      </c>
      <c r="D180" s="156" t="s">
        <v>136</v>
      </c>
      <c r="E180" s="156"/>
      <c r="F180" s="156"/>
      <c r="G180" s="156"/>
      <c r="H180" s="151" t="s">
        <v>1400</v>
      </c>
      <c r="I180" s="151" t="s">
        <v>1401</v>
      </c>
      <c r="J180" s="157"/>
      <c r="K180" s="163"/>
      <c r="L180" s="151" t="s">
        <v>139</v>
      </c>
      <c r="M180" s="159" t="s">
        <v>140</v>
      </c>
      <c r="N180" s="160" t="s">
        <v>1402</v>
      </c>
      <c r="O180" s="159" t="s">
        <v>1403</v>
      </c>
      <c r="P180" s="160" t="s">
        <v>1404</v>
      </c>
      <c r="Q180" s="160" t="s">
        <v>1405</v>
      </c>
      <c r="R180" s="53" t="s">
        <v>1126</v>
      </c>
      <c r="S180" s="160" t="s">
        <v>340</v>
      </c>
      <c r="T180" s="159" t="s">
        <v>1406</v>
      </c>
      <c r="U180" s="159" t="s">
        <v>1407</v>
      </c>
      <c r="V180" s="176" t="s">
        <v>1408</v>
      </c>
      <c r="W180" s="152">
        <v>1982</v>
      </c>
      <c r="X180" s="152">
        <v>784</v>
      </c>
      <c r="Y180" s="152"/>
      <c r="Z180" s="177" t="s">
        <v>311</v>
      </c>
      <c r="AA180" s="177"/>
      <c r="AB180" s="177"/>
      <c r="AC180" s="177"/>
      <c r="AD180" s="177"/>
      <c r="AE180" s="177"/>
      <c r="AF180" s="177"/>
      <c r="AG180" s="177"/>
      <c r="AH180" s="177"/>
      <c r="AI180" s="177"/>
      <c r="AJ180" s="177"/>
      <c r="AK180" s="257">
        <v>1</v>
      </c>
      <c r="AL180" s="271"/>
      <c r="AM180" s="277">
        <f t="shared" si="32"/>
        <v>0</v>
      </c>
      <c r="AN180" s="279">
        <f t="shared" si="33"/>
        <v>0</v>
      </c>
      <c r="AO180" s="279">
        <f>(AE180*P2_Reinigen_Lichtkoepel_50X50)+('Perceel 3'!AF180*P2_Reinigen_Lichtkoepel_60x200)+('Perceel 3'!AG180*P2_Reinigen_Lichtkoepel_180x180)+('Perceel 3'!AH180*P2_Reinigen_Lichtstraten_groter_dan_180x180)</f>
        <v>0</v>
      </c>
      <c r="AP180" s="279">
        <f>('Perceel 3'!X180+'Perceel 3'!Y180)*P2_Inspecteren_daken_en_goten_1x_per_jaar_gelijktijdig_met_reiniging_inclusief_inspectierapport_en_een_managementrapport</f>
        <v>0</v>
      </c>
      <c r="AQ180" s="312"/>
      <c r="AR180" s="332">
        <f t="shared" si="31"/>
        <v>0</v>
      </c>
      <c r="AS180" s="336">
        <f t="shared" si="26"/>
        <v>0</v>
      </c>
    </row>
    <row r="181" spans="1:45" s="7" customFormat="1" ht="51.75" hidden="1" thickTop="1" thickBot="1" x14ac:dyDescent="0.5">
      <c r="A181" s="155"/>
      <c r="B181" s="165">
        <v>2</v>
      </c>
      <c r="C181" s="156" t="s">
        <v>135</v>
      </c>
      <c r="D181" s="156" t="s">
        <v>136</v>
      </c>
      <c r="E181" s="156"/>
      <c r="F181" s="156"/>
      <c r="G181" s="156"/>
      <c r="H181" s="151" t="s">
        <v>1409</v>
      </c>
      <c r="I181" s="151" t="s">
        <v>1410</v>
      </c>
      <c r="J181" s="157"/>
      <c r="K181" s="163"/>
      <c r="L181" s="163" t="s">
        <v>154</v>
      </c>
      <c r="M181" s="166" t="s">
        <v>544</v>
      </c>
      <c r="N181" s="159" t="s">
        <v>1411</v>
      </c>
      <c r="O181" s="159" t="s">
        <v>1412</v>
      </c>
      <c r="P181" s="159" t="s">
        <v>1413</v>
      </c>
      <c r="Q181" s="159" t="s">
        <v>1414</v>
      </c>
      <c r="R181" s="42" t="s">
        <v>1214</v>
      </c>
      <c r="S181" s="159" t="s">
        <v>340</v>
      </c>
      <c r="T181" s="159" t="s">
        <v>169</v>
      </c>
      <c r="U181" s="159" t="s">
        <v>1415</v>
      </c>
      <c r="V181" s="176" t="s">
        <v>171</v>
      </c>
      <c r="W181" s="152">
        <v>1984</v>
      </c>
      <c r="X181" s="152">
        <v>936</v>
      </c>
      <c r="Y181" s="152"/>
      <c r="Z181" s="152" t="s">
        <v>311</v>
      </c>
      <c r="AA181" s="152"/>
      <c r="AB181" s="152"/>
      <c r="AC181" s="152"/>
      <c r="AD181" s="152"/>
      <c r="AE181" s="152"/>
      <c r="AF181" s="152"/>
      <c r="AG181" s="152"/>
      <c r="AH181" s="152"/>
      <c r="AI181" s="152"/>
      <c r="AJ181" s="152"/>
      <c r="AK181" s="152">
        <v>1</v>
      </c>
      <c r="AL181" s="295"/>
      <c r="AM181" s="277">
        <f t="shared" si="32"/>
        <v>0</v>
      </c>
      <c r="AN181" s="279">
        <f t="shared" si="33"/>
        <v>0</v>
      </c>
      <c r="AO181" s="279">
        <f>(AE181*P2_Reinigen_Lichtkoepel_50X50)+('Perceel 3'!AF181*P2_Reinigen_Lichtkoepel_60x200)+('Perceel 3'!AG181*P2_Reinigen_Lichtkoepel_180x180)+('Perceel 3'!AH181*P2_Reinigen_Lichtstraten_groter_dan_180x180)</f>
        <v>0</v>
      </c>
      <c r="AP181" s="279">
        <f>('Perceel 3'!X181+'Perceel 3'!Y181)*P2_Inspecteren_daken_en_goten_1x_per_jaar_gelijktijdig_met_reiniging_inclusief_inspectierapport_en_een_managementrapport</f>
        <v>0</v>
      </c>
      <c r="AQ181" s="312"/>
      <c r="AR181" s="332">
        <f t="shared" si="31"/>
        <v>0</v>
      </c>
      <c r="AS181" s="336">
        <f t="shared" si="26"/>
        <v>0</v>
      </c>
    </row>
    <row r="182" spans="1:45" s="7" customFormat="1" ht="77.25" hidden="1" thickTop="1" thickBot="1" x14ac:dyDescent="0.5">
      <c r="A182" s="155"/>
      <c r="B182" s="165">
        <v>2</v>
      </c>
      <c r="C182" s="156" t="s">
        <v>135</v>
      </c>
      <c r="D182" s="156" t="s">
        <v>136</v>
      </c>
      <c r="E182" s="156"/>
      <c r="F182" s="156"/>
      <c r="G182" s="156"/>
      <c r="H182" s="151" t="s">
        <v>1416</v>
      </c>
      <c r="I182" s="151" t="s">
        <v>1417</v>
      </c>
      <c r="J182" s="157"/>
      <c r="K182" s="163"/>
      <c r="L182" s="163" t="s">
        <v>139</v>
      </c>
      <c r="M182" s="166" t="s">
        <v>140</v>
      </c>
      <c r="N182" s="160" t="s">
        <v>1418</v>
      </c>
      <c r="O182" s="159" t="s">
        <v>1419</v>
      </c>
      <c r="P182" s="160" t="s">
        <v>1420</v>
      </c>
      <c r="Q182" s="160" t="s">
        <v>1421</v>
      </c>
      <c r="R182" s="53" t="s">
        <v>1214</v>
      </c>
      <c r="S182" s="160" t="s">
        <v>340</v>
      </c>
      <c r="T182" s="159" t="s">
        <v>1422</v>
      </c>
      <c r="U182" s="159" t="s">
        <v>1423</v>
      </c>
      <c r="V182" s="176" t="s">
        <v>1424</v>
      </c>
      <c r="W182" s="152">
        <v>1983</v>
      </c>
      <c r="X182" s="152">
        <v>1168</v>
      </c>
      <c r="Y182" s="152"/>
      <c r="Z182" s="177"/>
      <c r="AA182" s="177"/>
      <c r="AB182" s="177"/>
      <c r="AC182" s="177"/>
      <c r="AD182" s="177"/>
      <c r="AE182" s="177"/>
      <c r="AF182" s="177"/>
      <c r="AG182" s="177"/>
      <c r="AH182" s="177"/>
      <c r="AI182" s="177"/>
      <c r="AJ182" s="177"/>
      <c r="AK182" s="257">
        <v>2</v>
      </c>
      <c r="AL182" s="271"/>
      <c r="AM182" s="277">
        <f t="shared" si="32"/>
        <v>0</v>
      </c>
      <c r="AN182" s="279">
        <f t="shared" si="33"/>
        <v>0</v>
      </c>
      <c r="AO182" s="279">
        <f>(AE182*P2_Reinigen_Lichtkoepel_50X50)+('Perceel 3'!AF182*P2_Reinigen_Lichtkoepel_60x200)+('Perceel 3'!AG182*P2_Reinigen_Lichtkoepel_180x180)+('Perceel 3'!AH182*P2_Reinigen_Lichtstraten_groter_dan_180x180)</f>
        <v>0</v>
      </c>
      <c r="AP182" s="279">
        <f>('Perceel 3'!X182+'Perceel 3'!Y182)*P2_Inspecteren_daken_en_goten_1x_per_jaar_gelijktijdig_met_reiniging_inclusief_inspectierapport_en_een_managementrapport</f>
        <v>0</v>
      </c>
      <c r="AQ182" s="312"/>
      <c r="AR182" s="332">
        <f t="shared" si="31"/>
        <v>0</v>
      </c>
      <c r="AS182" s="336">
        <f t="shared" si="26"/>
        <v>0</v>
      </c>
    </row>
    <row r="183" spans="1:45" s="7" customFormat="1" ht="25.5" hidden="1" customHeight="1" x14ac:dyDescent="0.45">
      <c r="A183" s="155"/>
      <c r="B183" s="165">
        <v>2</v>
      </c>
      <c r="C183" s="156" t="s">
        <v>135</v>
      </c>
      <c r="D183" s="156" t="s">
        <v>174</v>
      </c>
      <c r="E183" s="156"/>
      <c r="F183" s="156"/>
      <c r="G183" s="156"/>
      <c r="H183" s="151" t="s">
        <v>1425</v>
      </c>
      <c r="I183" s="151" t="s">
        <v>1426</v>
      </c>
      <c r="J183" s="157"/>
      <c r="K183" s="163"/>
      <c r="L183" s="151" t="s">
        <v>348</v>
      </c>
      <c r="M183" s="159" t="s">
        <v>349</v>
      </c>
      <c r="N183" s="160" t="s">
        <v>1427</v>
      </c>
      <c r="O183" s="159" t="s">
        <v>1428</v>
      </c>
      <c r="P183" s="160" t="s">
        <v>1429</v>
      </c>
      <c r="Q183" s="160" t="s">
        <v>1430</v>
      </c>
      <c r="R183" s="55" t="s">
        <v>1214</v>
      </c>
      <c r="S183" s="160" t="s">
        <v>340</v>
      </c>
      <c r="T183" s="159" t="s">
        <v>1431</v>
      </c>
      <c r="U183" s="159" t="s">
        <v>1432</v>
      </c>
      <c r="V183" s="176" t="s">
        <v>1433</v>
      </c>
      <c r="W183" s="152">
        <v>1984</v>
      </c>
      <c r="X183" s="152">
        <v>1401</v>
      </c>
      <c r="Y183" s="152"/>
      <c r="Z183" s="177"/>
      <c r="AA183" s="177"/>
      <c r="AB183" s="177"/>
      <c r="AC183" s="177"/>
      <c r="AD183" s="177"/>
      <c r="AE183" s="177"/>
      <c r="AF183" s="177"/>
      <c r="AG183" s="177"/>
      <c r="AH183" s="177"/>
      <c r="AI183" s="177"/>
      <c r="AJ183" s="177"/>
      <c r="AK183" s="257">
        <v>1</v>
      </c>
      <c r="AL183" s="271"/>
      <c r="AM183" s="277">
        <f t="shared" si="32"/>
        <v>0</v>
      </c>
      <c r="AN183" s="279">
        <f t="shared" si="33"/>
        <v>0</v>
      </c>
      <c r="AO183" s="279">
        <f>(AE183*P2_Reinigen_Lichtkoepel_50X50)+('Perceel 3'!AF183*P2_Reinigen_Lichtkoepel_60x200)+('Perceel 3'!AG183*P2_Reinigen_Lichtkoepel_180x180)+('Perceel 3'!AH183*P2_Reinigen_Lichtstraten_groter_dan_180x180)</f>
        <v>0</v>
      </c>
      <c r="AP183" s="279">
        <f>('Perceel 3'!X183+'Perceel 3'!Y183)*P2_Inspecteren_daken_en_goten_1x_per_jaar_gelijktijdig_met_reiniging_inclusief_inspectierapport_en_een_managementrapport</f>
        <v>0</v>
      </c>
      <c r="AQ183" s="312"/>
      <c r="AR183" s="332">
        <f t="shared" si="31"/>
        <v>0</v>
      </c>
      <c r="AS183" s="336">
        <f t="shared" si="26"/>
        <v>0</v>
      </c>
    </row>
    <row r="184" spans="1:45" s="7" customFormat="1" ht="77.25" hidden="1" thickTop="1" thickBot="1" x14ac:dyDescent="0.5">
      <c r="A184" s="155"/>
      <c r="B184" s="165">
        <v>2</v>
      </c>
      <c r="C184" s="156" t="s">
        <v>135</v>
      </c>
      <c r="D184" s="156" t="s">
        <v>136</v>
      </c>
      <c r="E184" s="156"/>
      <c r="F184" s="156"/>
      <c r="G184" s="156"/>
      <c r="H184" s="151" t="s">
        <v>1434</v>
      </c>
      <c r="I184" s="151" t="s">
        <v>1435</v>
      </c>
      <c r="J184" s="157"/>
      <c r="K184" s="163"/>
      <c r="L184" s="151" t="s">
        <v>348</v>
      </c>
      <c r="M184" s="159" t="s">
        <v>349</v>
      </c>
      <c r="N184" s="160" t="s">
        <v>1436</v>
      </c>
      <c r="O184" s="159" t="s">
        <v>1437</v>
      </c>
      <c r="P184" s="160" t="s">
        <v>1438</v>
      </c>
      <c r="Q184" s="160" t="s">
        <v>1439</v>
      </c>
      <c r="R184" s="53" t="s">
        <v>1363</v>
      </c>
      <c r="S184" s="160" t="s">
        <v>340</v>
      </c>
      <c r="T184" s="159" t="s">
        <v>1440</v>
      </c>
      <c r="U184" s="159" t="s">
        <v>1441</v>
      </c>
      <c r="V184" s="209" t="s">
        <v>1442</v>
      </c>
      <c r="W184" s="152">
        <v>1995</v>
      </c>
      <c r="X184" s="152">
        <v>621</v>
      </c>
      <c r="Y184" s="152"/>
      <c r="Z184" s="177"/>
      <c r="AA184" s="177"/>
      <c r="AB184" s="177"/>
      <c r="AC184" s="177"/>
      <c r="AD184" s="177"/>
      <c r="AE184" s="177"/>
      <c r="AF184" s="177"/>
      <c r="AG184" s="177"/>
      <c r="AH184" s="177"/>
      <c r="AI184" s="177"/>
      <c r="AJ184" s="177"/>
      <c r="AK184" s="257">
        <v>1</v>
      </c>
      <c r="AL184" s="274"/>
      <c r="AM184" s="277">
        <f t="shared" si="32"/>
        <v>0</v>
      </c>
      <c r="AN184" s="279">
        <f t="shared" si="33"/>
        <v>0</v>
      </c>
      <c r="AO184" s="279">
        <f>(AE184*P2_Reinigen_Lichtkoepel_50X50)+('Perceel 3'!AF184*P2_Reinigen_Lichtkoepel_60x200)+('Perceel 3'!AG184*P2_Reinigen_Lichtkoepel_180x180)+('Perceel 3'!AH184*P2_Reinigen_Lichtstraten_groter_dan_180x180)</f>
        <v>0</v>
      </c>
      <c r="AP184" s="279">
        <f>('Perceel 3'!X184+'Perceel 3'!Y184)*P2_Inspecteren_daken_en_goten_1x_per_jaar_gelijktijdig_met_reiniging_inclusief_inspectierapport_en_een_managementrapport</f>
        <v>0</v>
      </c>
      <c r="AQ184" s="312"/>
      <c r="AR184" s="332">
        <f t="shared" si="31"/>
        <v>0</v>
      </c>
      <c r="AS184" s="336">
        <f t="shared" si="26"/>
        <v>0</v>
      </c>
    </row>
    <row r="185" spans="1:45" s="7" customFormat="1" ht="12.75" hidden="1" customHeight="1" x14ac:dyDescent="0.45">
      <c r="A185" s="155"/>
      <c r="B185" s="165">
        <v>2</v>
      </c>
      <c r="C185" s="156" t="s">
        <v>135</v>
      </c>
      <c r="D185" s="156" t="s">
        <v>136</v>
      </c>
      <c r="E185" s="156"/>
      <c r="F185" s="156"/>
      <c r="G185" s="156"/>
      <c r="H185" s="151" t="s">
        <v>1443</v>
      </c>
      <c r="I185" s="151" t="s">
        <v>1444</v>
      </c>
      <c r="J185" s="157"/>
      <c r="K185" s="163"/>
      <c r="L185" s="151" t="s">
        <v>348</v>
      </c>
      <c r="M185" s="159" t="s">
        <v>349</v>
      </c>
      <c r="N185" s="160" t="s">
        <v>1445</v>
      </c>
      <c r="O185" s="159" t="s">
        <v>1446</v>
      </c>
      <c r="P185" s="160" t="s">
        <v>1447</v>
      </c>
      <c r="Q185" s="160" t="s">
        <v>1439</v>
      </c>
      <c r="R185" s="53" t="s">
        <v>1363</v>
      </c>
      <c r="S185" s="160" t="s">
        <v>340</v>
      </c>
      <c r="T185" s="159" t="s">
        <v>1448</v>
      </c>
      <c r="U185" s="159" t="s">
        <v>1449</v>
      </c>
      <c r="V185" s="176" t="s">
        <v>1450</v>
      </c>
      <c r="W185" s="152">
        <v>2002</v>
      </c>
      <c r="X185" s="152">
        <v>1195</v>
      </c>
      <c r="Y185" s="152"/>
      <c r="Z185" s="177"/>
      <c r="AA185" s="177"/>
      <c r="AB185" s="177"/>
      <c r="AC185" s="177"/>
      <c r="AD185" s="177"/>
      <c r="AE185" s="177"/>
      <c r="AF185" s="177"/>
      <c r="AG185" s="177"/>
      <c r="AH185" s="177"/>
      <c r="AI185" s="177"/>
      <c r="AJ185" s="177"/>
      <c r="AK185" s="257">
        <v>1</v>
      </c>
      <c r="AL185" s="271"/>
      <c r="AM185" s="277">
        <f t="shared" si="32"/>
        <v>0</v>
      </c>
      <c r="AN185" s="279">
        <f t="shared" si="33"/>
        <v>0</v>
      </c>
      <c r="AO185" s="279">
        <f>(AE185*P2_Reinigen_Lichtkoepel_50X50)+('Perceel 3'!AF185*P2_Reinigen_Lichtkoepel_60x200)+('Perceel 3'!AG185*P2_Reinigen_Lichtkoepel_180x180)+('Perceel 3'!AH185*P2_Reinigen_Lichtstraten_groter_dan_180x180)</f>
        <v>0</v>
      </c>
      <c r="AP185" s="279">
        <f>('Perceel 3'!X185+'Perceel 3'!Y185)*P2_Inspecteren_daken_en_goten_1x_per_jaar_gelijktijdig_met_reiniging_inclusief_inspectierapport_en_een_managementrapport</f>
        <v>0</v>
      </c>
      <c r="AQ185" s="312"/>
      <c r="AR185" s="332">
        <f t="shared" si="31"/>
        <v>0</v>
      </c>
      <c r="AS185" s="336">
        <f t="shared" si="26"/>
        <v>0</v>
      </c>
    </row>
    <row r="186" spans="1:45" s="7" customFormat="1" ht="51.75" hidden="1" thickTop="1" thickBot="1" x14ac:dyDescent="0.5">
      <c r="A186" s="155"/>
      <c r="B186" s="165">
        <v>2</v>
      </c>
      <c r="C186" s="156" t="s">
        <v>135</v>
      </c>
      <c r="D186" s="156" t="s">
        <v>136</v>
      </c>
      <c r="E186" s="156"/>
      <c r="F186" s="156"/>
      <c r="G186" s="156"/>
      <c r="H186" s="151" t="s">
        <v>1451</v>
      </c>
      <c r="I186" s="151" t="s">
        <v>1452</v>
      </c>
      <c r="J186" s="157"/>
      <c r="K186" s="163"/>
      <c r="L186" s="163" t="s">
        <v>154</v>
      </c>
      <c r="M186" s="166" t="s">
        <v>544</v>
      </c>
      <c r="N186" s="160" t="s">
        <v>1453</v>
      </c>
      <c r="O186" s="159" t="s">
        <v>1454</v>
      </c>
      <c r="P186" s="160" t="s">
        <v>1455</v>
      </c>
      <c r="Q186" s="160" t="s">
        <v>1456</v>
      </c>
      <c r="R186" s="53" t="s">
        <v>1363</v>
      </c>
      <c r="S186" s="160" t="s">
        <v>340</v>
      </c>
      <c r="T186" s="159" t="s">
        <v>169</v>
      </c>
      <c r="U186" s="159" t="s">
        <v>170</v>
      </c>
      <c r="V186" s="176" t="s">
        <v>171</v>
      </c>
      <c r="W186" s="152">
        <v>1999</v>
      </c>
      <c r="X186" s="152">
        <v>440</v>
      </c>
      <c r="Y186" s="152"/>
      <c r="Z186" s="177" t="s">
        <v>311</v>
      </c>
      <c r="AA186" s="177"/>
      <c r="AB186" s="177"/>
      <c r="AC186" s="177"/>
      <c r="AD186" s="177"/>
      <c r="AE186" s="177"/>
      <c r="AF186" s="177"/>
      <c r="AG186" s="177"/>
      <c r="AH186" s="177"/>
      <c r="AI186" s="177"/>
      <c r="AJ186" s="177"/>
      <c r="AK186" s="257">
        <v>2</v>
      </c>
      <c r="AL186" s="271"/>
      <c r="AM186" s="277">
        <f t="shared" si="32"/>
        <v>0</v>
      </c>
      <c r="AN186" s="279">
        <f t="shared" si="33"/>
        <v>0</v>
      </c>
      <c r="AO186" s="279">
        <f>(AE186*P2_Reinigen_Lichtkoepel_50X50)+('Perceel 3'!AF186*P2_Reinigen_Lichtkoepel_60x200)+('Perceel 3'!AG186*P2_Reinigen_Lichtkoepel_180x180)+('Perceel 3'!AH186*P2_Reinigen_Lichtstraten_groter_dan_180x180)</f>
        <v>0</v>
      </c>
      <c r="AP186" s="279">
        <f>('Perceel 3'!X186+'Perceel 3'!Y186)*P2_Inspecteren_daken_en_goten_1x_per_jaar_gelijktijdig_met_reiniging_inclusief_inspectierapport_en_een_managementrapport</f>
        <v>0</v>
      </c>
      <c r="AQ186" s="312"/>
      <c r="AR186" s="332">
        <f t="shared" si="31"/>
        <v>0</v>
      </c>
      <c r="AS186" s="336">
        <f t="shared" si="26"/>
        <v>0</v>
      </c>
    </row>
    <row r="187" spans="1:45" s="7" customFormat="1" ht="78" hidden="1" thickTop="1" thickBot="1" x14ac:dyDescent="0.5">
      <c r="A187" s="155"/>
      <c r="B187" s="165">
        <v>2</v>
      </c>
      <c r="C187" s="156" t="s">
        <v>135</v>
      </c>
      <c r="D187" s="156" t="s">
        <v>136</v>
      </c>
      <c r="E187" s="156"/>
      <c r="F187" s="156"/>
      <c r="G187" s="156"/>
      <c r="H187" s="151" t="s">
        <v>1457</v>
      </c>
      <c r="I187" s="151" t="s">
        <v>1458</v>
      </c>
      <c r="J187" s="157"/>
      <c r="K187" s="163"/>
      <c r="L187" s="151" t="s">
        <v>348</v>
      </c>
      <c r="M187" s="159" t="s">
        <v>349</v>
      </c>
      <c r="N187" s="160" t="s">
        <v>1459</v>
      </c>
      <c r="O187" s="159" t="s">
        <v>1460</v>
      </c>
      <c r="P187" s="160" t="s">
        <v>1461</v>
      </c>
      <c r="Q187" s="160" t="s">
        <v>1462</v>
      </c>
      <c r="R187" s="53" t="s">
        <v>1463</v>
      </c>
      <c r="S187" s="160" t="s">
        <v>340</v>
      </c>
      <c r="T187" s="159" t="s">
        <v>1464</v>
      </c>
      <c r="U187" s="159" t="s">
        <v>1465</v>
      </c>
      <c r="V187" s="176" t="s">
        <v>1466</v>
      </c>
      <c r="W187" s="152">
        <v>1999</v>
      </c>
      <c r="X187" s="152">
        <f>728+216</f>
        <v>944</v>
      </c>
      <c r="Y187" s="152"/>
      <c r="Z187" s="177" t="s">
        <v>311</v>
      </c>
      <c r="AA187" s="177"/>
      <c r="AB187" s="177"/>
      <c r="AC187" s="177"/>
      <c r="AD187" s="177"/>
      <c r="AE187" s="177"/>
      <c r="AF187" s="177"/>
      <c r="AG187" s="177"/>
      <c r="AH187" s="177"/>
      <c r="AI187" s="177"/>
      <c r="AJ187" s="177"/>
      <c r="AK187" s="257">
        <v>1</v>
      </c>
      <c r="AL187" s="297" t="s">
        <v>1467</v>
      </c>
      <c r="AM187" s="277">
        <f t="shared" si="32"/>
        <v>0</v>
      </c>
      <c r="AN187" s="279">
        <f t="shared" si="33"/>
        <v>0</v>
      </c>
      <c r="AO187" s="279">
        <f>(AE187*P2_Reinigen_Lichtkoepel_50X50)+('Perceel 3'!AF187*P2_Reinigen_Lichtkoepel_60x200)+('Perceel 3'!AG187*P2_Reinigen_Lichtkoepel_180x180)+('Perceel 3'!AH187*P2_Reinigen_Lichtstraten_groter_dan_180x180)</f>
        <v>0</v>
      </c>
      <c r="AP187" s="279">
        <f>('Perceel 3'!X187+'Perceel 3'!Y187)*P2_Inspecteren_daken_en_goten_1x_per_jaar_gelijktijdig_met_reiniging_inclusief_inspectierapport_en_een_managementrapport</f>
        <v>0</v>
      </c>
      <c r="AQ187" s="312"/>
      <c r="AR187" s="332">
        <f t="shared" si="31"/>
        <v>0</v>
      </c>
      <c r="AS187" s="336">
        <f t="shared" si="26"/>
        <v>0</v>
      </c>
    </row>
    <row r="188" spans="1:45" s="7" customFormat="1" ht="109.35" hidden="1" customHeight="1" x14ac:dyDescent="0.45">
      <c r="A188" s="155"/>
      <c r="B188" s="165">
        <v>2</v>
      </c>
      <c r="C188" s="156" t="s">
        <v>135</v>
      </c>
      <c r="D188" s="156" t="s">
        <v>136</v>
      </c>
      <c r="E188" s="156"/>
      <c r="F188" s="156"/>
      <c r="G188" s="156"/>
      <c r="H188" s="151" t="s">
        <v>1468</v>
      </c>
      <c r="I188" s="151" t="s">
        <v>1469</v>
      </c>
      <c r="J188" s="157"/>
      <c r="K188" s="163"/>
      <c r="L188" s="163" t="s">
        <v>139</v>
      </c>
      <c r="M188" s="166" t="s">
        <v>140</v>
      </c>
      <c r="N188" s="160" t="s">
        <v>1470</v>
      </c>
      <c r="O188" s="159" t="s">
        <v>1471</v>
      </c>
      <c r="P188" s="160" t="s">
        <v>1472</v>
      </c>
      <c r="Q188" s="160" t="s">
        <v>1473</v>
      </c>
      <c r="R188" s="53" t="s">
        <v>1463</v>
      </c>
      <c r="S188" s="160" t="s">
        <v>340</v>
      </c>
      <c r="T188" s="159" t="s">
        <v>1474</v>
      </c>
      <c r="U188" s="159" t="s">
        <v>1475</v>
      </c>
      <c r="V188" s="176" t="s">
        <v>1476</v>
      </c>
      <c r="W188" s="152">
        <v>1997</v>
      </c>
      <c r="X188" s="198">
        <f>725-4</f>
        <v>721</v>
      </c>
      <c r="Y188" s="152"/>
      <c r="Z188" s="177"/>
      <c r="AA188" s="177"/>
      <c r="AB188" s="177"/>
      <c r="AC188" s="177"/>
      <c r="AD188" s="177"/>
      <c r="AE188" s="177"/>
      <c r="AF188" s="177"/>
      <c r="AG188" s="177"/>
      <c r="AH188" s="177"/>
      <c r="AI188" s="177" t="s">
        <v>345</v>
      </c>
      <c r="AJ188" s="177" t="s">
        <v>223</v>
      </c>
      <c r="AK188" s="257">
        <v>1</v>
      </c>
      <c r="AL188" s="273"/>
      <c r="AM188" s="277">
        <f t="shared" si="32"/>
        <v>0</v>
      </c>
      <c r="AN188" s="279">
        <f t="shared" si="33"/>
        <v>0</v>
      </c>
      <c r="AO188" s="279">
        <f>(AE188*P2_Reinigen_Lichtkoepel_50X50)+('Perceel 3'!AF188*P2_Reinigen_Lichtkoepel_60x200)+('Perceel 3'!AG188*P2_Reinigen_Lichtkoepel_180x180)+('Perceel 3'!AH188*P2_Reinigen_Lichtstraten_groter_dan_180x180)</f>
        <v>0</v>
      </c>
      <c r="AP188" s="279">
        <f>('Perceel 3'!X188+'Perceel 3'!Y188)*P2_Inspecteren_daken_en_goten_1x_per_jaar_gelijktijdig_met_reiniging_inclusief_inspectierapport_en_een_managementrapport</f>
        <v>0</v>
      </c>
      <c r="AQ188" s="312"/>
      <c r="AR188" s="332">
        <f t="shared" si="31"/>
        <v>0</v>
      </c>
      <c r="AS188" s="336">
        <f t="shared" si="26"/>
        <v>0</v>
      </c>
    </row>
    <row r="189" spans="1:45" s="7" customFormat="1" ht="56.45" hidden="1" customHeight="1" x14ac:dyDescent="0.45">
      <c r="A189" s="238"/>
      <c r="B189" s="225">
        <v>2</v>
      </c>
      <c r="C189" s="171" t="s">
        <v>135</v>
      </c>
      <c r="D189" s="171" t="s">
        <v>136</v>
      </c>
      <c r="E189" s="171" t="s">
        <v>174</v>
      </c>
      <c r="F189" s="171"/>
      <c r="G189" s="171"/>
      <c r="H189" s="15"/>
      <c r="I189" s="15"/>
      <c r="J189" s="15"/>
      <c r="K189" s="16"/>
      <c r="L189" s="196" t="s">
        <v>348</v>
      </c>
      <c r="M189" s="196" t="s">
        <v>1477</v>
      </c>
      <c r="N189" s="171" t="s">
        <v>1478</v>
      </c>
      <c r="O189" s="171" t="s">
        <v>1479</v>
      </c>
      <c r="P189" s="171" t="s">
        <v>1480</v>
      </c>
      <c r="Q189" s="211" t="s">
        <v>1473</v>
      </c>
      <c r="R189" s="58" t="s">
        <v>1463</v>
      </c>
      <c r="S189" s="211" t="s">
        <v>340</v>
      </c>
      <c r="T189" s="171"/>
      <c r="U189" s="171"/>
      <c r="V189" s="171"/>
      <c r="W189" s="211">
        <v>1998</v>
      </c>
      <c r="X189" s="261">
        <v>1175</v>
      </c>
      <c r="Y189" s="211"/>
      <c r="Z189" s="171"/>
      <c r="AA189" s="171"/>
      <c r="AB189" s="171"/>
      <c r="AC189" s="171"/>
      <c r="AD189" s="171"/>
      <c r="AE189" s="171"/>
      <c r="AF189" s="171"/>
      <c r="AG189" s="171"/>
      <c r="AH189" s="171"/>
      <c r="AI189" s="171"/>
      <c r="AJ189" s="171"/>
      <c r="AK189" s="261">
        <v>1</v>
      </c>
      <c r="AL189" s="271"/>
      <c r="AM189" s="277">
        <f t="shared" si="32"/>
        <v>0</v>
      </c>
      <c r="AN189" s="279">
        <f t="shared" si="33"/>
        <v>0</v>
      </c>
      <c r="AO189" s="279">
        <f>(AE189*P2_Reinigen_Lichtkoepel_50X50)+('Perceel 3'!AF189*P2_Reinigen_Lichtkoepel_60x200)+('Perceel 3'!AG189*P2_Reinigen_Lichtkoepel_180x180)+('Perceel 3'!AH189*P2_Reinigen_Lichtstraten_groter_dan_180x180)</f>
        <v>0</v>
      </c>
      <c r="AP189" s="279">
        <f>('Perceel 3'!X189+'Perceel 3'!Y189)*P2_Inspecteren_daken_en_goten_1x_per_jaar_gelijktijdig_met_reiniging_inclusief_inspectierapport_en_een_managementrapport</f>
        <v>0</v>
      </c>
      <c r="AQ189" s="312"/>
      <c r="AR189" s="332">
        <f t="shared" si="31"/>
        <v>0</v>
      </c>
      <c r="AS189" s="336">
        <f t="shared" si="26"/>
        <v>0</v>
      </c>
    </row>
    <row r="190" spans="1:45" s="7" customFormat="1" ht="51.75" hidden="1" thickTop="1" thickBot="1" x14ac:dyDescent="0.5">
      <c r="A190" s="182"/>
      <c r="B190" s="185">
        <v>2</v>
      </c>
      <c r="C190" s="175" t="s">
        <v>135</v>
      </c>
      <c r="D190" s="175" t="s">
        <v>136</v>
      </c>
      <c r="E190" s="175"/>
      <c r="F190" s="175"/>
      <c r="G190" s="175"/>
      <c r="H190" s="174" t="s">
        <v>1481</v>
      </c>
      <c r="I190" s="174" t="s">
        <v>1482</v>
      </c>
      <c r="J190" s="197"/>
      <c r="K190" s="197"/>
      <c r="L190" s="174"/>
      <c r="M190" s="191" t="s">
        <v>544</v>
      </c>
      <c r="N190" s="182" t="s">
        <v>1483</v>
      </c>
      <c r="O190" s="175" t="s">
        <v>1484</v>
      </c>
      <c r="P190" s="182" t="s">
        <v>1485</v>
      </c>
      <c r="Q190" s="182" t="s">
        <v>1473</v>
      </c>
      <c r="R190" s="50" t="s">
        <v>1463</v>
      </c>
      <c r="S190" s="182" t="s">
        <v>340</v>
      </c>
      <c r="T190" s="175" t="s">
        <v>169</v>
      </c>
      <c r="U190" s="175" t="s">
        <v>170</v>
      </c>
      <c r="V190" s="175" t="s">
        <v>171</v>
      </c>
      <c r="W190" s="182">
        <v>1998</v>
      </c>
      <c r="X190" s="255">
        <f>X189*14%</f>
        <v>164.50000000000003</v>
      </c>
      <c r="Y190" s="182"/>
      <c r="Z190" s="175"/>
      <c r="AA190" s="175"/>
      <c r="AB190" s="175"/>
      <c r="AC190" s="175"/>
      <c r="AD190" s="175"/>
      <c r="AE190" s="175"/>
      <c r="AF190" s="175"/>
      <c r="AG190" s="175"/>
      <c r="AH190" s="175"/>
      <c r="AI190" s="175"/>
      <c r="AJ190" s="175"/>
      <c r="AK190" s="255">
        <v>1</v>
      </c>
      <c r="AL190" s="271"/>
      <c r="AM190" s="277">
        <f t="shared" si="32"/>
        <v>0</v>
      </c>
      <c r="AN190" s="279">
        <f t="shared" si="33"/>
        <v>0</v>
      </c>
      <c r="AO190" s="279">
        <f>(AE190*P2_Reinigen_Lichtkoepel_50X50)+('Perceel 3'!AF190*P2_Reinigen_Lichtkoepel_60x200)+('Perceel 3'!AG190*P2_Reinigen_Lichtkoepel_180x180)+('Perceel 3'!AH190*P2_Reinigen_Lichtstraten_groter_dan_180x180)</f>
        <v>0</v>
      </c>
      <c r="AP190" s="279">
        <f>('Perceel 3'!X190+'Perceel 3'!Y190)*P2_Inspecteren_daken_en_goten_1x_per_jaar_gelijktijdig_met_reiniging_inclusief_inspectierapport_en_een_managementrapport</f>
        <v>0</v>
      </c>
      <c r="AQ190" s="312"/>
      <c r="AR190" s="332">
        <f t="shared" si="31"/>
        <v>0</v>
      </c>
      <c r="AS190" s="336">
        <f t="shared" si="26"/>
        <v>0</v>
      </c>
    </row>
    <row r="191" spans="1:45" s="7" customFormat="1" ht="25.5" hidden="1" customHeight="1" x14ac:dyDescent="0.45">
      <c r="A191" s="182"/>
      <c r="B191" s="185">
        <v>2</v>
      </c>
      <c r="C191" s="175" t="s">
        <v>135</v>
      </c>
      <c r="D191" s="175" t="s">
        <v>136</v>
      </c>
      <c r="E191" s="175"/>
      <c r="F191" s="175"/>
      <c r="G191" s="175"/>
      <c r="H191" s="174" t="s">
        <v>1486</v>
      </c>
      <c r="I191" s="174" t="s">
        <v>1487</v>
      </c>
      <c r="J191" s="197"/>
      <c r="K191" s="197"/>
      <c r="L191" s="174"/>
      <c r="M191" s="175" t="s">
        <v>1488</v>
      </c>
      <c r="N191" s="175" t="s">
        <v>1489</v>
      </c>
      <c r="O191" s="175" t="s">
        <v>1490</v>
      </c>
      <c r="P191" s="182" t="s">
        <v>1491</v>
      </c>
      <c r="Q191" s="182" t="s">
        <v>1473</v>
      </c>
      <c r="R191" s="50" t="s">
        <v>1463</v>
      </c>
      <c r="S191" s="182" t="s">
        <v>340</v>
      </c>
      <c r="T191" s="175" t="s">
        <v>1492</v>
      </c>
      <c r="U191" s="175" t="s">
        <v>1493</v>
      </c>
      <c r="V191" s="175" t="s">
        <v>1494</v>
      </c>
      <c r="W191" s="182">
        <v>1998</v>
      </c>
      <c r="X191" s="255">
        <f>X189*10%</f>
        <v>117.5</v>
      </c>
      <c r="Y191" s="182"/>
      <c r="Z191" s="175"/>
      <c r="AA191" s="175"/>
      <c r="AB191" s="175"/>
      <c r="AC191" s="175"/>
      <c r="AD191" s="175"/>
      <c r="AE191" s="175"/>
      <c r="AF191" s="175"/>
      <c r="AG191" s="175"/>
      <c r="AH191" s="175"/>
      <c r="AI191" s="175"/>
      <c r="AJ191" s="175"/>
      <c r="AK191" s="255">
        <v>1</v>
      </c>
      <c r="AL191" s="271"/>
      <c r="AM191" s="277">
        <f t="shared" si="32"/>
        <v>0</v>
      </c>
      <c r="AN191" s="279">
        <f t="shared" si="33"/>
        <v>0</v>
      </c>
      <c r="AO191" s="279">
        <f>(AE191*P2_Reinigen_Lichtkoepel_50X50)+('Perceel 3'!AF191*P2_Reinigen_Lichtkoepel_60x200)+('Perceel 3'!AG191*P2_Reinigen_Lichtkoepel_180x180)+('Perceel 3'!AH191*P2_Reinigen_Lichtstraten_groter_dan_180x180)</f>
        <v>0</v>
      </c>
      <c r="AP191" s="279">
        <f>('Perceel 3'!X191+'Perceel 3'!Y191)*P2_Inspecteren_daken_en_goten_1x_per_jaar_gelijktijdig_met_reiniging_inclusief_inspectierapport_en_een_managementrapport</f>
        <v>0</v>
      </c>
      <c r="AQ191" s="312"/>
      <c r="AR191" s="332">
        <f t="shared" si="31"/>
        <v>0</v>
      </c>
      <c r="AS191" s="336">
        <f t="shared" si="26"/>
        <v>0</v>
      </c>
    </row>
    <row r="192" spans="1:45" s="7" customFormat="1" ht="25.5" hidden="1" customHeight="1" thickBot="1" x14ac:dyDescent="0.5">
      <c r="A192" s="182"/>
      <c r="B192" s="185">
        <v>2</v>
      </c>
      <c r="C192" s="175" t="s">
        <v>135</v>
      </c>
      <c r="D192" s="175" t="s">
        <v>174</v>
      </c>
      <c r="E192" s="175"/>
      <c r="F192" s="175"/>
      <c r="G192" s="175"/>
      <c r="H192" s="174" t="s">
        <v>1495</v>
      </c>
      <c r="I192" s="174" t="s">
        <v>1496</v>
      </c>
      <c r="J192" s="197"/>
      <c r="K192" s="197"/>
      <c r="L192" s="174"/>
      <c r="M192" s="174" t="s">
        <v>349</v>
      </c>
      <c r="N192" s="182" t="s">
        <v>1497</v>
      </c>
      <c r="O192" s="175" t="s">
        <v>1498</v>
      </c>
      <c r="P192" s="182" t="s">
        <v>1499</v>
      </c>
      <c r="Q192" s="182" t="s">
        <v>1473</v>
      </c>
      <c r="R192" s="50" t="s">
        <v>1463</v>
      </c>
      <c r="S192" s="182" t="s">
        <v>340</v>
      </c>
      <c r="T192" s="175" t="s">
        <v>1500</v>
      </c>
      <c r="U192" s="175" t="s">
        <v>1501</v>
      </c>
      <c r="V192" s="187" t="s">
        <v>1502</v>
      </c>
      <c r="W192" s="182">
        <v>1998</v>
      </c>
      <c r="X192" s="255">
        <f>X189*76%</f>
        <v>893</v>
      </c>
      <c r="Y192" s="182"/>
      <c r="Z192" s="175"/>
      <c r="AA192" s="175"/>
      <c r="AB192" s="175"/>
      <c r="AC192" s="175"/>
      <c r="AD192" s="175"/>
      <c r="AE192" s="175"/>
      <c r="AF192" s="175"/>
      <c r="AG192" s="175"/>
      <c r="AH192" s="175"/>
      <c r="AI192" s="175"/>
      <c r="AJ192" s="175"/>
      <c r="AK192" s="255">
        <v>1</v>
      </c>
      <c r="AL192" s="271"/>
      <c r="AM192" s="300">
        <f t="shared" si="32"/>
        <v>0</v>
      </c>
      <c r="AN192" s="301">
        <f t="shared" si="33"/>
        <v>0</v>
      </c>
      <c r="AO192" s="301">
        <f>(AE192*P2_Reinigen_Lichtkoepel_50X50)+('Perceel 3'!AF192*P2_Reinigen_Lichtkoepel_60x200)+('Perceel 3'!AG192*P2_Reinigen_Lichtkoepel_180x180)+('Perceel 3'!AH192*P2_Reinigen_Lichtstraten_groter_dan_180x180)</f>
        <v>0</v>
      </c>
      <c r="AP192" s="301">
        <f>('Perceel 3'!X192+'Perceel 3'!Y192)*P2_Inspecteren_daken_en_goten_1x_per_jaar_gelijktijdig_met_reiniging_inclusief_inspectierapport_en_een_managementrapport</f>
        <v>0</v>
      </c>
      <c r="AQ192" s="329"/>
      <c r="AR192" s="334">
        <f t="shared" si="31"/>
        <v>0</v>
      </c>
      <c r="AS192" s="338">
        <f t="shared" si="26"/>
        <v>0</v>
      </c>
    </row>
    <row r="193" spans="1:45" s="7" customFormat="1" ht="15" hidden="1" thickTop="1" thickBot="1" x14ac:dyDescent="0.5">
      <c r="A193" s="8"/>
      <c r="B193" s="40">
        <v>2</v>
      </c>
      <c r="C193" s="1" t="s">
        <v>135</v>
      </c>
      <c r="D193" s="1"/>
      <c r="E193" s="1"/>
      <c r="F193" s="1"/>
      <c r="G193" s="1"/>
      <c r="H193" s="38"/>
      <c r="I193" s="38"/>
      <c r="J193" s="38"/>
      <c r="K193" s="38"/>
      <c r="L193" s="38"/>
      <c r="M193" s="19"/>
      <c r="N193" s="1" t="s">
        <v>1503</v>
      </c>
      <c r="O193" s="291" t="s">
        <v>1504</v>
      </c>
      <c r="P193" s="1"/>
      <c r="Q193" s="1"/>
      <c r="R193" s="1"/>
      <c r="S193" s="1"/>
      <c r="T193" s="19"/>
      <c r="U193" s="19"/>
      <c r="V193" s="19"/>
      <c r="W193" s="30"/>
      <c r="X193" s="313">
        <f>X102+X107+X108+X109+X110+X111+X112+X113+X114+X115+X116+X117+X119+X120+X121+X122+X123+X124+X125+X126+X128+X129+X130+X131+X132+X133+X134+X135+X137+X138+X139+X140+X141+X143+X144+X145+X146+X148+X149+X150+X151+X152+X153+X154+X155+X156+X157+X158+X159+X160+X161+X162+X163+X164+X165+X166+X167+X168+X169+X170+X171+X172+X173+X174+X175+X176+X177+X178+X179+X180+X181+X182+X183+X184+X185+X186+X187+X188+X190+X191+X192</f>
        <v>95723</v>
      </c>
      <c r="Y193" s="313">
        <f>Y102+Y107+Y108+Y109+Y110+Y111+Y112+Y113+Y114+Y115+Y116+Y117+Y119+Y120+Y121+Y122+Y123+Y124+Y125+Y126+Y128+Y129+Y130+Y131+Y132+Y133+Y134+Y135+Y137+Y138+Y139+Y140+Y141+Y143+Y144+Y145+Y146+Y148+Y149+Y150+Y151+Y152+Y153+Y154+Y155+Y156+Y157+Y158+Y159+Y160+Y161+Y162+Y163+Y164+Y165+Y166+Y167+Y168+Y169+Y170+Y171+Y172+Y173+Y174+Y175+Y176+Y177+Y178+Y179+Y180+Y181+Y182+Y183+Y184+Y185+Y186+Y187+Y188+Y190+Y191+Y192</f>
        <v>663</v>
      </c>
      <c r="Z193" s="39"/>
      <c r="AA193" s="39"/>
      <c r="AB193" s="313">
        <f t="shared" ref="AB193:AC193" si="34">AB102+AB107+AB108+AB109+AB110+AB111+AB112+AB113+AB114+AB115+AB116+AB117+AB119+AB120+AB121+AB122+AB123+AB124+AB125+AB126+AB128+AB129+AB130+AB131+AB132+AB133+AB134+AB135+AB137+AB138+AB139+AB140+AB141+AB143+AB144+AB145+AB146+AB148+AB149+AB150+AB151+AB152+AB153+AB154+AB155+AB156+AB157+AB158+AB159+AB160+AB161+AB162+AB163+AB164+AB165+AB166+AB167+AB168+AB169+AB170+AB171+AB172+AB173+AB174+AB175+AB176+AB177+AB178+AB179+AB180+AB181+AB182+AB183+AB184+AB185+AB186+AB187+AB188+AB190+AB191+AB192</f>
        <v>653</v>
      </c>
      <c r="AC193" s="313">
        <f t="shared" si="34"/>
        <v>2687</v>
      </c>
      <c r="AD193" s="39"/>
      <c r="AE193" s="313">
        <f t="shared" ref="AE193:AH193" si="35">AE102+AE107+AE108+AE109+AE110+AE111+AE112+AE113+AE114+AE115+AE116+AE117+AE119+AE120+AE121+AE122+AE123+AE124+AE125+AE126+AE128+AE129+AE130+AE131+AE132+AE133+AE134+AE135+AE137+AE138+AE139+AE140+AE141+AE143+AE144+AE145+AE146+AE148+AE149+AE150+AE151+AE152+AE153+AE154+AE155+AE156+AE157+AE158+AE159+AE160+AE161+AE162+AE163+AE164+AE165+AE166+AE167+AE168+AE169+AE170+AE171+AE172+AE173+AE174+AE175+AE176+AE177+AE178+AE179+AE180+AE181+AE182+AE183+AE184+AE185+AE186+AE187+AE188+AE190+AE191+AE192</f>
        <v>0</v>
      </c>
      <c r="AF193" s="313">
        <f t="shared" si="35"/>
        <v>0</v>
      </c>
      <c r="AG193" s="313">
        <f t="shared" si="35"/>
        <v>0</v>
      </c>
      <c r="AH193" s="313">
        <f t="shared" si="35"/>
        <v>0</v>
      </c>
      <c r="AI193" s="39"/>
      <c r="AJ193" s="39"/>
      <c r="AK193" s="283"/>
      <c r="AM193" s="314">
        <f t="shared" ref="AM193:AS193" si="36">AM102+AM107+AM108+AM109+AM110+AM111+AM112+AM113+AM114+AM115+AM116+AM117+AM119+AM120+AM121+AM122+AM123+AM124+AM125+AM126+AM128+AM129+AM130+AM131+AM132+AM133+AM134+AM135+AM137+AM138+AM139+AM140+AM141+AM143+AM144+AM145+AM146+AM148+AM149+AM150+AM151+AM152+AM153+AM154+AM155+AM156+AM157+AM158+AM159+AM160+AM161+AM162+AM163+AM164+AM165+AM166+AM167+AM168+AM169+AM170+AM171+AM172+AM173+AM174+AM175+AM176+AM177+AM178+AM179+AM180+AM181+AM182+AM183+AM184+AM185+AM186+AM187+AM188+AM190+AM191+AM192</f>
        <v>0</v>
      </c>
      <c r="AN193" s="314">
        <f t="shared" si="36"/>
        <v>0</v>
      </c>
      <c r="AO193" s="314">
        <f t="shared" si="36"/>
        <v>0</v>
      </c>
      <c r="AP193" s="314">
        <f t="shared" si="36"/>
        <v>0</v>
      </c>
      <c r="AQ193" s="315">
        <f t="shared" si="36"/>
        <v>0</v>
      </c>
      <c r="AR193" s="314">
        <f t="shared" si="36"/>
        <v>0</v>
      </c>
      <c r="AS193" s="345">
        <f t="shared" si="36"/>
        <v>793</v>
      </c>
    </row>
    <row r="194" spans="1:45" s="7" customFormat="1" ht="15" hidden="1" thickTop="1" thickBot="1" x14ac:dyDescent="0.5">
      <c r="A194" s="8"/>
      <c r="B194" s="40"/>
      <c r="C194" s="1"/>
      <c r="D194" s="1"/>
      <c r="E194" s="1"/>
      <c r="F194" s="1"/>
      <c r="G194" s="1"/>
      <c r="H194" s="38"/>
      <c r="I194" s="38"/>
      <c r="J194" s="38"/>
      <c r="K194" s="38"/>
      <c r="L194" s="38"/>
      <c r="M194" s="19"/>
      <c r="N194" s="1"/>
      <c r="O194" s="1"/>
      <c r="P194" s="1"/>
      <c r="Q194" s="1"/>
      <c r="R194" s="1"/>
      <c r="S194" s="1"/>
      <c r="T194" s="19"/>
      <c r="U194" s="19"/>
      <c r="V194" s="19"/>
      <c r="W194" s="30"/>
      <c r="X194" s="30"/>
      <c r="Y194" s="30"/>
      <c r="Z194" s="39"/>
      <c r="AA194" s="39"/>
      <c r="AB194" s="39"/>
      <c r="AC194" s="39"/>
      <c r="AD194" s="39"/>
      <c r="AE194" s="39"/>
      <c r="AF194" s="39"/>
      <c r="AG194" s="39"/>
      <c r="AH194" s="39"/>
      <c r="AI194" s="39"/>
      <c r="AJ194" s="39"/>
      <c r="AK194" s="283"/>
      <c r="AM194" s="278"/>
      <c r="AN194" s="278"/>
      <c r="AO194" s="278"/>
      <c r="AP194" s="278"/>
      <c r="AR194" s="278"/>
      <c r="AS194" s="278"/>
    </row>
    <row r="195" spans="1:45" s="7" customFormat="1" ht="15" hidden="1" thickTop="1" thickBot="1" x14ac:dyDescent="0.5">
      <c r="A195" s="8"/>
      <c r="B195" s="40"/>
      <c r="C195" s="1"/>
      <c r="D195" s="1"/>
      <c r="E195" s="1"/>
      <c r="F195" s="1"/>
      <c r="G195" s="1"/>
      <c r="H195" s="38"/>
      <c r="I195" s="38"/>
      <c r="J195" s="38"/>
      <c r="K195" s="38"/>
      <c r="L195" s="38"/>
      <c r="M195" s="19"/>
      <c r="N195" s="1"/>
      <c r="O195" s="1"/>
      <c r="P195" s="1"/>
      <c r="Q195" s="1"/>
      <c r="R195" s="1"/>
      <c r="S195" s="1"/>
      <c r="T195" s="19"/>
      <c r="U195" s="19"/>
      <c r="V195" s="19"/>
      <c r="W195" s="30"/>
      <c r="X195" s="30"/>
      <c r="Y195" s="30"/>
      <c r="Z195" s="39"/>
      <c r="AA195" s="39"/>
      <c r="AB195" s="39"/>
      <c r="AC195" s="39"/>
      <c r="AD195" s="39"/>
      <c r="AE195" s="39"/>
      <c r="AF195" s="39"/>
      <c r="AG195" s="39"/>
      <c r="AH195" s="39"/>
      <c r="AI195" s="39"/>
      <c r="AJ195" s="39"/>
      <c r="AK195" s="283"/>
      <c r="AM195" s="278"/>
      <c r="AN195" s="278"/>
      <c r="AO195" s="278"/>
      <c r="AP195" s="278"/>
      <c r="AR195" s="278"/>
      <c r="AS195" s="278"/>
    </row>
    <row r="196" spans="1:45" s="7" customFormat="1" ht="15" hidden="1" thickTop="1" thickBot="1" x14ac:dyDescent="0.5">
      <c r="A196" s="8"/>
      <c r="B196" s="40"/>
      <c r="C196" s="1"/>
      <c r="D196" s="1"/>
      <c r="E196" s="1"/>
      <c r="F196" s="1"/>
      <c r="G196" s="1"/>
      <c r="H196" s="38"/>
      <c r="I196" s="38"/>
      <c r="J196" s="38"/>
      <c r="K196" s="38"/>
      <c r="L196" s="38"/>
      <c r="M196" s="19"/>
      <c r="N196" s="1"/>
      <c r="O196" s="1"/>
      <c r="P196" s="1"/>
      <c r="Q196" s="1"/>
      <c r="R196" s="1"/>
      <c r="S196" s="1"/>
      <c r="T196" s="19"/>
      <c r="U196" s="19"/>
      <c r="V196" s="19"/>
      <c r="W196" s="30"/>
      <c r="X196" s="30"/>
      <c r="Y196" s="30"/>
      <c r="Z196" s="39"/>
      <c r="AA196" s="39"/>
      <c r="AB196" s="39"/>
      <c r="AC196" s="39"/>
      <c r="AD196" s="39"/>
      <c r="AE196" s="39"/>
      <c r="AF196" s="39"/>
      <c r="AG196" s="39"/>
      <c r="AH196" s="39"/>
      <c r="AI196" s="39"/>
      <c r="AJ196" s="39"/>
      <c r="AK196" s="283"/>
      <c r="AM196" s="278"/>
      <c r="AN196" s="278"/>
      <c r="AO196" s="278"/>
      <c r="AP196" s="278"/>
      <c r="AR196" s="278"/>
      <c r="AS196" s="278"/>
    </row>
    <row r="197" spans="1:45" s="7" customFormat="1" ht="15" hidden="1" thickTop="1" thickBot="1" x14ac:dyDescent="0.5">
      <c r="A197" s="8"/>
      <c r="B197" s="40"/>
      <c r="C197" s="1"/>
      <c r="D197" s="1"/>
      <c r="E197" s="1"/>
      <c r="F197" s="1"/>
      <c r="G197" s="1"/>
      <c r="H197" s="38"/>
      <c r="I197" s="38"/>
      <c r="J197" s="38"/>
      <c r="K197" s="38"/>
      <c r="L197" s="38"/>
      <c r="M197" s="19"/>
      <c r="N197" s="1"/>
      <c r="O197" s="1"/>
      <c r="P197" s="1"/>
      <c r="Q197" s="1"/>
      <c r="R197" s="1"/>
      <c r="S197" s="1"/>
      <c r="T197" s="19"/>
      <c r="U197" s="19"/>
      <c r="V197" s="19"/>
      <c r="W197" s="30"/>
      <c r="X197" s="30"/>
      <c r="Y197" s="30"/>
      <c r="Z197" s="39"/>
      <c r="AA197" s="39"/>
      <c r="AB197" s="39"/>
      <c r="AC197" s="39"/>
      <c r="AD197" s="39"/>
      <c r="AE197" s="39"/>
      <c r="AF197" s="39"/>
      <c r="AG197" s="39"/>
      <c r="AH197" s="39"/>
      <c r="AI197" s="39"/>
      <c r="AJ197" s="39"/>
      <c r="AK197" s="283"/>
      <c r="AM197" s="278"/>
      <c r="AN197" s="278"/>
      <c r="AO197" s="278"/>
      <c r="AP197" s="278"/>
      <c r="AR197" s="278"/>
      <c r="AS197" s="278"/>
    </row>
    <row r="198" spans="1:45" s="7" customFormat="1" ht="15" hidden="1" thickTop="1" thickBot="1" x14ac:dyDescent="0.5">
      <c r="A198" s="8"/>
      <c r="B198" s="40"/>
      <c r="C198" s="1"/>
      <c r="D198" s="1"/>
      <c r="E198" s="1"/>
      <c r="F198" s="1"/>
      <c r="G198" s="1"/>
      <c r="H198" s="38"/>
      <c r="I198" s="38"/>
      <c r="J198" s="38"/>
      <c r="K198" s="38"/>
      <c r="L198" s="38"/>
      <c r="M198" s="19"/>
      <c r="N198" s="1"/>
      <c r="O198" s="1"/>
      <c r="P198" s="1"/>
      <c r="Q198" s="1"/>
      <c r="R198" s="1"/>
      <c r="S198" s="1"/>
      <c r="T198" s="19"/>
      <c r="U198" s="19"/>
      <c r="V198" s="19"/>
      <c r="W198" s="30"/>
      <c r="X198" s="30"/>
      <c r="Y198" s="30"/>
      <c r="Z198" s="39"/>
      <c r="AA198" s="39"/>
      <c r="AB198" s="39"/>
      <c r="AC198" s="39"/>
      <c r="AD198" s="39"/>
      <c r="AE198" s="39"/>
      <c r="AF198" s="39"/>
      <c r="AG198" s="39"/>
      <c r="AH198" s="39"/>
      <c r="AI198" s="39"/>
      <c r="AJ198" s="39"/>
      <c r="AK198" s="283"/>
      <c r="AM198" s="278"/>
      <c r="AN198" s="278"/>
      <c r="AO198" s="278"/>
      <c r="AP198" s="278"/>
      <c r="AR198" s="278"/>
      <c r="AS198" s="278"/>
    </row>
    <row r="199" spans="1:45" s="7" customFormat="1" ht="15" hidden="1" thickTop="1" thickBot="1" x14ac:dyDescent="0.5">
      <c r="A199" s="8"/>
      <c r="B199" s="40"/>
      <c r="C199" s="1"/>
      <c r="D199" s="1"/>
      <c r="E199" s="1"/>
      <c r="F199" s="1"/>
      <c r="G199" s="1"/>
      <c r="H199" s="38"/>
      <c r="I199" s="38"/>
      <c r="J199" s="38"/>
      <c r="K199" s="38"/>
      <c r="L199" s="38"/>
      <c r="M199" s="19"/>
      <c r="N199" s="1"/>
      <c r="O199" s="1"/>
      <c r="P199" s="1"/>
      <c r="Q199" s="1"/>
      <c r="R199" s="1"/>
      <c r="S199" s="1"/>
      <c r="T199" s="19"/>
      <c r="U199" s="19"/>
      <c r="V199" s="19"/>
      <c r="W199" s="30"/>
      <c r="X199" s="30"/>
      <c r="Y199" s="30"/>
      <c r="Z199" s="39"/>
      <c r="AA199" s="39"/>
      <c r="AB199" s="39"/>
      <c r="AC199" s="39"/>
      <c r="AD199" s="39"/>
      <c r="AE199" s="39"/>
      <c r="AF199" s="39"/>
      <c r="AG199" s="39"/>
      <c r="AH199" s="39"/>
      <c r="AI199" s="39"/>
      <c r="AJ199" s="39"/>
      <c r="AK199" s="283"/>
      <c r="AM199" s="278"/>
      <c r="AN199" s="278"/>
      <c r="AO199" s="278"/>
      <c r="AP199" s="278"/>
      <c r="AR199" s="278"/>
      <c r="AS199" s="278"/>
    </row>
    <row r="200" spans="1:45" s="7" customFormat="1" ht="15" hidden="1" thickTop="1" thickBot="1" x14ac:dyDescent="0.5">
      <c r="A200" s="8"/>
      <c r="B200" s="40"/>
      <c r="C200" s="1"/>
      <c r="D200" s="1"/>
      <c r="E200" s="1"/>
      <c r="F200" s="1"/>
      <c r="G200" s="1"/>
      <c r="H200" s="38"/>
      <c r="I200" s="38"/>
      <c r="J200" s="38"/>
      <c r="K200" s="38"/>
      <c r="L200" s="38"/>
      <c r="M200" s="19"/>
      <c r="N200" s="1"/>
      <c r="O200" s="1"/>
      <c r="P200" s="1"/>
      <c r="Q200" s="1"/>
      <c r="R200" s="1"/>
      <c r="S200" s="1"/>
      <c r="T200" s="19"/>
      <c r="U200" s="19"/>
      <c r="V200" s="19"/>
      <c r="W200" s="30"/>
      <c r="X200" s="30"/>
      <c r="Y200" s="30"/>
      <c r="Z200" s="39"/>
      <c r="AA200" s="39"/>
      <c r="AB200" s="39"/>
      <c r="AC200" s="39"/>
      <c r="AD200" s="39"/>
      <c r="AE200" s="39"/>
      <c r="AF200" s="39"/>
      <c r="AG200" s="39"/>
      <c r="AH200" s="39"/>
      <c r="AI200" s="39"/>
      <c r="AJ200" s="39"/>
      <c r="AK200" s="283"/>
      <c r="AM200" s="278"/>
      <c r="AN200" s="278"/>
      <c r="AO200" s="278"/>
      <c r="AP200" s="278"/>
      <c r="AR200" s="278"/>
      <c r="AS200" s="278"/>
    </row>
    <row r="201" spans="1:45" s="7" customFormat="1" ht="15" hidden="1" thickTop="1" thickBot="1" x14ac:dyDescent="0.5">
      <c r="A201" s="8"/>
      <c r="B201" s="40"/>
      <c r="C201" s="1"/>
      <c r="D201" s="1"/>
      <c r="E201" s="1"/>
      <c r="F201" s="1"/>
      <c r="G201" s="1"/>
      <c r="H201" s="38"/>
      <c r="I201" s="38"/>
      <c r="J201" s="38"/>
      <c r="K201" s="38"/>
      <c r="L201" s="38"/>
      <c r="M201" s="19"/>
      <c r="N201" s="1"/>
      <c r="O201" s="1"/>
      <c r="P201" s="1"/>
      <c r="Q201" s="1"/>
      <c r="R201" s="1"/>
      <c r="S201" s="1"/>
      <c r="T201" s="19"/>
      <c r="U201" s="19"/>
      <c r="V201" s="19"/>
      <c r="W201" s="30"/>
      <c r="X201" s="30"/>
      <c r="Y201" s="30"/>
      <c r="Z201" s="39"/>
      <c r="AA201" s="39"/>
      <c r="AB201" s="39"/>
      <c r="AC201" s="39"/>
      <c r="AD201" s="39"/>
      <c r="AE201" s="39"/>
      <c r="AF201" s="39"/>
      <c r="AG201" s="39"/>
      <c r="AH201" s="39"/>
      <c r="AI201" s="39"/>
      <c r="AJ201" s="39"/>
      <c r="AK201" s="283"/>
      <c r="AM201" s="278"/>
      <c r="AN201" s="278"/>
      <c r="AO201" s="278"/>
      <c r="AP201" s="278"/>
      <c r="AR201" s="278"/>
      <c r="AS201" s="278"/>
    </row>
    <row r="202" spans="1:45" s="7" customFormat="1" ht="15" hidden="1" thickTop="1" thickBot="1" x14ac:dyDescent="0.5">
      <c r="A202" s="8"/>
      <c r="B202" s="40"/>
      <c r="C202" s="1"/>
      <c r="D202" s="1"/>
      <c r="E202" s="1"/>
      <c r="F202" s="1"/>
      <c r="G202" s="1"/>
      <c r="H202" s="38"/>
      <c r="I202" s="38"/>
      <c r="J202" s="38"/>
      <c r="K202" s="38"/>
      <c r="L202" s="38"/>
      <c r="M202" s="19"/>
      <c r="N202" s="1"/>
      <c r="O202" s="1"/>
      <c r="P202" s="1"/>
      <c r="Q202" s="1"/>
      <c r="R202" s="1"/>
      <c r="S202" s="1"/>
      <c r="T202" s="19"/>
      <c r="U202" s="19"/>
      <c r="V202" s="19"/>
      <c r="W202" s="30"/>
      <c r="X202" s="30"/>
      <c r="Y202" s="30"/>
      <c r="Z202" s="39"/>
      <c r="AA202" s="39"/>
      <c r="AB202" s="39"/>
      <c r="AC202" s="39"/>
      <c r="AD202" s="39"/>
      <c r="AE202" s="39"/>
      <c r="AF202" s="39"/>
      <c r="AG202" s="39"/>
      <c r="AH202" s="39"/>
      <c r="AI202" s="39"/>
      <c r="AJ202" s="39"/>
      <c r="AK202" s="283"/>
      <c r="AM202" s="278"/>
      <c r="AN202" s="278"/>
      <c r="AO202" s="278"/>
      <c r="AP202" s="278"/>
      <c r="AR202" s="278"/>
      <c r="AS202" s="278"/>
    </row>
    <row r="203" spans="1:45" s="7" customFormat="1" ht="15" hidden="1" thickTop="1" thickBot="1" x14ac:dyDescent="0.5">
      <c r="A203" s="8"/>
      <c r="B203" s="40"/>
      <c r="C203" s="1"/>
      <c r="D203" s="1"/>
      <c r="E203" s="1"/>
      <c r="F203" s="1"/>
      <c r="G203" s="1"/>
      <c r="H203" s="38"/>
      <c r="I203" s="38"/>
      <c r="J203" s="38"/>
      <c r="K203" s="38"/>
      <c r="L203" s="38"/>
      <c r="M203" s="19"/>
      <c r="N203" s="1"/>
      <c r="O203" s="1"/>
      <c r="P203" s="1"/>
      <c r="Q203" s="1"/>
      <c r="R203" s="1"/>
      <c r="S203" s="1"/>
      <c r="T203" s="19"/>
      <c r="U203" s="19"/>
      <c r="V203" s="19"/>
      <c r="W203" s="30"/>
      <c r="X203" s="30"/>
      <c r="Y203" s="30"/>
      <c r="Z203" s="39"/>
      <c r="AA203" s="39"/>
      <c r="AB203" s="39"/>
      <c r="AC203" s="39"/>
      <c r="AD203" s="39"/>
      <c r="AE203" s="39"/>
      <c r="AF203" s="39"/>
      <c r="AG203" s="39"/>
      <c r="AH203" s="39"/>
      <c r="AI203" s="39"/>
      <c r="AJ203" s="39"/>
      <c r="AK203" s="283"/>
      <c r="AM203" s="278"/>
      <c r="AN203" s="278"/>
      <c r="AO203" s="278"/>
      <c r="AP203" s="278"/>
      <c r="AR203" s="278"/>
      <c r="AS203" s="346"/>
    </row>
    <row r="204" spans="1:45" ht="51.4" thickTop="1" x14ac:dyDescent="0.45">
      <c r="A204" s="155"/>
      <c r="B204" s="347">
        <v>3</v>
      </c>
      <c r="C204" s="156" t="s">
        <v>135</v>
      </c>
      <c r="D204" s="156" t="s">
        <v>136</v>
      </c>
      <c r="E204" s="156"/>
      <c r="F204" s="156"/>
      <c r="G204" s="156"/>
      <c r="H204" s="151" t="s">
        <v>1505</v>
      </c>
      <c r="I204" s="151" t="s">
        <v>1506</v>
      </c>
      <c r="J204" s="157"/>
      <c r="K204" s="163"/>
      <c r="L204" s="163" t="s">
        <v>139</v>
      </c>
      <c r="M204" s="166" t="s">
        <v>140</v>
      </c>
      <c r="N204" s="443">
        <v>1485</v>
      </c>
      <c r="O204" s="353" t="s">
        <v>1507</v>
      </c>
      <c r="P204" s="435" t="s">
        <v>1508</v>
      </c>
      <c r="Q204" s="435" t="s">
        <v>1509</v>
      </c>
      <c r="R204" s="461" t="s">
        <v>1510</v>
      </c>
      <c r="S204" s="353" t="s">
        <v>1511</v>
      </c>
      <c r="T204" s="159" t="s">
        <v>1512</v>
      </c>
      <c r="U204" s="159" t="s">
        <v>170</v>
      </c>
      <c r="V204" s="176" t="s">
        <v>171</v>
      </c>
      <c r="W204" s="361">
        <v>2000</v>
      </c>
      <c r="X204" s="361">
        <v>1350</v>
      </c>
      <c r="Y204" s="361"/>
      <c r="Z204" s="361"/>
      <c r="AA204" s="361"/>
      <c r="AB204" s="361"/>
      <c r="AC204" s="361"/>
      <c r="AD204" s="361"/>
      <c r="AE204" s="361"/>
      <c r="AF204" s="361"/>
      <c r="AG204" s="361"/>
      <c r="AH204" s="361"/>
      <c r="AI204" s="361" t="s">
        <v>638</v>
      </c>
      <c r="AJ204" s="177" t="s">
        <v>1513</v>
      </c>
      <c r="AK204" s="443">
        <v>2</v>
      </c>
      <c r="AL204" s="444"/>
      <c r="AM204" s="364">
        <f>X204*P3_Reinigen_daken_incl._extra_maatregelen_veilig_werken_volgens_VCA_eventuele_vergunningen_leges_voorrijkosten_adminstratieve_kosten_fotorapportage_en_kleine_reparaties</f>
        <v>0</v>
      </c>
      <c r="AN204" s="365">
        <f>Y204*P3_Reinigen_goten_incl._extra_maatregelen_veilig_werken_volgens_VCA__eventuele_vergunningen_leges___voorrijkosten__adminstratieve_kosten__fotorapportage_en_kleine_reparaties</f>
        <v>0</v>
      </c>
      <c r="AO204" s="365">
        <f>(AE204*P3_Reinigen_Lichtkoepel_50X50)+('Perceel 3'!AF204*P3_Reinigen_Lichtkoepel_60x200)+('Perceel 3'!AG204*P3_Reinigen_Lichtkoepel_180x180)+('Perceel 3'!AH204*P3_Reinigen_Lichtstraten_groter_dan_180x180)</f>
        <v>0</v>
      </c>
      <c r="AP204" s="365">
        <f>(X204+Y204)*P3_Inspecteren_daken_en_goten_1x_per_jaar_gelijktijdig_met_reiniging_inclusief_inspectierapport_en_een_managementrapport</f>
        <v>0</v>
      </c>
      <c r="AQ204" s="413"/>
      <c r="AR204" s="366">
        <f>AQ204*P3_keuren_dakveiligheid_per_man_uur</f>
        <v>0</v>
      </c>
      <c r="AS204" s="367">
        <f t="shared" ref="AS204:AS252" si="37">(AM204*AK204)+(Y204*AK204)+AO204+AP204+AR204</f>
        <v>0</v>
      </c>
    </row>
    <row r="205" spans="1:45" ht="26.25" customHeight="1" x14ac:dyDescent="0.45">
      <c r="A205" s="155"/>
      <c r="B205" s="347">
        <v>3</v>
      </c>
      <c r="C205" s="156" t="s">
        <v>135</v>
      </c>
      <c r="D205" s="156" t="s">
        <v>136</v>
      </c>
      <c r="E205" s="156"/>
      <c r="F205" s="156"/>
      <c r="G205" s="156"/>
      <c r="H205" s="151" t="s">
        <v>1514</v>
      </c>
      <c r="I205" s="151" t="s">
        <v>1515</v>
      </c>
      <c r="J205" s="157"/>
      <c r="K205" s="163"/>
      <c r="L205" s="163" t="s">
        <v>154</v>
      </c>
      <c r="M205" s="163" t="s">
        <v>155</v>
      </c>
      <c r="N205" s="361">
        <v>1275</v>
      </c>
      <c r="O205" s="353" t="s">
        <v>1516</v>
      </c>
      <c r="P205" s="353" t="s">
        <v>1517</v>
      </c>
      <c r="Q205" s="353" t="s">
        <v>1518</v>
      </c>
      <c r="R205" s="355" t="s">
        <v>1510</v>
      </c>
      <c r="S205" s="353" t="s">
        <v>1511</v>
      </c>
      <c r="T205" s="192" t="s">
        <v>1519</v>
      </c>
      <c r="U205" s="159" t="s">
        <v>1520</v>
      </c>
      <c r="V205" s="176" t="s">
        <v>1521</v>
      </c>
      <c r="W205" s="361">
        <v>1986</v>
      </c>
      <c r="X205" s="361">
        <v>1177</v>
      </c>
      <c r="Y205" s="361"/>
      <c r="Z205" s="361"/>
      <c r="AA205" s="361"/>
      <c r="AB205" s="361"/>
      <c r="AC205" s="361"/>
      <c r="AD205" s="361"/>
      <c r="AE205" s="361"/>
      <c r="AF205" s="361"/>
      <c r="AG205" s="361"/>
      <c r="AH205" s="361"/>
      <c r="AI205" s="361"/>
      <c r="AJ205" s="177"/>
      <c r="AK205" s="361">
        <v>1</v>
      </c>
      <c r="AL205" s="369"/>
      <c r="AM205" s="370">
        <f>X205*P3_Reinigen_daken_incl._extra_maatregelen_veilig_werken_volgens_VCA_eventuele_vergunningen_leges_voorrijkosten_adminstratieve_kosten_fotorapportage_en_kleine_reparaties</f>
        <v>0</v>
      </c>
      <c r="AN205" s="371">
        <f>Y205*P3_Reinigen_goten_incl._extra_maatregelen_veilig_werken_volgens_VCA__eventuele_vergunningen_leges___voorrijkosten__adminstratieve_kosten__fotorapportage_en_kleine_reparaties</f>
        <v>0</v>
      </c>
      <c r="AO205" s="371">
        <f>(AE205*P3_Reinigen_Lichtkoepel_50X50)+('Perceel 3'!AF205*P3_Reinigen_Lichtkoepel_60x200)+('Perceel 3'!AG205*P3_Reinigen_Lichtkoepel_180x180)+('Perceel 3'!AH205*P3_Reinigen_Lichtstraten_groter_dan_180x180)</f>
        <v>0</v>
      </c>
      <c r="AP205" s="371">
        <f>(X205+Y205)*P3_Inspecteren_daken_en_goten_1x_per_jaar_gelijktijdig_met_reiniging_inclusief_inspectierapport_en_een_managementrapport</f>
        <v>0</v>
      </c>
      <c r="AQ205" s="416"/>
      <c r="AR205" s="372">
        <f>AQ205*P3_keuren_dakveiligheid_per_man_uur</f>
        <v>0</v>
      </c>
      <c r="AS205" s="373">
        <f t="shared" si="37"/>
        <v>0</v>
      </c>
    </row>
    <row r="206" spans="1:45" ht="26.85" customHeight="1" x14ac:dyDescent="0.4">
      <c r="A206" s="238"/>
      <c r="B206" s="377">
        <v>3</v>
      </c>
      <c r="C206" s="171" t="s">
        <v>135</v>
      </c>
      <c r="D206" s="171" t="s">
        <v>174</v>
      </c>
      <c r="E206" s="171"/>
      <c r="F206" s="171"/>
      <c r="G206" s="171"/>
      <c r="H206" s="15"/>
      <c r="I206" s="15"/>
      <c r="J206" s="16"/>
      <c r="K206" s="16"/>
      <c r="L206" s="196" t="s">
        <v>348</v>
      </c>
      <c r="M206" s="240" t="s">
        <v>349</v>
      </c>
      <c r="N206" s="531" t="s">
        <v>1522</v>
      </c>
      <c r="O206" s="381" t="s">
        <v>1523</v>
      </c>
      <c r="P206" s="466" t="s">
        <v>1524</v>
      </c>
      <c r="Q206" s="466" t="s">
        <v>1525</v>
      </c>
      <c r="R206" s="467" t="s">
        <v>1526</v>
      </c>
      <c r="S206" s="466" t="s">
        <v>1511</v>
      </c>
      <c r="T206" s="171"/>
      <c r="U206" s="171"/>
      <c r="V206" s="171"/>
      <c r="W206" s="466"/>
      <c r="X206" s="471">
        <v>2174</v>
      </c>
      <c r="Y206" s="466"/>
      <c r="Z206" s="381"/>
      <c r="AA206" s="381" t="s">
        <v>150</v>
      </c>
      <c r="AB206" s="381">
        <v>32</v>
      </c>
      <c r="AC206" s="381">
        <v>156</v>
      </c>
      <c r="AD206" s="381"/>
      <c r="AE206" s="381"/>
      <c r="AF206" s="381"/>
      <c r="AG206" s="381"/>
      <c r="AH206" s="381"/>
      <c r="AI206" s="381"/>
      <c r="AJ206" s="171"/>
      <c r="AK206" s="471">
        <v>1</v>
      </c>
      <c r="AL206" s="444"/>
      <c r="AM206" s="430"/>
      <c r="AN206" s="416"/>
      <c r="AO206" s="416"/>
      <c r="AP206" s="416"/>
      <c r="AQ206" s="419"/>
      <c r="AR206" s="431"/>
      <c r="AS206" s="432"/>
    </row>
    <row r="207" spans="1:45" ht="25.35" customHeight="1" x14ac:dyDescent="0.4">
      <c r="A207" s="182"/>
      <c r="B207" s="350">
        <v>3</v>
      </c>
      <c r="C207" s="175" t="s">
        <v>135</v>
      </c>
      <c r="D207" s="175" t="s">
        <v>174</v>
      </c>
      <c r="E207" s="175"/>
      <c r="F207" s="175"/>
      <c r="G207" s="175"/>
      <c r="H207" s="174" t="s">
        <v>1527</v>
      </c>
      <c r="I207" s="174" t="s">
        <v>1528</v>
      </c>
      <c r="J207" s="197"/>
      <c r="K207" s="197"/>
      <c r="L207" s="174"/>
      <c r="M207" s="175" t="s">
        <v>349</v>
      </c>
      <c r="N207" s="441" t="s">
        <v>1529</v>
      </c>
      <c r="O207" s="358" t="s">
        <v>1530</v>
      </c>
      <c r="P207" s="438" t="s">
        <v>1524</v>
      </c>
      <c r="Q207" s="438" t="s">
        <v>1525</v>
      </c>
      <c r="R207" s="439" t="s">
        <v>1526</v>
      </c>
      <c r="S207" s="438" t="s">
        <v>1511</v>
      </c>
      <c r="T207" s="175" t="s">
        <v>1531</v>
      </c>
      <c r="U207" s="175" t="s">
        <v>1532</v>
      </c>
      <c r="V207" s="175" t="s">
        <v>1533</v>
      </c>
      <c r="W207" s="438">
        <v>1992</v>
      </c>
      <c r="X207" s="441">
        <f>X206*16%</f>
        <v>347.84000000000003</v>
      </c>
      <c r="Y207" s="438"/>
      <c r="Z207" s="358"/>
      <c r="AA207" s="358" t="s">
        <v>150</v>
      </c>
      <c r="AB207" s="358"/>
      <c r="AC207" s="358"/>
      <c r="AD207" s="358"/>
      <c r="AE207" s="358"/>
      <c r="AF207" s="358"/>
      <c r="AG207" s="358"/>
      <c r="AH207" s="358"/>
      <c r="AI207" s="358"/>
      <c r="AJ207" s="175"/>
      <c r="AK207" s="441">
        <v>1</v>
      </c>
      <c r="AL207" s="444"/>
      <c r="AM207" s="370">
        <f>X207*P3_reinigen_daken_met_vaste_dakveiligheid</f>
        <v>0</v>
      </c>
      <c r="AN207" s="371">
        <f>Y207*P3_reinigen_goten_met_vaste_dakveiligheid</f>
        <v>0</v>
      </c>
      <c r="AO207" s="371">
        <f>(AE207*P3_Reinigen_Lichtkoepel_50X50)+('Perceel 3'!AF207*P3_Reinigen_Lichtkoepel_60x200)+('Perceel 3'!AG207*P3_Reinigen_Lichtkoepel_180x180)+('Perceel 3'!AH207*P3_Reinigen_Lichtstraten_groter_dan_180x180)</f>
        <v>0</v>
      </c>
      <c r="AP207" s="371">
        <f t="shared" ref="AP207:AP217" si="38">(X207+Y207)*P3_Inspecteren_daken_en_goten_1x_per_jaar_gelijktijdig_met_reiniging_inclusief_inspectierapport_en_een_managementrapport</f>
        <v>0</v>
      </c>
      <c r="AQ207" s="424">
        <f>AQ206*16%</f>
        <v>0</v>
      </c>
      <c r="AR207" s="372">
        <f t="shared" ref="AR207:AR217" si="39">AQ207*P3_keuren_dakveiligheid_per_man_uur</f>
        <v>0</v>
      </c>
      <c r="AS207" s="373">
        <f t="shared" si="37"/>
        <v>0</v>
      </c>
    </row>
    <row r="208" spans="1:45" ht="24.95" customHeight="1" x14ac:dyDescent="0.4">
      <c r="A208" s="182"/>
      <c r="B208" s="350">
        <v>3</v>
      </c>
      <c r="C208" s="175" t="s">
        <v>135</v>
      </c>
      <c r="D208" s="175" t="s">
        <v>174</v>
      </c>
      <c r="E208" s="175"/>
      <c r="F208" s="175"/>
      <c r="G208" s="175"/>
      <c r="H208" s="174" t="s">
        <v>1534</v>
      </c>
      <c r="I208" s="174" t="s">
        <v>1535</v>
      </c>
      <c r="J208" s="197"/>
      <c r="K208" s="197"/>
      <c r="L208" s="174"/>
      <c r="M208" s="175" t="s">
        <v>349</v>
      </c>
      <c r="N208" s="441" t="s">
        <v>1536</v>
      </c>
      <c r="O208" s="358" t="s">
        <v>1537</v>
      </c>
      <c r="P208" s="438" t="s">
        <v>1524</v>
      </c>
      <c r="Q208" s="438" t="s">
        <v>1525</v>
      </c>
      <c r="R208" s="439" t="s">
        <v>1526</v>
      </c>
      <c r="S208" s="438" t="s">
        <v>1511</v>
      </c>
      <c r="T208" s="175" t="s">
        <v>1531</v>
      </c>
      <c r="U208" s="175" t="s">
        <v>1532</v>
      </c>
      <c r="V208" s="175" t="s">
        <v>1533</v>
      </c>
      <c r="W208" s="438">
        <v>1992</v>
      </c>
      <c r="X208" s="441">
        <f>X206*84%</f>
        <v>1826.1599999999999</v>
      </c>
      <c r="Y208" s="438"/>
      <c r="Z208" s="358"/>
      <c r="AA208" s="358" t="s">
        <v>150</v>
      </c>
      <c r="AB208" s="358"/>
      <c r="AC208" s="358"/>
      <c r="AD208" s="358"/>
      <c r="AE208" s="358"/>
      <c r="AF208" s="358"/>
      <c r="AG208" s="358"/>
      <c r="AH208" s="358"/>
      <c r="AI208" s="358"/>
      <c r="AJ208" s="175"/>
      <c r="AK208" s="441">
        <v>1</v>
      </c>
      <c r="AL208" s="444"/>
      <c r="AM208" s="370">
        <f>X208*P3_reinigen_daken_met_vaste_dakveiligheid</f>
        <v>0</v>
      </c>
      <c r="AN208" s="371">
        <f>Y208*P3_reinigen_goten_met_vaste_dakveiligheid</f>
        <v>0</v>
      </c>
      <c r="AO208" s="371">
        <f>(AE208*P3_Reinigen_Lichtkoepel_50X50)+('Perceel 3'!AF208*P3_Reinigen_Lichtkoepel_60x200)+('Perceel 3'!AG208*P3_Reinigen_Lichtkoepel_180x180)+('Perceel 3'!AH208*P3_Reinigen_Lichtstraten_groter_dan_180x180)</f>
        <v>0</v>
      </c>
      <c r="AP208" s="371">
        <f t="shared" si="38"/>
        <v>0</v>
      </c>
      <c r="AQ208" s="424">
        <f>AQ206*84%</f>
        <v>0</v>
      </c>
      <c r="AR208" s="372">
        <f t="shared" si="39"/>
        <v>0</v>
      </c>
      <c r="AS208" s="373">
        <f t="shared" si="37"/>
        <v>0</v>
      </c>
    </row>
    <row r="209" spans="1:45" ht="25.5" customHeight="1" x14ac:dyDescent="0.45">
      <c r="A209" s="155"/>
      <c r="B209" s="347">
        <v>3</v>
      </c>
      <c r="C209" s="156" t="s">
        <v>135</v>
      </c>
      <c r="D209" s="156" t="s">
        <v>136</v>
      </c>
      <c r="E209" s="156"/>
      <c r="F209" s="156"/>
      <c r="G209" s="156"/>
      <c r="H209" s="151" t="s">
        <v>1538</v>
      </c>
      <c r="I209" s="151" t="s">
        <v>1539</v>
      </c>
      <c r="J209" s="157"/>
      <c r="K209" s="163"/>
      <c r="L209" s="163" t="s">
        <v>154</v>
      </c>
      <c r="M209" s="166" t="s">
        <v>544</v>
      </c>
      <c r="N209" s="443" t="s">
        <v>1540</v>
      </c>
      <c r="O209" s="353" t="s">
        <v>1541</v>
      </c>
      <c r="P209" s="435" t="s">
        <v>1542</v>
      </c>
      <c r="Q209" s="435" t="s">
        <v>1543</v>
      </c>
      <c r="R209" s="461" t="s">
        <v>1544</v>
      </c>
      <c r="S209" s="435" t="s">
        <v>1511</v>
      </c>
      <c r="T209" s="159" t="s">
        <v>341</v>
      </c>
      <c r="U209" s="159" t="s">
        <v>342</v>
      </c>
      <c r="V209" s="176" t="s">
        <v>1545</v>
      </c>
      <c r="W209" s="361">
        <v>1995</v>
      </c>
      <c r="X209" s="361">
        <v>3585</v>
      </c>
      <c r="Y209" s="361"/>
      <c r="Z209" s="361" t="s">
        <v>311</v>
      </c>
      <c r="AA209" s="361" t="s">
        <v>311</v>
      </c>
      <c r="AB209" s="361"/>
      <c r="AC209" s="361"/>
      <c r="AD209" s="361" t="s">
        <v>1546</v>
      </c>
      <c r="AE209" s="361"/>
      <c r="AF209" s="361"/>
      <c r="AG209" s="361"/>
      <c r="AH209" s="361"/>
      <c r="AI209" s="361"/>
      <c r="AJ209" s="177"/>
      <c r="AK209" s="443">
        <v>1</v>
      </c>
      <c r="AL209" s="444"/>
      <c r="AM209" s="370">
        <f>X209*P3_reinigen_daken_met_vaste_dakveiligheid</f>
        <v>0</v>
      </c>
      <c r="AN209" s="371">
        <f>Y209*P3_reinigen_goten_met_vaste_dakveiligheid</f>
        <v>0</v>
      </c>
      <c r="AO209" s="371">
        <f>(AE209*P3_Reinigen_Lichtkoepel_50X50)+('Perceel 3'!AF209*P3_Reinigen_Lichtkoepel_60x200)+('Perceel 3'!AG209*P3_Reinigen_Lichtkoepel_180x180)+('Perceel 3'!AH209*P3_Reinigen_Lichtstraten_groter_dan_180x180)</f>
        <v>0</v>
      </c>
      <c r="AP209" s="371">
        <f t="shared" si="38"/>
        <v>0</v>
      </c>
      <c r="AQ209" s="419"/>
      <c r="AR209" s="372">
        <f t="shared" si="39"/>
        <v>0</v>
      </c>
      <c r="AS209" s="373">
        <f t="shared" si="37"/>
        <v>0</v>
      </c>
    </row>
    <row r="210" spans="1:45" ht="51" x14ac:dyDescent="0.45">
      <c r="A210" s="155"/>
      <c r="B210" s="347">
        <v>3</v>
      </c>
      <c r="C210" s="156" t="s">
        <v>135</v>
      </c>
      <c r="D210" s="156" t="s">
        <v>136</v>
      </c>
      <c r="E210" s="156"/>
      <c r="F210" s="156"/>
      <c r="G210" s="156"/>
      <c r="H210" s="151" t="s">
        <v>1547</v>
      </c>
      <c r="I210" s="151" t="s">
        <v>1548</v>
      </c>
      <c r="J210" s="157"/>
      <c r="K210" s="163"/>
      <c r="L210" s="151" t="s">
        <v>139</v>
      </c>
      <c r="M210" s="159" t="s">
        <v>140</v>
      </c>
      <c r="N210" s="443">
        <v>2430</v>
      </c>
      <c r="O210" s="353" t="s">
        <v>1549</v>
      </c>
      <c r="P210" s="435" t="s">
        <v>1550</v>
      </c>
      <c r="Q210" s="435" t="s">
        <v>1551</v>
      </c>
      <c r="R210" s="461" t="s">
        <v>1526</v>
      </c>
      <c r="S210" s="435" t="s">
        <v>1511</v>
      </c>
      <c r="T210" s="159" t="s">
        <v>1552</v>
      </c>
      <c r="U210" s="159" t="s">
        <v>1553</v>
      </c>
      <c r="V210" s="176" t="s">
        <v>1554</v>
      </c>
      <c r="W210" s="361">
        <v>1993</v>
      </c>
      <c r="X210" s="361">
        <v>741</v>
      </c>
      <c r="Y210" s="361"/>
      <c r="Z210" s="361" t="s">
        <v>311</v>
      </c>
      <c r="AA210" s="361" t="s">
        <v>311</v>
      </c>
      <c r="AB210" s="361">
        <v>14</v>
      </c>
      <c r="AC210" s="361">
        <v>58</v>
      </c>
      <c r="AD210" s="361"/>
      <c r="AE210" s="361"/>
      <c r="AF210" s="361"/>
      <c r="AG210" s="361"/>
      <c r="AH210" s="361"/>
      <c r="AI210" s="361"/>
      <c r="AJ210" s="177"/>
      <c r="AK210" s="443">
        <v>1</v>
      </c>
      <c r="AL210" s="532"/>
      <c r="AM210" s="370">
        <f>X210*P3_reinigen_daken_met_vaste_dakveiligheid</f>
        <v>0</v>
      </c>
      <c r="AN210" s="371">
        <f>Y210*P3_reinigen_goten_met_vaste_dakveiligheid</f>
        <v>0</v>
      </c>
      <c r="AO210" s="371">
        <f>(AE210*P3_Reinigen_Lichtkoepel_50X50)+('Perceel 3'!AF210*P3_Reinigen_Lichtkoepel_60x200)+('Perceel 3'!AG210*P3_Reinigen_Lichtkoepel_180x180)+('Perceel 3'!AH210*P3_Reinigen_Lichtstraten_groter_dan_180x180)</f>
        <v>0</v>
      </c>
      <c r="AP210" s="371">
        <f t="shared" si="38"/>
        <v>0</v>
      </c>
      <c r="AQ210" s="419"/>
      <c r="AR210" s="372">
        <f t="shared" si="39"/>
        <v>0</v>
      </c>
      <c r="AS210" s="373">
        <f t="shared" si="37"/>
        <v>0</v>
      </c>
    </row>
    <row r="211" spans="1:45" ht="12.75" customHeight="1" x14ac:dyDescent="0.45">
      <c r="A211" s="193"/>
      <c r="B211" s="347">
        <v>3</v>
      </c>
      <c r="C211" s="156" t="s">
        <v>135</v>
      </c>
      <c r="D211" s="156" t="s">
        <v>1391</v>
      </c>
      <c r="E211" s="156"/>
      <c r="F211" s="156"/>
      <c r="G211" s="156"/>
      <c r="H211" s="166" t="s">
        <v>1555</v>
      </c>
      <c r="I211" s="166" t="s">
        <v>1556</v>
      </c>
      <c r="J211" s="229"/>
      <c r="K211" s="163"/>
      <c r="L211" s="163" t="s">
        <v>154</v>
      </c>
      <c r="M211" s="163" t="s">
        <v>155</v>
      </c>
      <c r="N211" s="361" t="s">
        <v>1557</v>
      </c>
      <c r="O211" s="353" t="s">
        <v>1558</v>
      </c>
      <c r="P211" s="353" t="s">
        <v>1559</v>
      </c>
      <c r="Q211" s="353" t="s">
        <v>1560</v>
      </c>
      <c r="R211" s="355" t="s">
        <v>1510</v>
      </c>
      <c r="S211" s="353" t="s">
        <v>1511</v>
      </c>
      <c r="T211" s="159" t="s">
        <v>1561</v>
      </c>
      <c r="U211" s="159" t="s">
        <v>1562</v>
      </c>
      <c r="V211" s="222" t="s">
        <v>1563</v>
      </c>
      <c r="W211" s="361">
        <v>1986</v>
      </c>
      <c r="X211" s="361">
        <f>114+25+38+38+54+8+885+28</f>
        <v>1190</v>
      </c>
      <c r="Y211" s="361"/>
      <c r="Z211" s="361"/>
      <c r="AA211" s="361"/>
      <c r="AB211" s="361"/>
      <c r="AC211" s="361"/>
      <c r="AD211" s="361"/>
      <c r="AE211" s="361"/>
      <c r="AF211" s="361"/>
      <c r="AG211" s="361"/>
      <c r="AH211" s="361"/>
      <c r="AI211" s="361"/>
      <c r="AJ211" s="152"/>
      <c r="AK211" s="361">
        <v>1</v>
      </c>
      <c r="AL211" s="395"/>
      <c r="AM211" s="370">
        <f>X211*P3_Reinigen_daken_incl._extra_maatregelen_veilig_werken_volgens_VCA_eventuele_vergunningen_leges_voorrijkosten_adminstratieve_kosten_fotorapportage_en_kleine_reparaties</f>
        <v>0</v>
      </c>
      <c r="AN211" s="371">
        <f>Y211*P3_Reinigen_goten_incl._extra_maatregelen_veilig_werken_volgens_VCA__eventuele_vergunningen_leges___voorrijkosten__adminstratieve_kosten__fotorapportage_en_kleine_reparaties</f>
        <v>0</v>
      </c>
      <c r="AO211" s="371">
        <f>(AE211*P3_Reinigen_Lichtkoepel_50X50)+('Perceel 3'!AF211*P3_Reinigen_Lichtkoepel_60x200)+('Perceel 3'!AG211*P3_Reinigen_Lichtkoepel_180x180)+('Perceel 3'!AH211*P3_Reinigen_Lichtstraten_groter_dan_180x180)</f>
        <v>0</v>
      </c>
      <c r="AP211" s="371">
        <f t="shared" si="38"/>
        <v>0</v>
      </c>
      <c r="AQ211" s="416"/>
      <c r="AR211" s="372">
        <f t="shared" si="39"/>
        <v>0</v>
      </c>
      <c r="AS211" s="373">
        <f t="shared" si="37"/>
        <v>0</v>
      </c>
    </row>
    <row r="212" spans="1:45" ht="25.5" x14ac:dyDescent="0.45">
      <c r="A212" s="155"/>
      <c r="B212" s="347">
        <v>3</v>
      </c>
      <c r="C212" s="156" t="s">
        <v>135</v>
      </c>
      <c r="D212" s="156" t="s">
        <v>136</v>
      </c>
      <c r="E212" s="156"/>
      <c r="F212" s="156"/>
      <c r="G212" s="156"/>
      <c r="H212" s="151" t="s">
        <v>1564</v>
      </c>
      <c r="I212" s="151" t="s">
        <v>1565</v>
      </c>
      <c r="J212" s="157"/>
      <c r="K212" s="163"/>
      <c r="L212" s="163" t="s">
        <v>154</v>
      </c>
      <c r="M212" s="166" t="s">
        <v>544</v>
      </c>
      <c r="N212" s="443" t="s">
        <v>1566</v>
      </c>
      <c r="O212" s="353" t="s">
        <v>1567</v>
      </c>
      <c r="P212" s="435" t="s">
        <v>1568</v>
      </c>
      <c r="Q212" s="435" t="s">
        <v>1569</v>
      </c>
      <c r="R212" s="461" t="s">
        <v>1570</v>
      </c>
      <c r="S212" s="435" t="s">
        <v>1511</v>
      </c>
      <c r="T212" s="166" t="s">
        <v>160</v>
      </c>
      <c r="U212" s="166" t="s">
        <v>161</v>
      </c>
      <c r="V212" s="178" t="s">
        <v>162</v>
      </c>
      <c r="W212" s="361">
        <v>2003</v>
      </c>
      <c r="X212" s="361">
        <v>670</v>
      </c>
      <c r="Y212" s="361"/>
      <c r="Z212" s="361" t="s">
        <v>311</v>
      </c>
      <c r="AA212" s="361"/>
      <c r="AB212" s="361"/>
      <c r="AC212" s="361"/>
      <c r="AD212" s="361"/>
      <c r="AE212" s="361"/>
      <c r="AF212" s="361"/>
      <c r="AG212" s="361"/>
      <c r="AH212" s="361"/>
      <c r="AI212" s="361"/>
      <c r="AJ212" s="177"/>
      <c r="AK212" s="443">
        <v>1</v>
      </c>
      <c r="AL212" s="444"/>
      <c r="AM212" s="370">
        <f>X212*P3_Reinigen_daken_incl._extra_maatregelen_veilig_werken_volgens_VCA_eventuele_vergunningen_leges_voorrijkosten_adminstratieve_kosten_fotorapportage_en_kleine_reparaties</f>
        <v>0</v>
      </c>
      <c r="AN212" s="371">
        <f>Y212*P3_Reinigen_goten_incl._extra_maatregelen_veilig_werken_volgens_VCA__eventuele_vergunningen_leges___voorrijkosten__adminstratieve_kosten__fotorapportage_en_kleine_reparaties</f>
        <v>0</v>
      </c>
      <c r="AO212" s="371">
        <f>(AE212*P3_Reinigen_Lichtkoepel_50X50)+('Perceel 3'!AF212*P3_Reinigen_Lichtkoepel_60x200)+('Perceel 3'!AG212*P3_Reinigen_Lichtkoepel_180x180)+('Perceel 3'!AH212*P3_Reinigen_Lichtstraten_groter_dan_180x180)</f>
        <v>0</v>
      </c>
      <c r="AP212" s="371">
        <f t="shared" si="38"/>
        <v>0</v>
      </c>
      <c r="AQ212" s="416"/>
      <c r="AR212" s="372">
        <f t="shared" si="39"/>
        <v>0</v>
      </c>
      <c r="AS212" s="373">
        <f t="shared" si="37"/>
        <v>0</v>
      </c>
    </row>
    <row r="213" spans="1:45" ht="25.5" customHeight="1" x14ac:dyDescent="0.45">
      <c r="A213" s="155"/>
      <c r="B213" s="347">
        <v>3</v>
      </c>
      <c r="C213" s="156" t="s">
        <v>135</v>
      </c>
      <c r="D213" s="156" t="s">
        <v>136</v>
      </c>
      <c r="E213" s="156" t="s">
        <v>174</v>
      </c>
      <c r="F213" s="156" t="s">
        <v>1571</v>
      </c>
      <c r="G213" s="156" t="s">
        <v>833</v>
      </c>
      <c r="H213" s="151" t="s">
        <v>1572</v>
      </c>
      <c r="I213" s="151" t="s">
        <v>1573</v>
      </c>
      <c r="J213" s="157"/>
      <c r="K213" s="163"/>
      <c r="L213" s="151" t="s">
        <v>348</v>
      </c>
      <c r="M213" s="151" t="s">
        <v>349</v>
      </c>
      <c r="N213" s="443" t="s">
        <v>1574</v>
      </c>
      <c r="O213" s="353" t="s">
        <v>1575</v>
      </c>
      <c r="P213" s="435" t="s">
        <v>1576</v>
      </c>
      <c r="Q213" s="435" t="s">
        <v>1577</v>
      </c>
      <c r="R213" s="461" t="s">
        <v>1578</v>
      </c>
      <c r="S213" s="435" t="s">
        <v>1511</v>
      </c>
      <c r="T213" s="159" t="s">
        <v>1579</v>
      </c>
      <c r="U213" s="159" t="s">
        <v>1580</v>
      </c>
      <c r="V213" s="176" t="s">
        <v>1581</v>
      </c>
      <c r="W213" s="361">
        <v>2004</v>
      </c>
      <c r="X213" s="361">
        <v>2247</v>
      </c>
      <c r="Y213" s="361"/>
      <c r="Z213" s="361"/>
      <c r="AA213" s="361" t="s">
        <v>150</v>
      </c>
      <c r="AB213" s="361">
        <v>31</v>
      </c>
      <c r="AC213" s="361">
        <v>598</v>
      </c>
      <c r="AD213" s="361"/>
      <c r="AE213" s="361"/>
      <c r="AF213" s="361"/>
      <c r="AG213" s="361"/>
      <c r="AH213" s="361"/>
      <c r="AI213" s="361"/>
      <c r="AJ213" s="177"/>
      <c r="AK213" s="443">
        <v>1</v>
      </c>
      <c r="AL213" s="444"/>
      <c r="AM213" s="370">
        <f>X213*P3_reinigen_daken_met_vaste_dakveiligheid</f>
        <v>0</v>
      </c>
      <c r="AN213" s="371">
        <f>Y213*P3_reinigen_goten_met_vaste_dakveiligheid</f>
        <v>0</v>
      </c>
      <c r="AO213" s="371">
        <f>(AE213*P3_Reinigen_Lichtkoepel_50X50)+('Perceel 3'!AF213*P3_Reinigen_Lichtkoepel_60x200)+('Perceel 3'!AG213*P3_Reinigen_Lichtkoepel_180x180)+('Perceel 3'!AH213*P3_Reinigen_Lichtstraten_groter_dan_180x180)</f>
        <v>0</v>
      </c>
      <c r="AP213" s="371">
        <f t="shared" si="38"/>
        <v>0</v>
      </c>
      <c r="AQ213" s="419"/>
      <c r="AR213" s="372">
        <f t="shared" si="39"/>
        <v>0</v>
      </c>
      <c r="AS213" s="373">
        <f t="shared" si="37"/>
        <v>0</v>
      </c>
    </row>
    <row r="214" spans="1:45" ht="129" customHeight="1" x14ac:dyDescent="0.45">
      <c r="A214" s="155"/>
      <c r="B214" s="347">
        <v>3</v>
      </c>
      <c r="C214" s="156" t="s">
        <v>135</v>
      </c>
      <c r="D214" s="156" t="s">
        <v>174</v>
      </c>
      <c r="E214" s="156"/>
      <c r="F214" s="156"/>
      <c r="G214" s="156"/>
      <c r="H214" s="151" t="s">
        <v>1582</v>
      </c>
      <c r="I214" s="151" t="s">
        <v>1583</v>
      </c>
      <c r="J214" s="157"/>
      <c r="K214" s="163"/>
      <c r="L214" s="151" t="s">
        <v>348</v>
      </c>
      <c r="M214" s="159" t="s">
        <v>349</v>
      </c>
      <c r="N214" s="443" t="s">
        <v>1584</v>
      </c>
      <c r="O214" s="353" t="s">
        <v>1585</v>
      </c>
      <c r="P214" s="435" t="s">
        <v>1586</v>
      </c>
      <c r="Q214" s="435" t="s">
        <v>1587</v>
      </c>
      <c r="R214" s="461" t="s">
        <v>1588</v>
      </c>
      <c r="S214" s="435" t="s">
        <v>1511</v>
      </c>
      <c r="T214" s="159" t="s">
        <v>1589</v>
      </c>
      <c r="U214" s="159" t="s">
        <v>1590</v>
      </c>
      <c r="V214" s="176" t="s">
        <v>1591</v>
      </c>
      <c r="W214" s="361">
        <v>1990</v>
      </c>
      <c r="X214" s="361">
        <v>1047</v>
      </c>
      <c r="Y214" s="361"/>
      <c r="Z214" s="361"/>
      <c r="AA214" s="361"/>
      <c r="AB214" s="361"/>
      <c r="AC214" s="361"/>
      <c r="AD214" s="361"/>
      <c r="AE214" s="361"/>
      <c r="AF214" s="361"/>
      <c r="AG214" s="361"/>
      <c r="AH214" s="361"/>
      <c r="AI214" s="361"/>
      <c r="AJ214" s="177"/>
      <c r="AK214" s="443">
        <v>1</v>
      </c>
      <c r="AL214" s="444"/>
      <c r="AM214" s="370">
        <f>X214*P3_Reinigen_daken_incl._extra_maatregelen_veilig_werken_volgens_VCA_eventuele_vergunningen_leges_voorrijkosten_adminstratieve_kosten_fotorapportage_en_kleine_reparaties</f>
        <v>0</v>
      </c>
      <c r="AN214" s="371">
        <f>Y214*P3_Reinigen_goten_incl._extra_maatregelen_veilig_werken_volgens_VCA__eventuele_vergunningen_leges___voorrijkosten__adminstratieve_kosten__fotorapportage_en_kleine_reparaties</f>
        <v>0</v>
      </c>
      <c r="AO214" s="371">
        <f>(AE214*P3_Reinigen_Lichtkoepel_50X50)+('Perceel 3'!AF214*P3_Reinigen_Lichtkoepel_60x200)+('Perceel 3'!AG214*P3_Reinigen_Lichtkoepel_180x180)+('Perceel 3'!AH214*P3_Reinigen_Lichtstraten_groter_dan_180x180)</f>
        <v>0</v>
      </c>
      <c r="AP214" s="371">
        <f t="shared" si="38"/>
        <v>0</v>
      </c>
      <c r="AQ214" s="416"/>
      <c r="AR214" s="372">
        <f t="shared" si="39"/>
        <v>0</v>
      </c>
      <c r="AS214" s="373">
        <f t="shared" si="37"/>
        <v>0</v>
      </c>
    </row>
    <row r="215" spans="1:45" ht="23.1" customHeight="1" x14ac:dyDescent="0.45">
      <c r="A215" s="155"/>
      <c r="B215" s="348">
        <v>3</v>
      </c>
      <c r="C215" s="156" t="s">
        <v>135</v>
      </c>
      <c r="D215" s="156" t="s">
        <v>136</v>
      </c>
      <c r="E215" s="156"/>
      <c r="F215" s="156"/>
      <c r="G215" s="156"/>
      <c r="H215" s="151" t="s">
        <v>1592</v>
      </c>
      <c r="I215" s="151" t="s">
        <v>1593</v>
      </c>
      <c r="J215" s="157"/>
      <c r="K215" s="163"/>
      <c r="L215" s="151" t="s">
        <v>139</v>
      </c>
      <c r="M215" s="159" t="s">
        <v>140</v>
      </c>
      <c r="N215" s="443" t="s">
        <v>1594</v>
      </c>
      <c r="O215" s="353" t="s">
        <v>1595</v>
      </c>
      <c r="P215" s="435" t="s">
        <v>1596</v>
      </c>
      <c r="Q215" s="435" t="s">
        <v>1597</v>
      </c>
      <c r="R215" s="461" t="s">
        <v>1544</v>
      </c>
      <c r="S215" s="435" t="s">
        <v>1511</v>
      </c>
      <c r="T215" s="159" t="s">
        <v>1598</v>
      </c>
      <c r="U215" s="192" t="s">
        <v>1599</v>
      </c>
      <c r="V215" s="176" t="s">
        <v>1600</v>
      </c>
      <c r="W215" s="361">
        <v>1990</v>
      </c>
      <c r="X215" s="361">
        <v>522</v>
      </c>
      <c r="Y215" s="361"/>
      <c r="Z215" s="361"/>
      <c r="AA215" s="361" t="s">
        <v>150</v>
      </c>
      <c r="AB215" s="361">
        <v>14</v>
      </c>
      <c r="AC215" s="361">
        <v>95</v>
      </c>
      <c r="AD215" s="361"/>
      <c r="AE215" s="361"/>
      <c r="AF215" s="361"/>
      <c r="AG215" s="361"/>
      <c r="AH215" s="361"/>
      <c r="AI215" s="361"/>
      <c r="AJ215" s="177"/>
      <c r="AK215" s="443">
        <v>1</v>
      </c>
      <c r="AL215" s="444"/>
      <c r="AM215" s="370">
        <f>X215*P3_reinigen_daken_met_vaste_dakveiligheid</f>
        <v>0</v>
      </c>
      <c r="AN215" s="371">
        <f>Y215*P3_reinigen_goten_met_vaste_dakveiligheid</f>
        <v>0</v>
      </c>
      <c r="AO215" s="371">
        <f>(AE215*P3_Reinigen_Lichtkoepel_50X50)+('Perceel 3'!AF215*P3_Reinigen_Lichtkoepel_60x200)+('Perceel 3'!AG215*P3_Reinigen_Lichtkoepel_180x180)+('Perceel 3'!AH215*P3_Reinigen_Lichtstraten_groter_dan_180x180)</f>
        <v>0</v>
      </c>
      <c r="AP215" s="371">
        <f t="shared" si="38"/>
        <v>0</v>
      </c>
      <c r="AQ215" s="419"/>
      <c r="AR215" s="372">
        <f t="shared" si="39"/>
        <v>0</v>
      </c>
      <c r="AS215" s="373">
        <f t="shared" si="37"/>
        <v>0</v>
      </c>
    </row>
    <row r="216" spans="1:45" ht="25.5" x14ac:dyDescent="0.45">
      <c r="A216" s="155"/>
      <c r="B216" s="347">
        <v>3</v>
      </c>
      <c r="C216" s="156" t="s">
        <v>135</v>
      </c>
      <c r="D216" s="156" t="s">
        <v>861</v>
      </c>
      <c r="E216" s="156"/>
      <c r="F216" s="156"/>
      <c r="G216" s="156"/>
      <c r="H216" s="151" t="s">
        <v>1601</v>
      </c>
      <c r="I216" s="151" t="s">
        <v>1602</v>
      </c>
      <c r="J216" s="157"/>
      <c r="K216" s="163"/>
      <c r="L216" s="151" t="s">
        <v>280</v>
      </c>
      <c r="M216" s="159" t="s">
        <v>1603</v>
      </c>
      <c r="N216" s="443" t="s">
        <v>1604</v>
      </c>
      <c r="O216" s="353" t="s">
        <v>1605</v>
      </c>
      <c r="P216" s="435" t="s">
        <v>1606</v>
      </c>
      <c r="Q216" s="435" t="s">
        <v>1607</v>
      </c>
      <c r="R216" s="461" t="s">
        <v>1608</v>
      </c>
      <c r="S216" s="435" t="s">
        <v>1511</v>
      </c>
      <c r="T216" s="159" t="s">
        <v>1196</v>
      </c>
      <c r="U216" s="159" t="s">
        <v>1609</v>
      </c>
      <c r="V216" s="176" t="s">
        <v>1610</v>
      </c>
      <c r="W216" s="361">
        <v>2008</v>
      </c>
      <c r="X216" s="361">
        <f>403+599</f>
        <v>1002</v>
      </c>
      <c r="Y216" s="361"/>
      <c r="Z216" s="361" t="s">
        <v>311</v>
      </c>
      <c r="AA216" s="361" t="s">
        <v>150</v>
      </c>
      <c r="AB216" s="361">
        <f>8+12</f>
        <v>20</v>
      </c>
      <c r="AC216" s="361">
        <f>45+63</f>
        <v>108</v>
      </c>
      <c r="AD216" s="361"/>
      <c r="AE216" s="361"/>
      <c r="AF216" s="361"/>
      <c r="AG216" s="361"/>
      <c r="AH216" s="361"/>
      <c r="AI216" s="361"/>
      <c r="AJ216" s="177"/>
      <c r="AK216" s="443">
        <v>1</v>
      </c>
      <c r="AL216" s="444"/>
      <c r="AM216" s="370">
        <f>X216*P3_reinigen_daken_met_vaste_dakveiligheid</f>
        <v>0</v>
      </c>
      <c r="AN216" s="371">
        <f>Y216*P3_reinigen_goten_met_vaste_dakveiligheid</f>
        <v>0</v>
      </c>
      <c r="AO216" s="371">
        <f>(AE216*P3_Reinigen_Lichtkoepel_50X50)+('Perceel 3'!AF216*P3_Reinigen_Lichtkoepel_60x200)+('Perceel 3'!AG216*P3_Reinigen_Lichtkoepel_180x180)+('Perceel 3'!AH216*P3_Reinigen_Lichtstraten_groter_dan_180x180)</f>
        <v>0</v>
      </c>
      <c r="AP216" s="371">
        <f t="shared" si="38"/>
        <v>0</v>
      </c>
      <c r="AQ216" s="419"/>
      <c r="AR216" s="372">
        <f t="shared" si="39"/>
        <v>0</v>
      </c>
      <c r="AS216" s="373">
        <f t="shared" si="37"/>
        <v>0</v>
      </c>
    </row>
    <row r="217" spans="1:45" ht="38.25" x14ac:dyDescent="0.45">
      <c r="A217" s="155"/>
      <c r="B217" s="347">
        <v>3</v>
      </c>
      <c r="C217" s="156" t="s">
        <v>135</v>
      </c>
      <c r="D217" s="156" t="s">
        <v>136</v>
      </c>
      <c r="E217" s="156"/>
      <c r="F217" s="156"/>
      <c r="G217" s="156"/>
      <c r="H217" s="151" t="s">
        <v>1611</v>
      </c>
      <c r="I217" s="151" t="s">
        <v>1612</v>
      </c>
      <c r="J217" s="157"/>
      <c r="K217" s="163"/>
      <c r="L217" s="151" t="s">
        <v>348</v>
      </c>
      <c r="M217" s="159" t="s">
        <v>349</v>
      </c>
      <c r="N217" s="443" t="s">
        <v>1613</v>
      </c>
      <c r="O217" s="353" t="s">
        <v>1614</v>
      </c>
      <c r="P217" s="435" t="s">
        <v>1615</v>
      </c>
      <c r="Q217" s="435" t="s">
        <v>1616</v>
      </c>
      <c r="R217" s="461" t="s">
        <v>1617</v>
      </c>
      <c r="S217" s="435" t="s">
        <v>1511</v>
      </c>
      <c r="T217" s="159" t="s">
        <v>1618</v>
      </c>
      <c r="U217" s="159" t="s">
        <v>1619</v>
      </c>
      <c r="V217" s="209" t="s">
        <v>1620</v>
      </c>
      <c r="W217" s="361">
        <v>2000</v>
      </c>
      <c r="X217" s="361">
        <v>900</v>
      </c>
      <c r="Y217" s="361"/>
      <c r="Z217" s="361"/>
      <c r="AA217" s="361" t="s">
        <v>135</v>
      </c>
      <c r="AB217" s="361">
        <v>16</v>
      </c>
      <c r="AC217" s="361">
        <v>50.6</v>
      </c>
      <c r="AD217" s="361"/>
      <c r="AE217" s="361"/>
      <c r="AF217" s="361"/>
      <c r="AG217" s="361"/>
      <c r="AH217" s="361"/>
      <c r="AI217" s="361"/>
      <c r="AJ217" s="177"/>
      <c r="AK217" s="443">
        <v>1</v>
      </c>
      <c r="AL217" s="369"/>
      <c r="AM217" s="370">
        <f>X217*P3_reinigen_daken_met_vaste_dakveiligheid</f>
        <v>0</v>
      </c>
      <c r="AN217" s="371">
        <f>Y217*P3_reinigen_goten_met_vaste_dakveiligheid</f>
        <v>0</v>
      </c>
      <c r="AO217" s="371">
        <f>(AE217*P3_Reinigen_Lichtkoepel_50X50)+('Perceel 3'!AF217*P3_Reinigen_Lichtkoepel_60x200)+('Perceel 3'!AG217*P3_Reinigen_Lichtkoepel_180x180)+('Perceel 3'!AH217*P3_Reinigen_Lichtstraten_groter_dan_180x180)</f>
        <v>0</v>
      </c>
      <c r="AP217" s="371">
        <f t="shared" si="38"/>
        <v>0</v>
      </c>
      <c r="AQ217" s="419"/>
      <c r="AR217" s="372">
        <f t="shared" si="39"/>
        <v>0</v>
      </c>
      <c r="AS217" s="373">
        <f t="shared" si="37"/>
        <v>0</v>
      </c>
    </row>
    <row r="218" spans="1:45" ht="12.75" customHeight="1" x14ac:dyDescent="0.4">
      <c r="A218" s="238"/>
      <c r="B218" s="377">
        <v>3</v>
      </c>
      <c r="C218" s="171" t="s">
        <v>135</v>
      </c>
      <c r="D218" s="171" t="s">
        <v>136</v>
      </c>
      <c r="E218" s="171" t="s">
        <v>174</v>
      </c>
      <c r="F218" s="171"/>
      <c r="G218" s="171"/>
      <c r="H218" s="15"/>
      <c r="I218" s="15"/>
      <c r="J218" s="16"/>
      <c r="K218" s="16"/>
      <c r="L218" s="196" t="s">
        <v>348</v>
      </c>
      <c r="M218" s="171" t="s">
        <v>1621</v>
      </c>
      <c r="N218" s="397" t="s">
        <v>1622</v>
      </c>
      <c r="O218" s="381" t="s">
        <v>1623</v>
      </c>
      <c r="P218" s="466" t="s">
        <v>1624</v>
      </c>
      <c r="Q218" s="466" t="s">
        <v>1616</v>
      </c>
      <c r="R218" s="467" t="s">
        <v>1617</v>
      </c>
      <c r="S218" s="466" t="s">
        <v>1511</v>
      </c>
      <c r="T218" s="171"/>
      <c r="U218" s="171"/>
      <c r="V218" s="171"/>
      <c r="W218" s="397">
        <v>2000</v>
      </c>
      <c r="X218" s="397">
        <v>1058</v>
      </c>
      <c r="Y218" s="397"/>
      <c r="Z218" s="381"/>
      <c r="AA218" s="381" t="s">
        <v>150</v>
      </c>
      <c r="AB218" s="381">
        <v>19</v>
      </c>
      <c r="AC218" s="381">
        <v>131.5</v>
      </c>
      <c r="AD218" s="381"/>
      <c r="AE218" s="381"/>
      <c r="AF218" s="381"/>
      <c r="AG218" s="381"/>
      <c r="AH218" s="381"/>
      <c r="AI218" s="381"/>
      <c r="AJ218" s="171"/>
      <c r="AK218" s="471">
        <v>1</v>
      </c>
      <c r="AL218" s="444"/>
      <c r="AM218" s="430"/>
      <c r="AN218" s="416"/>
      <c r="AO218" s="416"/>
      <c r="AP218" s="416"/>
      <c r="AQ218" s="419"/>
      <c r="AR218" s="431"/>
      <c r="AS218" s="432"/>
    </row>
    <row r="219" spans="1:45" ht="25.5" customHeight="1" x14ac:dyDescent="0.4">
      <c r="A219" s="182"/>
      <c r="B219" s="350">
        <v>3</v>
      </c>
      <c r="C219" s="175" t="s">
        <v>135</v>
      </c>
      <c r="D219" s="175" t="s">
        <v>174</v>
      </c>
      <c r="E219" s="175"/>
      <c r="F219" s="175"/>
      <c r="G219" s="175"/>
      <c r="H219" s="174" t="s">
        <v>1625</v>
      </c>
      <c r="I219" s="174" t="s">
        <v>1626</v>
      </c>
      <c r="J219" s="197"/>
      <c r="K219" s="197"/>
      <c r="L219" s="174"/>
      <c r="M219" s="175" t="s">
        <v>349</v>
      </c>
      <c r="N219" s="441" t="s">
        <v>1627</v>
      </c>
      <c r="O219" s="358" t="s">
        <v>1628</v>
      </c>
      <c r="P219" s="358" t="s">
        <v>1629</v>
      </c>
      <c r="Q219" s="438" t="s">
        <v>1616</v>
      </c>
      <c r="R219" s="439" t="s">
        <v>1617</v>
      </c>
      <c r="S219" s="438" t="s">
        <v>1511</v>
      </c>
      <c r="T219" s="175" t="s">
        <v>1630</v>
      </c>
      <c r="U219" s="175" t="s">
        <v>1631</v>
      </c>
      <c r="V219" s="175" t="s">
        <v>1632</v>
      </c>
      <c r="W219" s="438">
        <v>2000</v>
      </c>
      <c r="X219" s="441">
        <f>X218*84%</f>
        <v>888.71999999999991</v>
      </c>
      <c r="Y219" s="438"/>
      <c r="Z219" s="358"/>
      <c r="AA219" s="358" t="s">
        <v>150</v>
      </c>
      <c r="AB219" s="358"/>
      <c r="AC219" s="358"/>
      <c r="AD219" s="358"/>
      <c r="AE219" s="358"/>
      <c r="AF219" s="358"/>
      <c r="AG219" s="358"/>
      <c r="AH219" s="358"/>
      <c r="AI219" s="358" t="s">
        <v>1633</v>
      </c>
      <c r="AJ219" s="191" t="s">
        <v>346</v>
      </c>
      <c r="AK219" s="441">
        <v>1</v>
      </c>
      <c r="AL219" s="444"/>
      <c r="AM219" s="370">
        <f>X219*P3_reinigen_daken_met_vaste_dakveiligheid</f>
        <v>0</v>
      </c>
      <c r="AN219" s="371">
        <f>Y219*P3_reinigen_goten_met_vaste_dakveiligheid</f>
        <v>0</v>
      </c>
      <c r="AO219" s="371">
        <f>(AE219*P3_Reinigen_Lichtkoepel_50X50)+('Perceel 3'!AF219*P3_Reinigen_Lichtkoepel_60x200)+('Perceel 3'!AG219*P3_Reinigen_Lichtkoepel_180x180)+('Perceel 3'!AH219*P3_Reinigen_Lichtstraten_groter_dan_180x180)</f>
        <v>0</v>
      </c>
      <c r="AP219" s="371">
        <f>(X219+Y219)*P3_Inspecteren_daken_en_goten_1x_per_jaar_gelijktijdig_met_reiniging_inclusief_inspectierapport_en_een_managementrapport</f>
        <v>0</v>
      </c>
      <c r="AQ219" s="424">
        <f>AQ218*84%</f>
        <v>0</v>
      </c>
      <c r="AR219" s="372">
        <f>AQ219*P3_keuren_dakveiligheid_per_man_uur</f>
        <v>0</v>
      </c>
      <c r="AS219" s="373">
        <f t="shared" si="37"/>
        <v>0</v>
      </c>
    </row>
    <row r="220" spans="1:45" ht="51" x14ac:dyDescent="0.4">
      <c r="A220" s="182"/>
      <c r="B220" s="350">
        <v>3</v>
      </c>
      <c r="C220" s="175" t="s">
        <v>135</v>
      </c>
      <c r="D220" s="175" t="s">
        <v>136</v>
      </c>
      <c r="E220" s="175"/>
      <c r="F220" s="175"/>
      <c r="G220" s="175"/>
      <c r="H220" s="174" t="s">
        <v>1634</v>
      </c>
      <c r="I220" s="174" t="s">
        <v>1635</v>
      </c>
      <c r="J220" s="197"/>
      <c r="K220" s="197"/>
      <c r="L220" s="174"/>
      <c r="M220" s="191" t="s">
        <v>544</v>
      </c>
      <c r="N220" s="441" t="s">
        <v>1636</v>
      </c>
      <c r="O220" s="358" t="s">
        <v>1637</v>
      </c>
      <c r="P220" s="438" t="s">
        <v>1638</v>
      </c>
      <c r="Q220" s="438" t="s">
        <v>1639</v>
      </c>
      <c r="R220" s="439" t="s">
        <v>1617</v>
      </c>
      <c r="S220" s="438" t="s">
        <v>1511</v>
      </c>
      <c r="T220" s="175" t="s">
        <v>169</v>
      </c>
      <c r="U220" s="175" t="s">
        <v>170</v>
      </c>
      <c r="V220" s="175" t="s">
        <v>171</v>
      </c>
      <c r="W220" s="438">
        <v>2000</v>
      </c>
      <c r="X220" s="441">
        <f>X218*16%</f>
        <v>169.28</v>
      </c>
      <c r="Y220" s="438"/>
      <c r="Z220" s="358"/>
      <c r="AA220" s="358" t="s">
        <v>150</v>
      </c>
      <c r="AB220" s="358"/>
      <c r="AC220" s="358"/>
      <c r="AD220" s="358"/>
      <c r="AE220" s="358"/>
      <c r="AF220" s="358"/>
      <c r="AG220" s="358"/>
      <c r="AH220" s="358"/>
      <c r="AI220" s="358"/>
      <c r="AJ220" s="175"/>
      <c r="AK220" s="441">
        <v>1</v>
      </c>
      <c r="AL220" s="444"/>
      <c r="AM220" s="370">
        <f>X220*P3_reinigen_daken_met_vaste_dakveiligheid</f>
        <v>0</v>
      </c>
      <c r="AN220" s="371">
        <f>Y220*P3_reinigen_goten_met_vaste_dakveiligheid</f>
        <v>0</v>
      </c>
      <c r="AO220" s="371">
        <f>(AE220*P3_Reinigen_Lichtkoepel_50X50)+('Perceel 3'!AF220*P3_Reinigen_Lichtkoepel_60x200)+('Perceel 3'!AG220*P3_Reinigen_Lichtkoepel_180x180)+('Perceel 3'!AH220*P3_Reinigen_Lichtstraten_groter_dan_180x180)</f>
        <v>0</v>
      </c>
      <c r="AP220" s="371">
        <f>(X220+Y220)*P3_Inspecteren_daken_en_goten_1x_per_jaar_gelijktijdig_met_reiniging_inclusief_inspectierapport_en_een_managementrapport</f>
        <v>0</v>
      </c>
      <c r="AQ220" s="424">
        <f>AQ218*16%</f>
        <v>0</v>
      </c>
      <c r="AR220" s="372">
        <f>AQ220*P3_keuren_dakveiligheid_per_man_uur</f>
        <v>0</v>
      </c>
      <c r="AS220" s="373">
        <f t="shared" si="37"/>
        <v>0</v>
      </c>
    </row>
    <row r="221" spans="1:45" ht="51" x14ac:dyDescent="0.45">
      <c r="A221" s="155"/>
      <c r="B221" s="348">
        <v>3</v>
      </c>
      <c r="C221" s="156" t="s">
        <v>135</v>
      </c>
      <c r="D221" s="156" t="s">
        <v>136</v>
      </c>
      <c r="E221" s="156"/>
      <c r="F221" s="156"/>
      <c r="G221" s="156"/>
      <c r="H221" s="151" t="s">
        <v>1640</v>
      </c>
      <c r="I221" s="151" t="s">
        <v>1641</v>
      </c>
      <c r="J221" s="157"/>
      <c r="K221" s="163"/>
      <c r="L221" s="163" t="s">
        <v>139</v>
      </c>
      <c r="M221" s="166" t="s">
        <v>140</v>
      </c>
      <c r="N221" s="443" t="s">
        <v>1642</v>
      </c>
      <c r="O221" s="353" t="s">
        <v>1643</v>
      </c>
      <c r="P221" s="435" t="s">
        <v>1644</v>
      </c>
      <c r="Q221" s="435" t="s">
        <v>1645</v>
      </c>
      <c r="R221" s="461" t="s">
        <v>1646</v>
      </c>
      <c r="S221" s="435" t="s">
        <v>1511</v>
      </c>
      <c r="T221" s="159" t="s">
        <v>1647</v>
      </c>
      <c r="U221" s="159" t="s">
        <v>1648</v>
      </c>
      <c r="V221" s="209" t="s">
        <v>1649</v>
      </c>
      <c r="W221" s="361">
        <v>1997</v>
      </c>
      <c r="X221" s="361">
        <v>657</v>
      </c>
      <c r="Y221" s="361"/>
      <c r="Z221" s="361"/>
      <c r="AA221" s="361"/>
      <c r="AB221" s="361"/>
      <c r="AC221" s="361"/>
      <c r="AD221" s="361"/>
      <c r="AE221" s="361"/>
      <c r="AF221" s="361"/>
      <c r="AG221" s="361"/>
      <c r="AH221" s="361"/>
      <c r="AI221" s="361"/>
      <c r="AJ221" s="177"/>
      <c r="AK221" s="443">
        <v>1</v>
      </c>
      <c r="AL221" s="444"/>
      <c r="AM221" s="370">
        <f>X221*P3_Reinigen_daken_incl._extra_maatregelen_veilig_werken_volgens_VCA_eventuele_vergunningen_leges_voorrijkosten_adminstratieve_kosten_fotorapportage_en_kleine_reparaties</f>
        <v>0</v>
      </c>
      <c r="AN221" s="371">
        <f>Y221*P3_Reinigen_goten_incl._extra_maatregelen_veilig_werken_volgens_VCA__eventuele_vergunningen_leges___voorrijkosten__adminstratieve_kosten__fotorapportage_en_kleine_reparaties</f>
        <v>0</v>
      </c>
      <c r="AO221" s="371">
        <f>(AE221*P3_Reinigen_Lichtkoepel_50X50)+('Perceel 3'!AF221*P3_Reinigen_Lichtkoepel_60x200)+('Perceel 3'!AG221*P3_Reinigen_Lichtkoepel_180x180)+('Perceel 3'!AH221*P3_Reinigen_Lichtstraten_groter_dan_180x180)</f>
        <v>0</v>
      </c>
      <c r="AP221" s="371">
        <f>(X221+Y221)*P3_Inspecteren_daken_en_goten_1x_per_jaar_gelijktijdig_met_reiniging_inclusief_inspectierapport_en_een_managementrapport</f>
        <v>0</v>
      </c>
      <c r="AQ221" s="416"/>
      <c r="AR221" s="372">
        <f>AQ221*P3_keuren_dakveiligheid_per_man_uur</f>
        <v>0</v>
      </c>
      <c r="AS221" s="373">
        <f t="shared" si="37"/>
        <v>0</v>
      </c>
    </row>
    <row r="222" spans="1:45" ht="63.75" customHeight="1" x14ac:dyDescent="0.4">
      <c r="A222" s="211"/>
      <c r="B222" s="374">
        <v>3</v>
      </c>
      <c r="C222" s="171" t="s">
        <v>135</v>
      </c>
      <c r="D222" s="171" t="s">
        <v>136</v>
      </c>
      <c r="E222" s="171" t="s">
        <v>174</v>
      </c>
      <c r="F222" s="171"/>
      <c r="G222" s="171"/>
      <c r="H222" s="15"/>
      <c r="I222" s="15"/>
      <c r="J222" s="16"/>
      <c r="K222" s="16"/>
      <c r="L222" s="196" t="s">
        <v>348</v>
      </c>
      <c r="M222" s="171" t="s">
        <v>1621</v>
      </c>
      <c r="N222" s="397" t="s">
        <v>1650</v>
      </c>
      <c r="O222" s="381" t="s">
        <v>1651</v>
      </c>
      <c r="P222" s="466" t="s">
        <v>1652</v>
      </c>
      <c r="Q222" s="466" t="s">
        <v>1645</v>
      </c>
      <c r="R222" s="467" t="s">
        <v>1646</v>
      </c>
      <c r="S222" s="466" t="s">
        <v>1511</v>
      </c>
      <c r="T222" s="171"/>
      <c r="U222" s="171"/>
      <c r="V222" s="171"/>
      <c r="W222" s="466">
        <v>1996</v>
      </c>
      <c r="X222" s="471">
        <v>1509</v>
      </c>
      <c r="Y222" s="466"/>
      <c r="Z222" s="381"/>
      <c r="AA222" s="381"/>
      <c r="AB222" s="381"/>
      <c r="AC222" s="381"/>
      <c r="AD222" s="381"/>
      <c r="AE222" s="381"/>
      <c r="AF222" s="381"/>
      <c r="AG222" s="381"/>
      <c r="AH222" s="381"/>
      <c r="AI222" s="381"/>
      <c r="AJ222" s="171"/>
      <c r="AK222" s="471">
        <v>1</v>
      </c>
      <c r="AL222" s="444"/>
      <c r="AM222" s="430"/>
      <c r="AN222" s="416"/>
      <c r="AO222" s="416"/>
      <c r="AP222" s="416"/>
      <c r="AQ222" s="416"/>
      <c r="AR222" s="431"/>
      <c r="AS222" s="432"/>
    </row>
    <row r="223" spans="1:45" ht="25.5" customHeight="1" x14ac:dyDescent="0.4">
      <c r="A223" s="182"/>
      <c r="B223" s="352">
        <v>3</v>
      </c>
      <c r="C223" s="175" t="s">
        <v>135</v>
      </c>
      <c r="D223" s="175" t="s">
        <v>174</v>
      </c>
      <c r="E223" s="175"/>
      <c r="F223" s="175"/>
      <c r="G223" s="175"/>
      <c r="H223" s="174" t="s">
        <v>1653</v>
      </c>
      <c r="I223" s="174" t="s">
        <v>1654</v>
      </c>
      <c r="J223" s="197"/>
      <c r="K223" s="197"/>
      <c r="L223" s="174"/>
      <c r="M223" s="175" t="s">
        <v>349</v>
      </c>
      <c r="N223" s="441" t="s">
        <v>1655</v>
      </c>
      <c r="O223" s="358" t="s">
        <v>1656</v>
      </c>
      <c r="P223" s="438" t="s">
        <v>1657</v>
      </c>
      <c r="Q223" s="438" t="s">
        <v>1645</v>
      </c>
      <c r="R223" s="439" t="s">
        <v>1646</v>
      </c>
      <c r="S223" s="438" t="s">
        <v>1511</v>
      </c>
      <c r="T223" s="175" t="s">
        <v>1658</v>
      </c>
      <c r="U223" s="175" t="s">
        <v>1659</v>
      </c>
      <c r="V223" s="175" t="s">
        <v>1660</v>
      </c>
      <c r="W223" s="438">
        <v>1996</v>
      </c>
      <c r="X223" s="441">
        <f>X222*83%</f>
        <v>1252.47</v>
      </c>
      <c r="Y223" s="438"/>
      <c r="Z223" s="358"/>
      <c r="AA223" s="358"/>
      <c r="AB223" s="358"/>
      <c r="AC223" s="358"/>
      <c r="AD223" s="358"/>
      <c r="AE223" s="358"/>
      <c r="AF223" s="358"/>
      <c r="AG223" s="358"/>
      <c r="AH223" s="358"/>
      <c r="AI223" s="358"/>
      <c r="AJ223" s="175"/>
      <c r="AK223" s="441">
        <v>1</v>
      </c>
      <c r="AL223" s="444"/>
      <c r="AM223" s="370">
        <f>X223*P3_Reinigen_daken_incl._extra_maatregelen_veilig_werken_volgens_VCA_eventuele_vergunningen_leges_voorrijkosten_adminstratieve_kosten_fotorapportage_en_kleine_reparaties</f>
        <v>0</v>
      </c>
      <c r="AN223" s="371">
        <f>Y223*P3_Reinigen_goten_incl._extra_maatregelen_veilig_werken_volgens_VCA__eventuele_vergunningen_leges___voorrijkosten__adminstratieve_kosten__fotorapportage_en_kleine_reparaties</f>
        <v>0</v>
      </c>
      <c r="AO223" s="371">
        <f>(AE223*P3_Reinigen_Lichtkoepel_50X50)+('Perceel 3'!AF223*P3_Reinigen_Lichtkoepel_60x200)+('Perceel 3'!AG223*P3_Reinigen_Lichtkoepel_180x180)+('Perceel 3'!AH223*P3_Reinigen_Lichtstraten_groter_dan_180x180)</f>
        <v>0</v>
      </c>
      <c r="AP223" s="371">
        <f t="shared" ref="AP223:AP252" si="40">(X223+Y223)*P3_Inspecteren_daken_en_goten_1x_per_jaar_gelijktijdig_met_reiniging_inclusief_inspectierapport_en_een_managementrapport</f>
        <v>0</v>
      </c>
      <c r="AQ223" s="416"/>
      <c r="AR223" s="372">
        <f t="shared" ref="AR223:AR252" si="41">AQ223*P3_keuren_dakveiligheid_per_man_uur</f>
        <v>0</v>
      </c>
      <c r="AS223" s="373">
        <f t="shared" si="37"/>
        <v>0</v>
      </c>
    </row>
    <row r="224" spans="1:45" ht="25.5" customHeight="1" x14ac:dyDescent="0.4">
      <c r="A224" s="182"/>
      <c r="B224" s="352">
        <v>3</v>
      </c>
      <c r="C224" s="175" t="s">
        <v>135</v>
      </c>
      <c r="D224" s="175" t="s">
        <v>136</v>
      </c>
      <c r="E224" s="175"/>
      <c r="F224" s="175"/>
      <c r="G224" s="175"/>
      <c r="H224" s="174" t="s">
        <v>1661</v>
      </c>
      <c r="I224" s="174" t="s">
        <v>1662</v>
      </c>
      <c r="J224" s="197"/>
      <c r="K224" s="197"/>
      <c r="L224" s="174"/>
      <c r="M224" s="191" t="s">
        <v>544</v>
      </c>
      <c r="N224" s="441" t="s">
        <v>1663</v>
      </c>
      <c r="O224" s="358" t="s">
        <v>1664</v>
      </c>
      <c r="P224" s="438" t="s">
        <v>1665</v>
      </c>
      <c r="Q224" s="438" t="s">
        <v>1645</v>
      </c>
      <c r="R224" s="439" t="s">
        <v>1646</v>
      </c>
      <c r="S224" s="438" t="s">
        <v>1511</v>
      </c>
      <c r="T224" s="175" t="s">
        <v>1658</v>
      </c>
      <c r="U224" s="175" t="s">
        <v>1659</v>
      </c>
      <c r="V224" s="175" t="s">
        <v>1660</v>
      </c>
      <c r="W224" s="438">
        <v>1996</v>
      </c>
      <c r="X224" s="441">
        <f>X222*17%</f>
        <v>256.53000000000003</v>
      </c>
      <c r="Y224" s="438"/>
      <c r="Z224" s="358"/>
      <c r="AA224" s="358"/>
      <c r="AB224" s="358"/>
      <c r="AC224" s="358"/>
      <c r="AD224" s="358"/>
      <c r="AE224" s="358"/>
      <c r="AF224" s="358"/>
      <c r="AG224" s="358"/>
      <c r="AH224" s="358"/>
      <c r="AI224" s="358"/>
      <c r="AJ224" s="175"/>
      <c r="AK224" s="441">
        <v>1</v>
      </c>
      <c r="AL224" s="444"/>
      <c r="AM224" s="370">
        <f>X224*P3_Reinigen_daken_incl._extra_maatregelen_veilig_werken_volgens_VCA_eventuele_vergunningen_leges_voorrijkosten_adminstratieve_kosten_fotorapportage_en_kleine_reparaties</f>
        <v>0</v>
      </c>
      <c r="AN224" s="371">
        <f>Y224*P3_Reinigen_goten_incl._extra_maatregelen_veilig_werken_volgens_VCA__eventuele_vergunningen_leges___voorrijkosten__adminstratieve_kosten__fotorapportage_en_kleine_reparaties</f>
        <v>0</v>
      </c>
      <c r="AO224" s="371">
        <f>(AE224*P3_Reinigen_Lichtkoepel_50X50)+('Perceel 3'!AF224*P3_Reinigen_Lichtkoepel_60x200)+('Perceel 3'!AG224*P3_Reinigen_Lichtkoepel_180x180)+('Perceel 3'!AH224*P3_Reinigen_Lichtstraten_groter_dan_180x180)</f>
        <v>0</v>
      </c>
      <c r="AP224" s="371">
        <f t="shared" si="40"/>
        <v>0</v>
      </c>
      <c r="AQ224" s="416"/>
      <c r="AR224" s="372">
        <f t="shared" si="41"/>
        <v>0</v>
      </c>
      <c r="AS224" s="373">
        <f t="shared" si="37"/>
        <v>0</v>
      </c>
    </row>
    <row r="225" spans="1:45" ht="25.5" x14ac:dyDescent="0.45">
      <c r="A225" s="155"/>
      <c r="B225" s="347">
        <v>3</v>
      </c>
      <c r="C225" s="156" t="s">
        <v>135</v>
      </c>
      <c r="D225" s="156" t="s">
        <v>136</v>
      </c>
      <c r="E225" s="156"/>
      <c r="F225" s="156"/>
      <c r="G225" s="156"/>
      <c r="H225" s="151" t="s">
        <v>1666</v>
      </c>
      <c r="I225" s="151" t="s">
        <v>1667</v>
      </c>
      <c r="J225" s="157"/>
      <c r="K225" s="163"/>
      <c r="L225" s="151" t="s">
        <v>139</v>
      </c>
      <c r="M225" s="159" t="s">
        <v>140</v>
      </c>
      <c r="N225" s="443" t="s">
        <v>1668</v>
      </c>
      <c r="O225" s="353" t="s">
        <v>1669</v>
      </c>
      <c r="P225" s="435" t="s">
        <v>1670</v>
      </c>
      <c r="Q225" s="435" t="s">
        <v>1671</v>
      </c>
      <c r="R225" s="461" t="s">
        <v>1570</v>
      </c>
      <c r="S225" s="435" t="s">
        <v>1511</v>
      </c>
      <c r="T225" s="159" t="s">
        <v>756</v>
      </c>
      <c r="U225" s="159" t="s">
        <v>1672</v>
      </c>
      <c r="V225" s="176" t="s">
        <v>1222</v>
      </c>
      <c r="W225" s="361">
        <v>2012</v>
      </c>
      <c r="X225" s="361">
        <v>364</v>
      </c>
      <c r="Y225" s="361"/>
      <c r="Z225" s="361"/>
      <c r="AA225" s="361" t="s">
        <v>150</v>
      </c>
      <c r="AB225" s="361">
        <v>12</v>
      </c>
      <c r="AC225" s="361">
        <v>24</v>
      </c>
      <c r="AD225" s="361"/>
      <c r="AE225" s="361"/>
      <c r="AF225" s="361"/>
      <c r="AG225" s="361"/>
      <c r="AH225" s="361"/>
      <c r="AI225" s="361"/>
      <c r="AJ225" s="177"/>
      <c r="AK225" s="443">
        <v>1</v>
      </c>
      <c r="AL225" s="444"/>
      <c r="AM225" s="370">
        <f>X225*P3_reinigen_daken_met_vaste_dakveiligheid</f>
        <v>0</v>
      </c>
      <c r="AN225" s="371">
        <f>Y225*P3_reinigen_goten_met_vaste_dakveiligheid</f>
        <v>0</v>
      </c>
      <c r="AO225" s="371">
        <f>(AE225*P3_Reinigen_Lichtkoepel_50X50)+('Perceel 3'!AF225*P3_Reinigen_Lichtkoepel_60x200)+('Perceel 3'!AG225*P3_Reinigen_Lichtkoepel_180x180)+('Perceel 3'!AH225*P3_Reinigen_Lichtstraten_groter_dan_180x180)</f>
        <v>0</v>
      </c>
      <c r="AP225" s="371">
        <f t="shared" si="40"/>
        <v>0</v>
      </c>
      <c r="AQ225" s="419"/>
      <c r="AR225" s="372">
        <f t="shared" si="41"/>
        <v>0</v>
      </c>
      <c r="AS225" s="373">
        <f t="shared" si="37"/>
        <v>0</v>
      </c>
    </row>
    <row r="226" spans="1:45" ht="174" customHeight="1" x14ac:dyDescent="0.45">
      <c r="A226" s="155"/>
      <c r="B226" s="347">
        <v>3</v>
      </c>
      <c r="C226" s="156" t="s">
        <v>135</v>
      </c>
      <c r="D226" s="156" t="s">
        <v>136</v>
      </c>
      <c r="E226" s="156" t="s">
        <v>832</v>
      </c>
      <c r="F226" s="156" t="s">
        <v>1571</v>
      </c>
      <c r="G226" s="156" t="s">
        <v>833</v>
      </c>
      <c r="H226" s="151" t="s">
        <v>1673</v>
      </c>
      <c r="I226" s="151" t="s">
        <v>1674</v>
      </c>
      <c r="J226" s="157"/>
      <c r="K226" s="163"/>
      <c r="L226" s="151" t="s">
        <v>280</v>
      </c>
      <c r="M226" s="159" t="s">
        <v>669</v>
      </c>
      <c r="N226" s="443" t="s">
        <v>1675</v>
      </c>
      <c r="O226" s="353" t="s">
        <v>1676</v>
      </c>
      <c r="P226" s="435" t="s">
        <v>1677</v>
      </c>
      <c r="Q226" s="435" t="s">
        <v>1678</v>
      </c>
      <c r="R226" s="461" t="s">
        <v>1679</v>
      </c>
      <c r="S226" s="435" t="s">
        <v>1511</v>
      </c>
      <c r="T226" s="159" t="s">
        <v>1680</v>
      </c>
      <c r="U226" s="159" t="s">
        <v>1681</v>
      </c>
      <c r="V226" s="209" t="s">
        <v>1682</v>
      </c>
      <c r="W226" s="361">
        <v>2006</v>
      </c>
      <c r="X226" s="361">
        <v>4415</v>
      </c>
      <c r="Y226" s="361">
        <v>256</v>
      </c>
      <c r="Z226" s="361" t="s">
        <v>311</v>
      </c>
      <c r="AA226" s="361" t="s">
        <v>150</v>
      </c>
      <c r="AB226" s="361">
        <f>30+28+16</f>
        <v>74</v>
      </c>
      <c r="AC226" s="361">
        <f>200+193</f>
        <v>393</v>
      </c>
      <c r="AD226" s="361"/>
      <c r="AE226" s="361"/>
      <c r="AF226" s="361"/>
      <c r="AG226" s="361"/>
      <c r="AH226" s="361"/>
      <c r="AI226" s="361" t="s">
        <v>1683</v>
      </c>
      <c r="AJ226" s="177"/>
      <c r="AK226" s="443">
        <v>1</v>
      </c>
      <c r="AL226" s="369"/>
      <c r="AM226" s="370">
        <f>X226*P3_reinigen_daken_met_vaste_dakveiligheid</f>
        <v>0</v>
      </c>
      <c r="AN226" s="371">
        <f>Y226*P3_reinigen_goten_met_vaste_dakveiligheid</f>
        <v>0</v>
      </c>
      <c r="AO226" s="371">
        <f>(AE226*P3_Reinigen_Lichtkoepel_50X50)+('Perceel 3'!AF226*P3_Reinigen_Lichtkoepel_60x200)+('Perceel 3'!AG226*P3_Reinigen_Lichtkoepel_180x180)+('Perceel 3'!AH226*P3_Reinigen_Lichtstraten_groter_dan_180x180)</f>
        <v>0</v>
      </c>
      <c r="AP226" s="371">
        <f t="shared" ref="AP226" si="42">(X226+Y226)*P3_Inspecteren_daken_en_goten_1x_per_jaar_gelijktijdig_met_reiniging_inclusief_inspectierapport_en_een_managementrapport</f>
        <v>0</v>
      </c>
      <c r="AQ226" s="419"/>
      <c r="AR226" s="372">
        <f t="shared" si="41"/>
        <v>0</v>
      </c>
      <c r="AS226" s="373">
        <f>(AM226*AK226)+(AN226*AK226)+AO226+AP226+AR226</f>
        <v>0</v>
      </c>
    </row>
    <row r="227" spans="1:45" ht="51" x14ac:dyDescent="0.45">
      <c r="A227" s="155"/>
      <c r="B227" s="347">
        <v>3</v>
      </c>
      <c r="C227" s="156" t="s">
        <v>135</v>
      </c>
      <c r="D227" s="156" t="s">
        <v>347</v>
      </c>
      <c r="E227" s="156"/>
      <c r="F227" s="156"/>
      <c r="G227" s="156"/>
      <c r="H227" s="151" t="s">
        <v>1684</v>
      </c>
      <c r="I227" s="151" t="s">
        <v>1685</v>
      </c>
      <c r="J227" s="157"/>
      <c r="K227" s="163"/>
      <c r="L227" s="151" t="s">
        <v>348</v>
      </c>
      <c r="M227" s="159" t="s">
        <v>349</v>
      </c>
      <c r="N227" s="443" t="s">
        <v>1686</v>
      </c>
      <c r="O227" s="353" t="s">
        <v>1687</v>
      </c>
      <c r="P227" s="353" t="s">
        <v>1688</v>
      </c>
      <c r="Q227" s="435" t="s">
        <v>1689</v>
      </c>
      <c r="R227" s="461" t="s">
        <v>1679</v>
      </c>
      <c r="S227" s="435" t="s">
        <v>1511</v>
      </c>
      <c r="T227" s="159" t="s">
        <v>1690</v>
      </c>
      <c r="U227" s="159" t="s">
        <v>1691</v>
      </c>
      <c r="V227" s="176" t="s">
        <v>1692</v>
      </c>
      <c r="W227" s="361">
        <v>2003</v>
      </c>
      <c r="X227" s="361">
        <v>1372</v>
      </c>
      <c r="Y227" s="361"/>
      <c r="Z227" s="361"/>
      <c r="AA227" s="361" t="s">
        <v>311</v>
      </c>
      <c r="AB227" s="361"/>
      <c r="AC227" s="361"/>
      <c r="AD227" s="361" t="s">
        <v>1303</v>
      </c>
      <c r="AE227" s="361"/>
      <c r="AF227" s="361"/>
      <c r="AG227" s="361"/>
      <c r="AH227" s="361"/>
      <c r="AI227" s="361"/>
      <c r="AJ227" s="177"/>
      <c r="AK227" s="443">
        <v>1</v>
      </c>
      <c r="AL227" s="444"/>
      <c r="AM227" s="370">
        <f>X227*P3_reinigen_daken_met_vaste_dakveiligheid</f>
        <v>0</v>
      </c>
      <c r="AN227" s="371">
        <f>Y227*P3_reinigen_goten_met_vaste_dakveiligheid</f>
        <v>0</v>
      </c>
      <c r="AO227" s="371">
        <f>(AE227*P3_Reinigen_Lichtkoepel_50X50)+('Perceel 3'!AF227*P3_Reinigen_Lichtkoepel_60x200)+('Perceel 3'!AG227*P3_Reinigen_Lichtkoepel_180x180)+('Perceel 3'!AH227*P3_Reinigen_Lichtstraten_groter_dan_180x180)</f>
        <v>0</v>
      </c>
      <c r="AP227" s="371">
        <f t="shared" si="40"/>
        <v>0</v>
      </c>
      <c r="AQ227" s="419"/>
      <c r="AR227" s="372">
        <f t="shared" si="41"/>
        <v>0</v>
      </c>
      <c r="AS227" s="373">
        <f t="shared" si="37"/>
        <v>0</v>
      </c>
    </row>
    <row r="228" spans="1:45" ht="51" x14ac:dyDescent="0.45">
      <c r="A228" s="155"/>
      <c r="B228" s="347">
        <v>3</v>
      </c>
      <c r="C228" s="156" t="s">
        <v>135</v>
      </c>
      <c r="D228" s="156" t="s">
        <v>136</v>
      </c>
      <c r="E228" s="156"/>
      <c r="F228" s="156"/>
      <c r="G228" s="156"/>
      <c r="H228" s="151" t="s">
        <v>1693</v>
      </c>
      <c r="I228" s="151" t="s">
        <v>1694</v>
      </c>
      <c r="J228" s="157"/>
      <c r="K228" s="163"/>
      <c r="L228" s="163" t="s">
        <v>154</v>
      </c>
      <c r="M228" s="166" t="s">
        <v>544</v>
      </c>
      <c r="N228" s="443" t="s">
        <v>1695</v>
      </c>
      <c r="O228" s="353" t="s">
        <v>1696</v>
      </c>
      <c r="P228" s="435" t="s">
        <v>1697</v>
      </c>
      <c r="Q228" s="435" t="s">
        <v>1689</v>
      </c>
      <c r="R228" s="461" t="s">
        <v>1679</v>
      </c>
      <c r="S228" s="435" t="s">
        <v>1511</v>
      </c>
      <c r="T228" s="159" t="s">
        <v>169</v>
      </c>
      <c r="U228" s="159" t="s">
        <v>170</v>
      </c>
      <c r="V228" s="176" t="s">
        <v>171</v>
      </c>
      <c r="W228" s="361">
        <v>2004</v>
      </c>
      <c r="X228" s="361">
        <v>704</v>
      </c>
      <c r="Y228" s="361"/>
      <c r="Z228" s="361"/>
      <c r="AA228" s="361" t="s">
        <v>311</v>
      </c>
      <c r="AB228" s="361"/>
      <c r="AC228" s="361"/>
      <c r="AD228" s="361" t="s">
        <v>1546</v>
      </c>
      <c r="AE228" s="361"/>
      <c r="AF228" s="361"/>
      <c r="AG228" s="361"/>
      <c r="AH228" s="361"/>
      <c r="AI228" s="361"/>
      <c r="AJ228" s="177"/>
      <c r="AK228" s="443">
        <v>1</v>
      </c>
      <c r="AL228" s="444"/>
      <c r="AM228" s="370">
        <f>X228*P3_reinigen_daken_met_vaste_dakveiligheid</f>
        <v>0</v>
      </c>
      <c r="AN228" s="371">
        <f>Y228*P3_reinigen_goten_met_vaste_dakveiligheid</f>
        <v>0</v>
      </c>
      <c r="AO228" s="371">
        <f>(AE228*P3_Reinigen_Lichtkoepel_50X50)+('Perceel 3'!AF228*P3_Reinigen_Lichtkoepel_60x200)+('Perceel 3'!AG228*P3_Reinigen_Lichtkoepel_180x180)+('Perceel 3'!AH228*P3_Reinigen_Lichtstraten_groter_dan_180x180)</f>
        <v>0</v>
      </c>
      <c r="AP228" s="371">
        <f t="shared" si="40"/>
        <v>0</v>
      </c>
      <c r="AQ228" s="419"/>
      <c r="AR228" s="372">
        <f t="shared" si="41"/>
        <v>0</v>
      </c>
      <c r="AS228" s="373">
        <f t="shared" si="37"/>
        <v>0</v>
      </c>
    </row>
    <row r="229" spans="1:45" ht="51" x14ac:dyDescent="0.45">
      <c r="A229" s="155"/>
      <c r="B229" s="348">
        <v>3</v>
      </c>
      <c r="C229" s="156" t="s">
        <v>135</v>
      </c>
      <c r="D229" s="156" t="s">
        <v>136</v>
      </c>
      <c r="E229" s="156"/>
      <c r="F229" s="156"/>
      <c r="G229" s="156"/>
      <c r="H229" s="151" t="s">
        <v>1698</v>
      </c>
      <c r="I229" s="151" t="s">
        <v>1699</v>
      </c>
      <c r="J229" s="157"/>
      <c r="K229" s="157"/>
      <c r="L229" s="163" t="s">
        <v>154</v>
      </c>
      <c r="M229" s="166" t="s">
        <v>544</v>
      </c>
      <c r="N229" s="443" t="s">
        <v>1700</v>
      </c>
      <c r="O229" s="353" t="s">
        <v>1701</v>
      </c>
      <c r="P229" s="435" t="s">
        <v>1702</v>
      </c>
      <c r="Q229" s="435" t="s">
        <v>1703</v>
      </c>
      <c r="R229" s="461" t="s">
        <v>1704</v>
      </c>
      <c r="S229" s="435" t="s">
        <v>1511</v>
      </c>
      <c r="T229" s="159" t="s">
        <v>169</v>
      </c>
      <c r="U229" s="159" t="s">
        <v>170</v>
      </c>
      <c r="V229" s="176" t="s">
        <v>171</v>
      </c>
      <c r="W229" s="361">
        <v>1988</v>
      </c>
      <c r="X229" s="361">
        <v>454</v>
      </c>
      <c r="Y229" s="361"/>
      <c r="Z229" s="361"/>
      <c r="AA229" s="361"/>
      <c r="AB229" s="361"/>
      <c r="AC229" s="361"/>
      <c r="AD229" s="361"/>
      <c r="AE229" s="361"/>
      <c r="AF229" s="361"/>
      <c r="AG229" s="361"/>
      <c r="AH229" s="361"/>
      <c r="AI229" s="361"/>
      <c r="AJ229" s="177"/>
      <c r="AK229" s="443">
        <v>1</v>
      </c>
      <c r="AL229" s="444"/>
      <c r="AM229" s="370">
        <f>X229*P3_Reinigen_daken_incl._extra_maatregelen_veilig_werken_volgens_VCA_eventuele_vergunningen_leges_voorrijkosten_adminstratieve_kosten_fotorapportage_en_kleine_reparaties</f>
        <v>0</v>
      </c>
      <c r="AN229" s="371">
        <f>Y229*P3_Reinigen_goten_incl._extra_maatregelen_veilig_werken_volgens_VCA__eventuele_vergunningen_leges___voorrijkosten__adminstratieve_kosten__fotorapportage_en_kleine_reparaties</f>
        <v>0</v>
      </c>
      <c r="AO229" s="371">
        <f>(AE229*P3_Reinigen_Lichtkoepel_50X50)+('Perceel 3'!AF229*P3_Reinigen_Lichtkoepel_60x200)+('Perceel 3'!AG229*P3_Reinigen_Lichtkoepel_180x180)+('Perceel 3'!AH229*P3_Reinigen_Lichtstraten_groter_dan_180x180)</f>
        <v>0</v>
      </c>
      <c r="AP229" s="371">
        <f t="shared" si="40"/>
        <v>0</v>
      </c>
      <c r="AQ229" s="416"/>
      <c r="AR229" s="372">
        <f t="shared" si="41"/>
        <v>0</v>
      </c>
      <c r="AS229" s="373">
        <f t="shared" si="37"/>
        <v>0</v>
      </c>
    </row>
    <row r="230" spans="1:45" ht="12.75" customHeight="1" x14ac:dyDescent="0.45">
      <c r="A230" s="155"/>
      <c r="B230" s="347">
        <v>3</v>
      </c>
      <c r="C230" s="156" t="s">
        <v>135</v>
      </c>
      <c r="D230" s="156" t="s">
        <v>136</v>
      </c>
      <c r="E230" s="156"/>
      <c r="F230" s="156"/>
      <c r="G230" s="156"/>
      <c r="H230" s="151" t="s">
        <v>1705</v>
      </c>
      <c r="I230" s="151" t="s">
        <v>1706</v>
      </c>
      <c r="J230" s="157"/>
      <c r="K230" s="163"/>
      <c r="L230" s="151" t="s">
        <v>139</v>
      </c>
      <c r="M230" s="159" t="s">
        <v>140</v>
      </c>
      <c r="N230" s="443" t="s">
        <v>1707</v>
      </c>
      <c r="O230" s="353" t="s">
        <v>1708</v>
      </c>
      <c r="P230" s="353" t="s">
        <v>1709</v>
      </c>
      <c r="Q230" s="435" t="s">
        <v>1710</v>
      </c>
      <c r="R230" s="461" t="s">
        <v>1711</v>
      </c>
      <c r="S230" s="435" t="s">
        <v>1511</v>
      </c>
      <c r="T230" s="159" t="s">
        <v>1712</v>
      </c>
      <c r="U230" s="159" t="s">
        <v>1713</v>
      </c>
      <c r="V230" s="176" t="s">
        <v>1714</v>
      </c>
      <c r="W230" s="361">
        <v>2001</v>
      </c>
      <c r="X230" s="361">
        <v>1840</v>
      </c>
      <c r="Y230" s="361"/>
      <c r="Z230" s="361" t="s">
        <v>311</v>
      </c>
      <c r="AA230" s="361"/>
      <c r="AB230" s="361"/>
      <c r="AC230" s="361"/>
      <c r="AD230" s="361"/>
      <c r="AE230" s="361"/>
      <c r="AF230" s="361"/>
      <c r="AG230" s="361"/>
      <c r="AH230" s="361"/>
      <c r="AI230" s="361"/>
      <c r="AJ230" s="177"/>
      <c r="AK230" s="443">
        <v>1</v>
      </c>
      <c r="AL230" s="444"/>
      <c r="AM230" s="370">
        <f>X230*P3_Reinigen_daken_incl._extra_maatregelen_veilig_werken_volgens_VCA_eventuele_vergunningen_leges_voorrijkosten_adminstratieve_kosten_fotorapportage_en_kleine_reparaties</f>
        <v>0</v>
      </c>
      <c r="AN230" s="371">
        <f>Y230*P3_Reinigen_goten_incl._extra_maatregelen_veilig_werken_volgens_VCA__eventuele_vergunningen_leges___voorrijkosten__adminstratieve_kosten__fotorapportage_en_kleine_reparaties</f>
        <v>0</v>
      </c>
      <c r="AO230" s="371">
        <f>(AE230*P3_Reinigen_Lichtkoepel_50X50)+('Perceel 3'!AF230*P3_Reinigen_Lichtkoepel_60x200)+('Perceel 3'!AG230*P3_Reinigen_Lichtkoepel_180x180)+('Perceel 3'!AH230*P3_Reinigen_Lichtstraten_groter_dan_180x180)</f>
        <v>0</v>
      </c>
      <c r="AP230" s="371">
        <f t="shared" si="40"/>
        <v>0</v>
      </c>
      <c r="AQ230" s="416"/>
      <c r="AR230" s="372">
        <f t="shared" si="41"/>
        <v>0</v>
      </c>
      <c r="AS230" s="373">
        <f t="shared" si="37"/>
        <v>0</v>
      </c>
    </row>
    <row r="231" spans="1:45" ht="12.75" customHeight="1" x14ac:dyDescent="0.45">
      <c r="A231" s="155"/>
      <c r="B231" s="347">
        <v>3</v>
      </c>
      <c r="C231" s="156" t="s">
        <v>135</v>
      </c>
      <c r="D231" s="156" t="s">
        <v>174</v>
      </c>
      <c r="E231" s="156"/>
      <c r="F231" s="156"/>
      <c r="G231" s="156"/>
      <c r="H231" s="151" t="s">
        <v>1715</v>
      </c>
      <c r="I231" s="151" t="s">
        <v>1716</v>
      </c>
      <c r="J231" s="157"/>
      <c r="K231" s="163"/>
      <c r="L231" s="151" t="s">
        <v>348</v>
      </c>
      <c r="M231" s="159" t="s">
        <v>349</v>
      </c>
      <c r="N231" s="443" t="s">
        <v>1717</v>
      </c>
      <c r="O231" s="353" t="s">
        <v>1718</v>
      </c>
      <c r="P231" s="353" t="s">
        <v>1719</v>
      </c>
      <c r="Q231" s="435" t="s">
        <v>1720</v>
      </c>
      <c r="R231" s="461" t="s">
        <v>1721</v>
      </c>
      <c r="S231" s="435" t="s">
        <v>1511</v>
      </c>
      <c r="T231" s="159" t="s">
        <v>1722</v>
      </c>
      <c r="U231" s="159" t="s">
        <v>1723</v>
      </c>
      <c r="V231" s="176" t="s">
        <v>1724</v>
      </c>
      <c r="W231" s="361">
        <v>1984</v>
      </c>
      <c r="X231" s="361">
        <v>1401</v>
      </c>
      <c r="Y231" s="361"/>
      <c r="Z231" s="361"/>
      <c r="AA231" s="361"/>
      <c r="AB231" s="361"/>
      <c r="AC231" s="361"/>
      <c r="AD231" s="361"/>
      <c r="AE231" s="361"/>
      <c r="AF231" s="361"/>
      <c r="AG231" s="361"/>
      <c r="AH231" s="361"/>
      <c r="AI231" s="361"/>
      <c r="AJ231" s="177"/>
      <c r="AK231" s="443">
        <v>1</v>
      </c>
      <c r="AL231" s="444"/>
      <c r="AM231" s="370">
        <f>X231*P3_Reinigen_daken_incl._extra_maatregelen_veilig_werken_volgens_VCA_eventuele_vergunningen_leges_voorrijkosten_adminstratieve_kosten_fotorapportage_en_kleine_reparaties</f>
        <v>0</v>
      </c>
      <c r="AN231" s="371">
        <f>Y231*P3_Reinigen_goten_incl._extra_maatregelen_veilig_werken_volgens_VCA__eventuele_vergunningen_leges___voorrijkosten__adminstratieve_kosten__fotorapportage_en_kleine_reparaties</f>
        <v>0</v>
      </c>
      <c r="AO231" s="371">
        <f>(AE231*P3_Reinigen_Lichtkoepel_50X50)+('Perceel 3'!AF231*P3_Reinigen_Lichtkoepel_60x200)+('Perceel 3'!AG231*P3_Reinigen_Lichtkoepel_180x180)+('Perceel 3'!AH231*P3_Reinigen_Lichtstraten_groter_dan_180x180)</f>
        <v>0</v>
      </c>
      <c r="AP231" s="371">
        <f t="shared" si="40"/>
        <v>0</v>
      </c>
      <c r="AQ231" s="416"/>
      <c r="AR231" s="372">
        <f t="shared" si="41"/>
        <v>0</v>
      </c>
      <c r="AS231" s="373">
        <f t="shared" si="37"/>
        <v>0</v>
      </c>
    </row>
    <row r="232" spans="1:45" ht="25.5" x14ac:dyDescent="0.45">
      <c r="A232" s="155"/>
      <c r="B232" s="347">
        <v>3</v>
      </c>
      <c r="C232" s="156" t="s">
        <v>135</v>
      </c>
      <c r="D232" s="156" t="s">
        <v>136</v>
      </c>
      <c r="E232" s="156"/>
      <c r="F232" s="156"/>
      <c r="G232" s="156"/>
      <c r="H232" s="151" t="s">
        <v>1725</v>
      </c>
      <c r="I232" s="151" t="s">
        <v>1726</v>
      </c>
      <c r="J232" s="157"/>
      <c r="K232" s="163"/>
      <c r="L232" s="163" t="s">
        <v>154</v>
      </c>
      <c r="M232" s="166" t="s">
        <v>544</v>
      </c>
      <c r="N232" s="361">
        <v>2365</v>
      </c>
      <c r="O232" s="353" t="s">
        <v>1727</v>
      </c>
      <c r="P232" s="353" t="s">
        <v>1728</v>
      </c>
      <c r="Q232" s="353" t="s">
        <v>1729</v>
      </c>
      <c r="R232" s="355" t="s">
        <v>1608</v>
      </c>
      <c r="S232" s="353" t="s">
        <v>1511</v>
      </c>
      <c r="T232" s="159" t="s">
        <v>1730</v>
      </c>
      <c r="U232" s="242" t="s">
        <v>1731</v>
      </c>
      <c r="V232" s="243" t="s">
        <v>1732</v>
      </c>
      <c r="W232" s="361">
        <v>2017</v>
      </c>
      <c r="X232" s="361">
        <v>894</v>
      </c>
      <c r="Y232" s="361"/>
      <c r="Z232" s="361"/>
      <c r="AA232" s="361" t="s">
        <v>150</v>
      </c>
      <c r="AB232" s="361">
        <v>7</v>
      </c>
      <c r="AC232" s="361">
        <v>55</v>
      </c>
      <c r="AD232" s="361"/>
      <c r="AE232" s="361"/>
      <c r="AF232" s="361"/>
      <c r="AG232" s="361"/>
      <c r="AH232" s="361"/>
      <c r="AI232" s="361" t="s">
        <v>1065</v>
      </c>
      <c r="AJ232" s="177"/>
      <c r="AK232" s="443">
        <v>1</v>
      </c>
      <c r="AL232" s="444"/>
      <c r="AM232" s="370">
        <f>X232*P3_reinigen_daken_met_vaste_dakveiligheid</f>
        <v>0</v>
      </c>
      <c r="AN232" s="371">
        <f>Y232*P3_reinigen_goten_met_vaste_dakveiligheid</f>
        <v>0</v>
      </c>
      <c r="AO232" s="371">
        <f>(AE232*P3_Reinigen_Lichtkoepel_50X50)+('Perceel 3'!AF232*P3_Reinigen_Lichtkoepel_60x200)+('Perceel 3'!AG232*P3_Reinigen_Lichtkoepel_180x180)+('Perceel 3'!AH232*P3_Reinigen_Lichtstraten_groter_dan_180x180)</f>
        <v>0</v>
      </c>
      <c r="AP232" s="371">
        <f t="shared" si="40"/>
        <v>0</v>
      </c>
      <c r="AQ232" s="419"/>
      <c r="AR232" s="372">
        <f t="shared" si="41"/>
        <v>0</v>
      </c>
      <c r="AS232" s="373">
        <f t="shared" si="37"/>
        <v>0</v>
      </c>
    </row>
    <row r="233" spans="1:45" ht="25.5" customHeight="1" x14ac:dyDescent="0.45">
      <c r="A233" s="155"/>
      <c r="B233" s="347">
        <v>3</v>
      </c>
      <c r="C233" s="156" t="s">
        <v>135</v>
      </c>
      <c r="D233" s="156" t="s">
        <v>136</v>
      </c>
      <c r="E233" s="156"/>
      <c r="F233" s="156"/>
      <c r="G233" s="156"/>
      <c r="H233" s="151" t="s">
        <v>1733</v>
      </c>
      <c r="I233" s="151" t="s">
        <v>1734</v>
      </c>
      <c r="J233" s="157"/>
      <c r="K233" s="163"/>
      <c r="L233" s="151" t="s">
        <v>139</v>
      </c>
      <c r="M233" s="159" t="s">
        <v>140</v>
      </c>
      <c r="N233" s="443" t="s">
        <v>1735</v>
      </c>
      <c r="O233" s="353" t="s">
        <v>1736</v>
      </c>
      <c r="P233" s="353" t="s">
        <v>1737</v>
      </c>
      <c r="Q233" s="435" t="s">
        <v>1720</v>
      </c>
      <c r="R233" s="461" t="s">
        <v>1721</v>
      </c>
      <c r="S233" s="435" t="s">
        <v>1511</v>
      </c>
      <c r="T233" s="159" t="s">
        <v>1738</v>
      </c>
      <c r="U233" s="159" t="s">
        <v>1739</v>
      </c>
      <c r="V233" s="176" t="s">
        <v>1740</v>
      </c>
      <c r="W233" s="361" t="s">
        <v>1741</v>
      </c>
      <c r="X233" s="361">
        <v>778</v>
      </c>
      <c r="Y233" s="361"/>
      <c r="Z233" s="361" t="s">
        <v>311</v>
      </c>
      <c r="AA233" s="361"/>
      <c r="AB233" s="361"/>
      <c r="AC233" s="361"/>
      <c r="AD233" s="361"/>
      <c r="AE233" s="361"/>
      <c r="AF233" s="361"/>
      <c r="AG233" s="361"/>
      <c r="AH233" s="361"/>
      <c r="AI233" s="361"/>
      <c r="AJ233" s="177"/>
      <c r="AK233" s="443">
        <v>1</v>
      </c>
      <c r="AL233" s="444"/>
      <c r="AM233" s="370">
        <f>X233*P3_Reinigen_daken_incl._extra_maatregelen_veilig_werken_volgens_VCA_eventuele_vergunningen_leges_voorrijkosten_adminstratieve_kosten_fotorapportage_en_kleine_reparaties</f>
        <v>0</v>
      </c>
      <c r="AN233" s="371">
        <f>Y233*P3_Reinigen_goten_incl._extra_maatregelen_veilig_werken_volgens_VCA__eventuele_vergunningen_leges___voorrijkosten__adminstratieve_kosten__fotorapportage_en_kleine_reparaties</f>
        <v>0</v>
      </c>
      <c r="AO233" s="371">
        <f>(AE233*P3_Reinigen_Lichtkoepel_50X50)+('Perceel 3'!AF233*P3_Reinigen_Lichtkoepel_60x200)+('Perceel 3'!AG233*P3_Reinigen_Lichtkoepel_180x180)+('Perceel 3'!AH233*P3_Reinigen_Lichtstraten_groter_dan_180x180)</f>
        <v>0</v>
      </c>
      <c r="AP233" s="371">
        <f t="shared" si="40"/>
        <v>0</v>
      </c>
      <c r="AQ233" s="416"/>
      <c r="AR233" s="372">
        <f t="shared" si="41"/>
        <v>0</v>
      </c>
      <c r="AS233" s="373">
        <f t="shared" si="37"/>
        <v>0</v>
      </c>
    </row>
    <row r="234" spans="1:45" ht="25.5" customHeight="1" x14ac:dyDescent="0.45">
      <c r="A234" s="161"/>
      <c r="B234" s="347">
        <v>3</v>
      </c>
      <c r="C234" s="156" t="s">
        <v>135</v>
      </c>
      <c r="D234" s="156" t="s">
        <v>1391</v>
      </c>
      <c r="E234" s="156"/>
      <c r="F234" s="156"/>
      <c r="G234" s="156"/>
      <c r="H234" s="151" t="s">
        <v>1742</v>
      </c>
      <c r="I234" s="163" t="s">
        <v>1743</v>
      </c>
      <c r="J234" s="157"/>
      <c r="K234" s="163"/>
      <c r="L234" s="163" t="s">
        <v>154</v>
      </c>
      <c r="M234" s="166" t="s">
        <v>155</v>
      </c>
      <c r="N234" s="361">
        <v>1278</v>
      </c>
      <c r="O234" s="353" t="s">
        <v>1744</v>
      </c>
      <c r="P234" s="353" t="s">
        <v>1745</v>
      </c>
      <c r="Q234" s="353" t="s">
        <v>1746</v>
      </c>
      <c r="R234" s="355" t="s">
        <v>1704</v>
      </c>
      <c r="S234" s="353" t="s">
        <v>1511</v>
      </c>
      <c r="T234" s="159" t="s">
        <v>1561</v>
      </c>
      <c r="U234" s="159" t="s">
        <v>1562</v>
      </c>
      <c r="V234" s="176" t="s">
        <v>1563</v>
      </c>
      <c r="W234" s="361">
        <v>1990</v>
      </c>
      <c r="X234" s="361">
        <f>251+817</f>
        <v>1068</v>
      </c>
      <c r="Y234" s="361"/>
      <c r="Z234" s="361"/>
      <c r="AA234" s="361"/>
      <c r="AB234" s="361"/>
      <c r="AC234" s="361"/>
      <c r="AD234" s="361"/>
      <c r="AE234" s="361"/>
      <c r="AF234" s="361"/>
      <c r="AG234" s="361"/>
      <c r="AH234" s="361"/>
      <c r="AI234" s="361"/>
      <c r="AJ234" s="177"/>
      <c r="AK234" s="361">
        <v>1</v>
      </c>
      <c r="AL234" s="395"/>
      <c r="AM234" s="370">
        <f>X234*P3_Reinigen_daken_incl._extra_maatregelen_veilig_werken_volgens_VCA_eventuele_vergunningen_leges_voorrijkosten_adminstratieve_kosten_fotorapportage_en_kleine_reparaties</f>
        <v>0</v>
      </c>
      <c r="AN234" s="371">
        <f>Y234*P3_Reinigen_goten_incl._extra_maatregelen_veilig_werken_volgens_VCA__eventuele_vergunningen_leges___voorrijkosten__adminstratieve_kosten__fotorapportage_en_kleine_reparaties</f>
        <v>0</v>
      </c>
      <c r="AO234" s="371">
        <f>(AE234*P3_Reinigen_Lichtkoepel_50X50)+('Perceel 3'!AF234*P3_Reinigen_Lichtkoepel_60x200)+('Perceel 3'!AG234*P3_Reinigen_Lichtkoepel_180x180)+('Perceel 3'!AH234*P3_Reinigen_Lichtstraten_groter_dan_180x180)</f>
        <v>0</v>
      </c>
      <c r="AP234" s="371">
        <f t="shared" si="40"/>
        <v>0</v>
      </c>
      <c r="AQ234" s="416"/>
      <c r="AR234" s="372">
        <f t="shared" si="41"/>
        <v>0</v>
      </c>
      <c r="AS234" s="373">
        <f t="shared" si="37"/>
        <v>0</v>
      </c>
    </row>
    <row r="235" spans="1:45" ht="51" x14ac:dyDescent="0.45">
      <c r="A235" s="155"/>
      <c r="B235" s="347">
        <v>3</v>
      </c>
      <c r="C235" s="156" t="s">
        <v>135</v>
      </c>
      <c r="D235" s="156" t="s">
        <v>136</v>
      </c>
      <c r="E235" s="156"/>
      <c r="F235" s="156"/>
      <c r="G235" s="156"/>
      <c r="H235" s="151" t="s">
        <v>1747</v>
      </c>
      <c r="I235" s="151" t="s">
        <v>1748</v>
      </c>
      <c r="J235" s="157"/>
      <c r="K235" s="163"/>
      <c r="L235" s="163" t="s">
        <v>154</v>
      </c>
      <c r="M235" s="166" t="s">
        <v>544</v>
      </c>
      <c r="N235" s="361">
        <v>1175</v>
      </c>
      <c r="O235" s="353" t="s">
        <v>1749</v>
      </c>
      <c r="P235" s="353" t="s">
        <v>1750</v>
      </c>
      <c r="Q235" s="353"/>
      <c r="R235" s="355" t="s">
        <v>1704</v>
      </c>
      <c r="S235" s="353" t="s">
        <v>1511</v>
      </c>
      <c r="T235" s="159" t="s">
        <v>169</v>
      </c>
      <c r="U235" s="159" t="s">
        <v>170</v>
      </c>
      <c r="V235" s="176" t="s">
        <v>171</v>
      </c>
      <c r="W235" s="361">
        <v>1994</v>
      </c>
      <c r="X235" s="361">
        <v>454</v>
      </c>
      <c r="Y235" s="361"/>
      <c r="Z235" s="361"/>
      <c r="AA235" s="361"/>
      <c r="AB235" s="361"/>
      <c r="AC235" s="361"/>
      <c r="AD235" s="361"/>
      <c r="AE235" s="361"/>
      <c r="AF235" s="361"/>
      <c r="AG235" s="361"/>
      <c r="AH235" s="361"/>
      <c r="AI235" s="361"/>
      <c r="AJ235" s="177"/>
      <c r="AK235" s="361">
        <v>1</v>
      </c>
      <c r="AL235" s="395"/>
      <c r="AM235" s="370">
        <f>X235*P3_Reinigen_daken_incl._extra_maatregelen_veilig_werken_volgens_VCA_eventuele_vergunningen_leges_voorrijkosten_adminstratieve_kosten_fotorapportage_en_kleine_reparaties</f>
        <v>0</v>
      </c>
      <c r="AN235" s="371">
        <f>Y235*P3_Reinigen_goten_incl._extra_maatregelen_veilig_werken_volgens_VCA__eventuele_vergunningen_leges___voorrijkosten__adminstratieve_kosten__fotorapportage_en_kleine_reparaties</f>
        <v>0</v>
      </c>
      <c r="AO235" s="371">
        <f>(AE235*P3_Reinigen_Lichtkoepel_50X50)+('Perceel 3'!AF235*P3_Reinigen_Lichtkoepel_60x200)+('Perceel 3'!AG235*P3_Reinigen_Lichtkoepel_180x180)+('Perceel 3'!AH235*P3_Reinigen_Lichtstraten_groter_dan_180x180)</f>
        <v>0</v>
      </c>
      <c r="AP235" s="371">
        <f t="shared" si="40"/>
        <v>0</v>
      </c>
      <c r="AQ235" s="416"/>
      <c r="AR235" s="372">
        <f t="shared" si="41"/>
        <v>0</v>
      </c>
      <c r="AS235" s="373">
        <f t="shared" si="37"/>
        <v>0</v>
      </c>
    </row>
    <row r="236" spans="1:45" ht="37.5" customHeight="1" x14ac:dyDescent="0.45">
      <c r="A236" s="155"/>
      <c r="B236" s="347">
        <v>3</v>
      </c>
      <c r="C236" s="156" t="s">
        <v>135</v>
      </c>
      <c r="D236" s="156" t="s">
        <v>136</v>
      </c>
      <c r="E236" s="156"/>
      <c r="F236" s="156"/>
      <c r="G236" s="156"/>
      <c r="H236" s="151" t="s">
        <v>1751</v>
      </c>
      <c r="I236" s="151" t="s">
        <v>1752</v>
      </c>
      <c r="J236" s="157"/>
      <c r="K236" s="163"/>
      <c r="L236" s="163" t="s">
        <v>154</v>
      </c>
      <c r="M236" s="166" t="s">
        <v>544</v>
      </c>
      <c r="N236" s="361" t="s">
        <v>1753</v>
      </c>
      <c r="O236" s="353" t="s">
        <v>1754</v>
      </c>
      <c r="P236" s="435" t="s">
        <v>1755</v>
      </c>
      <c r="Q236" s="435" t="s">
        <v>1756</v>
      </c>
      <c r="R236" s="461" t="s">
        <v>942</v>
      </c>
      <c r="S236" s="435" t="s">
        <v>340</v>
      </c>
      <c r="T236" s="159" t="s">
        <v>1757</v>
      </c>
      <c r="U236" s="159" t="s">
        <v>1758</v>
      </c>
      <c r="V236" s="176" t="s">
        <v>1759</v>
      </c>
      <c r="W236" s="361">
        <v>2002</v>
      </c>
      <c r="X236" s="361">
        <v>875</v>
      </c>
      <c r="Y236" s="361"/>
      <c r="Z236" s="361" t="s">
        <v>311</v>
      </c>
      <c r="AA236" s="361" t="s">
        <v>150</v>
      </c>
      <c r="AB236" s="361">
        <f>11+7</f>
        <v>18</v>
      </c>
      <c r="AC236" s="361">
        <f>75+51</f>
        <v>126</v>
      </c>
      <c r="AD236" s="361" t="s">
        <v>1760</v>
      </c>
      <c r="AE236" s="361"/>
      <c r="AF236" s="361"/>
      <c r="AG236" s="361"/>
      <c r="AH236" s="361"/>
      <c r="AI236" s="361"/>
      <c r="AJ236" s="177"/>
      <c r="AK236" s="443">
        <v>1</v>
      </c>
      <c r="AL236" s="369"/>
      <c r="AM236" s="370">
        <f>X236*P3_reinigen_daken_met_vaste_dakveiligheid</f>
        <v>0</v>
      </c>
      <c r="AN236" s="371">
        <f>Y236*P3_reinigen_goten_met_vaste_dakveiligheid</f>
        <v>0</v>
      </c>
      <c r="AO236" s="371">
        <f>(AE236*P3_Reinigen_Lichtkoepel_50X50)+('Perceel 3'!AF236*P3_Reinigen_Lichtkoepel_60x200)+('Perceel 3'!AG236*P3_Reinigen_Lichtkoepel_180x180)+('Perceel 3'!AH236*P3_Reinigen_Lichtstraten_groter_dan_180x180)</f>
        <v>0</v>
      </c>
      <c r="AP236" s="371">
        <f t="shared" si="40"/>
        <v>0</v>
      </c>
      <c r="AQ236" s="419"/>
      <c r="AR236" s="372">
        <f t="shared" si="41"/>
        <v>0</v>
      </c>
      <c r="AS236" s="373">
        <f t="shared" si="37"/>
        <v>0</v>
      </c>
    </row>
    <row r="237" spans="1:45" ht="50.1" customHeight="1" x14ac:dyDescent="0.45">
      <c r="A237" s="155"/>
      <c r="B237" s="347">
        <v>3</v>
      </c>
      <c r="C237" s="156" t="s">
        <v>135</v>
      </c>
      <c r="D237" s="156" t="s">
        <v>136</v>
      </c>
      <c r="E237" s="156"/>
      <c r="F237" s="156"/>
      <c r="G237" s="156"/>
      <c r="H237" s="203" t="s">
        <v>1761</v>
      </c>
      <c r="I237" s="151" t="s">
        <v>1762</v>
      </c>
      <c r="J237" s="157"/>
      <c r="K237" s="163"/>
      <c r="L237" s="163" t="s">
        <v>154</v>
      </c>
      <c r="M237" s="166" t="s">
        <v>544</v>
      </c>
      <c r="N237" s="361">
        <v>2364</v>
      </c>
      <c r="O237" s="353" t="s">
        <v>1763</v>
      </c>
      <c r="P237" s="353" t="s">
        <v>1764</v>
      </c>
      <c r="Q237" s="353" t="s">
        <v>1756</v>
      </c>
      <c r="R237" s="355" t="s">
        <v>942</v>
      </c>
      <c r="S237" s="353" t="s">
        <v>340</v>
      </c>
      <c r="T237" s="159" t="s">
        <v>1765</v>
      </c>
      <c r="U237" s="159" t="s">
        <v>1766</v>
      </c>
      <c r="V237" s="176" t="s">
        <v>1767</v>
      </c>
      <c r="W237" s="361">
        <v>2014</v>
      </c>
      <c r="X237" s="361">
        <v>520</v>
      </c>
      <c r="Y237" s="361"/>
      <c r="Z237" s="361"/>
      <c r="AA237" s="361" t="s">
        <v>150</v>
      </c>
      <c r="AB237" s="361">
        <v>18</v>
      </c>
      <c r="AC237" s="361">
        <v>87</v>
      </c>
      <c r="AD237" s="361" t="s">
        <v>1016</v>
      </c>
      <c r="AE237" s="361"/>
      <c r="AF237" s="361"/>
      <c r="AG237" s="361"/>
      <c r="AH237" s="361"/>
      <c r="AI237" s="361"/>
      <c r="AJ237" s="177"/>
      <c r="AK237" s="443">
        <v>1</v>
      </c>
      <c r="AL237" s="444"/>
      <c r="AM237" s="370">
        <f>X237*P3_reinigen_daken_met_vaste_dakveiligheid</f>
        <v>0</v>
      </c>
      <c r="AN237" s="371">
        <f>Y237*P3_reinigen_goten_met_vaste_dakveiligheid</f>
        <v>0</v>
      </c>
      <c r="AO237" s="371">
        <f>(AE237*P3_Reinigen_Lichtkoepel_50X50)+('Perceel 3'!AF237*P3_Reinigen_Lichtkoepel_60x200)+('Perceel 3'!AG237*P3_Reinigen_Lichtkoepel_180x180)+('Perceel 3'!AH237*P3_Reinigen_Lichtstraten_groter_dan_180x180)</f>
        <v>0</v>
      </c>
      <c r="AP237" s="371">
        <f t="shared" si="40"/>
        <v>0</v>
      </c>
      <c r="AQ237" s="419"/>
      <c r="AR237" s="372">
        <f t="shared" si="41"/>
        <v>0</v>
      </c>
      <c r="AS237" s="373">
        <f t="shared" si="37"/>
        <v>0</v>
      </c>
    </row>
    <row r="238" spans="1:45" ht="38.25" x14ac:dyDescent="0.45">
      <c r="A238" s="155"/>
      <c r="B238" s="347">
        <v>3</v>
      </c>
      <c r="C238" s="156" t="s">
        <v>135</v>
      </c>
      <c r="D238" s="156" t="s">
        <v>136</v>
      </c>
      <c r="E238" s="156"/>
      <c r="F238" s="156"/>
      <c r="G238" s="156"/>
      <c r="H238" s="162" t="s">
        <v>1768</v>
      </c>
      <c r="I238" s="162" t="s">
        <v>1769</v>
      </c>
      <c r="J238" s="157"/>
      <c r="K238" s="163"/>
      <c r="L238" s="163" t="s">
        <v>191</v>
      </c>
      <c r="M238" s="166" t="s">
        <v>890</v>
      </c>
      <c r="N238" s="429" t="s">
        <v>1770</v>
      </c>
      <c r="O238" s="353" t="s">
        <v>1771</v>
      </c>
      <c r="P238" s="353" t="s">
        <v>1772</v>
      </c>
      <c r="Q238" s="353" t="s">
        <v>1773</v>
      </c>
      <c r="R238" s="355" t="s">
        <v>1544</v>
      </c>
      <c r="S238" s="353" t="s">
        <v>1511</v>
      </c>
      <c r="T238" s="159" t="s">
        <v>198</v>
      </c>
      <c r="U238" s="159" t="s">
        <v>896</v>
      </c>
      <c r="V238" s="209" t="s">
        <v>200</v>
      </c>
      <c r="W238" s="361">
        <v>2011</v>
      </c>
      <c r="X238" s="361">
        <v>47</v>
      </c>
      <c r="Y238" s="361"/>
      <c r="Z238" s="361"/>
      <c r="AA238" s="361"/>
      <c r="AB238" s="361"/>
      <c r="AC238" s="361"/>
      <c r="AD238" s="361"/>
      <c r="AE238" s="361"/>
      <c r="AF238" s="361"/>
      <c r="AG238" s="361"/>
      <c r="AH238" s="361"/>
      <c r="AI238" s="361"/>
      <c r="AJ238" s="177"/>
      <c r="AK238" s="361">
        <v>1</v>
      </c>
      <c r="AL238" s="369" t="s">
        <v>201</v>
      </c>
      <c r="AM238" s="370">
        <f t="shared" ref="AM238:AM244" si="43">X238*P3_Reinigen_daken_incl._extra_maatregelen_veilig_werken_volgens_VCA_eventuele_vergunningen_leges_voorrijkosten_adminstratieve_kosten_fotorapportage_en_kleine_reparaties</f>
        <v>0</v>
      </c>
      <c r="AN238" s="371">
        <f t="shared" ref="AN238:AN244" si="44">Y238*P3_Reinigen_goten_incl._extra_maatregelen_veilig_werken_volgens_VCA__eventuele_vergunningen_leges___voorrijkosten__adminstratieve_kosten__fotorapportage_en_kleine_reparaties</f>
        <v>0</v>
      </c>
      <c r="AO238" s="371">
        <f>(AE238*P3_Reinigen_Lichtkoepel_50X50)+('Perceel 3'!AF238*P3_Reinigen_Lichtkoepel_60x200)+('Perceel 3'!AG238*P3_Reinigen_Lichtkoepel_180x180)+('Perceel 3'!AH238*P3_Reinigen_Lichtstraten_groter_dan_180x180)</f>
        <v>0</v>
      </c>
      <c r="AP238" s="371">
        <f t="shared" si="40"/>
        <v>0</v>
      </c>
      <c r="AQ238" s="416"/>
      <c r="AR238" s="372">
        <f t="shared" si="41"/>
        <v>0</v>
      </c>
      <c r="AS238" s="373">
        <f t="shared" si="37"/>
        <v>0</v>
      </c>
    </row>
    <row r="239" spans="1:45" ht="38.25" x14ac:dyDescent="0.45">
      <c r="A239" s="155"/>
      <c r="B239" s="347">
        <v>3</v>
      </c>
      <c r="C239" s="156" t="s">
        <v>135</v>
      </c>
      <c r="D239" s="156" t="s">
        <v>136</v>
      </c>
      <c r="E239" s="156"/>
      <c r="F239" s="156"/>
      <c r="G239" s="156"/>
      <c r="H239" s="162" t="s">
        <v>1774</v>
      </c>
      <c r="I239" s="162" t="s">
        <v>1775</v>
      </c>
      <c r="J239" s="157"/>
      <c r="K239" s="163"/>
      <c r="L239" s="163" t="s">
        <v>191</v>
      </c>
      <c r="M239" s="166" t="s">
        <v>890</v>
      </c>
      <c r="N239" s="429" t="s">
        <v>1776</v>
      </c>
      <c r="O239" s="353" t="s">
        <v>1777</v>
      </c>
      <c r="P239" s="353" t="s">
        <v>1778</v>
      </c>
      <c r="Q239" s="353" t="s">
        <v>1779</v>
      </c>
      <c r="R239" s="355" t="s">
        <v>1544</v>
      </c>
      <c r="S239" s="353" t="s">
        <v>1511</v>
      </c>
      <c r="T239" s="159" t="s">
        <v>198</v>
      </c>
      <c r="U239" s="159" t="s">
        <v>896</v>
      </c>
      <c r="V239" s="209" t="s">
        <v>200</v>
      </c>
      <c r="W239" s="361">
        <v>2010</v>
      </c>
      <c r="X239" s="361">
        <v>425</v>
      </c>
      <c r="Y239" s="361"/>
      <c r="Z239" s="361"/>
      <c r="AA239" s="361"/>
      <c r="AB239" s="361"/>
      <c r="AC239" s="361"/>
      <c r="AD239" s="361"/>
      <c r="AE239" s="361"/>
      <c r="AF239" s="361"/>
      <c r="AG239" s="361"/>
      <c r="AH239" s="361"/>
      <c r="AI239" s="361"/>
      <c r="AJ239" s="177"/>
      <c r="AK239" s="361">
        <v>1</v>
      </c>
      <c r="AL239" s="369" t="s">
        <v>201</v>
      </c>
      <c r="AM239" s="370">
        <f t="shared" si="43"/>
        <v>0</v>
      </c>
      <c r="AN239" s="371">
        <f t="shared" si="44"/>
        <v>0</v>
      </c>
      <c r="AO239" s="371">
        <f>(AE239*P3_Reinigen_Lichtkoepel_50X50)+('Perceel 3'!AF239*P3_Reinigen_Lichtkoepel_60x200)+('Perceel 3'!AG239*P3_Reinigen_Lichtkoepel_180x180)+('Perceel 3'!AH239*P3_Reinigen_Lichtstraten_groter_dan_180x180)</f>
        <v>0</v>
      </c>
      <c r="AP239" s="371">
        <f t="shared" si="40"/>
        <v>0</v>
      </c>
      <c r="AQ239" s="416"/>
      <c r="AR239" s="372">
        <f t="shared" si="41"/>
        <v>0</v>
      </c>
      <c r="AS239" s="373">
        <f t="shared" si="37"/>
        <v>0</v>
      </c>
    </row>
    <row r="240" spans="1:45" ht="38.25" x14ac:dyDescent="0.45">
      <c r="A240" s="155"/>
      <c r="B240" s="347">
        <v>3</v>
      </c>
      <c r="C240" s="156" t="s">
        <v>135</v>
      </c>
      <c r="D240" s="156" t="s">
        <v>136</v>
      </c>
      <c r="E240" s="156"/>
      <c r="F240" s="156"/>
      <c r="G240" s="156"/>
      <c r="H240" s="203" t="s">
        <v>1780</v>
      </c>
      <c r="I240" s="163"/>
      <c r="J240" s="157"/>
      <c r="K240" s="163"/>
      <c r="L240" s="163" t="s">
        <v>191</v>
      </c>
      <c r="M240" s="166" t="s">
        <v>890</v>
      </c>
      <c r="N240" s="429" t="s">
        <v>1781</v>
      </c>
      <c r="O240" s="353" t="s">
        <v>1782</v>
      </c>
      <c r="P240" s="353" t="s">
        <v>1783</v>
      </c>
      <c r="Q240" s="353" t="s">
        <v>1784</v>
      </c>
      <c r="R240" s="355" t="s">
        <v>1544</v>
      </c>
      <c r="S240" s="353" t="s">
        <v>1511</v>
      </c>
      <c r="T240" s="159" t="s">
        <v>198</v>
      </c>
      <c r="U240" s="159" t="s">
        <v>896</v>
      </c>
      <c r="V240" s="209" t="s">
        <v>200</v>
      </c>
      <c r="W240" s="361">
        <v>2010</v>
      </c>
      <c r="X240" s="361">
        <v>715</v>
      </c>
      <c r="Y240" s="361"/>
      <c r="Z240" s="361"/>
      <c r="AA240" s="361"/>
      <c r="AB240" s="361"/>
      <c r="AC240" s="361"/>
      <c r="AD240" s="361"/>
      <c r="AE240" s="361"/>
      <c r="AF240" s="361"/>
      <c r="AG240" s="361"/>
      <c r="AH240" s="361"/>
      <c r="AI240" s="361"/>
      <c r="AJ240" s="177"/>
      <c r="AK240" s="361">
        <v>1</v>
      </c>
      <c r="AL240" s="369" t="s">
        <v>201</v>
      </c>
      <c r="AM240" s="370">
        <f t="shared" si="43"/>
        <v>0</v>
      </c>
      <c r="AN240" s="371">
        <f t="shared" si="44"/>
        <v>0</v>
      </c>
      <c r="AO240" s="371">
        <f>(AE240*P3_Reinigen_Lichtkoepel_50X50)+('Perceel 3'!AF240*P3_Reinigen_Lichtkoepel_60x200)+('Perceel 3'!AG240*P3_Reinigen_Lichtkoepel_180x180)+('Perceel 3'!AH240*P3_Reinigen_Lichtstraten_groter_dan_180x180)</f>
        <v>0</v>
      </c>
      <c r="AP240" s="371">
        <f t="shared" si="40"/>
        <v>0</v>
      </c>
      <c r="AQ240" s="416"/>
      <c r="AR240" s="372">
        <f t="shared" si="41"/>
        <v>0</v>
      </c>
      <c r="AS240" s="373">
        <f t="shared" si="37"/>
        <v>0</v>
      </c>
    </row>
    <row r="241" spans="1:45" ht="38.25" x14ac:dyDescent="0.45">
      <c r="A241" s="155"/>
      <c r="B241" s="347">
        <v>3</v>
      </c>
      <c r="C241" s="156" t="s">
        <v>135</v>
      </c>
      <c r="D241" s="156" t="s">
        <v>136</v>
      </c>
      <c r="E241" s="156"/>
      <c r="F241" s="156"/>
      <c r="G241" s="156"/>
      <c r="H241" s="162" t="s">
        <v>1785</v>
      </c>
      <c r="I241" s="162" t="s">
        <v>1786</v>
      </c>
      <c r="J241" s="157"/>
      <c r="K241" s="163"/>
      <c r="L241" s="163" t="s">
        <v>191</v>
      </c>
      <c r="M241" s="166" t="s">
        <v>890</v>
      </c>
      <c r="N241" s="429" t="s">
        <v>1787</v>
      </c>
      <c r="O241" s="353" t="s">
        <v>1788</v>
      </c>
      <c r="P241" s="353" t="s">
        <v>1789</v>
      </c>
      <c r="Q241" s="353" t="s">
        <v>1790</v>
      </c>
      <c r="R241" s="355" t="s">
        <v>1544</v>
      </c>
      <c r="S241" s="353" t="s">
        <v>1511</v>
      </c>
      <c r="T241" s="159" t="s">
        <v>198</v>
      </c>
      <c r="U241" s="159" t="s">
        <v>896</v>
      </c>
      <c r="V241" s="209" t="s">
        <v>200</v>
      </c>
      <c r="W241" s="361">
        <v>2012</v>
      </c>
      <c r="X241" s="361">
        <v>53</v>
      </c>
      <c r="Y241" s="361"/>
      <c r="Z241" s="361"/>
      <c r="AA241" s="361"/>
      <c r="AB241" s="361"/>
      <c r="AC241" s="361"/>
      <c r="AD241" s="361"/>
      <c r="AE241" s="361"/>
      <c r="AF241" s="361"/>
      <c r="AG241" s="361"/>
      <c r="AH241" s="361"/>
      <c r="AI241" s="361"/>
      <c r="AJ241" s="177"/>
      <c r="AK241" s="361">
        <v>1</v>
      </c>
      <c r="AL241" s="369" t="s">
        <v>201</v>
      </c>
      <c r="AM241" s="370">
        <f t="shared" si="43"/>
        <v>0</v>
      </c>
      <c r="AN241" s="371">
        <f t="shared" si="44"/>
        <v>0</v>
      </c>
      <c r="AO241" s="371">
        <f>(AE241*P3_Reinigen_Lichtkoepel_50X50)+('Perceel 3'!AF241*P3_Reinigen_Lichtkoepel_60x200)+('Perceel 3'!AG241*P3_Reinigen_Lichtkoepel_180x180)+('Perceel 3'!AH241*P3_Reinigen_Lichtstraten_groter_dan_180x180)</f>
        <v>0</v>
      </c>
      <c r="AP241" s="371">
        <f t="shared" si="40"/>
        <v>0</v>
      </c>
      <c r="AQ241" s="416"/>
      <c r="AR241" s="372">
        <f t="shared" si="41"/>
        <v>0</v>
      </c>
      <c r="AS241" s="373">
        <f t="shared" si="37"/>
        <v>0</v>
      </c>
    </row>
    <row r="242" spans="1:45" x14ac:dyDescent="0.45">
      <c r="A242" s="155"/>
      <c r="B242" s="348">
        <v>3</v>
      </c>
      <c r="C242" s="156" t="s">
        <v>135</v>
      </c>
      <c r="D242" s="156" t="s">
        <v>136</v>
      </c>
      <c r="E242" s="156"/>
      <c r="F242" s="156"/>
      <c r="G242" s="156"/>
      <c r="H242" s="151" t="s">
        <v>1791</v>
      </c>
      <c r="I242" s="151" t="s">
        <v>1792</v>
      </c>
      <c r="J242" s="157"/>
      <c r="K242" s="163"/>
      <c r="L242" s="163" t="s">
        <v>154</v>
      </c>
      <c r="M242" s="163" t="s">
        <v>155</v>
      </c>
      <c r="N242" s="443" t="s">
        <v>1793</v>
      </c>
      <c r="O242" s="353" t="s">
        <v>1794</v>
      </c>
      <c r="P242" s="435" t="s">
        <v>1795</v>
      </c>
      <c r="Q242" s="435" t="s">
        <v>1796</v>
      </c>
      <c r="R242" s="461" t="s">
        <v>1704</v>
      </c>
      <c r="S242" s="435" t="s">
        <v>1511</v>
      </c>
      <c r="T242" s="159" t="s">
        <v>1797</v>
      </c>
      <c r="U242" s="159" t="s">
        <v>1798</v>
      </c>
      <c r="V242" s="176" t="s">
        <v>1799</v>
      </c>
      <c r="W242" s="361">
        <v>1999</v>
      </c>
      <c r="X242" s="361">
        <v>725</v>
      </c>
      <c r="Y242" s="361"/>
      <c r="Z242" s="361"/>
      <c r="AA242" s="361"/>
      <c r="AB242" s="361"/>
      <c r="AC242" s="361"/>
      <c r="AD242" s="361"/>
      <c r="AE242" s="361"/>
      <c r="AF242" s="361"/>
      <c r="AG242" s="361"/>
      <c r="AH242" s="361"/>
      <c r="AI242" s="361"/>
      <c r="AJ242" s="177"/>
      <c r="AK242" s="443">
        <v>1</v>
      </c>
      <c r="AL242" s="369"/>
      <c r="AM242" s="370">
        <f t="shared" si="43"/>
        <v>0</v>
      </c>
      <c r="AN242" s="371">
        <f t="shared" si="44"/>
        <v>0</v>
      </c>
      <c r="AO242" s="371">
        <f>(AE242*P3_Reinigen_Lichtkoepel_50X50)+('Perceel 3'!AF242*P3_Reinigen_Lichtkoepel_60x200)+('Perceel 3'!AG242*P3_Reinigen_Lichtkoepel_180x180)+('Perceel 3'!AH242*P3_Reinigen_Lichtstraten_groter_dan_180x180)</f>
        <v>0</v>
      </c>
      <c r="AP242" s="371">
        <f t="shared" si="40"/>
        <v>0</v>
      </c>
      <c r="AQ242" s="416"/>
      <c r="AR242" s="372">
        <f t="shared" si="41"/>
        <v>0</v>
      </c>
      <c r="AS242" s="373">
        <f t="shared" si="37"/>
        <v>0</v>
      </c>
    </row>
    <row r="243" spans="1:45" ht="25.5" customHeight="1" x14ac:dyDescent="0.45">
      <c r="A243" s="155"/>
      <c r="B243" s="347">
        <v>3</v>
      </c>
      <c r="C243" s="156" t="s">
        <v>135</v>
      </c>
      <c r="D243" s="156" t="s">
        <v>174</v>
      </c>
      <c r="E243" s="156"/>
      <c r="F243" s="156"/>
      <c r="G243" s="156"/>
      <c r="H243" s="151" t="s">
        <v>1800</v>
      </c>
      <c r="I243" s="159" t="s">
        <v>1801</v>
      </c>
      <c r="J243" s="157"/>
      <c r="K243" s="163"/>
      <c r="L243" s="151" t="s">
        <v>348</v>
      </c>
      <c r="M243" s="159" t="s">
        <v>349</v>
      </c>
      <c r="N243" s="361" t="s">
        <v>1802</v>
      </c>
      <c r="O243" s="353" t="s">
        <v>1803</v>
      </c>
      <c r="P243" s="353" t="s">
        <v>1804</v>
      </c>
      <c r="Q243" s="353" t="s">
        <v>1805</v>
      </c>
      <c r="R243" s="355" t="s">
        <v>1721</v>
      </c>
      <c r="S243" s="353" t="s">
        <v>1511</v>
      </c>
      <c r="T243" s="159" t="s">
        <v>1806</v>
      </c>
      <c r="U243" s="159" t="s">
        <v>1807</v>
      </c>
      <c r="V243" s="176" t="s">
        <v>1808</v>
      </c>
      <c r="W243" s="361">
        <v>1984</v>
      </c>
      <c r="X243" s="361">
        <v>1195</v>
      </c>
      <c r="Y243" s="361"/>
      <c r="Z243" s="361"/>
      <c r="AA243" s="361"/>
      <c r="AB243" s="361"/>
      <c r="AC243" s="361"/>
      <c r="AD243" s="361"/>
      <c r="AE243" s="361"/>
      <c r="AF243" s="361"/>
      <c r="AG243" s="361"/>
      <c r="AH243" s="361"/>
      <c r="AI243" s="361"/>
      <c r="AJ243" s="177"/>
      <c r="AK243" s="361">
        <v>1</v>
      </c>
      <c r="AL243" s="395"/>
      <c r="AM243" s="370">
        <f t="shared" si="43"/>
        <v>0</v>
      </c>
      <c r="AN243" s="371">
        <f t="shared" si="44"/>
        <v>0</v>
      </c>
      <c r="AO243" s="371">
        <f>(AE243*P3_Reinigen_Lichtkoepel_50X50)+('Perceel 3'!AF243*P3_Reinigen_Lichtkoepel_60x200)+('Perceel 3'!AG243*P3_Reinigen_Lichtkoepel_180x180)+('Perceel 3'!AH243*P3_Reinigen_Lichtstraten_groter_dan_180x180)</f>
        <v>0</v>
      </c>
      <c r="AP243" s="371">
        <f t="shared" si="40"/>
        <v>0</v>
      </c>
      <c r="AQ243" s="416"/>
      <c r="AR243" s="372">
        <f t="shared" si="41"/>
        <v>0</v>
      </c>
      <c r="AS243" s="373">
        <f t="shared" si="37"/>
        <v>0</v>
      </c>
    </row>
    <row r="244" spans="1:45" ht="12.75" customHeight="1" x14ac:dyDescent="0.45">
      <c r="A244" s="155"/>
      <c r="B244" s="347">
        <v>3</v>
      </c>
      <c r="C244" s="156" t="s">
        <v>135</v>
      </c>
      <c r="D244" s="156" t="s">
        <v>174</v>
      </c>
      <c r="E244" s="156"/>
      <c r="F244" s="156"/>
      <c r="G244" s="156"/>
      <c r="H244" s="151" t="s">
        <v>1809</v>
      </c>
      <c r="I244" s="151" t="s">
        <v>1810</v>
      </c>
      <c r="J244" s="157"/>
      <c r="K244" s="163"/>
      <c r="L244" s="151" t="s">
        <v>348</v>
      </c>
      <c r="M244" s="159" t="s">
        <v>349</v>
      </c>
      <c r="N244" s="443" t="s">
        <v>1811</v>
      </c>
      <c r="O244" s="353" t="s">
        <v>1812</v>
      </c>
      <c r="P244" s="435" t="s">
        <v>1813</v>
      </c>
      <c r="Q244" s="435" t="s">
        <v>1814</v>
      </c>
      <c r="R244" s="461" t="s">
        <v>1510</v>
      </c>
      <c r="S244" s="435" t="s">
        <v>1511</v>
      </c>
      <c r="T244" s="159" t="s">
        <v>1815</v>
      </c>
      <c r="U244" s="159" t="s">
        <v>1816</v>
      </c>
      <c r="V244" s="176" t="s">
        <v>1817</v>
      </c>
      <c r="W244" s="361" t="s">
        <v>1818</v>
      </c>
      <c r="X244" s="361">
        <v>1130</v>
      </c>
      <c r="Y244" s="361"/>
      <c r="Z244" s="361"/>
      <c r="AA244" s="361"/>
      <c r="AB244" s="361"/>
      <c r="AC244" s="361"/>
      <c r="AD244" s="361"/>
      <c r="AE244" s="361"/>
      <c r="AF244" s="361"/>
      <c r="AG244" s="361"/>
      <c r="AH244" s="361"/>
      <c r="AI244" s="361"/>
      <c r="AJ244" s="177"/>
      <c r="AK244" s="443">
        <v>2</v>
      </c>
      <c r="AL244" s="444"/>
      <c r="AM244" s="370">
        <f t="shared" si="43"/>
        <v>0</v>
      </c>
      <c r="AN244" s="371">
        <f t="shared" si="44"/>
        <v>0</v>
      </c>
      <c r="AO244" s="371">
        <f>(AE244*P3_Reinigen_Lichtkoepel_50X50)+('Perceel 3'!AF244*P3_Reinigen_Lichtkoepel_60x200)+('Perceel 3'!AG244*P3_Reinigen_Lichtkoepel_180x180)+('Perceel 3'!AH244*P3_Reinigen_Lichtstraten_groter_dan_180x180)</f>
        <v>0</v>
      </c>
      <c r="AP244" s="371">
        <f t="shared" si="40"/>
        <v>0</v>
      </c>
      <c r="AQ244" s="416"/>
      <c r="AR244" s="372">
        <f t="shared" si="41"/>
        <v>0</v>
      </c>
      <c r="AS244" s="373">
        <f t="shared" si="37"/>
        <v>0</v>
      </c>
    </row>
    <row r="245" spans="1:45" ht="38.450000000000003" customHeight="1" x14ac:dyDescent="0.45">
      <c r="A245" s="155"/>
      <c r="B245" s="347">
        <v>3</v>
      </c>
      <c r="C245" s="156" t="s">
        <v>135</v>
      </c>
      <c r="D245" s="156" t="s">
        <v>174</v>
      </c>
      <c r="E245" s="156"/>
      <c r="F245" s="156"/>
      <c r="G245" s="156"/>
      <c r="H245" s="151" t="s">
        <v>1819</v>
      </c>
      <c r="I245" s="151" t="s">
        <v>1820</v>
      </c>
      <c r="J245" s="157"/>
      <c r="K245" s="163"/>
      <c r="L245" s="151" t="s">
        <v>348</v>
      </c>
      <c r="M245" s="159" t="s">
        <v>349</v>
      </c>
      <c r="N245" s="443">
        <v>1287</v>
      </c>
      <c r="O245" s="353" t="s">
        <v>1821</v>
      </c>
      <c r="P245" s="353" t="s">
        <v>2347</v>
      </c>
      <c r="Q245" s="435" t="s">
        <v>1823</v>
      </c>
      <c r="R245" s="461" t="s">
        <v>1679</v>
      </c>
      <c r="S245" s="435" t="s">
        <v>1511</v>
      </c>
      <c r="T245" s="159" t="s">
        <v>1824</v>
      </c>
      <c r="U245" s="159" t="s">
        <v>1825</v>
      </c>
      <c r="V245" s="176" t="s">
        <v>1826</v>
      </c>
      <c r="W245" s="361">
        <v>2005</v>
      </c>
      <c r="X245" s="361">
        <v>1394</v>
      </c>
      <c r="Y245" s="361"/>
      <c r="Z245" s="361"/>
      <c r="AA245" s="361" t="s">
        <v>150</v>
      </c>
      <c r="AB245" s="361">
        <v>29</v>
      </c>
      <c r="AC245" s="361"/>
      <c r="AD245" s="361"/>
      <c r="AE245" s="361"/>
      <c r="AF245" s="361"/>
      <c r="AG245" s="361"/>
      <c r="AH245" s="361"/>
      <c r="AI245" s="361"/>
      <c r="AJ245" s="177"/>
      <c r="AK245" s="443">
        <v>1</v>
      </c>
      <c r="AL245" s="444"/>
      <c r="AM245" s="370">
        <f>X245*P3_reinigen_daken_met_vaste_dakveiligheid</f>
        <v>0</v>
      </c>
      <c r="AN245" s="371">
        <f>Y245*P3_reinigen_goten_met_vaste_dakveiligheid</f>
        <v>0</v>
      </c>
      <c r="AO245" s="371">
        <f>(AE245*P3_Reinigen_Lichtkoepel_50X50)+('Perceel 3'!AF245*P3_Reinigen_Lichtkoepel_60x200)+('Perceel 3'!AG245*P3_Reinigen_Lichtkoepel_180x180)+('Perceel 3'!AH245*P3_Reinigen_Lichtstraten_groter_dan_180x180)</f>
        <v>0</v>
      </c>
      <c r="AP245" s="371">
        <f t="shared" si="40"/>
        <v>0</v>
      </c>
      <c r="AQ245" s="419"/>
      <c r="AR245" s="372">
        <f t="shared" si="41"/>
        <v>0</v>
      </c>
      <c r="AS245" s="373">
        <f t="shared" si="37"/>
        <v>0</v>
      </c>
    </row>
    <row r="246" spans="1:45" ht="25.5" x14ac:dyDescent="0.45">
      <c r="A246" s="155"/>
      <c r="B246" s="347">
        <v>3</v>
      </c>
      <c r="C246" s="156" t="s">
        <v>135</v>
      </c>
      <c r="D246" s="156" t="s">
        <v>136</v>
      </c>
      <c r="E246" s="156"/>
      <c r="F246" s="156"/>
      <c r="G246" s="156"/>
      <c r="H246" s="151" t="s">
        <v>1827</v>
      </c>
      <c r="I246" s="151" t="s">
        <v>1828</v>
      </c>
      <c r="J246" s="157"/>
      <c r="K246" s="163"/>
      <c r="L246" s="151" t="s">
        <v>139</v>
      </c>
      <c r="M246" s="159" t="s">
        <v>140</v>
      </c>
      <c r="N246" s="361" t="s">
        <v>1829</v>
      </c>
      <c r="O246" s="353" t="s">
        <v>1830</v>
      </c>
      <c r="P246" s="353" t="s">
        <v>2348</v>
      </c>
      <c r="Q246" s="435" t="s">
        <v>1832</v>
      </c>
      <c r="R246" s="461" t="s">
        <v>942</v>
      </c>
      <c r="S246" s="435" t="s">
        <v>340</v>
      </c>
      <c r="T246" s="159" t="s">
        <v>1833</v>
      </c>
      <c r="U246" s="159" t="s">
        <v>1834</v>
      </c>
      <c r="V246" s="176" t="s">
        <v>400</v>
      </c>
      <c r="W246" s="361">
        <v>2001</v>
      </c>
      <c r="X246" s="361">
        <v>1076</v>
      </c>
      <c r="Y246" s="361"/>
      <c r="Z246" s="361" t="s">
        <v>311</v>
      </c>
      <c r="AA246" s="361"/>
      <c r="AB246" s="361"/>
      <c r="AC246" s="361"/>
      <c r="AD246" s="361"/>
      <c r="AE246" s="361"/>
      <c r="AF246" s="361"/>
      <c r="AG246" s="361"/>
      <c r="AH246" s="361"/>
      <c r="AI246" s="361"/>
      <c r="AJ246" s="177"/>
      <c r="AK246" s="443">
        <v>1</v>
      </c>
      <c r="AL246" s="444"/>
      <c r="AM246" s="370">
        <f>X246*P3_Reinigen_daken_incl._extra_maatregelen_veilig_werken_volgens_VCA_eventuele_vergunningen_leges_voorrijkosten_adminstratieve_kosten_fotorapportage_en_kleine_reparaties</f>
        <v>0</v>
      </c>
      <c r="AN246" s="371">
        <f>Y246*P3_Reinigen_goten_incl._extra_maatregelen_veilig_werken_volgens_VCA__eventuele_vergunningen_leges___voorrijkosten__adminstratieve_kosten__fotorapportage_en_kleine_reparaties</f>
        <v>0</v>
      </c>
      <c r="AO246" s="371">
        <f>(AE246*P3_Reinigen_Lichtkoepel_50X50)+('Perceel 3'!AF246*P3_Reinigen_Lichtkoepel_60x200)+('Perceel 3'!AG246*P3_Reinigen_Lichtkoepel_180x180)+('Perceel 3'!AH246*P3_Reinigen_Lichtstraten_groter_dan_180x180)</f>
        <v>0</v>
      </c>
      <c r="AP246" s="371">
        <f t="shared" si="40"/>
        <v>0</v>
      </c>
      <c r="AQ246" s="416"/>
      <c r="AR246" s="372">
        <f t="shared" si="41"/>
        <v>0</v>
      </c>
      <c r="AS246" s="373">
        <f t="shared" si="37"/>
        <v>0</v>
      </c>
    </row>
    <row r="247" spans="1:45" ht="38.25" x14ac:dyDescent="0.4">
      <c r="A247" s="211"/>
      <c r="B247" s="374">
        <v>3</v>
      </c>
      <c r="C247" s="171" t="s">
        <v>135</v>
      </c>
      <c r="D247" s="171" t="s">
        <v>136</v>
      </c>
      <c r="E247" s="171" t="s">
        <v>174</v>
      </c>
      <c r="F247" s="171"/>
      <c r="G247" s="171"/>
      <c r="H247" s="15"/>
      <c r="I247" s="15"/>
      <c r="J247" s="16"/>
      <c r="K247" s="16"/>
      <c r="L247" s="196" t="s">
        <v>348</v>
      </c>
      <c r="M247" s="171" t="s">
        <v>1621</v>
      </c>
      <c r="N247" s="471" t="s">
        <v>1835</v>
      </c>
      <c r="O247" s="381" t="s">
        <v>1836</v>
      </c>
      <c r="P247" s="381" t="s">
        <v>1837</v>
      </c>
      <c r="Q247" s="466"/>
      <c r="R247" s="467"/>
      <c r="S247" s="466"/>
      <c r="T247" s="171"/>
      <c r="U247" s="171"/>
      <c r="V247" s="171"/>
      <c r="W247" s="466"/>
      <c r="X247" s="471">
        <v>2169</v>
      </c>
      <c r="Y247" s="466"/>
      <c r="Z247" s="381"/>
      <c r="AA247" s="381" t="s">
        <v>150</v>
      </c>
      <c r="AB247" s="381">
        <v>33</v>
      </c>
      <c r="AC247" s="381">
        <v>259</v>
      </c>
      <c r="AD247" s="381"/>
      <c r="AE247" s="381"/>
      <c r="AF247" s="381"/>
      <c r="AG247" s="381"/>
      <c r="AH247" s="381"/>
      <c r="AI247" s="381"/>
      <c r="AJ247" s="171"/>
      <c r="AK247" s="471">
        <v>1</v>
      </c>
      <c r="AL247" s="460"/>
      <c r="AM247" s="370">
        <f>X247*P3_reinigen_daken_met_vaste_dakveiligheid</f>
        <v>0</v>
      </c>
      <c r="AN247" s="371">
        <f>Y247*P3_reinigen_goten_met_vaste_dakveiligheid</f>
        <v>0</v>
      </c>
      <c r="AO247" s="371">
        <f>(AE247*P3_Reinigen_Lichtkoepel_50X50)+('Perceel 3'!AF247*P3_Reinigen_Lichtkoepel_60x200)+('Perceel 3'!AG247*P3_Reinigen_Lichtkoepel_180x180)+('Perceel 3'!AH247*P3_Reinigen_Lichtstraten_groter_dan_180x180)</f>
        <v>0</v>
      </c>
      <c r="AP247" s="371">
        <f t="shared" si="40"/>
        <v>0</v>
      </c>
      <c r="AQ247" s="419"/>
      <c r="AR247" s="372">
        <f t="shared" si="41"/>
        <v>0</v>
      </c>
      <c r="AS247" s="373">
        <f t="shared" si="37"/>
        <v>0</v>
      </c>
    </row>
    <row r="248" spans="1:45" ht="76.5" customHeight="1" x14ac:dyDescent="0.4">
      <c r="A248" s="182"/>
      <c r="B248" s="352">
        <v>3</v>
      </c>
      <c r="C248" s="175" t="s">
        <v>135</v>
      </c>
      <c r="D248" s="175" t="s">
        <v>136</v>
      </c>
      <c r="E248" s="175"/>
      <c r="F248" s="175"/>
      <c r="G248" s="175"/>
      <c r="H248" s="174" t="s">
        <v>1838</v>
      </c>
      <c r="I248" s="174" t="s">
        <v>1839</v>
      </c>
      <c r="J248" s="197"/>
      <c r="K248" s="197"/>
      <c r="L248" s="174"/>
      <c r="M248" s="191" t="s">
        <v>544</v>
      </c>
      <c r="N248" s="441">
        <v>1199</v>
      </c>
      <c r="O248" s="358" t="s">
        <v>1840</v>
      </c>
      <c r="P248" s="438" t="s">
        <v>1841</v>
      </c>
      <c r="Q248" s="438" t="s">
        <v>1842</v>
      </c>
      <c r="R248" s="439" t="s">
        <v>1843</v>
      </c>
      <c r="S248" s="438" t="s">
        <v>869</v>
      </c>
      <c r="T248" s="175" t="s">
        <v>169</v>
      </c>
      <c r="U248" s="175" t="s">
        <v>170</v>
      </c>
      <c r="V248" s="175" t="s">
        <v>171</v>
      </c>
      <c r="W248" s="438">
        <v>2016</v>
      </c>
      <c r="X248" s="441">
        <f>X247*32%</f>
        <v>694.08</v>
      </c>
      <c r="Y248" s="438"/>
      <c r="Z248" s="362" t="s">
        <v>311</v>
      </c>
      <c r="AA248" s="358" t="s">
        <v>150</v>
      </c>
      <c r="AB248" s="358"/>
      <c r="AC248" s="358"/>
      <c r="AD248" s="358"/>
      <c r="AE248" s="358"/>
      <c r="AF248" s="358"/>
      <c r="AG248" s="358"/>
      <c r="AH248" s="358"/>
      <c r="AI248" s="358" t="s">
        <v>345</v>
      </c>
      <c r="AJ248" s="175"/>
      <c r="AK248" s="441">
        <v>1</v>
      </c>
      <c r="AL248" s="460"/>
      <c r="AM248" s="370">
        <f>X248*P3_reinigen_daken_met_vaste_dakveiligheid</f>
        <v>0</v>
      </c>
      <c r="AN248" s="371">
        <f>Y248*P3_reinigen_goten_met_vaste_dakveiligheid</f>
        <v>0</v>
      </c>
      <c r="AO248" s="371">
        <f>(AE248*P3_Reinigen_Lichtkoepel_50X50)+('Perceel 3'!AF248*P3_Reinigen_Lichtkoepel_60x200)+('Perceel 3'!AG248*P3_Reinigen_Lichtkoepel_180x180)+('Perceel 3'!AH248*P3_Reinigen_Lichtstraten_groter_dan_180x180)</f>
        <v>0</v>
      </c>
      <c r="AP248" s="371">
        <f t="shared" si="40"/>
        <v>0</v>
      </c>
      <c r="AQ248" s="424">
        <f>AQ247*32%</f>
        <v>0</v>
      </c>
      <c r="AR248" s="372">
        <f t="shared" si="41"/>
        <v>0</v>
      </c>
      <c r="AS248" s="373">
        <f t="shared" si="37"/>
        <v>0</v>
      </c>
    </row>
    <row r="249" spans="1:45" ht="38.450000000000003" customHeight="1" x14ac:dyDescent="0.4">
      <c r="A249" s="182"/>
      <c r="B249" s="352">
        <v>3</v>
      </c>
      <c r="C249" s="175" t="s">
        <v>135</v>
      </c>
      <c r="D249" s="175" t="s">
        <v>174</v>
      </c>
      <c r="E249" s="175"/>
      <c r="F249" s="175"/>
      <c r="G249" s="175"/>
      <c r="H249" s="174" t="s">
        <v>1844</v>
      </c>
      <c r="I249" s="174" t="s">
        <v>1845</v>
      </c>
      <c r="J249" s="197"/>
      <c r="K249" s="197"/>
      <c r="L249" s="174"/>
      <c r="M249" s="175" t="s">
        <v>349</v>
      </c>
      <c r="N249" s="441">
        <v>1292</v>
      </c>
      <c r="O249" s="358" t="s">
        <v>1846</v>
      </c>
      <c r="P249" s="438" t="s">
        <v>1847</v>
      </c>
      <c r="Q249" s="438" t="s">
        <v>1842</v>
      </c>
      <c r="R249" s="439" t="s">
        <v>1843</v>
      </c>
      <c r="S249" s="438" t="s">
        <v>869</v>
      </c>
      <c r="T249" s="175" t="s">
        <v>1848</v>
      </c>
      <c r="U249" s="175" t="s">
        <v>1849</v>
      </c>
      <c r="V249" s="175" t="s">
        <v>1850</v>
      </c>
      <c r="W249" s="438">
        <v>2016</v>
      </c>
      <c r="X249" s="441">
        <f>X247*68%</f>
        <v>1474.92</v>
      </c>
      <c r="Y249" s="438"/>
      <c r="Z249" s="358"/>
      <c r="AA249" s="358" t="s">
        <v>150</v>
      </c>
      <c r="AB249" s="358"/>
      <c r="AC249" s="358"/>
      <c r="AD249" s="358"/>
      <c r="AE249" s="358"/>
      <c r="AF249" s="358"/>
      <c r="AG249" s="358"/>
      <c r="AH249" s="358"/>
      <c r="AI249" s="358" t="s">
        <v>345</v>
      </c>
      <c r="AJ249" s="175"/>
      <c r="AK249" s="441">
        <v>1</v>
      </c>
      <c r="AL249" s="460"/>
      <c r="AM249" s="370">
        <f>X249*P3_reinigen_daken_met_vaste_dakveiligheid</f>
        <v>0</v>
      </c>
      <c r="AN249" s="371">
        <f>Y249*P3_reinigen_goten_met_vaste_dakveiligheid</f>
        <v>0</v>
      </c>
      <c r="AO249" s="371">
        <f>(AE249*P3_Reinigen_Lichtkoepel_50X50)+('Perceel 3'!AF249*P3_Reinigen_Lichtkoepel_60x200)+('Perceel 3'!AG249*P3_Reinigen_Lichtkoepel_180x180)+('Perceel 3'!AH249*P3_Reinigen_Lichtstraten_groter_dan_180x180)</f>
        <v>0</v>
      </c>
      <c r="AP249" s="371">
        <f t="shared" si="40"/>
        <v>0</v>
      </c>
      <c r="AQ249" s="424">
        <f>AQ247*68%</f>
        <v>0</v>
      </c>
      <c r="AR249" s="372">
        <f t="shared" si="41"/>
        <v>0</v>
      </c>
      <c r="AS249" s="373">
        <f t="shared" si="37"/>
        <v>0</v>
      </c>
    </row>
    <row r="250" spans="1:45" ht="38.450000000000003" customHeight="1" x14ac:dyDescent="0.45">
      <c r="A250" s="159"/>
      <c r="B250" s="347">
        <v>3</v>
      </c>
      <c r="C250" s="156" t="s">
        <v>135</v>
      </c>
      <c r="D250" s="156" t="s">
        <v>136</v>
      </c>
      <c r="E250" s="156"/>
      <c r="F250" s="156"/>
      <c r="G250" s="156"/>
      <c r="H250" s="151" t="s">
        <v>1851</v>
      </c>
      <c r="I250" s="163" t="s">
        <v>1852</v>
      </c>
      <c r="J250" s="157"/>
      <c r="K250" s="163"/>
      <c r="L250" s="151" t="s">
        <v>280</v>
      </c>
      <c r="M250" s="159" t="s">
        <v>669</v>
      </c>
      <c r="N250" s="361">
        <v>9008</v>
      </c>
      <c r="O250" s="353" t="s">
        <v>1853</v>
      </c>
      <c r="P250" s="353" t="s">
        <v>1854</v>
      </c>
      <c r="Q250" s="353" t="s">
        <v>1855</v>
      </c>
      <c r="R250" s="354" t="s">
        <v>1856</v>
      </c>
      <c r="S250" s="353" t="s">
        <v>869</v>
      </c>
      <c r="T250" s="159"/>
      <c r="U250" s="159"/>
      <c r="V250" s="159"/>
      <c r="W250" s="353">
        <v>2023</v>
      </c>
      <c r="X250" s="361">
        <v>180</v>
      </c>
      <c r="Y250" s="353"/>
      <c r="Z250" s="353"/>
      <c r="AA250" s="353"/>
      <c r="AB250" s="353"/>
      <c r="AC250" s="353"/>
      <c r="AD250" s="353"/>
      <c r="AE250" s="353"/>
      <c r="AF250" s="353"/>
      <c r="AG250" s="353"/>
      <c r="AH250" s="353"/>
      <c r="AI250" s="353"/>
      <c r="AJ250" s="159"/>
      <c r="AK250" s="361">
        <v>1</v>
      </c>
      <c r="AL250" s="369"/>
      <c r="AM250" s="370">
        <f>X250*P3_Reinigen_daken_incl._extra_maatregelen_veilig_werken_volgens_VCA_eventuele_vergunningen_leges_voorrijkosten_adminstratieve_kosten_fotorapportage_en_kleine_reparaties</f>
        <v>0</v>
      </c>
      <c r="AN250" s="371">
        <f>Y250*P3_Reinigen_goten_incl._extra_maatregelen_veilig_werken_volgens_VCA__eventuele_vergunningen_leges___voorrijkosten__adminstratieve_kosten__fotorapportage_en_kleine_reparaties</f>
        <v>0</v>
      </c>
      <c r="AO250" s="371">
        <f>(AE250*P3_Reinigen_Lichtkoepel_50X50)+('Perceel 3'!AF250*P3_Reinigen_Lichtkoepel_60x200)+('Perceel 3'!AG250*P3_Reinigen_Lichtkoepel_180x180)+('Perceel 3'!AH250*P3_Reinigen_Lichtstraten_groter_dan_180x180)</f>
        <v>0</v>
      </c>
      <c r="AP250" s="371">
        <f t="shared" si="40"/>
        <v>0</v>
      </c>
      <c r="AQ250" s="416"/>
      <c r="AR250" s="372">
        <f t="shared" si="41"/>
        <v>0</v>
      </c>
      <c r="AS250" s="373">
        <f t="shared" si="37"/>
        <v>0</v>
      </c>
    </row>
    <row r="251" spans="1:45" ht="204" x14ac:dyDescent="0.45">
      <c r="A251" s="166"/>
      <c r="B251" s="347">
        <v>3</v>
      </c>
      <c r="C251" s="156" t="s">
        <v>135</v>
      </c>
      <c r="D251" s="156" t="s">
        <v>136</v>
      </c>
      <c r="E251" s="156"/>
      <c r="F251" s="156"/>
      <c r="G251" s="156"/>
      <c r="H251" s="163" t="s">
        <v>1857</v>
      </c>
      <c r="I251" s="163"/>
      <c r="J251" s="163"/>
      <c r="K251" s="163"/>
      <c r="L251" s="163" t="s">
        <v>191</v>
      </c>
      <c r="M251" s="166" t="s">
        <v>890</v>
      </c>
      <c r="N251" s="361">
        <v>2212</v>
      </c>
      <c r="O251" s="353" t="s">
        <v>1858</v>
      </c>
      <c r="P251" s="353" t="s">
        <v>1859</v>
      </c>
      <c r="Q251" s="353" t="s">
        <v>1860</v>
      </c>
      <c r="R251" s="354" t="s">
        <v>1843</v>
      </c>
      <c r="S251" s="353" t="s">
        <v>869</v>
      </c>
      <c r="T251" s="166" t="s">
        <v>722</v>
      </c>
      <c r="U251" s="236" t="s">
        <v>723</v>
      </c>
      <c r="V251" s="237" t="s">
        <v>724</v>
      </c>
      <c r="W251" s="353">
        <v>2024</v>
      </c>
      <c r="X251" s="361">
        <v>2654</v>
      </c>
      <c r="Y251" s="353"/>
      <c r="Z251" s="353"/>
      <c r="AA251" s="353" t="s">
        <v>150</v>
      </c>
      <c r="AB251" s="353">
        <v>45</v>
      </c>
      <c r="AC251" s="353">
        <f>57+194+144</f>
        <v>395</v>
      </c>
      <c r="AD251" s="353" t="s">
        <v>1861</v>
      </c>
      <c r="AE251" s="353"/>
      <c r="AF251" s="353"/>
      <c r="AG251" s="353"/>
      <c r="AH251" s="353"/>
      <c r="AI251" s="353" t="s">
        <v>1862</v>
      </c>
      <c r="AJ251" s="166" t="s">
        <v>1863</v>
      </c>
      <c r="AK251" s="361">
        <v>1</v>
      </c>
      <c r="AL251" s="369"/>
      <c r="AM251" s="370">
        <f>X251*P3_reinigen_daken_met_vaste_dakveiligheid</f>
        <v>0</v>
      </c>
      <c r="AN251" s="371">
        <f>Y251*P3_reinigen_goten_met_vaste_dakveiligheid</f>
        <v>0</v>
      </c>
      <c r="AO251" s="371">
        <f>(AE251*P3_Reinigen_Lichtkoepel_50X50)+('Perceel 3'!AF251*P3_Reinigen_Lichtkoepel_60x200)+('Perceel 3'!AG251*P3_Reinigen_Lichtkoepel_180x180)+('Perceel 3'!AH251*P3_Reinigen_Lichtstraten_groter_dan_180x180)</f>
        <v>0</v>
      </c>
      <c r="AP251" s="371">
        <f t="shared" si="40"/>
        <v>0</v>
      </c>
      <c r="AQ251" s="419"/>
      <c r="AR251" s="372">
        <f t="shared" si="41"/>
        <v>0</v>
      </c>
      <c r="AS251" s="373">
        <f t="shared" si="37"/>
        <v>0</v>
      </c>
    </row>
    <row r="252" spans="1:45" ht="38.25" x14ac:dyDescent="0.45">
      <c r="A252" s="155"/>
      <c r="B252" s="347">
        <v>3</v>
      </c>
      <c r="C252" s="156" t="s">
        <v>135</v>
      </c>
      <c r="D252" s="156" t="s">
        <v>136</v>
      </c>
      <c r="E252" s="156"/>
      <c r="F252" s="156"/>
      <c r="G252" s="156"/>
      <c r="H252" s="151" t="s">
        <v>1864</v>
      </c>
      <c r="I252" s="151" t="s">
        <v>1865</v>
      </c>
      <c r="J252" s="157"/>
      <c r="K252" s="163"/>
      <c r="L252" s="163" t="s">
        <v>154</v>
      </c>
      <c r="M252" s="166" t="s">
        <v>544</v>
      </c>
      <c r="N252" s="443" t="s">
        <v>1866</v>
      </c>
      <c r="O252" s="353" t="s">
        <v>1867</v>
      </c>
      <c r="P252" s="435" t="s">
        <v>1868</v>
      </c>
      <c r="Q252" s="435" t="s">
        <v>1869</v>
      </c>
      <c r="R252" s="465" t="s">
        <v>1510</v>
      </c>
      <c r="S252" s="435" t="s">
        <v>1511</v>
      </c>
      <c r="T252" s="159" t="s">
        <v>722</v>
      </c>
      <c r="U252" s="168" t="s">
        <v>723</v>
      </c>
      <c r="V252" s="209" t="s">
        <v>724</v>
      </c>
      <c r="W252" s="361">
        <v>1985</v>
      </c>
      <c r="X252" s="361">
        <v>2046</v>
      </c>
      <c r="Y252" s="361"/>
      <c r="Z252" s="361" t="s">
        <v>311</v>
      </c>
      <c r="AA252" s="361" t="s">
        <v>150</v>
      </c>
      <c r="AB252" s="361">
        <v>18</v>
      </c>
      <c r="AC252" s="361">
        <v>157</v>
      </c>
      <c r="AD252" s="361"/>
      <c r="AE252" s="361"/>
      <c r="AF252" s="361"/>
      <c r="AG252" s="361"/>
      <c r="AH252" s="361"/>
      <c r="AI252" s="361"/>
      <c r="AJ252" s="177" t="s">
        <v>1870</v>
      </c>
      <c r="AK252" s="443">
        <v>1</v>
      </c>
      <c r="AL252" s="444"/>
      <c r="AM252" s="370">
        <f>X252*P3_reinigen_daken_met_vaste_dakveiligheid</f>
        <v>0</v>
      </c>
      <c r="AN252" s="371">
        <f>Y252*P3_reinigen_goten_met_vaste_dakveiligheid</f>
        <v>0</v>
      </c>
      <c r="AO252" s="371">
        <f>(AE252*P3_Reinigen_Lichtkoepel_50X50)+('Perceel 3'!AF252*P3_Reinigen_Lichtkoepel_60x200)+('Perceel 3'!AG252*P3_Reinigen_Lichtkoepel_180x180)+('Perceel 3'!AH252*P3_Reinigen_Lichtstraten_groter_dan_180x180)</f>
        <v>0</v>
      </c>
      <c r="AP252" s="371">
        <f t="shared" si="40"/>
        <v>0</v>
      </c>
      <c r="AQ252" s="419"/>
      <c r="AR252" s="372">
        <f t="shared" si="41"/>
        <v>0</v>
      </c>
      <c r="AS252" s="373">
        <f t="shared" si="37"/>
        <v>0</v>
      </c>
    </row>
    <row r="253" spans="1:45" ht="51" x14ac:dyDescent="0.4">
      <c r="A253" s="238"/>
      <c r="B253" s="374">
        <v>3</v>
      </c>
      <c r="C253" s="171" t="s">
        <v>135</v>
      </c>
      <c r="D253" s="171" t="s">
        <v>136</v>
      </c>
      <c r="E253" s="171" t="s">
        <v>174</v>
      </c>
      <c r="F253" s="171"/>
      <c r="G253" s="171"/>
      <c r="H253" s="15"/>
      <c r="I253" s="15"/>
      <c r="J253" s="16"/>
      <c r="K253" s="16"/>
      <c r="L253" s="196" t="s">
        <v>348</v>
      </c>
      <c r="M253" s="239" t="s">
        <v>1871</v>
      </c>
      <c r="N253" s="471" t="s">
        <v>1872</v>
      </c>
      <c r="O253" s="381" t="s">
        <v>1873</v>
      </c>
      <c r="P253" s="466" t="s">
        <v>1874</v>
      </c>
      <c r="Q253" s="466" t="s">
        <v>1875</v>
      </c>
      <c r="R253" s="467" t="s">
        <v>1876</v>
      </c>
      <c r="S253" s="466" t="s">
        <v>1511</v>
      </c>
      <c r="T253" s="171"/>
      <c r="U253" s="171"/>
      <c r="V253" s="171"/>
      <c r="W253" s="466">
        <v>1999</v>
      </c>
      <c r="X253" s="471">
        <v>2157</v>
      </c>
      <c r="Y253" s="466"/>
      <c r="Z253" s="381"/>
      <c r="AA253" s="381"/>
      <c r="AB253" s="381"/>
      <c r="AC253" s="381"/>
      <c r="AD253" s="381"/>
      <c r="AE253" s="381"/>
      <c r="AF253" s="381"/>
      <c r="AG253" s="381"/>
      <c r="AH253" s="381"/>
      <c r="AI253" s="381"/>
      <c r="AJ253" s="171"/>
      <c r="AK253" s="471">
        <v>1</v>
      </c>
      <c r="AL253" s="444"/>
      <c r="AM253" s="430"/>
      <c r="AN253" s="416"/>
      <c r="AO253" s="416"/>
      <c r="AP253" s="416"/>
      <c r="AQ253" s="416"/>
      <c r="AR253" s="431"/>
      <c r="AS253" s="432"/>
    </row>
    <row r="254" spans="1:45" ht="25.5" customHeight="1" x14ac:dyDescent="0.4">
      <c r="A254" s="182"/>
      <c r="B254" s="352">
        <v>3</v>
      </c>
      <c r="C254" s="175" t="s">
        <v>135</v>
      </c>
      <c r="D254" s="175" t="s">
        <v>174</v>
      </c>
      <c r="E254" s="175"/>
      <c r="F254" s="175"/>
      <c r="G254" s="175"/>
      <c r="H254" s="174" t="s">
        <v>1877</v>
      </c>
      <c r="I254" s="174" t="s">
        <v>1878</v>
      </c>
      <c r="J254" s="197"/>
      <c r="K254" s="197"/>
      <c r="L254" s="174"/>
      <c r="M254" s="175" t="s">
        <v>349</v>
      </c>
      <c r="N254" s="441" t="s">
        <v>1879</v>
      </c>
      <c r="O254" s="358" t="s">
        <v>1880</v>
      </c>
      <c r="P254" s="438" t="s">
        <v>1881</v>
      </c>
      <c r="Q254" s="438" t="s">
        <v>1875</v>
      </c>
      <c r="R254" s="439" t="s">
        <v>1876</v>
      </c>
      <c r="S254" s="438" t="s">
        <v>1511</v>
      </c>
      <c r="T254" s="175" t="s">
        <v>1882</v>
      </c>
      <c r="U254" s="175" t="s">
        <v>1883</v>
      </c>
      <c r="V254" s="175" t="s">
        <v>1884</v>
      </c>
      <c r="W254" s="438">
        <v>1999</v>
      </c>
      <c r="X254" s="441">
        <f>X253*76%</f>
        <v>1639.32</v>
      </c>
      <c r="Y254" s="438"/>
      <c r="Z254" s="358"/>
      <c r="AA254" s="358"/>
      <c r="AB254" s="358"/>
      <c r="AC254" s="358"/>
      <c r="AD254" s="358"/>
      <c r="AE254" s="358"/>
      <c r="AF254" s="358"/>
      <c r="AG254" s="358"/>
      <c r="AH254" s="358"/>
      <c r="AI254" s="358" t="s">
        <v>1885</v>
      </c>
      <c r="AJ254" s="191" t="s">
        <v>1886</v>
      </c>
      <c r="AK254" s="441">
        <v>1</v>
      </c>
      <c r="AL254" s="444"/>
      <c r="AM254" s="370">
        <f t="shared" ref="AM254:AM259" si="45">X254*P3_Reinigen_daken_incl._extra_maatregelen_veilig_werken_volgens_VCA_eventuele_vergunningen_leges_voorrijkosten_adminstratieve_kosten_fotorapportage_en_kleine_reparaties</f>
        <v>0</v>
      </c>
      <c r="AN254" s="371">
        <f t="shared" ref="AN254:AN259" si="46">Y254*P3_Reinigen_goten_incl._extra_maatregelen_veilig_werken_volgens_VCA__eventuele_vergunningen_leges___voorrijkosten__adminstratieve_kosten__fotorapportage_en_kleine_reparaties</f>
        <v>0</v>
      </c>
      <c r="AO254" s="371">
        <f>(AE254*P3_Reinigen_Lichtkoepel_50X50)+('Perceel 3'!AF254*P3_Reinigen_Lichtkoepel_60x200)+('Perceel 3'!AG254*P3_Reinigen_Lichtkoepel_180x180)+('Perceel 3'!AH254*P3_Reinigen_Lichtstraten_groter_dan_180x180)</f>
        <v>0</v>
      </c>
      <c r="AP254" s="371">
        <f t="shared" ref="AP254:AP264" si="47">(X254+Y254)*P3_Inspecteren_daken_en_goten_1x_per_jaar_gelijktijdig_met_reiniging_inclusief_inspectierapport_en_een_managementrapport</f>
        <v>0</v>
      </c>
      <c r="AQ254" s="416"/>
      <c r="AR254" s="372">
        <f t="shared" ref="AR254:AR264" si="48">AQ254*P3_keuren_dakveiligheid_per_man_uur</f>
        <v>0</v>
      </c>
      <c r="AS254" s="373">
        <f t="shared" ref="AS254:AS264" si="49">(AM254*AK254)+(Y254*AK254)+AO254+AP254+AR254</f>
        <v>0</v>
      </c>
    </row>
    <row r="255" spans="1:45" ht="57" customHeight="1" x14ac:dyDescent="0.4">
      <c r="A255" s="182"/>
      <c r="B255" s="352">
        <v>3</v>
      </c>
      <c r="C255" s="175" t="s">
        <v>135</v>
      </c>
      <c r="D255" s="175" t="s">
        <v>136</v>
      </c>
      <c r="E255" s="175"/>
      <c r="F255" s="175"/>
      <c r="G255" s="175"/>
      <c r="H255" s="174" t="s">
        <v>1887</v>
      </c>
      <c r="I255" s="174" t="s">
        <v>1888</v>
      </c>
      <c r="J255" s="197"/>
      <c r="K255" s="197"/>
      <c r="L255" s="174"/>
      <c r="M255" s="197" t="s">
        <v>281</v>
      </c>
      <c r="N255" s="441" t="s">
        <v>1889</v>
      </c>
      <c r="O255" s="358" t="s">
        <v>1890</v>
      </c>
      <c r="P255" s="438" t="s">
        <v>1891</v>
      </c>
      <c r="Q255" s="438" t="s">
        <v>1875</v>
      </c>
      <c r="R255" s="439" t="s">
        <v>1876</v>
      </c>
      <c r="S255" s="438" t="s">
        <v>1511</v>
      </c>
      <c r="T255" s="175" t="s">
        <v>1892</v>
      </c>
      <c r="U255" s="175" t="s">
        <v>1893</v>
      </c>
      <c r="V255" s="187" t="s">
        <v>1894</v>
      </c>
      <c r="W255" s="438">
        <v>1999</v>
      </c>
      <c r="X255" s="441">
        <f>X253*4%</f>
        <v>86.28</v>
      </c>
      <c r="Y255" s="438"/>
      <c r="Z255" s="358"/>
      <c r="AA255" s="358"/>
      <c r="AB255" s="358"/>
      <c r="AC255" s="358"/>
      <c r="AD255" s="358"/>
      <c r="AE255" s="358"/>
      <c r="AF255" s="358"/>
      <c r="AG255" s="358"/>
      <c r="AH255" s="358"/>
      <c r="AI255" s="358" t="s">
        <v>1885</v>
      </c>
      <c r="AJ255" s="191" t="s">
        <v>1886</v>
      </c>
      <c r="AK255" s="441">
        <v>1</v>
      </c>
      <c r="AL255" s="444"/>
      <c r="AM255" s="370">
        <f t="shared" si="45"/>
        <v>0</v>
      </c>
      <c r="AN255" s="371">
        <f t="shared" si="46"/>
        <v>0</v>
      </c>
      <c r="AO255" s="371">
        <f>(AE255*P3_Reinigen_Lichtkoepel_50X50)+('Perceel 3'!AF255*P3_Reinigen_Lichtkoepel_60x200)+('Perceel 3'!AG255*P3_Reinigen_Lichtkoepel_180x180)+('Perceel 3'!AH255*P3_Reinigen_Lichtstraten_groter_dan_180x180)</f>
        <v>0</v>
      </c>
      <c r="AP255" s="371">
        <f t="shared" si="47"/>
        <v>0</v>
      </c>
      <c r="AQ255" s="416"/>
      <c r="AR255" s="372">
        <f t="shared" si="48"/>
        <v>0</v>
      </c>
      <c r="AS255" s="373">
        <f t="shared" si="49"/>
        <v>0</v>
      </c>
    </row>
    <row r="256" spans="1:45" ht="51" x14ac:dyDescent="0.4">
      <c r="A256" s="182"/>
      <c r="B256" s="352">
        <v>3</v>
      </c>
      <c r="C256" s="175" t="s">
        <v>135</v>
      </c>
      <c r="D256" s="175" t="s">
        <v>136</v>
      </c>
      <c r="E256" s="175"/>
      <c r="F256" s="175"/>
      <c r="G256" s="175"/>
      <c r="H256" s="174" t="s">
        <v>1895</v>
      </c>
      <c r="I256" s="174" t="s">
        <v>1896</v>
      </c>
      <c r="J256" s="197"/>
      <c r="K256" s="197"/>
      <c r="L256" s="174"/>
      <c r="M256" s="191" t="s">
        <v>544</v>
      </c>
      <c r="N256" s="441" t="s">
        <v>1897</v>
      </c>
      <c r="O256" s="358" t="s">
        <v>1898</v>
      </c>
      <c r="P256" s="438" t="s">
        <v>1899</v>
      </c>
      <c r="Q256" s="438" t="s">
        <v>1875</v>
      </c>
      <c r="R256" s="439" t="s">
        <v>1876</v>
      </c>
      <c r="S256" s="438" t="s">
        <v>1511</v>
      </c>
      <c r="T256" s="175" t="s">
        <v>169</v>
      </c>
      <c r="U256" s="175" t="s">
        <v>170</v>
      </c>
      <c r="V256" s="175" t="s">
        <v>171</v>
      </c>
      <c r="W256" s="438">
        <v>1999</v>
      </c>
      <c r="X256" s="441">
        <f>X253*20%</f>
        <v>431.40000000000003</v>
      </c>
      <c r="Y256" s="438"/>
      <c r="Z256" s="358"/>
      <c r="AA256" s="358"/>
      <c r="AB256" s="358"/>
      <c r="AC256" s="358"/>
      <c r="AD256" s="358"/>
      <c r="AE256" s="358"/>
      <c r="AF256" s="358"/>
      <c r="AG256" s="358"/>
      <c r="AH256" s="358"/>
      <c r="AI256" s="358"/>
      <c r="AJ256" s="175"/>
      <c r="AK256" s="441">
        <v>1</v>
      </c>
      <c r="AL256" s="444"/>
      <c r="AM256" s="370">
        <f t="shared" si="45"/>
        <v>0</v>
      </c>
      <c r="AN256" s="371">
        <f t="shared" si="46"/>
        <v>0</v>
      </c>
      <c r="AO256" s="371">
        <f>(AE256*P3_Reinigen_Lichtkoepel_50X50)+('Perceel 3'!AF256*P3_Reinigen_Lichtkoepel_60x200)+('Perceel 3'!AG256*P3_Reinigen_Lichtkoepel_180x180)+('Perceel 3'!AH256*P3_Reinigen_Lichtstraten_groter_dan_180x180)</f>
        <v>0</v>
      </c>
      <c r="AP256" s="371">
        <f t="shared" si="47"/>
        <v>0</v>
      </c>
      <c r="AQ256" s="416"/>
      <c r="AR256" s="372">
        <f t="shared" si="48"/>
        <v>0</v>
      </c>
      <c r="AS256" s="373">
        <f t="shared" si="49"/>
        <v>0</v>
      </c>
    </row>
    <row r="257" spans="1:45" ht="51" x14ac:dyDescent="0.45">
      <c r="A257" s="155"/>
      <c r="B257" s="347">
        <v>3</v>
      </c>
      <c r="C257" s="156" t="s">
        <v>135</v>
      </c>
      <c r="D257" s="156" t="s">
        <v>136</v>
      </c>
      <c r="E257" s="156"/>
      <c r="F257" s="156"/>
      <c r="G257" s="156"/>
      <c r="H257" s="151" t="s">
        <v>1900</v>
      </c>
      <c r="I257" s="151" t="s">
        <v>1901</v>
      </c>
      <c r="J257" s="157"/>
      <c r="K257" s="163"/>
      <c r="L257" s="163" t="s">
        <v>154</v>
      </c>
      <c r="M257" s="166" t="s">
        <v>544</v>
      </c>
      <c r="N257" s="443" t="s">
        <v>1902</v>
      </c>
      <c r="O257" s="353" t="s">
        <v>1903</v>
      </c>
      <c r="P257" s="435" t="s">
        <v>1904</v>
      </c>
      <c r="Q257" s="435" t="s">
        <v>1905</v>
      </c>
      <c r="R257" s="461" t="s">
        <v>1721</v>
      </c>
      <c r="S257" s="435" t="s">
        <v>1511</v>
      </c>
      <c r="T257" s="159" t="s">
        <v>169</v>
      </c>
      <c r="U257" s="159" t="s">
        <v>1906</v>
      </c>
      <c r="V257" s="176" t="s">
        <v>171</v>
      </c>
      <c r="W257" s="361">
        <v>1984</v>
      </c>
      <c r="X257" s="361">
        <v>936</v>
      </c>
      <c r="Y257" s="361"/>
      <c r="Z257" s="361" t="s">
        <v>311</v>
      </c>
      <c r="AA257" s="361"/>
      <c r="AB257" s="361"/>
      <c r="AC257" s="361"/>
      <c r="AD257" s="361"/>
      <c r="AE257" s="361"/>
      <c r="AF257" s="361"/>
      <c r="AG257" s="361"/>
      <c r="AH257" s="361"/>
      <c r="AI257" s="361"/>
      <c r="AJ257" s="177"/>
      <c r="AK257" s="443">
        <v>1</v>
      </c>
      <c r="AL257" s="444"/>
      <c r="AM257" s="370">
        <f t="shared" si="45"/>
        <v>0</v>
      </c>
      <c r="AN257" s="371">
        <f t="shared" si="46"/>
        <v>0</v>
      </c>
      <c r="AO257" s="371">
        <f>(AE257*P3_Reinigen_Lichtkoepel_50X50)+('Perceel 3'!AF257*P3_Reinigen_Lichtkoepel_60x200)+('Perceel 3'!AG257*P3_Reinigen_Lichtkoepel_180x180)+('Perceel 3'!AH257*P3_Reinigen_Lichtstraten_groter_dan_180x180)</f>
        <v>0</v>
      </c>
      <c r="AP257" s="371">
        <f t="shared" si="47"/>
        <v>0</v>
      </c>
      <c r="AQ257" s="416"/>
      <c r="AR257" s="372">
        <f t="shared" si="48"/>
        <v>0</v>
      </c>
      <c r="AS257" s="373">
        <f t="shared" si="49"/>
        <v>0</v>
      </c>
    </row>
    <row r="258" spans="1:45" ht="76.5" customHeight="1" x14ac:dyDescent="0.45">
      <c r="A258" s="161"/>
      <c r="B258" s="347">
        <v>3</v>
      </c>
      <c r="C258" s="156" t="s">
        <v>135</v>
      </c>
      <c r="D258" s="156" t="s">
        <v>136</v>
      </c>
      <c r="E258" s="156"/>
      <c r="F258" s="156"/>
      <c r="G258" s="156"/>
      <c r="H258" s="151" t="s">
        <v>1907</v>
      </c>
      <c r="I258" s="151" t="s">
        <v>1908</v>
      </c>
      <c r="J258" s="157"/>
      <c r="K258" s="163"/>
      <c r="L258" s="151" t="s">
        <v>348</v>
      </c>
      <c r="M258" s="159" t="s">
        <v>349</v>
      </c>
      <c r="N258" s="361" t="s">
        <v>1909</v>
      </c>
      <c r="O258" s="353" t="s">
        <v>1910</v>
      </c>
      <c r="P258" s="353" t="s">
        <v>1911</v>
      </c>
      <c r="Q258" s="353" t="s">
        <v>1905</v>
      </c>
      <c r="R258" s="355" t="s">
        <v>1721</v>
      </c>
      <c r="S258" s="353" t="s">
        <v>1511</v>
      </c>
      <c r="T258" s="159" t="s">
        <v>1912</v>
      </c>
      <c r="U258" s="159" t="s">
        <v>1562</v>
      </c>
      <c r="V258" s="176" t="s">
        <v>1563</v>
      </c>
      <c r="W258" s="361">
        <v>1986</v>
      </c>
      <c r="X258" s="361">
        <v>1273</v>
      </c>
      <c r="Y258" s="361"/>
      <c r="Z258" s="361"/>
      <c r="AA258" s="361"/>
      <c r="AB258" s="361"/>
      <c r="AC258" s="361"/>
      <c r="AD258" s="361"/>
      <c r="AE258" s="361"/>
      <c r="AF258" s="361"/>
      <c r="AG258" s="361"/>
      <c r="AH258" s="361"/>
      <c r="AI258" s="361"/>
      <c r="AJ258" s="152"/>
      <c r="AK258" s="361">
        <v>1</v>
      </c>
      <c r="AL258" s="369"/>
      <c r="AM258" s="370">
        <f t="shared" si="45"/>
        <v>0</v>
      </c>
      <c r="AN258" s="371">
        <f t="shared" si="46"/>
        <v>0</v>
      </c>
      <c r="AO258" s="371">
        <f>(AE258*P3_Reinigen_Lichtkoepel_50X50)+('Perceel 3'!AF258*P3_Reinigen_Lichtkoepel_60x200)+('Perceel 3'!AG258*P3_Reinigen_Lichtkoepel_180x180)+('Perceel 3'!AH258*P3_Reinigen_Lichtstraten_groter_dan_180x180)</f>
        <v>0</v>
      </c>
      <c r="AP258" s="371">
        <f t="shared" si="47"/>
        <v>0</v>
      </c>
      <c r="AQ258" s="416"/>
      <c r="AR258" s="372">
        <f t="shared" si="48"/>
        <v>0</v>
      </c>
      <c r="AS258" s="373">
        <f t="shared" si="49"/>
        <v>0</v>
      </c>
    </row>
    <row r="259" spans="1:45" ht="32.25" customHeight="1" x14ac:dyDescent="0.45">
      <c r="A259" s="155"/>
      <c r="B259" s="347">
        <v>3</v>
      </c>
      <c r="C259" s="156" t="s">
        <v>135</v>
      </c>
      <c r="D259" s="156" t="s">
        <v>136</v>
      </c>
      <c r="E259" s="156"/>
      <c r="F259" s="156"/>
      <c r="G259" s="156"/>
      <c r="H259" s="151" t="s">
        <v>1913</v>
      </c>
      <c r="I259" s="151" t="s">
        <v>1914</v>
      </c>
      <c r="J259" s="157"/>
      <c r="K259" s="163"/>
      <c r="L259" s="163" t="s">
        <v>154</v>
      </c>
      <c r="M259" s="163" t="s">
        <v>155</v>
      </c>
      <c r="N259" s="443" t="s">
        <v>1915</v>
      </c>
      <c r="O259" s="353" t="s">
        <v>1916</v>
      </c>
      <c r="P259" s="353" t="s">
        <v>1917</v>
      </c>
      <c r="Q259" s="435" t="s">
        <v>1918</v>
      </c>
      <c r="R259" s="461" t="s">
        <v>942</v>
      </c>
      <c r="S259" s="435" t="s">
        <v>340</v>
      </c>
      <c r="T259" s="159" t="s">
        <v>1919</v>
      </c>
      <c r="U259" s="159" t="s">
        <v>1920</v>
      </c>
      <c r="V259" s="176" t="s">
        <v>1921</v>
      </c>
      <c r="W259" s="361">
        <v>2004</v>
      </c>
      <c r="X259" s="361">
        <v>508</v>
      </c>
      <c r="Y259" s="361"/>
      <c r="Z259" s="361"/>
      <c r="AA259" s="361"/>
      <c r="AB259" s="361"/>
      <c r="AC259" s="361"/>
      <c r="AD259" s="361"/>
      <c r="AE259" s="361"/>
      <c r="AF259" s="361"/>
      <c r="AG259" s="361"/>
      <c r="AH259" s="361"/>
      <c r="AI259" s="361"/>
      <c r="AJ259" s="177"/>
      <c r="AK259" s="443">
        <v>1</v>
      </c>
      <c r="AL259" s="444"/>
      <c r="AM259" s="370">
        <f t="shared" si="45"/>
        <v>0</v>
      </c>
      <c r="AN259" s="371">
        <f t="shared" si="46"/>
        <v>0</v>
      </c>
      <c r="AO259" s="371">
        <f>(AE259*P3_Reinigen_Lichtkoepel_50X50)+('Perceel 3'!AF259*P3_Reinigen_Lichtkoepel_60x200)+('Perceel 3'!AG259*P3_Reinigen_Lichtkoepel_180x180)+('Perceel 3'!AH259*P3_Reinigen_Lichtstraten_groter_dan_180x180)</f>
        <v>0</v>
      </c>
      <c r="AP259" s="371">
        <f t="shared" si="47"/>
        <v>0</v>
      </c>
      <c r="AQ259" s="416"/>
      <c r="AR259" s="372">
        <f t="shared" si="48"/>
        <v>0</v>
      </c>
      <c r="AS259" s="373">
        <f t="shared" si="49"/>
        <v>0</v>
      </c>
    </row>
    <row r="260" spans="1:45" ht="25.5" x14ac:dyDescent="0.45">
      <c r="A260" s="161"/>
      <c r="B260" s="347">
        <v>3</v>
      </c>
      <c r="C260" s="156" t="s">
        <v>135</v>
      </c>
      <c r="D260" s="156" t="s">
        <v>1391</v>
      </c>
      <c r="E260" s="156"/>
      <c r="F260" s="156"/>
      <c r="G260" s="156"/>
      <c r="H260" s="151" t="s">
        <v>1922</v>
      </c>
      <c r="I260" s="163" t="s">
        <v>1923</v>
      </c>
      <c r="J260" s="157"/>
      <c r="K260" s="163"/>
      <c r="L260" s="163" t="s">
        <v>154</v>
      </c>
      <c r="M260" s="163" t="s">
        <v>155</v>
      </c>
      <c r="N260" s="361">
        <v>2030</v>
      </c>
      <c r="O260" s="353" t="s">
        <v>1924</v>
      </c>
      <c r="P260" s="353" t="s">
        <v>1925</v>
      </c>
      <c r="Q260" s="353" t="s">
        <v>1926</v>
      </c>
      <c r="R260" s="355" t="s">
        <v>942</v>
      </c>
      <c r="S260" s="353" t="s">
        <v>340</v>
      </c>
      <c r="T260" s="159" t="s">
        <v>1927</v>
      </c>
      <c r="U260" s="159" t="s">
        <v>1928</v>
      </c>
      <c r="V260" s="176" t="s">
        <v>1929</v>
      </c>
      <c r="W260" s="361">
        <v>2006</v>
      </c>
      <c r="X260" s="361">
        <f>1008+110+157+25+105</f>
        <v>1405</v>
      </c>
      <c r="Y260" s="361"/>
      <c r="Z260" s="361"/>
      <c r="AA260" s="361" t="s">
        <v>311</v>
      </c>
      <c r="AB260" s="361">
        <f>12+1+3+4+1</f>
        <v>21</v>
      </c>
      <c r="AC260" s="361"/>
      <c r="AD260" s="361" t="s">
        <v>1930</v>
      </c>
      <c r="AE260" s="361"/>
      <c r="AF260" s="361"/>
      <c r="AG260" s="361"/>
      <c r="AH260" s="361"/>
      <c r="AI260" s="361"/>
      <c r="AJ260" s="177"/>
      <c r="AK260" s="361">
        <v>1</v>
      </c>
      <c r="AL260" s="433"/>
      <c r="AM260" s="370">
        <f>X260*P3_reinigen_daken_met_vaste_dakveiligheid</f>
        <v>0</v>
      </c>
      <c r="AN260" s="371">
        <f>Y260*P3_reinigen_goten_met_vaste_dakveiligheid</f>
        <v>0</v>
      </c>
      <c r="AO260" s="371">
        <f>(AE260*P3_Reinigen_Lichtkoepel_50X50)+('Perceel 3'!AF260*P3_Reinigen_Lichtkoepel_60x200)+('Perceel 3'!AG260*P3_Reinigen_Lichtkoepel_180x180)+('Perceel 3'!AH260*P3_Reinigen_Lichtstraten_groter_dan_180x180)</f>
        <v>0</v>
      </c>
      <c r="AP260" s="371">
        <f t="shared" si="47"/>
        <v>0</v>
      </c>
      <c r="AQ260" s="419"/>
      <c r="AR260" s="372">
        <f t="shared" si="48"/>
        <v>0</v>
      </c>
      <c r="AS260" s="373">
        <f t="shared" si="49"/>
        <v>0</v>
      </c>
    </row>
    <row r="261" spans="1:45" ht="30.95" customHeight="1" x14ac:dyDescent="0.45">
      <c r="A261" s="155"/>
      <c r="B261" s="347">
        <v>3</v>
      </c>
      <c r="C261" s="156" t="s">
        <v>135</v>
      </c>
      <c r="D261" s="156" t="s">
        <v>174</v>
      </c>
      <c r="E261" s="156"/>
      <c r="F261" s="156"/>
      <c r="G261" s="156"/>
      <c r="H261" s="151" t="s">
        <v>1931</v>
      </c>
      <c r="I261" s="151" t="s">
        <v>1932</v>
      </c>
      <c r="J261" s="157"/>
      <c r="K261" s="163"/>
      <c r="L261" s="151" t="s">
        <v>348</v>
      </c>
      <c r="M261" s="159" t="s">
        <v>349</v>
      </c>
      <c r="N261" s="443" t="s">
        <v>1933</v>
      </c>
      <c r="O261" s="353" t="s">
        <v>1934</v>
      </c>
      <c r="P261" s="435" t="s">
        <v>1935</v>
      </c>
      <c r="Q261" s="435" t="s">
        <v>1918</v>
      </c>
      <c r="R261" s="461" t="s">
        <v>942</v>
      </c>
      <c r="S261" s="435" t="s">
        <v>340</v>
      </c>
      <c r="T261" s="159" t="s">
        <v>1936</v>
      </c>
      <c r="U261" s="159" t="s">
        <v>1937</v>
      </c>
      <c r="V261" s="176" t="s">
        <v>1938</v>
      </c>
      <c r="W261" s="361">
        <v>1999</v>
      </c>
      <c r="X261" s="361">
        <v>1232</v>
      </c>
      <c r="Y261" s="361"/>
      <c r="Z261" s="361"/>
      <c r="AA261" s="361"/>
      <c r="AB261" s="361"/>
      <c r="AC261" s="361"/>
      <c r="AD261" s="361"/>
      <c r="AE261" s="361"/>
      <c r="AF261" s="361"/>
      <c r="AG261" s="361"/>
      <c r="AH261" s="361"/>
      <c r="AI261" s="361"/>
      <c r="AJ261" s="177"/>
      <c r="AK261" s="443">
        <v>1</v>
      </c>
      <c r="AL261" s="444"/>
      <c r="AM261" s="370">
        <f>X261*P3_Reinigen_daken_incl._extra_maatregelen_veilig_werken_volgens_VCA_eventuele_vergunningen_leges_voorrijkosten_adminstratieve_kosten_fotorapportage_en_kleine_reparaties</f>
        <v>0</v>
      </c>
      <c r="AN261" s="371">
        <f>Y261*P3_Reinigen_goten_incl._extra_maatregelen_veilig_werken_volgens_VCA__eventuele_vergunningen_leges___voorrijkosten__adminstratieve_kosten__fotorapportage_en_kleine_reparaties</f>
        <v>0</v>
      </c>
      <c r="AO261" s="371">
        <f>(AE261*P3_Reinigen_Lichtkoepel_50X50)+('Perceel 3'!AF261*P3_Reinigen_Lichtkoepel_60x200)+('Perceel 3'!AG261*P3_Reinigen_Lichtkoepel_180x180)+('Perceel 3'!AH261*P3_Reinigen_Lichtstraten_groter_dan_180x180)</f>
        <v>0</v>
      </c>
      <c r="AP261" s="371">
        <f t="shared" si="47"/>
        <v>0</v>
      </c>
      <c r="AQ261" s="416"/>
      <c r="AR261" s="372">
        <f t="shared" si="48"/>
        <v>0</v>
      </c>
      <c r="AS261" s="373">
        <f t="shared" si="49"/>
        <v>0</v>
      </c>
    </row>
    <row r="262" spans="1:45" ht="51" x14ac:dyDescent="0.45">
      <c r="A262" s="155"/>
      <c r="B262" s="347">
        <v>3</v>
      </c>
      <c r="C262" s="156" t="s">
        <v>135</v>
      </c>
      <c r="D262" s="156" t="s">
        <v>136</v>
      </c>
      <c r="E262" s="156"/>
      <c r="F262" s="156"/>
      <c r="G262" s="156"/>
      <c r="H262" s="151" t="s">
        <v>1939</v>
      </c>
      <c r="I262" s="151" t="s">
        <v>1940</v>
      </c>
      <c r="J262" s="157"/>
      <c r="K262" s="163"/>
      <c r="L262" s="163" t="s">
        <v>154</v>
      </c>
      <c r="M262" s="166" t="s">
        <v>544</v>
      </c>
      <c r="N262" s="443" t="s">
        <v>1941</v>
      </c>
      <c r="O262" s="353" t="s">
        <v>1942</v>
      </c>
      <c r="P262" s="435" t="s">
        <v>1943</v>
      </c>
      <c r="Q262" s="435" t="s">
        <v>1918</v>
      </c>
      <c r="R262" s="461" t="s">
        <v>942</v>
      </c>
      <c r="S262" s="435" t="s">
        <v>340</v>
      </c>
      <c r="T262" s="159" t="s">
        <v>169</v>
      </c>
      <c r="U262" s="159" t="s">
        <v>170</v>
      </c>
      <c r="V262" s="176" t="s">
        <v>171</v>
      </c>
      <c r="W262" s="361">
        <v>1999</v>
      </c>
      <c r="X262" s="361">
        <v>438</v>
      </c>
      <c r="Y262" s="361"/>
      <c r="Z262" s="361" t="s">
        <v>311</v>
      </c>
      <c r="AA262" s="361"/>
      <c r="AB262" s="361"/>
      <c r="AC262" s="361"/>
      <c r="AD262" s="361"/>
      <c r="AE262" s="361"/>
      <c r="AF262" s="361"/>
      <c r="AG262" s="361"/>
      <c r="AH262" s="361"/>
      <c r="AI262" s="361"/>
      <c r="AJ262" s="177"/>
      <c r="AK262" s="443">
        <v>1</v>
      </c>
      <c r="AL262" s="444"/>
      <c r="AM262" s="370">
        <f>X262*P3_Reinigen_daken_incl._extra_maatregelen_veilig_werken_volgens_VCA_eventuele_vergunningen_leges_voorrijkosten_adminstratieve_kosten_fotorapportage_en_kleine_reparaties</f>
        <v>0</v>
      </c>
      <c r="AN262" s="371">
        <f>Y262*P3_Reinigen_goten_incl._extra_maatregelen_veilig_werken_volgens_VCA__eventuele_vergunningen_leges___voorrijkosten__adminstratieve_kosten__fotorapportage_en_kleine_reparaties</f>
        <v>0</v>
      </c>
      <c r="AO262" s="371">
        <f>(AE262*P3_Reinigen_Lichtkoepel_50X50)+('Perceel 3'!AF262*P3_Reinigen_Lichtkoepel_60x200)+('Perceel 3'!AG262*P3_Reinigen_Lichtkoepel_180x180)+('Perceel 3'!AH262*P3_Reinigen_Lichtstraten_groter_dan_180x180)</f>
        <v>0</v>
      </c>
      <c r="AP262" s="371">
        <f t="shared" si="47"/>
        <v>0</v>
      </c>
      <c r="AQ262" s="416"/>
      <c r="AR262" s="372">
        <f t="shared" si="48"/>
        <v>0</v>
      </c>
      <c r="AS262" s="373">
        <f t="shared" si="49"/>
        <v>0</v>
      </c>
    </row>
    <row r="263" spans="1:45" ht="25.5" x14ac:dyDescent="0.45">
      <c r="A263" s="155"/>
      <c r="B263" s="347">
        <v>3</v>
      </c>
      <c r="C263" s="156" t="s">
        <v>135</v>
      </c>
      <c r="D263" s="156" t="s">
        <v>347</v>
      </c>
      <c r="E263" s="156"/>
      <c r="F263" s="156"/>
      <c r="G263" s="156"/>
      <c r="H263" s="151" t="s">
        <v>1944</v>
      </c>
      <c r="I263" s="151" t="s">
        <v>1945</v>
      </c>
      <c r="J263" s="157"/>
      <c r="K263" s="163"/>
      <c r="L263" s="151" t="s">
        <v>348</v>
      </c>
      <c r="M263" s="159" t="s">
        <v>349</v>
      </c>
      <c r="N263" s="443" t="s">
        <v>1946</v>
      </c>
      <c r="O263" s="353" t="s">
        <v>1947</v>
      </c>
      <c r="P263" s="353" t="s">
        <v>1948</v>
      </c>
      <c r="Q263" s="435" t="s">
        <v>1949</v>
      </c>
      <c r="R263" s="461" t="s">
        <v>1950</v>
      </c>
      <c r="S263" s="435" t="s">
        <v>340</v>
      </c>
      <c r="T263" s="159" t="s">
        <v>1951</v>
      </c>
      <c r="U263" s="159" t="s">
        <v>1952</v>
      </c>
      <c r="V263" s="176" t="s">
        <v>1953</v>
      </c>
      <c r="W263" s="361">
        <v>2011</v>
      </c>
      <c r="X263" s="361">
        <v>2177</v>
      </c>
      <c r="Y263" s="361"/>
      <c r="Z263" s="361"/>
      <c r="AA263" s="361" t="s">
        <v>150</v>
      </c>
      <c r="AB263" s="361">
        <v>17</v>
      </c>
      <c r="AC263" s="361">
        <v>173</v>
      </c>
      <c r="AD263" s="361"/>
      <c r="AE263" s="361"/>
      <c r="AF263" s="361"/>
      <c r="AG263" s="361"/>
      <c r="AH263" s="361"/>
      <c r="AI263" s="361"/>
      <c r="AJ263" s="177"/>
      <c r="AK263" s="443">
        <v>1</v>
      </c>
      <c r="AL263" s="444"/>
      <c r="AM263" s="370">
        <f>X263*P3_reinigen_daken_met_vaste_dakveiligheid</f>
        <v>0</v>
      </c>
      <c r="AN263" s="371">
        <f>Y263*P3_reinigen_goten_met_vaste_dakveiligheid</f>
        <v>0</v>
      </c>
      <c r="AO263" s="371">
        <f>(AE263*P3_Reinigen_Lichtkoepel_50X50)+('Perceel 3'!AF263*P3_Reinigen_Lichtkoepel_60x200)+('Perceel 3'!AG263*P3_Reinigen_Lichtkoepel_180x180)+('Perceel 3'!AH263*P3_Reinigen_Lichtstraten_groter_dan_180x180)</f>
        <v>0</v>
      </c>
      <c r="AP263" s="371">
        <f t="shared" si="47"/>
        <v>0</v>
      </c>
      <c r="AQ263" s="419"/>
      <c r="AR263" s="372">
        <f t="shared" si="48"/>
        <v>0</v>
      </c>
      <c r="AS263" s="373">
        <f t="shared" si="49"/>
        <v>0</v>
      </c>
    </row>
    <row r="264" spans="1:45" ht="66.95" customHeight="1" thickBot="1" x14ac:dyDescent="0.5">
      <c r="A264" s="160"/>
      <c r="B264" s="348">
        <v>3</v>
      </c>
      <c r="C264" s="156" t="s">
        <v>135</v>
      </c>
      <c r="D264" s="156" t="s">
        <v>136</v>
      </c>
      <c r="E264" s="156"/>
      <c r="F264" s="156"/>
      <c r="G264" s="156"/>
      <c r="H264" s="151" t="s">
        <v>1954</v>
      </c>
      <c r="I264" s="151" t="s">
        <v>1955</v>
      </c>
      <c r="J264" s="157"/>
      <c r="K264" s="163"/>
      <c r="L264" s="151"/>
      <c r="M264" s="166" t="s">
        <v>544</v>
      </c>
      <c r="N264" s="443" t="s">
        <v>1956</v>
      </c>
      <c r="O264" s="353" t="s">
        <v>1957</v>
      </c>
      <c r="P264" s="435" t="s">
        <v>1958</v>
      </c>
      <c r="Q264" s="435" t="s">
        <v>1959</v>
      </c>
      <c r="R264" s="461" t="s">
        <v>942</v>
      </c>
      <c r="S264" s="435" t="s">
        <v>340</v>
      </c>
      <c r="T264" s="159" t="s">
        <v>169</v>
      </c>
      <c r="U264" s="159" t="s">
        <v>170</v>
      </c>
      <c r="V264" s="159" t="s">
        <v>171</v>
      </c>
      <c r="W264" s="435">
        <v>2005</v>
      </c>
      <c r="X264" s="443">
        <v>425</v>
      </c>
      <c r="Y264" s="435"/>
      <c r="Z264" s="361" t="s">
        <v>311</v>
      </c>
      <c r="AA264" s="353" t="s">
        <v>150</v>
      </c>
      <c r="AB264" s="353">
        <v>13</v>
      </c>
      <c r="AC264" s="353"/>
      <c r="AD264" s="353"/>
      <c r="AE264" s="353"/>
      <c r="AF264" s="353"/>
      <c r="AG264" s="353"/>
      <c r="AH264" s="353"/>
      <c r="AI264" s="353" t="s">
        <v>1960</v>
      </c>
      <c r="AJ264" s="166" t="s">
        <v>346</v>
      </c>
      <c r="AK264" s="443">
        <v>1</v>
      </c>
      <c r="AL264" s="369" t="s">
        <v>1961</v>
      </c>
      <c r="AM264" s="398">
        <f>X264*P3_reinigen_daken_met_vaste_dakveiligheid</f>
        <v>0</v>
      </c>
      <c r="AN264" s="399">
        <f>Y264*P3_reinigen_goten_met_vaste_dakveiligheid</f>
        <v>0</v>
      </c>
      <c r="AO264" s="399">
        <f>(AE264*P3_Reinigen_Lichtkoepel_50X50)+('Perceel 3'!AF264*P3_Reinigen_Lichtkoepel_60x200)+('Perceel 3'!AG264*P3_Reinigen_Lichtkoepel_180x180)+('Perceel 3'!AH264*P3_Reinigen_Lichtstraten_groter_dan_180x180)</f>
        <v>0</v>
      </c>
      <c r="AP264" s="399">
        <f t="shared" si="47"/>
        <v>0</v>
      </c>
      <c r="AQ264" s="434"/>
      <c r="AR264" s="400">
        <f t="shared" si="48"/>
        <v>0</v>
      </c>
      <c r="AS264" s="401">
        <f t="shared" si="49"/>
        <v>0</v>
      </c>
    </row>
    <row r="265" spans="1:45" ht="14.65" thickTop="1" x14ac:dyDescent="0.4">
      <c r="B265" s="378">
        <v>3</v>
      </c>
      <c r="C265" s="1" t="s">
        <v>135</v>
      </c>
      <c r="N265" s="405" t="s">
        <v>1962</v>
      </c>
      <c r="O265" s="386" t="s">
        <v>1963</v>
      </c>
      <c r="X265" s="412">
        <f>+X205+X207+X208+X209+X210+X211+X212+X213+X214+X215+X216+X217+X219+X220+X221+X223+X224+X225+X226+X227+X228+X229+X230+X231+X232+X233+X234+X235+X236+X237+X238+X239+X240+X241+X242+X243+X244+X245+X246+X248+X249+X250+X251+X252+X254+X255+X256+X257+X258+X259+X260+X261+X262+X263+X264</f>
        <v>57978</v>
      </c>
      <c r="Y265" s="412">
        <f>+Y205+Y207+Y208+Y209+Y210+Y211+Y212+Y213+Y214+Y215+Y216+Y217+Y219+Y220+Y221+Y223+Y224+Y225+Y226+Y227+Y228+Y229+Y230+Y231+Y232+Y233+Y234+Y235+Y236+Y237+Y238+Y239+Y240+Y241+Y242+Y243+Y244+Y245+Y246+Y248+Y249+Y250+Y251+Y252+Y254+Y255+Y256+Y257+Y258+Y259+Y260+Y261+Y262+Y263+Y264</f>
        <v>256</v>
      </c>
      <c r="AB265" s="412">
        <f t="shared" ref="AB265:AC265" si="50">+AB205+AB207+AB208+AB209+AB210+AB211+AB212+AB213+AB214+AB215+AB216+AB217+AB219+AB220+AB221+AB223+AB224+AB225+AB226+AB227+AB228+AB229+AB230+AB231+AB232+AB233+AB234+AB235+AB236+AB237+AB238+AB239+AB240+AB241+AB242+AB243+AB244+AB245+AB246+AB248+AB249+AB250+AB251+AB252+AB254+AB255+AB256+AB257+AB258+AB259+AB260+AB261+AB262+AB263+AB264</f>
        <v>367</v>
      </c>
      <c r="AC265" s="412">
        <f t="shared" si="50"/>
        <v>2319.6</v>
      </c>
      <c r="AM265" s="426">
        <f t="shared" ref="AM265:AS265" si="51">+AM205+AM207+AM208+AM209+AM210+AM211+AM212+AM213+AM214+AM215+AM216+AM217+AM219+AM220+AM221+AM223+AM224+AM225+AM226+AM227+AM228+AM229+AM230+AM231+AM232+AM233+AM234+AM235+AM236+AM237+AM238+AM239+AM240+AM241+AM242+AM243+AM244+AM245+AM246+AM248+AM249+AM250+AM251+AM252+AM254+AM255+AM256+AM257+AM258+AM259+AM260+AM261+AM262+AM263+AM264</f>
        <v>0</v>
      </c>
      <c r="AN265" s="426">
        <f t="shared" si="51"/>
        <v>0</v>
      </c>
      <c r="AO265" s="426">
        <f t="shared" si="51"/>
        <v>0</v>
      </c>
      <c r="AP265" s="426">
        <f t="shared" si="51"/>
        <v>0</v>
      </c>
      <c r="AQ265" s="427">
        <f t="shared" si="51"/>
        <v>0</v>
      </c>
      <c r="AR265" s="426">
        <f t="shared" si="51"/>
        <v>0</v>
      </c>
      <c r="AS265" s="426">
        <f t="shared" si="51"/>
        <v>0</v>
      </c>
    </row>
    <row r="266" spans="1:45" s="7" customFormat="1" hidden="1" x14ac:dyDescent="0.45">
      <c r="A266" s="8"/>
      <c r="B266" s="40"/>
      <c r="C266" s="1"/>
      <c r="D266" s="1"/>
      <c r="E266" s="1"/>
      <c r="F266" s="1"/>
      <c r="G266" s="1"/>
      <c r="H266" s="38"/>
      <c r="I266" s="38"/>
      <c r="J266" s="38"/>
      <c r="K266" s="38"/>
      <c r="L266" s="38"/>
      <c r="M266" s="19"/>
      <c r="N266" s="1"/>
      <c r="O266" s="291"/>
      <c r="P266" s="1"/>
      <c r="Q266" s="1"/>
      <c r="R266" s="1"/>
      <c r="S266" s="1"/>
      <c r="T266" s="19"/>
      <c r="U266" s="19"/>
      <c r="V266" s="19"/>
      <c r="W266" s="30"/>
      <c r="X266" s="313"/>
      <c r="Y266" s="313"/>
      <c r="Z266" s="39"/>
      <c r="AA266" s="39"/>
      <c r="AB266" s="313"/>
      <c r="AC266" s="313"/>
      <c r="AD266" s="39"/>
      <c r="AE266" s="39"/>
      <c r="AF266" s="39"/>
      <c r="AG266" s="39"/>
      <c r="AH266" s="39"/>
      <c r="AI266" s="39"/>
      <c r="AJ266" s="39"/>
      <c r="AK266" s="283"/>
      <c r="AM266" s="314"/>
      <c r="AN266" s="314"/>
      <c r="AO266" s="314"/>
      <c r="AP266" s="314"/>
      <c r="AQ266" s="315"/>
      <c r="AR266" s="314"/>
      <c r="AS266" s="314"/>
    </row>
    <row r="267" spans="1:45" s="7" customFormat="1" hidden="1" x14ac:dyDescent="0.45">
      <c r="A267" s="8"/>
      <c r="B267" s="40"/>
      <c r="C267" s="1" t="s">
        <v>1964</v>
      </c>
      <c r="D267" s="1"/>
      <c r="E267" s="1"/>
      <c r="F267" s="1"/>
      <c r="G267" s="1"/>
      <c r="H267" s="38"/>
      <c r="I267" s="38"/>
      <c r="J267" s="38"/>
      <c r="K267" s="38"/>
      <c r="L267" s="38"/>
      <c r="M267" s="19"/>
      <c r="N267" s="1"/>
      <c r="O267" s="291" t="s">
        <v>1965</v>
      </c>
      <c r="P267" s="1"/>
      <c r="Q267" s="1"/>
      <c r="R267" s="1"/>
      <c r="S267" s="1"/>
      <c r="T267" s="19"/>
      <c r="U267" s="19"/>
      <c r="V267" s="19"/>
      <c r="W267" s="30"/>
      <c r="X267" s="313">
        <f>X265+X193+X97</f>
        <v>227473</v>
      </c>
      <c r="Y267" s="313">
        <f>Y265+Y193+Y97</f>
        <v>1543</v>
      </c>
      <c r="Z267" s="39"/>
      <c r="AA267" s="39"/>
      <c r="AB267" s="313">
        <f>AB265+AB193+AB97</f>
        <v>1623</v>
      </c>
      <c r="AC267" s="313">
        <f>AC265+AC193+AC97</f>
        <v>7869.6</v>
      </c>
      <c r="AD267" s="39"/>
      <c r="AE267" s="39"/>
      <c r="AF267" s="39"/>
      <c r="AG267" s="39"/>
      <c r="AH267" s="39"/>
      <c r="AI267" s="39"/>
      <c r="AJ267" s="39"/>
      <c r="AK267" s="283"/>
      <c r="AM267" s="314"/>
      <c r="AN267" s="314"/>
      <c r="AO267" s="314"/>
      <c r="AP267" s="314"/>
      <c r="AQ267" s="315"/>
      <c r="AR267" s="314"/>
      <c r="AS267" s="314"/>
    </row>
    <row r="268" spans="1:45" s="7" customFormat="1" hidden="1" x14ac:dyDescent="0.45">
      <c r="A268" s="8"/>
      <c r="B268" s="40"/>
      <c r="C268" s="1"/>
      <c r="D268" s="1"/>
      <c r="E268" s="1"/>
      <c r="F268" s="1"/>
      <c r="G268" s="1"/>
      <c r="H268" s="38"/>
      <c r="I268" s="38"/>
      <c r="J268" s="38"/>
      <c r="K268" s="38"/>
      <c r="L268" s="38"/>
      <c r="M268" s="19"/>
      <c r="N268" s="1"/>
      <c r="O268" s="291"/>
      <c r="P268" s="1"/>
      <c r="Q268" s="1"/>
      <c r="R268" s="1"/>
      <c r="S268" s="1"/>
      <c r="T268" s="19"/>
      <c r="U268" s="19"/>
      <c r="V268" s="19"/>
      <c r="W268" s="30"/>
      <c r="X268" s="313"/>
      <c r="Y268" s="313"/>
      <c r="Z268" s="39"/>
      <c r="AA268" s="39"/>
      <c r="AB268" s="313"/>
      <c r="AC268" s="313"/>
      <c r="AD268" s="39"/>
      <c r="AE268" s="39"/>
      <c r="AF268" s="39"/>
      <c r="AG268" s="39"/>
      <c r="AH268" s="39"/>
      <c r="AI268" s="39"/>
      <c r="AJ268" s="39"/>
      <c r="AK268" s="283"/>
      <c r="AM268" s="314"/>
      <c r="AN268" s="314"/>
      <c r="AO268" s="314"/>
      <c r="AP268" s="314"/>
      <c r="AQ268" s="315"/>
      <c r="AR268" s="314"/>
      <c r="AS268" s="314"/>
    </row>
    <row r="269" spans="1:45" s="7" customFormat="1" hidden="1" x14ac:dyDescent="0.45">
      <c r="A269" s="8"/>
      <c r="B269" s="40"/>
      <c r="C269" s="1"/>
      <c r="D269" s="1"/>
      <c r="E269" s="1"/>
      <c r="F269" s="1"/>
      <c r="G269" s="1"/>
      <c r="H269" s="38"/>
      <c r="I269" s="38"/>
      <c r="J269" s="38"/>
      <c r="K269" s="38"/>
      <c r="L269" s="38"/>
      <c r="M269" s="19"/>
      <c r="N269" s="1"/>
      <c r="O269" s="291"/>
      <c r="P269" s="1"/>
      <c r="Q269" s="1"/>
      <c r="R269" s="1"/>
      <c r="S269" s="1"/>
      <c r="T269" s="19"/>
      <c r="U269" s="19"/>
      <c r="V269" s="19"/>
      <c r="W269" s="30"/>
      <c r="X269" s="313"/>
      <c r="Y269" s="313"/>
      <c r="Z269" s="39"/>
      <c r="AA269" s="39"/>
      <c r="AB269" s="313"/>
      <c r="AC269" s="313"/>
      <c r="AD269" s="39"/>
      <c r="AE269" s="39"/>
      <c r="AF269" s="39"/>
      <c r="AG269" s="39"/>
      <c r="AH269" s="39"/>
      <c r="AI269" s="39"/>
      <c r="AJ269" s="39"/>
      <c r="AK269" s="283"/>
      <c r="AM269" s="314"/>
      <c r="AN269" s="314"/>
      <c r="AO269" s="314"/>
      <c r="AP269" s="314"/>
      <c r="AQ269" s="315"/>
      <c r="AR269" s="314"/>
      <c r="AS269" s="314"/>
    </row>
    <row r="270" spans="1:45" s="7" customFormat="1" hidden="1" x14ac:dyDescent="0.45">
      <c r="A270" s="8"/>
      <c r="B270" s="40"/>
      <c r="C270" s="1"/>
      <c r="D270" s="1"/>
      <c r="E270" s="1"/>
      <c r="F270" s="1"/>
      <c r="G270" s="1"/>
      <c r="H270" s="38"/>
      <c r="I270" s="38"/>
      <c r="J270" s="38"/>
      <c r="K270" s="38"/>
      <c r="L270" s="38"/>
      <c r="M270" s="19"/>
      <c r="N270" s="1"/>
      <c r="O270" s="291"/>
      <c r="P270" s="1"/>
      <c r="Q270" s="1"/>
      <c r="R270" s="1"/>
      <c r="S270" s="1"/>
      <c r="T270" s="19"/>
      <c r="U270" s="19"/>
      <c r="V270" s="19"/>
      <c r="W270" s="30"/>
      <c r="X270" s="313"/>
      <c r="Y270" s="313"/>
      <c r="Z270" s="39"/>
      <c r="AA270" s="39"/>
      <c r="AB270" s="313"/>
      <c r="AC270" s="313"/>
      <c r="AD270" s="39"/>
      <c r="AE270" s="39"/>
      <c r="AF270" s="39"/>
      <c r="AG270" s="39"/>
      <c r="AH270" s="39"/>
      <c r="AI270" s="39"/>
      <c r="AJ270" s="39"/>
      <c r="AK270" s="283"/>
      <c r="AM270" s="314"/>
      <c r="AN270" s="314"/>
      <c r="AO270" s="314"/>
      <c r="AP270" s="314"/>
      <c r="AQ270" s="315"/>
      <c r="AR270" s="314"/>
      <c r="AS270" s="314"/>
    </row>
    <row r="271" spans="1:45" s="7" customFormat="1" hidden="1" x14ac:dyDescent="0.45">
      <c r="A271" s="8"/>
      <c r="B271" s="40"/>
      <c r="C271" s="1"/>
      <c r="D271" s="1"/>
      <c r="E271" s="1"/>
      <c r="F271" s="1"/>
      <c r="G271" s="1"/>
      <c r="H271" s="38"/>
      <c r="I271" s="38"/>
      <c r="J271" s="38"/>
      <c r="K271" s="38"/>
      <c r="L271" s="38"/>
      <c r="M271" s="19"/>
      <c r="N271" s="1"/>
      <c r="O271" s="291"/>
      <c r="P271" s="1"/>
      <c r="Q271" s="1"/>
      <c r="R271" s="1"/>
      <c r="S271" s="1"/>
      <c r="T271" s="19"/>
      <c r="U271" s="19"/>
      <c r="V271" s="19"/>
      <c r="W271" s="30"/>
      <c r="X271" s="313"/>
      <c r="Y271" s="313"/>
      <c r="Z271" s="39"/>
      <c r="AA271" s="39"/>
      <c r="AB271" s="313"/>
      <c r="AC271" s="313"/>
      <c r="AD271" s="39"/>
      <c r="AE271" s="39"/>
      <c r="AF271" s="39"/>
      <c r="AG271" s="39"/>
      <c r="AH271" s="39"/>
      <c r="AI271" s="39"/>
      <c r="AJ271" s="39"/>
      <c r="AK271" s="283"/>
      <c r="AM271" s="314"/>
      <c r="AN271" s="314"/>
      <c r="AO271" s="314"/>
      <c r="AP271" s="314"/>
      <c r="AQ271" s="315"/>
      <c r="AR271" s="314"/>
      <c r="AS271" s="314"/>
    </row>
    <row r="272" spans="1:45" s="7" customFormat="1" hidden="1" x14ac:dyDescent="0.45">
      <c r="A272" s="8"/>
      <c r="B272" s="40"/>
      <c r="C272" s="1"/>
      <c r="D272" s="1"/>
      <c r="E272" s="1"/>
      <c r="F272" s="1"/>
      <c r="G272" s="1"/>
      <c r="H272" s="38"/>
      <c r="I272" s="38"/>
      <c r="J272" s="38"/>
      <c r="K272" s="38"/>
      <c r="L272" s="38"/>
      <c r="M272" s="19"/>
      <c r="N272" s="1"/>
      <c r="O272" s="1"/>
      <c r="P272" s="1"/>
      <c r="Q272" s="1"/>
      <c r="R272" s="1"/>
      <c r="S272" s="1"/>
      <c r="T272" s="19"/>
      <c r="U272" s="19"/>
      <c r="V272" s="19"/>
      <c r="W272" s="30"/>
      <c r="X272" s="30"/>
      <c r="Y272" s="30"/>
      <c r="Z272" s="39"/>
      <c r="AA272" s="39"/>
      <c r="AB272" s="39"/>
      <c r="AC272" s="39"/>
      <c r="AD272" s="39"/>
      <c r="AE272" s="39"/>
      <c r="AF272" s="39"/>
      <c r="AG272" s="39"/>
      <c r="AH272" s="39"/>
      <c r="AI272" s="39"/>
      <c r="AJ272" s="39"/>
      <c r="AK272" s="283"/>
      <c r="AM272" s="278"/>
      <c r="AN272" s="278"/>
      <c r="AO272" s="278"/>
      <c r="AP272" s="278"/>
      <c r="AR272" s="278"/>
      <c r="AS272" s="278"/>
    </row>
    <row r="273" spans="1:45" s="39" customFormat="1" hidden="1" x14ac:dyDescent="0.45">
      <c r="A273" s="8"/>
      <c r="B273" s="40"/>
      <c r="C273" s="1"/>
      <c r="D273" s="1"/>
      <c r="E273" s="1"/>
      <c r="F273" s="1"/>
      <c r="G273" s="1"/>
      <c r="H273" s="38"/>
      <c r="I273" s="38"/>
      <c r="J273" s="38"/>
      <c r="K273" s="38"/>
      <c r="L273" s="38"/>
      <c r="M273" s="19"/>
      <c r="N273" s="1"/>
      <c r="O273" s="1"/>
      <c r="P273" s="1"/>
      <c r="Q273" s="1"/>
      <c r="R273" s="1"/>
      <c r="S273" s="1"/>
      <c r="T273" s="19"/>
      <c r="U273" s="19"/>
      <c r="V273" s="19"/>
      <c r="W273" s="30"/>
      <c r="X273" s="30"/>
      <c r="Y273" s="30"/>
      <c r="AK273" s="283"/>
      <c r="AL273" s="7"/>
      <c r="AM273" s="278"/>
      <c r="AN273" s="278"/>
      <c r="AO273" s="278"/>
      <c r="AP273" s="278"/>
      <c r="AQ273" s="7"/>
      <c r="AR273" s="278"/>
      <c r="AS273" s="278"/>
    </row>
    <row r="274" spans="1:45" s="39" customFormat="1" hidden="1" x14ac:dyDescent="0.45">
      <c r="A274" s="8"/>
      <c r="B274" s="40"/>
      <c r="C274" s="1" t="s">
        <v>1966</v>
      </c>
      <c r="D274" s="1"/>
      <c r="E274" s="1"/>
      <c r="F274" s="1"/>
      <c r="G274" s="1"/>
      <c r="H274" s="38"/>
      <c r="I274" s="38"/>
      <c r="J274" s="38"/>
      <c r="K274" s="38"/>
      <c r="L274" s="38"/>
      <c r="M274" s="19"/>
      <c r="N274" s="1"/>
      <c r="O274" s="1"/>
      <c r="P274" s="1"/>
      <c r="Q274" s="1"/>
      <c r="R274" s="1">
        <v>227473</v>
      </c>
      <c r="S274" s="1" t="s">
        <v>40</v>
      </c>
      <c r="T274" s="19"/>
      <c r="U274" s="19"/>
      <c r="V274" s="19"/>
      <c r="W274" s="321">
        <v>1</v>
      </c>
      <c r="X274" s="321">
        <v>1</v>
      </c>
      <c r="Y274" s="293">
        <v>280000</v>
      </c>
      <c r="Z274" s="323">
        <v>195000</v>
      </c>
      <c r="AA274" s="322">
        <v>85000</v>
      </c>
      <c r="AK274" s="283"/>
      <c r="AL274" s="7"/>
      <c r="AM274" s="278"/>
      <c r="AN274" s="278"/>
      <c r="AO274" s="278"/>
      <c r="AP274" s="278"/>
      <c r="AQ274" s="7"/>
      <c r="AR274" s="278"/>
      <c r="AS274" s="278"/>
    </row>
    <row r="275" spans="1:45" s="39" customFormat="1" hidden="1" x14ac:dyDescent="0.45">
      <c r="A275" s="8"/>
      <c r="B275" s="40"/>
      <c r="C275" s="1" t="s">
        <v>1966</v>
      </c>
      <c r="D275" s="1"/>
      <c r="E275" s="1"/>
      <c r="F275" s="1"/>
      <c r="G275" s="1"/>
      <c r="H275" s="38"/>
      <c r="I275" s="38"/>
      <c r="J275" s="38"/>
      <c r="K275" s="38"/>
      <c r="L275" s="38"/>
      <c r="M275" s="19"/>
      <c r="N275" s="1"/>
      <c r="O275" s="1"/>
      <c r="P275" s="1"/>
      <c r="Q275" s="1">
        <v>1</v>
      </c>
      <c r="R275" s="1">
        <f>X97</f>
        <v>73772</v>
      </c>
      <c r="S275" s="1">
        <f>R274*W275</f>
        <v>73771.768629999991</v>
      </c>
      <c r="T275" s="19"/>
      <c r="U275" s="19"/>
      <c r="V275" s="19"/>
      <c r="W275" s="320">
        <v>0.32430999999999999</v>
      </c>
      <c r="X275" s="320">
        <v>0.32429999999999998</v>
      </c>
      <c r="Y275" s="293">
        <f>Y274*X275</f>
        <v>90804</v>
      </c>
      <c r="Z275" s="323">
        <f>Z274*X275</f>
        <v>63238.499999999993</v>
      </c>
      <c r="AA275" s="322">
        <f>AA274*X275</f>
        <v>27565.499999999996</v>
      </c>
      <c r="AK275" s="283"/>
      <c r="AL275" s="7"/>
      <c r="AM275" s="278"/>
      <c r="AN275" s="278"/>
      <c r="AO275" s="278"/>
      <c r="AP275" s="278"/>
      <c r="AQ275" s="7"/>
      <c r="AR275" s="278"/>
      <c r="AS275" s="278"/>
    </row>
    <row r="276" spans="1:45" s="39" customFormat="1" hidden="1" x14ac:dyDescent="0.45">
      <c r="A276" s="8"/>
      <c r="B276" s="40"/>
      <c r="C276" s="1" t="s">
        <v>1966</v>
      </c>
      <c r="D276" s="1"/>
      <c r="E276" s="1"/>
      <c r="F276" s="1"/>
      <c r="G276" s="1"/>
      <c r="H276" s="38"/>
      <c r="I276" s="38"/>
      <c r="J276" s="38"/>
      <c r="K276" s="38"/>
      <c r="L276" s="38"/>
      <c r="M276" s="19"/>
      <c r="N276" s="1"/>
      <c r="O276" s="1"/>
      <c r="P276" s="1"/>
      <c r="Q276" s="1">
        <v>2</v>
      </c>
      <c r="R276" s="319">
        <f>X193</f>
        <v>95723</v>
      </c>
      <c r="S276" s="1">
        <f>R274*W276</f>
        <v>95722.994792807003</v>
      </c>
      <c r="T276" s="19"/>
      <c r="U276" s="19"/>
      <c r="V276" s="19"/>
      <c r="W276" s="320">
        <v>0.42081035900000002</v>
      </c>
      <c r="X276" s="320">
        <v>0.42080000000000001</v>
      </c>
      <c r="Y276" s="293">
        <f>Y274*X276</f>
        <v>117824</v>
      </c>
      <c r="Z276" s="323">
        <f>Z274*X276</f>
        <v>82056</v>
      </c>
      <c r="AA276" s="322">
        <f>AA274*X276</f>
        <v>35768</v>
      </c>
      <c r="AK276" s="283"/>
      <c r="AL276" s="7"/>
      <c r="AM276" s="278"/>
      <c r="AN276" s="278"/>
      <c r="AO276" s="278"/>
      <c r="AP276" s="278"/>
      <c r="AQ276" s="7"/>
      <c r="AR276" s="278"/>
      <c r="AS276" s="278"/>
    </row>
    <row r="277" spans="1:45" s="39" customFormat="1" hidden="1" x14ac:dyDescent="0.45">
      <c r="A277" s="8"/>
      <c r="B277" s="40"/>
      <c r="C277" s="1" t="s">
        <v>1966</v>
      </c>
      <c r="D277" s="1"/>
      <c r="E277" s="1"/>
      <c r="F277" s="1"/>
      <c r="G277" s="1"/>
      <c r="H277" s="38"/>
      <c r="I277" s="38"/>
      <c r="J277" s="38"/>
      <c r="K277" s="38"/>
      <c r="L277" s="38"/>
      <c r="M277" s="19"/>
      <c r="N277" s="1"/>
      <c r="O277" s="1"/>
      <c r="P277" s="1"/>
      <c r="Q277" s="1">
        <v>3</v>
      </c>
      <c r="R277" s="319">
        <f>X265</f>
        <v>57978</v>
      </c>
      <c r="S277" s="1">
        <f>R274*W277</f>
        <v>57978.318240000001</v>
      </c>
      <c r="T277" s="19"/>
      <c r="U277" s="19"/>
      <c r="V277" s="19"/>
      <c r="W277" s="320">
        <v>0.25488</v>
      </c>
      <c r="X277" s="320">
        <v>0.25490000000000002</v>
      </c>
      <c r="Y277" s="293">
        <f>Y274*X277</f>
        <v>71372</v>
      </c>
      <c r="Z277" s="323">
        <f>Z274*X277</f>
        <v>49705.5</v>
      </c>
      <c r="AA277" s="322">
        <f>+AA274*X277</f>
        <v>21666.5</v>
      </c>
      <c r="AK277" s="283"/>
      <c r="AL277" s="7"/>
      <c r="AM277" s="278"/>
      <c r="AN277" s="278"/>
      <c r="AO277" s="278"/>
      <c r="AP277" s="278"/>
      <c r="AQ277" s="7"/>
      <c r="AR277" s="278"/>
      <c r="AS277" s="278"/>
    </row>
    <row r="278" spans="1:45" s="39" customFormat="1" hidden="1" x14ac:dyDescent="0.45">
      <c r="A278" s="8"/>
      <c r="B278" s="40"/>
      <c r="C278" s="1" t="s">
        <v>1966</v>
      </c>
      <c r="D278" s="1"/>
      <c r="E278" s="1"/>
      <c r="F278" s="1"/>
      <c r="G278" s="1"/>
      <c r="H278" s="38"/>
      <c r="I278" s="38"/>
      <c r="J278" s="38"/>
      <c r="K278" s="38"/>
      <c r="L278" s="38"/>
      <c r="M278" s="19"/>
      <c r="N278" s="1"/>
      <c r="O278" s="1"/>
      <c r="P278" s="1"/>
      <c r="Q278" s="1"/>
      <c r="R278" s="313">
        <f t="shared" ref="R278:S278" si="52">R275+R276+R277</f>
        <v>227473</v>
      </c>
      <c r="S278" s="313">
        <f t="shared" si="52"/>
        <v>227473.08166280697</v>
      </c>
      <c r="T278" s="19"/>
      <c r="U278" s="19"/>
      <c r="V278" s="19"/>
      <c r="W278" s="320">
        <f>W275+W276+W277</f>
        <v>1.0000003589999999</v>
      </c>
      <c r="X278" s="320">
        <f>X275+X276+X277</f>
        <v>1</v>
      </c>
      <c r="Y278" s="293">
        <f>SUM(Y275:Y277)</f>
        <v>280000</v>
      </c>
      <c r="Z278" s="323">
        <f>SUM(Z275:Z277)</f>
        <v>195000</v>
      </c>
      <c r="AA278" s="322">
        <f>SUM(AA275:AA277)</f>
        <v>85000</v>
      </c>
      <c r="AK278" s="283"/>
      <c r="AL278" s="7"/>
      <c r="AM278" s="278"/>
      <c r="AN278" s="278"/>
      <c r="AO278" s="278"/>
      <c r="AP278" s="278"/>
      <c r="AQ278" s="7"/>
      <c r="AR278" s="278"/>
      <c r="AS278" s="278"/>
    </row>
    <row r="279" spans="1:45" s="39" customFormat="1" hidden="1" x14ac:dyDescent="0.45">
      <c r="A279" s="8"/>
      <c r="B279" s="40"/>
      <c r="C279" s="1"/>
      <c r="D279" s="1"/>
      <c r="E279" s="1"/>
      <c r="F279" s="1"/>
      <c r="G279" s="1"/>
      <c r="H279" s="38"/>
      <c r="I279" s="38"/>
      <c r="J279" s="38"/>
      <c r="K279" s="38"/>
      <c r="L279" s="38"/>
      <c r="M279" s="19"/>
      <c r="N279" s="1"/>
      <c r="O279" s="1"/>
      <c r="P279" s="1"/>
      <c r="Q279" s="1"/>
      <c r="R279" s="1"/>
      <c r="S279" s="1"/>
      <c r="T279" s="19"/>
      <c r="U279" s="19"/>
      <c r="V279" s="19"/>
      <c r="W279" s="30"/>
      <c r="X279" s="30"/>
      <c r="Y279" s="30"/>
      <c r="AK279" s="283"/>
      <c r="AL279" s="7"/>
      <c r="AM279" s="278"/>
      <c r="AN279" s="278"/>
      <c r="AO279" s="278"/>
      <c r="AP279" s="278"/>
      <c r="AQ279" s="7"/>
      <c r="AR279" s="278"/>
      <c r="AS279" s="278"/>
    </row>
    <row r="280" spans="1:45" s="39" customFormat="1" hidden="1" x14ac:dyDescent="0.45">
      <c r="A280" s="8"/>
      <c r="B280" s="40"/>
      <c r="C280" s="1"/>
      <c r="D280" s="1"/>
      <c r="E280" s="1"/>
      <c r="F280" s="1"/>
      <c r="G280" s="1"/>
      <c r="H280" s="38"/>
      <c r="I280" s="38"/>
      <c r="J280" s="38"/>
      <c r="K280" s="38"/>
      <c r="L280" s="38"/>
      <c r="M280" s="19"/>
      <c r="N280" s="1"/>
      <c r="O280" s="1"/>
      <c r="P280" s="1"/>
      <c r="Q280" s="1"/>
      <c r="R280" s="1"/>
      <c r="S280" s="1"/>
      <c r="T280" s="19"/>
      <c r="U280" s="19"/>
      <c r="V280" s="19"/>
      <c r="W280" s="30"/>
      <c r="X280" s="30"/>
      <c r="Y280" s="30"/>
      <c r="AK280" s="283"/>
      <c r="AL280" s="7"/>
      <c r="AM280" s="278"/>
      <c r="AN280" s="278"/>
      <c r="AO280" s="278"/>
      <c r="AP280" s="278"/>
      <c r="AQ280" s="7"/>
      <c r="AR280" s="278"/>
      <c r="AS280" s="278"/>
    </row>
    <row r="281" spans="1:45" s="39" customFormat="1" hidden="1" x14ac:dyDescent="0.45">
      <c r="A281" s="8"/>
      <c r="B281" s="40"/>
      <c r="C281" s="1"/>
      <c r="D281" s="1"/>
      <c r="E281" s="1"/>
      <c r="F281" s="1"/>
      <c r="G281" s="1"/>
      <c r="H281" s="38"/>
      <c r="I281" s="38"/>
      <c r="J281" s="38"/>
      <c r="K281" s="38"/>
      <c r="L281" s="38"/>
      <c r="M281" s="19"/>
      <c r="N281" s="1"/>
      <c r="O281" s="1"/>
      <c r="P281" s="1"/>
      <c r="Q281" s="1"/>
      <c r="R281" s="1"/>
      <c r="S281" s="1"/>
      <c r="T281" s="19"/>
      <c r="U281" s="19"/>
      <c r="V281" s="19"/>
      <c r="W281" s="30"/>
      <c r="X281" s="30"/>
      <c r="Y281" s="30"/>
      <c r="AK281" s="283"/>
      <c r="AL281" s="7"/>
      <c r="AM281" s="278"/>
      <c r="AN281" s="278"/>
      <c r="AO281" s="278"/>
      <c r="AP281" s="278"/>
      <c r="AQ281" s="7"/>
      <c r="AR281" s="278"/>
      <c r="AS281" s="278"/>
    </row>
    <row r="282" spans="1:45" s="39" customFormat="1" hidden="1" x14ac:dyDescent="0.45">
      <c r="A282" s="8"/>
      <c r="B282" s="40"/>
      <c r="C282" s="1"/>
      <c r="D282" s="1"/>
      <c r="E282" s="1"/>
      <c r="F282" s="1"/>
      <c r="G282" s="1"/>
      <c r="H282" s="38"/>
      <c r="I282" s="38"/>
      <c r="J282" s="38"/>
      <c r="K282" s="38"/>
      <c r="L282" s="38"/>
      <c r="M282" s="19"/>
      <c r="N282" s="1"/>
      <c r="O282" s="1"/>
      <c r="P282" s="1"/>
      <c r="Q282" s="1"/>
      <c r="R282" s="1"/>
      <c r="S282" s="1"/>
      <c r="T282" s="19"/>
      <c r="U282" s="19"/>
      <c r="V282" s="19"/>
      <c r="W282" s="30"/>
      <c r="X282" s="30"/>
      <c r="Y282" s="30"/>
      <c r="AK282" s="283"/>
      <c r="AL282" s="7"/>
      <c r="AM282" s="278"/>
      <c r="AN282" s="278"/>
      <c r="AO282" s="278"/>
      <c r="AP282" s="278"/>
      <c r="AQ282" s="7"/>
      <c r="AR282" s="278"/>
      <c r="AS282" s="278"/>
    </row>
    <row r="283" spans="1:45" s="39" customFormat="1" hidden="1" x14ac:dyDescent="0.45">
      <c r="A283" s="8"/>
      <c r="B283" s="40"/>
      <c r="C283" s="1"/>
      <c r="D283" s="1"/>
      <c r="E283" s="1"/>
      <c r="F283" s="1"/>
      <c r="G283" s="1"/>
      <c r="H283" s="38"/>
      <c r="I283" s="38"/>
      <c r="J283" s="38"/>
      <c r="K283" s="38"/>
      <c r="L283" s="38"/>
      <c r="M283" s="19"/>
      <c r="N283" s="1"/>
      <c r="O283" s="1"/>
      <c r="P283" s="1"/>
      <c r="Q283" s="1"/>
      <c r="R283" s="1"/>
      <c r="S283" s="1"/>
      <c r="T283" s="19"/>
      <c r="U283" s="19"/>
      <c r="V283" s="19"/>
      <c r="W283" s="30"/>
      <c r="X283" s="30"/>
      <c r="Y283" s="30"/>
      <c r="AK283" s="283"/>
      <c r="AL283" s="7"/>
      <c r="AM283" s="278"/>
      <c r="AN283" s="278"/>
      <c r="AO283" s="278"/>
      <c r="AP283" s="278"/>
      <c r="AQ283" s="7"/>
      <c r="AR283" s="278"/>
      <c r="AS283" s="278"/>
    </row>
    <row r="284" spans="1:45" s="39" customFormat="1" hidden="1" x14ac:dyDescent="0.45">
      <c r="A284" s="8"/>
      <c r="B284" s="40"/>
      <c r="C284" s="1"/>
      <c r="D284" s="1"/>
      <c r="E284" s="1"/>
      <c r="F284" s="1"/>
      <c r="G284" s="1"/>
      <c r="H284" s="38"/>
      <c r="I284" s="38"/>
      <c r="J284" s="38"/>
      <c r="K284" s="38"/>
      <c r="L284" s="38"/>
      <c r="M284" s="19"/>
      <c r="N284" s="1"/>
      <c r="O284" s="1"/>
      <c r="P284" s="1"/>
      <c r="Q284" s="1"/>
      <c r="R284" s="1"/>
      <c r="S284" s="1"/>
      <c r="T284" s="19"/>
      <c r="U284" s="19"/>
      <c r="V284" s="19"/>
      <c r="W284" s="30"/>
      <c r="X284" s="30"/>
      <c r="Y284" s="30"/>
      <c r="AK284" s="283"/>
      <c r="AL284" s="7"/>
      <c r="AM284" s="278"/>
      <c r="AN284" s="278"/>
      <c r="AO284" s="278"/>
      <c r="AP284" s="278"/>
      <c r="AQ284" s="7"/>
      <c r="AR284" s="278"/>
      <c r="AS284" s="278"/>
    </row>
    <row r="285" spans="1:45" s="39" customFormat="1" hidden="1" x14ac:dyDescent="0.45">
      <c r="A285" s="8"/>
      <c r="B285" s="40"/>
      <c r="C285" s="1"/>
      <c r="D285" s="1"/>
      <c r="E285" s="1"/>
      <c r="F285" s="1"/>
      <c r="G285" s="1"/>
      <c r="H285" s="38"/>
      <c r="I285" s="38"/>
      <c r="J285" s="38"/>
      <c r="K285" s="38"/>
      <c r="L285" s="38"/>
      <c r="M285" s="19"/>
      <c r="N285" s="1"/>
      <c r="O285" s="1"/>
      <c r="P285" s="1"/>
      <c r="Q285" s="1"/>
      <c r="R285" s="1"/>
      <c r="S285" s="1"/>
      <c r="T285" s="19"/>
      <c r="U285" s="19"/>
      <c r="V285" s="19"/>
      <c r="W285" s="30"/>
      <c r="X285" s="30"/>
      <c r="Y285" s="30"/>
      <c r="AK285" s="283"/>
      <c r="AL285" s="7"/>
      <c r="AM285" s="278"/>
      <c r="AN285" s="278"/>
      <c r="AO285" s="278"/>
      <c r="AP285" s="278"/>
      <c r="AQ285" s="7"/>
      <c r="AR285" s="278"/>
      <c r="AS285" s="278"/>
    </row>
    <row r="286" spans="1:45" s="39" customFormat="1" hidden="1" x14ac:dyDescent="0.45">
      <c r="A286" s="8"/>
      <c r="B286" s="40"/>
      <c r="C286" s="1"/>
      <c r="D286" s="1"/>
      <c r="E286" s="1"/>
      <c r="F286" s="1"/>
      <c r="G286" s="1"/>
      <c r="H286" s="38"/>
      <c r="I286" s="38"/>
      <c r="J286" s="38"/>
      <c r="K286" s="38"/>
      <c r="L286" s="38"/>
      <c r="M286" s="19"/>
      <c r="N286" s="1"/>
      <c r="O286" s="1"/>
      <c r="P286" s="1"/>
      <c r="Q286" s="1"/>
      <c r="R286" s="1"/>
      <c r="S286" s="1"/>
      <c r="T286" s="19"/>
      <c r="U286" s="19"/>
      <c r="V286" s="19"/>
      <c r="W286" s="30"/>
      <c r="X286" s="30"/>
      <c r="Y286" s="30"/>
      <c r="AK286" s="283"/>
      <c r="AL286" s="7"/>
      <c r="AM286" s="278"/>
      <c r="AN286" s="278"/>
      <c r="AO286" s="278"/>
      <c r="AP286" s="278"/>
      <c r="AQ286" s="7"/>
      <c r="AR286" s="278"/>
      <c r="AS286" s="278"/>
    </row>
    <row r="287" spans="1:45" s="39" customFormat="1" hidden="1" x14ac:dyDescent="0.45">
      <c r="A287" s="8"/>
      <c r="B287" s="40"/>
      <c r="C287" s="1"/>
      <c r="D287" s="1"/>
      <c r="E287" s="1"/>
      <c r="F287" s="1"/>
      <c r="G287" s="1"/>
      <c r="H287" s="38"/>
      <c r="I287" s="38"/>
      <c r="J287" s="38"/>
      <c r="K287" s="38"/>
      <c r="L287" s="38"/>
      <c r="M287" s="19"/>
      <c r="N287" s="1"/>
      <c r="O287" s="1"/>
      <c r="P287" s="1"/>
      <c r="Q287" s="1"/>
      <c r="R287" s="1"/>
      <c r="S287" s="1"/>
      <c r="T287" s="19"/>
      <c r="U287" s="19"/>
      <c r="V287" s="19"/>
      <c r="W287" s="30"/>
      <c r="X287" s="30"/>
      <c r="Y287" s="30"/>
      <c r="AK287" s="283"/>
      <c r="AL287" s="7"/>
      <c r="AM287" s="278"/>
      <c r="AN287" s="278"/>
      <c r="AO287" s="278"/>
      <c r="AP287" s="278"/>
      <c r="AQ287" s="7"/>
      <c r="AR287" s="278"/>
      <c r="AS287" s="278"/>
    </row>
    <row r="288" spans="1:45" s="39" customFormat="1" hidden="1" x14ac:dyDescent="0.45">
      <c r="A288" s="8"/>
      <c r="B288" s="40"/>
      <c r="C288" s="1"/>
      <c r="D288" s="1"/>
      <c r="E288" s="1"/>
      <c r="F288" s="1"/>
      <c r="G288" s="1"/>
      <c r="H288" s="38"/>
      <c r="I288" s="38"/>
      <c r="J288" s="38"/>
      <c r="K288" s="38"/>
      <c r="L288" s="38"/>
      <c r="M288" s="19"/>
      <c r="N288" s="1"/>
      <c r="O288" s="1"/>
      <c r="P288" s="1"/>
      <c r="Q288" s="1"/>
      <c r="R288" s="1"/>
      <c r="S288" s="1"/>
      <c r="T288" s="19"/>
      <c r="U288" s="19"/>
      <c r="V288" s="19"/>
      <c r="W288" s="30"/>
      <c r="X288" s="30"/>
      <c r="Y288" s="30"/>
      <c r="AK288" s="283"/>
      <c r="AL288" s="7"/>
      <c r="AM288" s="278"/>
      <c r="AN288" s="278"/>
      <c r="AO288" s="278"/>
      <c r="AP288" s="278"/>
      <c r="AQ288" s="7"/>
      <c r="AR288" s="278"/>
      <c r="AS288" s="278"/>
    </row>
    <row r="289" spans="2:45" s="8" customFormat="1" hidden="1" x14ac:dyDescent="0.45">
      <c r="B289" s="40"/>
      <c r="C289" s="1"/>
      <c r="D289" s="1"/>
      <c r="E289" s="1"/>
      <c r="F289" s="1"/>
      <c r="G289" s="1"/>
      <c r="H289" s="38"/>
      <c r="I289" s="38"/>
      <c r="J289" s="38"/>
      <c r="K289" s="38"/>
      <c r="L289" s="38"/>
      <c r="M289" s="19"/>
      <c r="N289" s="1"/>
      <c r="O289" s="1"/>
      <c r="P289" s="1"/>
      <c r="Q289" s="1"/>
      <c r="R289" s="1"/>
      <c r="S289" s="1"/>
      <c r="T289" s="19"/>
      <c r="U289" s="19"/>
      <c r="V289" s="19"/>
      <c r="W289" s="30"/>
      <c r="X289" s="30"/>
      <c r="Y289" s="30"/>
      <c r="Z289" s="39"/>
      <c r="AA289" s="39"/>
      <c r="AB289" s="39"/>
      <c r="AC289" s="39"/>
      <c r="AD289" s="39"/>
      <c r="AE289" s="39"/>
      <c r="AF289" s="39"/>
      <c r="AG289" s="39"/>
      <c r="AH289" s="39"/>
      <c r="AI289" s="39"/>
      <c r="AJ289" s="39"/>
      <c r="AK289" s="283"/>
      <c r="AL289" s="7"/>
      <c r="AM289" s="278"/>
      <c r="AN289" s="278"/>
      <c r="AO289" s="278"/>
      <c r="AP289" s="278"/>
      <c r="AQ289" s="7"/>
      <c r="AR289" s="278"/>
      <c r="AS289" s="278"/>
    </row>
    <row r="290" spans="2:45" s="8" customFormat="1" hidden="1" x14ac:dyDescent="0.45">
      <c r="B290" s="40"/>
      <c r="C290" s="1"/>
      <c r="D290" s="1"/>
      <c r="E290" s="1"/>
      <c r="F290" s="1"/>
      <c r="G290" s="1"/>
      <c r="H290" s="38"/>
      <c r="I290" s="38"/>
      <c r="J290" s="38"/>
      <c r="K290" s="38"/>
      <c r="L290" s="38"/>
      <c r="M290" s="19"/>
      <c r="N290" s="1"/>
      <c r="O290" s="1"/>
      <c r="P290" s="1"/>
      <c r="Q290" s="1"/>
      <c r="R290" s="1"/>
      <c r="S290" s="1"/>
      <c r="T290" s="19"/>
      <c r="U290" s="19"/>
      <c r="V290" s="19"/>
      <c r="W290" s="30"/>
      <c r="X290" s="30"/>
      <c r="Y290" s="30"/>
      <c r="Z290" s="39"/>
      <c r="AA290" s="39"/>
      <c r="AB290" s="39"/>
      <c r="AC290" s="39"/>
      <c r="AD290" s="39"/>
      <c r="AE290" s="39"/>
      <c r="AF290" s="39"/>
      <c r="AG290" s="39"/>
      <c r="AH290" s="39"/>
      <c r="AI290" s="39"/>
      <c r="AJ290" s="39"/>
      <c r="AK290" s="283"/>
      <c r="AL290" s="7"/>
      <c r="AM290" s="278"/>
      <c r="AN290" s="278"/>
      <c r="AO290" s="278"/>
      <c r="AP290" s="278"/>
      <c r="AQ290" s="7"/>
      <c r="AR290" s="278"/>
      <c r="AS290" s="278"/>
    </row>
    <row r="291" spans="2:45" s="8" customFormat="1" hidden="1" x14ac:dyDescent="0.45">
      <c r="B291" s="40"/>
      <c r="C291" s="1"/>
      <c r="D291" s="1"/>
      <c r="E291" s="1"/>
      <c r="F291" s="1"/>
      <c r="G291" s="1"/>
      <c r="H291" s="38"/>
      <c r="I291" s="38"/>
      <c r="J291" s="38"/>
      <c r="K291" s="38"/>
      <c r="L291" s="38"/>
      <c r="M291" s="19"/>
      <c r="N291" s="1"/>
      <c r="O291" s="1"/>
      <c r="P291" s="1"/>
      <c r="Q291" s="1"/>
      <c r="R291" s="1"/>
      <c r="S291" s="1"/>
      <c r="T291" s="19"/>
      <c r="U291" s="19"/>
      <c r="V291" s="19"/>
      <c r="W291" s="30"/>
      <c r="X291" s="30"/>
      <c r="Y291" s="30"/>
      <c r="Z291" s="39"/>
      <c r="AA291" s="39"/>
      <c r="AB291" s="39"/>
      <c r="AC291" s="39"/>
      <c r="AD291" s="39"/>
      <c r="AE291" s="39"/>
      <c r="AF291" s="39"/>
      <c r="AG291" s="39"/>
      <c r="AH291" s="39"/>
      <c r="AI291" s="39"/>
      <c r="AJ291" s="39"/>
      <c r="AK291" s="283"/>
      <c r="AL291" s="7"/>
      <c r="AM291" s="278"/>
      <c r="AN291" s="278"/>
      <c r="AO291" s="278"/>
      <c r="AP291" s="278"/>
      <c r="AQ291" s="7"/>
      <c r="AR291" s="278"/>
      <c r="AS291" s="278"/>
    </row>
    <row r="292" spans="2:45" s="8" customFormat="1" hidden="1" x14ac:dyDescent="0.45">
      <c r="B292" s="40"/>
      <c r="C292" s="1"/>
      <c r="D292" s="1"/>
      <c r="E292" s="1"/>
      <c r="F292" s="1"/>
      <c r="G292" s="1"/>
      <c r="H292" s="38"/>
      <c r="I292" s="38"/>
      <c r="J292" s="38"/>
      <c r="K292" s="38"/>
      <c r="L292" s="38"/>
      <c r="M292" s="19"/>
      <c r="N292" s="1"/>
      <c r="O292" s="1"/>
      <c r="P292" s="1"/>
      <c r="Q292" s="1"/>
      <c r="R292" s="1"/>
      <c r="S292" s="1"/>
      <c r="T292" s="19"/>
      <c r="U292" s="19"/>
      <c r="V292" s="19"/>
      <c r="W292" s="30"/>
      <c r="X292" s="30"/>
      <c r="Y292" s="30"/>
      <c r="Z292" s="39"/>
      <c r="AA292" s="39"/>
      <c r="AB292" s="39"/>
      <c r="AC292" s="39"/>
      <c r="AD292" s="39"/>
      <c r="AE292" s="39"/>
      <c r="AF292" s="39"/>
      <c r="AG292" s="39"/>
      <c r="AH292" s="39"/>
      <c r="AI292" s="39"/>
      <c r="AJ292" s="39"/>
      <c r="AK292" s="283"/>
      <c r="AL292" s="7"/>
      <c r="AM292" s="278"/>
      <c r="AN292" s="278"/>
      <c r="AO292" s="278"/>
      <c r="AP292" s="278"/>
      <c r="AQ292" s="7"/>
      <c r="AR292" s="278"/>
      <c r="AS292" s="278"/>
    </row>
    <row r="293" spans="2:45" s="8" customFormat="1" hidden="1" x14ac:dyDescent="0.45">
      <c r="B293" s="40"/>
      <c r="C293" s="1"/>
      <c r="D293" s="1"/>
      <c r="E293" s="1"/>
      <c r="F293" s="1"/>
      <c r="G293" s="1"/>
      <c r="H293" s="38"/>
      <c r="I293" s="38"/>
      <c r="J293" s="38"/>
      <c r="K293" s="38"/>
      <c r="L293" s="38"/>
      <c r="M293" s="19"/>
      <c r="N293" s="1"/>
      <c r="O293" s="1"/>
      <c r="P293" s="1"/>
      <c r="Q293" s="1"/>
      <c r="R293" s="1"/>
      <c r="S293" s="1"/>
      <c r="T293" s="19"/>
      <c r="U293" s="19"/>
      <c r="V293" s="19"/>
      <c r="W293" s="30"/>
      <c r="X293" s="30"/>
      <c r="Y293" s="30"/>
      <c r="Z293" s="39"/>
      <c r="AA293" s="39"/>
      <c r="AB293" s="39"/>
      <c r="AC293" s="39"/>
      <c r="AD293" s="39"/>
      <c r="AE293" s="39"/>
      <c r="AF293" s="39"/>
      <c r="AG293" s="39"/>
      <c r="AH293" s="39"/>
      <c r="AI293" s="39"/>
      <c r="AJ293" s="39"/>
      <c r="AK293" s="283"/>
      <c r="AL293" s="7"/>
      <c r="AM293" s="278"/>
      <c r="AN293" s="278"/>
      <c r="AO293" s="278"/>
      <c r="AP293" s="278"/>
      <c r="AQ293" s="7"/>
      <c r="AR293" s="278"/>
      <c r="AS293" s="278"/>
    </row>
    <row r="294" spans="2:45" s="8" customFormat="1" hidden="1" x14ac:dyDescent="0.45">
      <c r="B294" s="40"/>
      <c r="C294" s="1"/>
      <c r="D294" s="1"/>
      <c r="E294" s="1"/>
      <c r="F294" s="1"/>
      <c r="G294" s="1"/>
      <c r="H294" s="38"/>
      <c r="I294" s="38"/>
      <c r="J294" s="38"/>
      <c r="K294" s="38"/>
      <c r="L294" s="38"/>
      <c r="M294" s="19"/>
      <c r="N294" s="1"/>
      <c r="O294" s="1"/>
      <c r="P294" s="1"/>
      <c r="Q294" s="1"/>
      <c r="R294" s="1"/>
      <c r="S294" s="1"/>
      <c r="T294" s="19"/>
      <c r="U294" s="19"/>
      <c r="V294" s="19"/>
      <c r="W294" s="30"/>
      <c r="X294" s="30"/>
      <c r="Y294" s="30"/>
      <c r="Z294" s="39"/>
      <c r="AA294" s="39"/>
      <c r="AB294" s="39"/>
      <c r="AC294" s="39"/>
      <c r="AD294" s="39"/>
      <c r="AE294" s="39"/>
      <c r="AF294" s="39"/>
      <c r="AG294" s="39"/>
      <c r="AH294" s="39"/>
      <c r="AI294" s="39"/>
      <c r="AJ294" s="39"/>
      <c r="AK294" s="283"/>
      <c r="AL294" s="7"/>
      <c r="AM294" s="278"/>
      <c r="AN294" s="278"/>
      <c r="AO294" s="278"/>
      <c r="AP294" s="278"/>
      <c r="AQ294" s="7"/>
      <c r="AR294" s="278"/>
      <c r="AS294" s="278"/>
    </row>
    <row r="295" spans="2:45" s="8" customFormat="1" hidden="1" x14ac:dyDescent="0.45">
      <c r="B295" s="40"/>
      <c r="C295" s="1"/>
      <c r="D295" s="1"/>
      <c r="E295" s="1"/>
      <c r="F295" s="1"/>
      <c r="G295" s="1"/>
      <c r="H295" s="38"/>
      <c r="I295" s="38"/>
      <c r="J295" s="38"/>
      <c r="K295" s="38"/>
      <c r="L295" s="38"/>
      <c r="M295" s="19"/>
      <c r="N295" s="1"/>
      <c r="O295" s="1"/>
      <c r="P295" s="1"/>
      <c r="Q295" s="1"/>
      <c r="R295" s="1"/>
      <c r="S295" s="1"/>
      <c r="T295" s="19"/>
      <c r="U295" s="19"/>
      <c r="V295" s="19"/>
      <c r="W295" s="30"/>
      <c r="X295" s="30"/>
      <c r="Y295" s="30"/>
      <c r="Z295" s="39"/>
      <c r="AA295" s="39"/>
      <c r="AB295" s="39"/>
      <c r="AC295" s="39"/>
      <c r="AD295" s="39"/>
      <c r="AE295" s="39"/>
      <c r="AF295" s="39"/>
      <c r="AG295" s="39"/>
      <c r="AH295" s="39"/>
      <c r="AI295" s="39"/>
      <c r="AJ295" s="39"/>
      <c r="AK295" s="283"/>
      <c r="AL295" s="7"/>
      <c r="AM295" s="278"/>
      <c r="AN295" s="278"/>
      <c r="AO295" s="278"/>
      <c r="AP295" s="278"/>
      <c r="AQ295" s="7"/>
      <c r="AR295" s="278"/>
      <c r="AS295" s="278"/>
    </row>
    <row r="296" spans="2:45" s="8" customFormat="1" hidden="1" x14ac:dyDescent="0.45">
      <c r="B296" s="40"/>
      <c r="C296" s="1"/>
      <c r="D296" s="1"/>
      <c r="E296" s="1"/>
      <c r="F296" s="1"/>
      <c r="G296" s="1"/>
      <c r="H296" s="38"/>
      <c r="I296" s="38"/>
      <c r="J296" s="38"/>
      <c r="K296" s="38"/>
      <c r="L296" s="38"/>
      <c r="M296" s="19"/>
      <c r="N296" s="1"/>
      <c r="O296" s="1"/>
      <c r="P296" s="1"/>
      <c r="Q296" s="1"/>
      <c r="R296" s="1"/>
      <c r="S296" s="1"/>
      <c r="T296" s="19"/>
      <c r="U296" s="19"/>
      <c r="V296" s="19"/>
      <c r="W296" s="30"/>
      <c r="X296" s="30"/>
      <c r="Y296" s="30"/>
      <c r="Z296" s="39"/>
      <c r="AA296" s="39"/>
      <c r="AB296" s="39"/>
      <c r="AC296" s="39"/>
      <c r="AD296" s="39"/>
      <c r="AE296" s="39"/>
      <c r="AF296" s="39"/>
      <c r="AG296" s="39"/>
      <c r="AH296" s="39"/>
      <c r="AI296" s="39"/>
      <c r="AJ296" s="39"/>
      <c r="AK296" s="283"/>
      <c r="AL296" s="7"/>
      <c r="AM296" s="278"/>
      <c r="AN296" s="278"/>
      <c r="AO296" s="278"/>
      <c r="AP296" s="278"/>
      <c r="AQ296" s="7"/>
      <c r="AR296" s="278"/>
      <c r="AS296" s="278"/>
    </row>
    <row r="297" spans="2:45" s="8" customFormat="1" hidden="1" x14ac:dyDescent="0.45">
      <c r="B297" s="40"/>
      <c r="C297" s="1"/>
      <c r="D297" s="1"/>
      <c r="E297" s="1"/>
      <c r="F297" s="1"/>
      <c r="G297" s="1"/>
      <c r="H297" s="38"/>
      <c r="I297" s="38"/>
      <c r="J297" s="38"/>
      <c r="K297" s="38"/>
      <c r="L297" s="38"/>
      <c r="M297" s="19"/>
      <c r="N297" s="1"/>
      <c r="O297" s="1"/>
      <c r="P297" s="1"/>
      <c r="Q297" s="1"/>
      <c r="R297" s="1"/>
      <c r="S297" s="1"/>
      <c r="T297" s="19"/>
      <c r="U297" s="19"/>
      <c r="V297" s="19"/>
      <c r="W297" s="30"/>
      <c r="X297" s="30"/>
      <c r="Y297" s="30"/>
      <c r="Z297" s="39"/>
      <c r="AA297" s="39"/>
      <c r="AB297" s="39"/>
      <c r="AC297" s="39"/>
      <c r="AD297" s="39"/>
      <c r="AE297" s="39"/>
      <c r="AF297" s="39"/>
      <c r="AG297" s="39"/>
      <c r="AH297" s="39"/>
      <c r="AI297" s="39"/>
      <c r="AJ297" s="39"/>
      <c r="AK297" s="283"/>
      <c r="AL297" s="7"/>
      <c r="AM297" s="278"/>
      <c r="AN297" s="278"/>
      <c r="AO297" s="278"/>
      <c r="AP297" s="278"/>
      <c r="AQ297" s="7"/>
      <c r="AR297" s="278"/>
      <c r="AS297" s="278"/>
    </row>
    <row r="298" spans="2:45" s="8" customFormat="1" hidden="1" x14ac:dyDescent="0.45">
      <c r="B298" s="40"/>
      <c r="C298" s="1"/>
      <c r="D298" s="1"/>
      <c r="E298" s="1"/>
      <c r="F298" s="1"/>
      <c r="G298" s="1"/>
      <c r="H298" s="38"/>
      <c r="I298" s="38"/>
      <c r="J298" s="38"/>
      <c r="K298" s="38"/>
      <c r="L298" s="38"/>
      <c r="M298" s="19"/>
      <c r="N298" s="1"/>
      <c r="O298" s="1"/>
      <c r="P298" s="1"/>
      <c r="Q298" s="1"/>
      <c r="R298" s="1"/>
      <c r="S298" s="1"/>
      <c r="T298" s="19"/>
      <c r="U298" s="19"/>
      <c r="V298" s="19"/>
      <c r="W298" s="30"/>
      <c r="X298" s="30"/>
      <c r="Y298" s="30"/>
      <c r="Z298" s="39"/>
      <c r="AA298" s="39"/>
      <c r="AB298" s="39"/>
      <c r="AC298" s="39"/>
      <c r="AD298" s="39"/>
      <c r="AE298" s="39"/>
      <c r="AF298" s="39"/>
      <c r="AG298" s="39"/>
      <c r="AH298" s="39"/>
      <c r="AI298" s="39"/>
      <c r="AJ298" s="39"/>
      <c r="AK298" s="283"/>
      <c r="AL298" s="7"/>
      <c r="AM298" s="278"/>
      <c r="AN298" s="278"/>
      <c r="AO298" s="278"/>
      <c r="AP298" s="278"/>
      <c r="AQ298" s="7"/>
      <c r="AR298" s="278"/>
      <c r="AS298" s="278"/>
    </row>
    <row r="299" spans="2:45" s="8" customFormat="1" hidden="1" x14ac:dyDescent="0.45">
      <c r="B299" s="40"/>
      <c r="C299" s="1"/>
      <c r="D299" s="1"/>
      <c r="E299" s="1"/>
      <c r="F299" s="1"/>
      <c r="G299" s="1"/>
      <c r="H299" s="38"/>
      <c r="I299" s="38"/>
      <c r="J299" s="38"/>
      <c r="K299" s="38"/>
      <c r="L299" s="38"/>
      <c r="M299" s="19"/>
      <c r="N299" s="1"/>
      <c r="O299" s="1"/>
      <c r="P299" s="1"/>
      <c r="Q299" s="1"/>
      <c r="R299" s="1"/>
      <c r="S299" s="1"/>
      <c r="T299" s="19"/>
      <c r="U299" s="19"/>
      <c r="V299" s="19"/>
      <c r="W299" s="30"/>
      <c r="X299" s="30"/>
      <c r="Y299" s="30"/>
      <c r="Z299" s="39"/>
      <c r="AA299" s="39"/>
      <c r="AB299" s="39"/>
      <c r="AC299" s="39"/>
      <c r="AD299" s="39"/>
      <c r="AE299" s="39"/>
      <c r="AF299" s="39"/>
      <c r="AG299" s="39"/>
      <c r="AH299" s="39"/>
      <c r="AI299" s="39"/>
      <c r="AJ299" s="39"/>
      <c r="AK299" s="283"/>
      <c r="AL299" s="7"/>
      <c r="AM299" s="278"/>
      <c r="AN299" s="278"/>
      <c r="AO299" s="278"/>
      <c r="AP299" s="278"/>
      <c r="AQ299" s="7"/>
      <c r="AR299" s="278"/>
      <c r="AS299" s="278"/>
    </row>
    <row r="300" spans="2:45" s="8" customFormat="1" hidden="1" x14ac:dyDescent="0.45">
      <c r="B300" s="40"/>
      <c r="C300" s="1"/>
      <c r="D300" s="1"/>
      <c r="E300" s="1"/>
      <c r="F300" s="1"/>
      <c r="G300" s="1"/>
      <c r="H300" s="38"/>
      <c r="I300" s="38"/>
      <c r="J300" s="38"/>
      <c r="K300" s="38"/>
      <c r="L300" s="38"/>
      <c r="M300" s="19"/>
      <c r="N300" s="1"/>
      <c r="O300" s="1"/>
      <c r="P300" s="1"/>
      <c r="Q300" s="1"/>
      <c r="R300" s="1"/>
      <c r="S300" s="1"/>
      <c r="T300" s="19"/>
      <c r="U300" s="19"/>
      <c r="V300" s="19"/>
      <c r="W300" s="30"/>
      <c r="X300" s="30"/>
      <c r="Y300" s="30"/>
      <c r="Z300" s="39"/>
      <c r="AA300" s="39"/>
      <c r="AB300" s="39"/>
      <c r="AC300" s="39"/>
      <c r="AD300" s="39"/>
      <c r="AE300" s="39"/>
      <c r="AF300" s="39"/>
      <c r="AG300" s="39"/>
      <c r="AH300" s="39"/>
      <c r="AI300" s="39"/>
      <c r="AJ300" s="39"/>
      <c r="AK300" s="283"/>
      <c r="AL300" s="7"/>
      <c r="AM300" s="278"/>
      <c r="AN300" s="278"/>
      <c r="AO300" s="278"/>
      <c r="AP300" s="278"/>
      <c r="AQ300" s="7"/>
      <c r="AR300" s="278"/>
      <c r="AS300" s="278"/>
    </row>
    <row r="301" spans="2:45" s="8" customFormat="1" hidden="1" x14ac:dyDescent="0.45">
      <c r="B301" s="40"/>
      <c r="C301" s="1"/>
      <c r="D301" s="1"/>
      <c r="E301" s="1"/>
      <c r="F301" s="1"/>
      <c r="G301" s="1"/>
      <c r="H301" s="38"/>
      <c r="I301" s="38"/>
      <c r="J301" s="38"/>
      <c r="K301" s="38"/>
      <c r="L301" s="38"/>
      <c r="M301" s="19"/>
      <c r="N301" s="1"/>
      <c r="O301" s="1"/>
      <c r="P301" s="1"/>
      <c r="Q301" s="1"/>
      <c r="R301" s="1"/>
      <c r="S301" s="1"/>
      <c r="T301" s="19"/>
      <c r="U301" s="19"/>
      <c r="V301" s="19"/>
      <c r="W301" s="30"/>
      <c r="X301" s="30"/>
      <c r="Y301" s="30"/>
      <c r="Z301" s="39"/>
      <c r="AA301" s="39"/>
      <c r="AB301" s="39"/>
      <c r="AC301" s="39"/>
      <c r="AD301" s="39"/>
      <c r="AE301" s="39"/>
      <c r="AF301" s="39"/>
      <c r="AG301" s="39"/>
      <c r="AH301" s="39"/>
      <c r="AI301" s="39"/>
      <c r="AJ301" s="39"/>
      <c r="AK301" s="283"/>
      <c r="AL301" s="7"/>
      <c r="AM301" s="278"/>
      <c r="AN301" s="278"/>
      <c r="AO301" s="278"/>
      <c r="AP301" s="278"/>
      <c r="AQ301" s="7"/>
      <c r="AR301" s="278"/>
      <c r="AS301" s="278"/>
    </row>
    <row r="302" spans="2:45" s="8" customFormat="1" hidden="1" x14ac:dyDescent="0.45">
      <c r="B302" s="40"/>
      <c r="C302" s="1"/>
      <c r="D302" s="1"/>
      <c r="E302" s="1"/>
      <c r="F302" s="1"/>
      <c r="G302" s="1"/>
      <c r="H302" s="38"/>
      <c r="I302" s="38"/>
      <c r="J302" s="38"/>
      <c r="K302" s="38"/>
      <c r="L302" s="38"/>
      <c r="M302" s="19"/>
      <c r="N302" s="1"/>
      <c r="O302" s="1"/>
      <c r="P302" s="1"/>
      <c r="Q302" s="1"/>
      <c r="R302" s="1"/>
      <c r="S302" s="1"/>
      <c r="T302" s="19"/>
      <c r="U302" s="19"/>
      <c r="V302" s="19"/>
      <c r="W302" s="30"/>
      <c r="X302" s="30"/>
      <c r="Y302" s="30"/>
      <c r="Z302" s="39"/>
      <c r="AA302" s="39"/>
      <c r="AB302" s="39"/>
      <c r="AC302" s="39"/>
      <c r="AD302" s="39"/>
      <c r="AE302" s="39"/>
      <c r="AF302" s="39"/>
      <c r="AG302" s="39"/>
      <c r="AH302" s="39"/>
      <c r="AI302" s="39"/>
      <c r="AJ302" s="39"/>
      <c r="AK302" s="283"/>
      <c r="AL302" s="7"/>
      <c r="AM302" s="278"/>
      <c r="AN302" s="278"/>
      <c r="AO302" s="278"/>
      <c r="AP302" s="278"/>
      <c r="AQ302" s="7"/>
      <c r="AR302" s="278"/>
      <c r="AS302" s="278"/>
    </row>
    <row r="303" spans="2:45" s="8" customFormat="1" hidden="1" x14ac:dyDescent="0.45">
      <c r="B303" s="40"/>
      <c r="C303" s="1"/>
      <c r="D303" s="1"/>
      <c r="E303" s="1"/>
      <c r="F303" s="1"/>
      <c r="G303" s="1"/>
      <c r="H303" s="38"/>
      <c r="I303" s="38"/>
      <c r="J303" s="38"/>
      <c r="K303" s="38"/>
      <c r="L303" s="38"/>
      <c r="M303" s="19"/>
      <c r="N303" s="1"/>
      <c r="O303" s="1"/>
      <c r="P303" s="1"/>
      <c r="Q303" s="1"/>
      <c r="R303" s="1"/>
      <c r="S303" s="1"/>
      <c r="T303" s="19"/>
      <c r="U303" s="19"/>
      <c r="V303" s="19"/>
      <c r="W303" s="30"/>
      <c r="X303" s="30"/>
      <c r="Y303" s="30"/>
      <c r="Z303" s="39"/>
      <c r="AA303" s="39"/>
      <c r="AB303" s="39"/>
      <c r="AC303" s="39"/>
      <c r="AD303" s="39"/>
      <c r="AE303" s="39"/>
      <c r="AF303" s="39"/>
      <c r="AG303" s="39"/>
      <c r="AH303" s="39"/>
      <c r="AI303" s="39"/>
      <c r="AJ303" s="39"/>
      <c r="AK303" s="283"/>
      <c r="AL303" s="7"/>
      <c r="AM303" s="278"/>
      <c r="AN303" s="278"/>
      <c r="AO303" s="278"/>
      <c r="AP303" s="278"/>
      <c r="AQ303" s="7"/>
      <c r="AR303" s="278"/>
      <c r="AS303" s="278"/>
    </row>
    <row r="304" spans="2:45" s="8" customFormat="1" hidden="1" x14ac:dyDescent="0.45">
      <c r="B304" s="40"/>
      <c r="C304" s="1"/>
      <c r="D304" s="1"/>
      <c r="E304" s="1"/>
      <c r="F304" s="1"/>
      <c r="G304" s="1"/>
      <c r="H304" s="38"/>
      <c r="I304" s="38"/>
      <c r="J304" s="38"/>
      <c r="K304" s="38"/>
      <c r="L304" s="38"/>
      <c r="M304" s="19"/>
      <c r="N304" s="1"/>
      <c r="O304" s="1"/>
      <c r="P304" s="1"/>
      <c r="Q304" s="1"/>
      <c r="R304" s="1"/>
      <c r="S304" s="1"/>
      <c r="T304" s="19"/>
      <c r="U304" s="19"/>
      <c r="V304" s="19"/>
      <c r="W304" s="30"/>
      <c r="X304" s="30"/>
      <c r="Y304" s="30"/>
      <c r="Z304" s="39"/>
      <c r="AA304" s="39"/>
      <c r="AB304" s="39"/>
      <c r="AC304" s="39"/>
      <c r="AD304" s="39"/>
      <c r="AE304" s="39"/>
      <c r="AF304" s="39"/>
      <c r="AG304" s="39"/>
      <c r="AH304" s="39"/>
      <c r="AI304" s="39"/>
      <c r="AJ304" s="39"/>
      <c r="AK304" s="283"/>
      <c r="AL304" s="7"/>
      <c r="AM304" s="278"/>
      <c r="AN304" s="278"/>
      <c r="AO304" s="278"/>
      <c r="AP304" s="278"/>
      <c r="AQ304" s="7"/>
      <c r="AR304" s="278"/>
      <c r="AS304" s="278"/>
    </row>
    <row r="305" spans="2:45" s="8" customFormat="1" hidden="1" x14ac:dyDescent="0.45">
      <c r="B305" s="40"/>
      <c r="C305" s="1"/>
      <c r="D305" s="1"/>
      <c r="E305" s="1"/>
      <c r="F305" s="1"/>
      <c r="G305" s="1"/>
      <c r="H305" s="38"/>
      <c r="I305" s="38"/>
      <c r="J305" s="38"/>
      <c r="K305" s="38"/>
      <c r="L305" s="38"/>
      <c r="M305" s="19"/>
      <c r="N305" s="1"/>
      <c r="O305" s="1"/>
      <c r="P305" s="1"/>
      <c r="Q305" s="1"/>
      <c r="R305" s="1"/>
      <c r="S305" s="1"/>
      <c r="T305" s="19"/>
      <c r="U305" s="19"/>
      <c r="V305" s="19"/>
      <c r="W305" s="30"/>
      <c r="X305" s="30"/>
      <c r="Y305" s="30"/>
      <c r="Z305" s="39"/>
      <c r="AA305" s="39"/>
      <c r="AB305" s="39"/>
      <c r="AC305" s="39"/>
      <c r="AD305" s="39"/>
      <c r="AE305" s="39"/>
      <c r="AF305" s="39"/>
      <c r="AG305" s="39"/>
      <c r="AH305" s="39"/>
      <c r="AI305" s="39"/>
      <c r="AJ305" s="39"/>
      <c r="AK305" s="283"/>
      <c r="AL305" s="7"/>
      <c r="AM305" s="278"/>
      <c r="AN305" s="278"/>
      <c r="AO305" s="278"/>
      <c r="AP305" s="278"/>
      <c r="AQ305" s="7"/>
      <c r="AR305" s="278"/>
      <c r="AS305" s="278"/>
    </row>
    <row r="306" spans="2:45" s="8" customFormat="1" hidden="1" x14ac:dyDescent="0.45">
      <c r="B306" s="40"/>
      <c r="C306" s="1"/>
      <c r="D306" s="1"/>
      <c r="E306" s="1"/>
      <c r="F306" s="1"/>
      <c r="G306" s="1"/>
      <c r="H306" s="38"/>
      <c r="I306" s="38"/>
      <c r="J306" s="38"/>
      <c r="K306" s="38"/>
      <c r="L306" s="38"/>
      <c r="M306" s="19"/>
      <c r="N306" s="1"/>
      <c r="O306" s="1"/>
      <c r="P306" s="1"/>
      <c r="Q306" s="1"/>
      <c r="R306" s="1"/>
      <c r="S306" s="1"/>
      <c r="T306" s="19"/>
      <c r="U306" s="19"/>
      <c r="V306" s="19"/>
      <c r="W306" s="30"/>
      <c r="X306" s="30"/>
      <c r="Y306" s="30"/>
      <c r="Z306" s="39"/>
      <c r="AA306" s="39"/>
      <c r="AB306" s="39"/>
      <c r="AC306" s="39"/>
      <c r="AD306" s="39"/>
      <c r="AE306" s="39"/>
      <c r="AF306" s="39"/>
      <c r="AG306" s="39"/>
      <c r="AH306" s="39"/>
      <c r="AI306" s="39"/>
      <c r="AJ306" s="39"/>
      <c r="AK306" s="283"/>
      <c r="AL306" s="7"/>
      <c r="AM306" s="278"/>
      <c r="AN306" s="278"/>
      <c r="AO306" s="278"/>
      <c r="AP306" s="278"/>
      <c r="AQ306" s="7"/>
      <c r="AR306" s="278"/>
      <c r="AS306" s="278"/>
    </row>
    <row r="307" spans="2:45" s="8" customFormat="1" hidden="1" x14ac:dyDescent="0.45">
      <c r="B307" s="40"/>
      <c r="C307" s="1"/>
      <c r="D307" s="1"/>
      <c r="E307" s="1"/>
      <c r="F307" s="1"/>
      <c r="G307" s="1"/>
      <c r="H307" s="38"/>
      <c r="I307" s="38"/>
      <c r="J307" s="38"/>
      <c r="K307" s="38"/>
      <c r="L307" s="38"/>
      <c r="M307" s="19"/>
      <c r="N307" s="1"/>
      <c r="O307" s="1"/>
      <c r="P307" s="1"/>
      <c r="Q307" s="1"/>
      <c r="R307" s="1"/>
      <c r="S307" s="1"/>
      <c r="T307" s="19"/>
      <c r="U307" s="19"/>
      <c r="V307" s="19"/>
      <c r="W307" s="30"/>
      <c r="X307" s="30"/>
      <c r="Y307" s="30"/>
      <c r="Z307" s="39"/>
      <c r="AA307" s="39"/>
      <c r="AB307" s="39"/>
      <c r="AC307" s="39"/>
      <c r="AD307" s="39"/>
      <c r="AE307" s="39"/>
      <c r="AF307" s="39"/>
      <c r="AG307" s="39"/>
      <c r="AH307" s="39"/>
      <c r="AI307" s="39"/>
      <c r="AJ307" s="39"/>
      <c r="AK307" s="283"/>
      <c r="AL307" s="7"/>
      <c r="AM307" s="278"/>
      <c r="AN307" s="278"/>
      <c r="AO307" s="278"/>
      <c r="AP307" s="278"/>
      <c r="AQ307" s="7"/>
      <c r="AR307" s="278"/>
      <c r="AS307" s="278"/>
    </row>
    <row r="308" spans="2:45" s="8" customFormat="1" hidden="1" x14ac:dyDescent="0.45">
      <c r="B308" s="40"/>
      <c r="C308" s="1"/>
      <c r="D308" s="1"/>
      <c r="E308" s="1"/>
      <c r="F308" s="1"/>
      <c r="G308" s="1"/>
      <c r="H308" s="38"/>
      <c r="I308" s="38"/>
      <c r="J308" s="38"/>
      <c r="K308" s="38"/>
      <c r="L308" s="38"/>
      <c r="M308" s="19"/>
      <c r="N308" s="1"/>
      <c r="O308" s="1"/>
      <c r="P308" s="1"/>
      <c r="Q308" s="1"/>
      <c r="R308" s="1"/>
      <c r="S308" s="1"/>
      <c r="T308" s="19"/>
      <c r="U308" s="19"/>
      <c r="V308" s="19"/>
      <c r="W308" s="30"/>
      <c r="X308" s="30"/>
      <c r="Y308" s="30"/>
      <c r="Z308" s="39"/>
      <c r="AA308" s="39"/>
      <c r="AB308" s="39"/>
      <c r="AC308" s="39"/>
      <c r="AD308" s="39"/>
      <c r="AE308" s="39"/>
      <c r="AF308" s="39"/>
      <c r="AG308" s="39"/>
      <c r="AH308" s="39"/>
      <c r="AI308" s="39"/>
      <c r="AJ308" s="39"/>
      <c r="AK308" s="283"/>
      <c r="AL308" s="7"/>
      <c r="AM308" s="278"/>
      <c r="AN308" s="278"/>
      <c r="AO308" s="278"/>
      <c r="AP308" s="278"/>
      <c r="AQ308" s="7"/>
      <c r="AR308" s="278"/>
      <c r="AS308" s="278"/>
    </row>
    <row r="309" spans="2:45" s="8" customFormat="1" hidden="1" x14ac:dyDescent="0.45">
      <c r="B309" s="40"/>
      <c r="C309" s="1"/>
      <c r="D309" s="1"/>
      <c r="E309" s="1"/>
      <c r="F309" s="1"/>
      <c r="G309" s="1"/>
      <c r="H309" s="38"/>
      <c r="I309" s="38"/>
      <c r="J309" s="38"/>
      <c r="K309" s="38"/>
      <c r="L309" s="38"/>
      <c r="M309" s="19"/>
      <c r="N309" s="1"/>
      <c r="O309" s="1"/>
      <c r="P309" s="1"/>
      <c r="Q309" s="1"/>
      <c r="R309" s="1"/>
      <c r="S309" s="1"/>
      <c r="T309" s="19"/>
      <c r="U309" s="19"/>
      <c r="V309" s="19"/>
      <c r="W309" s="30"/>
      <c r="X309" s="30"/>
      <c r="Y309" s="30"/>
      <c r="Z309" s="39"/>
      <c r="AA309" s="39"/>
      <c r="AB309" s="39"/>
      <c r="AC309" s="39"/>
      <c r="AD309" s="39"/>
      <c r="AE309" s="39"/>
      <c r="AF309" s="39"/>
      <c r="AG309" s="39"/>
      <c r="AH309" s="39"/>
      <c r="AI309" s="39"/>
      <c r="AJ309" s="39"/>
      <c r="AK309" s="283"/>
      <c r="AL309" s="7"/>
      <c r="AM309" s="278"/>
      <c r="AN309" s="278"/>
      <c r="AO309" s="278"/>
      <c r="AP309" s="278"/>
      <c r="AQ309" s="7"/>
      <c r="AR309" s="278"/>
      <c r="AS309" s="278"/>
    </row>
    <row r="310" spans="2:45" s="8" customFormat="1" hidden="1" x14ac:dyDescent="0.45">
      <c r="B310" s="40"/>
      <c r="C310" s="1"/>
      <c r="D310" s="1"/>
      <c r="E310" s="1"/>
      <c r="F310" s="1"/>
      <c r="G310" s="1"/>
      <c r="H310" s="38"/>
      <c r="I310" s="38"/>
      <c r="J310" s="38"/>
      <c r="K310" s="38"/>
      <c r="L310" s="38"/>
      <c r="M310" s="19"/>
      <c r="N310" s="1"/>
      <c r="O310" s="1"/>
      <c r="P310" s="1"/>
      <c r="Q310" s="1"/>
      <c r="R310" s="1"/>
      <c r="S310" s="1"/>
      <c r="T310" s="19"/>
      <c r="U310" s="19"/>
      <c r="V310" s="19"/>
      <c r="W310" s="30"/>
      <c r="X310" s="30"/>
      <c r="Y310" s="30"/>
      <c r="Z310" s="39"/>
      <c r="AA310" s="39"/>
      <c r="AB310" s="39"/>
      <c r="AC310" s="39"/>
      <c r="AD310" s="39"/>
      <c r="AE310" s="39"/>
      <c r="AF310" s="39"/>
      <c r="AG310" s="39"/>
      <c r="AH310" s="39"/>
      <c r="AI310" s="39"/>
      <c r="AJ310" s="39"/>
      <c r="AK310" s="283"/>
      <c r="AL310" s="7"/>
      <c r="AM310" s="278"/>
      <c r="AN310" s="278"/>
      <c r="AO310" s="278"/>
      <c r="AP310" s="278"/>
      <c r="AQ310" s="7"/>
      <c r="AR310" s="278"/>
      <c r="AS310" s="278"/>
    </row>
    <row r="311" spans="2:45" s="8" customFormat="1" hidden="1" x14ac:dyDescent="0.45">
      <c r="B311" s="40"/>
      <c r="C311" s="1"/>
      <c r="D311" s="1"/>
      <c r="E311" s="1"/>
      <c r="F311" s="1"/>
      <c r="G311" s="1"/>
      <c r="H311" s="38"/>
      <c r="I311" s="38"/>
      <c r="J311" s="38"/>
      <c r="K311" s="38"/>
      <c r="L311" s="38"/>
      <c r="M311" s="19"/>
      <c r="N311" s="1"/>
      <c r="O311" s="1"/>
      <c r="P311" s="1"/>
      <c r="Q311" s="1"/>
      <c r="R311" s="1"/>
      <c r="S311" s="1"/>
      <c r="T311" s="19"/>
      <c r="U311" s="19"/>
      <c r="V311" s="19"/>
      <c r="W311" s="30"/>
      <c r="X311" s="30"/>
      <c r="Y311" s="30"/>
      <c r="Z311" s="39"/>
      <c r="AA311" s="39"/>
      <c r="AB311" s="39"/>
      <c r="AC311" s="39"/>
      <c r="AD311" s="39"/>
      <c r="AE311" s="39"/>
      <c r="AF311" s="39"/>
      <c r="AG311" s="39"/>
      <c r="AH311" s="39"/>
      <c r="AI311" s="39"/>
      <c r="AJ311" s="39"/>
      <c r="AK311" s="283"/>
      <c r="AL311" s="7"/>
      <c r="AM311" s="278"/>
      <c r="AN311" s="278"/>
      <c r="AO311" s="278"/>
      <c r="AP311" s="278"/>
      <c r="AQ311" s="7"/>
      <c r="AR311" s="278"/>
      <c r="AS311" s="278"/>
    </row>
    <row r="312" spans="2:45" s="8" customFormat="1" hidden="1" x14ac:dyDescent="0.45">
      <c r="B312" s="40"/>
      <c r="C312" s="1"/>
      <c r="D312" s="1"/>
      <c r="E312" s="1"/>
      <c r="F312" s="1"/>
      <c r="G312" s="1"/>
      <c r="H312" s="38"/>
      <c r="I312" s="38"/>
      <c r="J312" s="38"/>
      <c r="K312" s="38"/>
      <c r="L312" s="38"/>
      <c r="M312" s="19"/>
      <c r="N312" s="1"/>
      <c r="O312" s="1"/>
      <c r="P312" s="1"/>
      <c r="Q312" s="1"/>
      <c r="R312" s="1"/>
      <c r="S312" s="1"/>
      <c r="T312" s="19"/>
      <c r="U312" s="19"/>
      <c r="V312" s="19"/>
      <c r="W312" s="30"/>
      <c r="X312" s="30"/>
      <c r="Y312" s="30"/>
      <c r="Z312" s="39"/>
      <c r="AA312" s="39"/>
      <c r="AB312" s="39"/>
      <c r="AC312" s="39"/>
      <c r="AD312" s="39"/>
      <c r="AE312" s="39"/>
      <c r="AF312" s="39"/>
      <c r="AG312" s="39"/>
      <c r="AH312" s="39"/>
      <c r="AI312" s="39"/>
      <c r="AJ312" s="39"/>
      <c r="AK312" s="283"/>
      <c r="AL312" s="7"/>
      <c r="AM312" s="278"/>
      <c r="AN312" s="278"/>
      <c r="AO312" s="278"/>
      <c r="AP312" s="278"/>
      <c r="AQ312" s="7"/>
      <c r="AR312" s="278"/>
      <c r="AS312" s="278"/>
    </row>
    <row r="313" spans="2:45" s="8" customFormat="1" hidden="1" x14ac:dyDescent="0.45">
      <c r="B313" s="40"/>
      <c r="C313" s="1"/>
      <c r="D313" s="1"/>
      <c r="E313" s="1"/>
      <c r="F313" s="1"/>
      <c r="G313" s="1"/>
      <c r="H313" s="38"/>
      <c r="I313" s="38"/>
      <c r="J313" s="38"/>
      <c r="K313" s="38"/>
      <c r="L313" s="38"/>
      <c r="M313" s="19"/>
      <c r="N313" s="1"/>
      <c r="O313" s="1"/>
      <c r="P313" s="1"/>
      <c r="Q313" s="1"/>
      <c r="R313" s="1"/>
      <c r="S313" s="1"/>
      <c r="T313" s="19"/>
      <c r="U313" s="19"/>
      <c r="V313" s="19"/>
      <c r="W313" s="30"/>
      <c r="X313" s="30"/>
      <c r="Y313" s="30"/>
      <c r="Z313" s="39"/>
      <c r="AA313" s="39"/>
      <c r="AB313" s="39"/>
      <c r="AC313" s="39"/>
      <c r="AD313" s="39"/>
      <c r="AE313" s="39"/>
      <c r="AF313" s="39"/>
      <c r="AG313" s="39"/>
      <c r="AH313" s="39"/>
      <c r="AI313" s="39"/>
      <c r="AJ313" s="39"/>
      <c r="AK313" s="283"/>
      <c r="AL313" s="7"/>
      <c r="AM313" s="278"/>
      <c r="AN313" s="278"/>
      <c r="AO313" s="278"/>
      <c r="AP313" s="278"/>
      <c r="AQ313" s="7"/>
      <c r="AR313" s="278"/>
      <c r="AS313" s="278"/>
    </row>
    <row r="314" spans="2:45" s="8" customFormat="1" hidden="1" x14ac:dyDescent="0.45">
      <c r="B314" s="40"/>
      <c r="C314" s="1"/>
      <c r="D314" s="1"/>
      <c r="E314" s="1"/>
      <c r="F314" s="1"/>
      <c r="G314" s="1"/>
      <c r="H314" s="38"/>
      <c r="I314" s="38"/>
      <c r="J314" s="38"/>
      <c r="K314" s="38"/>
      <c r="L314" s="38"/>
      <c r="M314" s="19"/>
      <c r="N314" s="1"/>
      <c r="O314" s="1"/>
      <c r="P314" s="1"/>
      <c r="Q314" s="1"/>
      <c r="R314" s="1"/>
      <c r="S314" s="1"/>
      <c r="T314" s="19"/>
      <c r="U314" s="19"/>
      <c r="V314" s="19"/>
      <c r="W314" s="30"/>
      <c r="X314" s="30"/>
      <c r="Y314" s="30"/>
      <c r="Z314" s="39"/>
      <c r="AA314" s="39"/>
      <c r="AB314" s="39"/>
      <c r="AC314" s="39"/>
      <c r="AD314" s="39"/>
      <c r="AE314" s="39"/>
      <c r="AF314" s="39"/>
      <c r="AG314" s="39"/>
      <c r="AH314" s="39"/>
      <c r="AI314" s="39"/>
      <c r="AJ314" s="39"/>
      <c r="AK314" s="283"/>
      <c r="AL314" s="7"/>
      <c r="AM314" s="278"/>
      <c r="AN314" s="278"/>
      <c r="AO314" s="278"/>
      <c r="AP314" s="278"/>
      <c r="AQ314" s="7"/>
      <c r="AR314" s="278"/>
      <c r="AS314" s="278"/>
    </row>
    <row r="315" spans="2:45" s="8" customFormat="1" hidden="1" x14ac:dyDescent="0.45">
      <c r="B315" s="40"/>
      <c r="C315" s="1"/>
      <c r="D315" s="1"/>
      <c r="E315" s="1"/>
      <c r="F315" s="1"/>
      <c r="G315" s="1"/>
      <c r="H315" s="38"/>
      <c r="I315" s="38"/>
      <c r="J315" s="38"/>
      <c r="K315" s="38"/>
      <c r="L315" s="38"/>
      <c r="M315" s="19"/>
      <c r="N315" s="1"/>
      <c r="O315" s="1"/>
      <c r="P315" s="1"/>
      <c r="Q315" s="1"/>
      <c r="R315" s="1"/>
      <c r="S315" s="1"/>
      <c r="T315" s="19"/>
      <c r="U315" s="19"/>
      <c r="V315" s="19"/>
      <c r="W315" s="30"/>
      <c r="X315" s="30"/>
      <c r="Y315" s="30"/>
      <c r="Z315" s="39"/>
      <c r="AA315" s="39"/>
      <c r="AB315" s="39"/>
      <c r="AC315" s="39"/>
      <c r="AD315" s="39"/>
      <c r="AE315" s="39"/>
      <c r="AF315" s="39"/>
      <c r="AG315" s="39"/>
      <c r="AH315" s="39"/>
      <c r="AI315" s="39"/>
      <c r="AJ315" s="39"/>
      <c r="AK315" s="283"/>
      <c r="AL315" s="7"/>
      <c r="AM315" s="278"/>
      <c r="AN315" s="278"/>
      <c r="AO315" s="278"/>
      <c r="AP315" s="278"/>
      <c r="AQ315" s="7"/>
      <c r="AR315" s="278"/>
      <c r="AS315" s="278"/>
    </row>
    <row r="316" spans="2:45" s="8" customFormat="1" hidden="1" x14ac:dyDescent="0.45">
      <c r="B316" s="40"/>
      <c r="C316" s="1"/>
      <c r="D316" s="1"/>
      <c r="E316" s="1"/>
      <c r="F316" s="1"/>
      <c r="G316" s="1"/>
      <c r="H316" s="38"/>
      <c r="I316" s="38"/>
      <c r="J316" s="38"/>
      <c r="K316" s="38"/>
      <c r="L316" s="38"/>
      <c r="M316" s="19"/>
      <c r="N316" s="1"/>
      <c r="O316" s="1"/>
      <c r="P316" s="1"/>
      <c r="Q316" s="1"/>
      <c r="R316" s="1"/>
      <c r="S316" s="1"/>
      <c r="T316" s="19"/>
      <c r="U316" s="19"/>
      <c r="V316" s="19"/>
      <c r="W316" s="30"/>
      <c r="X316" s="30"/>
      <c r="Y316" s="30"/>
      <c r="Z316" s="39"/>
      <c r="AA316" s="39"/>
      <c r="AB316" s="39"/>
      <c r="AC316" s="39"/>
      <c r="AD316" s="39"/>
      <c r="AE316" s="39"/>
      <c r="AF316" s="39"/>
      <c r="AG316" s="39"/>
      <c r="AH316" s="39"/>
      <c r="AI316" s="39"/>
      <c r="AJ316" s="39"/>
      <c r="AK316" s="283"/>
      <c r="AL316" s="7"/>
      <c r="AM316" s="278"/>
      <c r="AN316" s="278"/>
      <c r="AO316" s="278"/>
      <c r="AP316" s="278"/>
      <c r="AQ316" s="7"/>
      <c r="AR316" s="278"/>
      <c r="AS316" s="278"/>
    </row>
    <row r="317" spans="2:45" s="8" customFormat="1" hidden="1" x14ac:dyDescent="0.45">
      <c r="B317" s="40"/>
      <c r="C317" s="1"/>
      <c r="D317" s="1"/>
      <c r="E317" s="1"/>
      <c r="F317" s="1"/>
      <c r="G317" s="1"/>
      <c r="H317" s="38"/>
      <c r="I317" s="38"/>
      <c r="J317" s="38"/>
      <c r="K317" s="38"/>
      <c r="L317" s="38"/>
      <c r="M317" s="19"/>
      <c r="N317" s="1"/>
      <c r="O317" s="1"/>
      <c r="P317" s="1"/>
      <c r="Q317" s="1"/>
      <c r="R317" s="1"/>
      <c r="S317" s="1"/>
      <c r="T317" s="19"/>
      <c r="U317" s="19"/>
      <c r="V317" s="19"/>
      <c r="W317" s="30"/>
      <c r="X317" s="30"/>
      <c r="Y317" s="30"/>
      <c r="Z317" s="39"/>
      <c r="AA317" s="39"/>
      <c r="AB317" s="39"/>
      <c r="AC317" s="39"/>
      <c r="AD317" s="39"/>
      <c r="AE317" s="39"/>
      <c r="AF317" s="39"/>
      <c r="AG317" s="39"/>
      <c r="AH317" s="39"/>
      <c r="AI317" s="39"/>
      <c r="AJ317" s="39"/>
      <c r="AK317" s="283"/>
      <c r="AL317" s="7"/>
      <c r="AM317" s="278"/>
      <c r="AN317" s="278"/>
      <c r="AO317" s="278"/>
      <c r="AP317" s="278"/>
      <c r="AQ317" s="7"/>
      <c r="AR317" s="278"/>
      <c r="AS317" s="278"/>
    </row>
    <row r="318" spans="2:45" s="8" customFormat="1" hidden="1" x14ac:dyDescent="0.45">
      <c r="B318" s="40"/>
      <c r="C318" s="1"/>
      <c r="D318" s="1"/>
      <c r="E318" s="1"/>
      <c r="F318" s="1"/>
      <c r="G318" s="1"/>
      <c r="H318" s="38"/>
      <c r="I318" s="38"/>
      <c r="J318" s="38"/>
      <c r="K318" s="38"/>
      <c r="L318" s="38"/>
      <c r="M318" s="19"/>
      <c r="N318" s="1"/>
      <c r="O318" s="1"/>
      <c r="P318" s="1"/>
      <c r="Q318" s="1"/>
      <c r="R318" s="1"/>
      <c r="S318" s="1"/>
      <c r="T318" s="19"/>
      <c r="U318" s="19"/>
      <c r="V318" s="19"/>
      <c r="W318" s="30"/>
      <c r="X318" s="30"/>
      <c r="Y318" s="30"/>
      <c r="Z318" s="39"/>
      <c r="AA318" s="39"/>
      <c r="AB318" s="39"/>
      <c r="AC318" s="39"/>
      <c r="AD318" s="39"/>
      <c r="AE318" s="39"/>
      <c r="AF318" s="39"/>
      <c r="AG318" s="39"/>
      <c r="AH318" s="39"/>
      <c r="AI318" s="39"/>
      <c r="AJ318" s="39"/>
      <c r="AK318" s="283"/>
      <c r="AL318" s="7"/>
      <c r="AM318" s="278"/>
      <c r="AN318" s="278"/>
      <c r="AO318" s="278"/>
      <c r="AP318" s="278"/>
      <c r="AQ318" s="7"/>
      <c r="AR318" s="278"/>
      <c r="AS318" s="278"/>
    </row>
    <row r="319" spans="2:45" s="8" customFormat="1" hidden="1" x14ac:dyDescent="0.45">
      <c r="B319" s="40"/>
      <c r="C319" s="1"/>
      <c r="D319" s="1"/>
      <c r="E319" s="1"/>
      <c r="F319" s="1"/>
      <c r="G319" s="1"/>
      <c r="H319" s="38"/>
      <c r="I319" s="38"/>
      <c r="J319" s="38"/>
      <c r="K319" s="38"/>
      <c r="L319" s="38"/>
      <c r="M319" s="19"/>
      <c r="N319" s="1"/>
      <c r="O319" s="1"/>
      <c r="P319" s="1"/>
      <c r="Q319" s="1"/>
      <c r="R319" s="1"/>
      <c r="S319" s="1"/>
      <c r="T319" s="19"/>
      <c r="U319" s="19"/>
      <c r="V319" s="19"/>
      <c r="W319" s="30"/>
      <c r="X319" s="30"/>
      <c r="Y319" s="30"/>
      <c r="Z319" s="39"/>
      <c r="AA319" s="39"/>
      <c r="AB319" s="39"/>
      <c r="AC319" s="39"/>
      <c r="AD319" s="39"/>
      <c r="AE319" s="39"/>
      <c r="AF319" s="39"/>
      <c r="AG319" s="39"/>
      <c r="AH319" s="39"/>
      <c r="AI319" s="39"/>
      <c r="AJ319" s="39"/>
      <c r="AK319" s="283"/>
      <c r="AL319" s="7"/>
      <c r="AM319" s="278"/>
      <c r="AN319" s="278"/>
      <c r="AO319" s="278"/>
      <c r="AP319" s="278"/>
      <c r="AQ319" s="7"/>
      <c r="AR319" s="278"/>
      <c r="AS319" s="278"/>
    </row>
    <row r="320" spans="2:45" s="8" customFormat="1" hidden="1" x14ac:dyDescent="0.45">
      <c r="B320" s="40"/>
      <c r="C320" s="1"/>
      <c r="D320" s="1"/>
      <c r="E320" s="1"/>
      <c r="F320" s="1"/>
      <c r="G320" s="1"/>
      <c r="H320" s="38"/>
      <c r="I320" s="38"/>
      <c r="J320" s="38"/>
      <c r="K320" s="38"/>
      <c r="L320" s="38"/>
      <c r="M320" s="19"/>
      <c r="N320" s="1"/>
      <c r="O320" s="1"/>
      <c r="P320" s="1"/>
      <c r="Q320" s="1"/>
      <c r="R320" s="1"/>
      <c r="S320" s="1"/>
      <c r="T320" s="19"/>
      <c r="U320" s="19"/>
      <c r="V320" s="19"/>
      <c r="W320" s="30"/>
      <c r="X320" s="30"/>
      <c r="Y320" s="30"/>
      <c r="Z320" s="39"/>
      <c r="AA320" s="39"/>
      <c r="AB320" s="39"/>
      <c r="AC320" s="39"/>
      <c r="AD320" s="39"/>
      <c r="AE320" s="39"/>
      <c r="AF320" s="39"/>
      <c r="AG320" s="39"/>
      <c r="AH320" s="39"/>
      <c r="AI320" s="39"/>
      <c r="AJ320" s="39"/>
      <c r="AK320" s="283"/>
      <c r="AL320" s="7"/>
      <c r="AM320" s="278"/>
      <c r="AN320" s="278"/>
      <c r="AO320" s="278"/>
      <c r="AP320" s="278"/>
      <c r="AQ320" s="7"/>
      <c r="AR320" s="278"/>
      <c r="AS320" s="278"/>
    </row>
    <row r="321" spans="1:43" s="278" customFormat="1" hidden="1" x14ac:dyDescent="0.45">
      <c r="A321" s="8"/>
      <c r="B321" s="40"/>
      <c r="C321" s="1"/>
      <c r="D321" s="1"/>
      <c r="E321" s="1"/>
      <c r="F321" s="1"/>
      <c r="G321" s="1"/>
      <c r="H321" s="38"/>
      <c r="I321" s="38"/>
      <c r="J321" s="38"/>
      <c r="K321" s="38"/>
      <c r="L321" s="38"/>
      <c r="M321" s="19"/>
      <c r="N321" s="1"/>
      <c r="O321" s="1"/>
      <c r="P321" s="1"/>
      <c r="Q321" s="1"/>
      <c r="R321" s="1"/>
      <c r="S321" s="1"/>
      <c r="T321" s="19"/>
      <c r="U321" s="19"/>
      <c r="V321" s="19"/>
      <c r="W321" s="30"/>
      <c r="X321" s="30"/>
      <c r="Y321" s="30"/>
      <c r="Z321" s="39"/>
      <c r="AA321" s="39"/>
      <c r="AB321" s="39"/>
      <c r="AC321" s="39"/>
      <c r="AD321" s="39"/>
      <c r="AE321" s="39"/>
      <c r="AF321" s="39"/>
      <c r="AG321" s="39"/>
      <c r="AH321" s="39"/>
      <c r="AI321" s="39"/>
      <c r="AJ321" s="39"/>
      <c r="AK321" s="283"/>
      <c r="AL321" s="7"/>
      <c r="AQ321" s="7"/>
    </row>
    <row r="322" spans="1:43" s="278" customFormat="1" hidden="1" x14ac:dyDescent="0.45">
      <c r="A322" s="8"/>
      <c r="B322" s="40"/>
      <c r="C322" s="1"/>
      <c r="D322" s="1"/>
      <c r="E322" s="1"/>
      <c r="F322" s="1"/>
      <c r="G322" s="1"/>
      <c r="H322" s="38"/>
      <c r="I322" s="38"/>
      <c r="J322" s="38"/>
      <c r="K322" s="38"/>
      <c r="L322" s="38"/>
      <c r="M322" s="19"/>
      <c r="N322" s="1"/>
      <c r="O322" s="1"/>
      <c r="P322" s="1"/>
      <c r="Q322" s="1"/>
      <c r="R322" s="1"/>
      <c r="S322" s="1"/>
      <c r="T322" s="19"/>
      <c r="U322" s="19"/>
      <c r="V322" s="19"/>
      <c r="W322" s="30"/>
      <c r="X322" s="30"/>
      <c r="Y322" s="30"/>
      <c r="Z322" s="39"/>
      <c r="AA322" s="39"/>
      <c r="AB322" s="39"/>
      <c r="AC322" s="39"/>
      <c r="AD322" s="39"/>
      <c r="AE322" s="39"/>
      <c r="AF322" s="39"/>
      <c r="AG322" s="39"/>
      <c r="AH322" s="39"/>
      <c r="AI322" s="39"/>
      <c r="AJ322" s="39"/>
      <c r="AK322" s="283"/>
      <c r="AL322" s="7"/>
      <c r="AQ322" s="7"/>
    </row>
    <row r="323" spans="1:43" s="278" customFormat="1" hidden="1" x14ac:dyDescent="0.45">
      <c r="A323" s="8"/>
      <c r="B323" s="40"/>
      <c r="C323" s="1"/>
      <c r="D323" s="1"/>
      <c r="E323" s="1"/>
      <c r="F323" s="1"/>
      <c r="G323" s="1"/>
      <c r="H323" s="38"/>
      <c r="I323" s="38"/>
      <c r="J323" s="38"/>
      <c r="K323" s="38"/>
      <c r="L323" s="38"/>
      <c r="M323" s="19"/>
      <c r="N323" s="1"/>
      <c r="O323" s="1"/>
      <c r="P323" s="1"/>
      <c r="Q323" s="1"/>
      <c r="R323" s="1"/>
      <c r="S323" s="1"/>
      <c r="T323" s="19"/>
      <c r="U323" s="19"/>
      <c r="V323" s="19"/>
      <c r="W323" s="30"/>
      <c r="X323" s="30"/>
      <c r="Y323" s="30"/>
      <c r="Z323" s="39"/>
      <c r="AA323" s="39"/>
      <c r="AB323" s="39"/>
      <c r="AC323" s="39"/>
      <c r="AD323" s="39"/>
      <c r="AE323" s="39"/>
      <c r="AF323" s="39"/>
      <c r="AG323" s="39"/>
      <c r="AH323" s="39"/>
      <c r="AI323" s="39"/>
      <c r="AJ323" s="39"/>
      <c r="AK323" s="283"/>
      <c r="AL323" s="7"/>
      <c r="AQ323" s="7"/>
    </row>
    <row r="324" spans="1:43" s="278" customFormat="1" hidden="1" x14ac:dyDescent="0.45">
      <c r="A324" s="8"/>
      <c r="B324" s="40"/>
      <c r="C324" s="1"/>
      <c r="D324" s="1"/>
      <c r="E324" s="1"/>
      <c r="F324" s="1"/>
      <c r="G324" s="1"/>
      <c r="H324" s="38"/>
      <c r="I324" s="38"/>
      <c r="J324" s="38"/>
      <c r="K324" s="38"/>
      <c r="L324" s="38"/>
      <c r="M324" s="19"/>
      <c r="N324" s="1"/>
      <c r="O324" s="1"/>
      <c r="P324" s="1"/>
      <c r="Q324" s="1"/>
      <c r="R324" s="1"/>
      <c r="S324" s="1"/>
      <c r="T324" s="19"/>
      <c r="U324" s="19"/>
      <c r="V324" s="19"/>
      <c r="W324" s="30"/>
      <c r="X324" s="30"/>
      <c r="Y324" s="30"/>
      <c r="Z324" s="39"/>
      <c r="AA324" s="39"/>
      <c r="AB324" s="39"/>
      <c r="AC324" s="39"/>
      <c r="AD324" s="39"/>
      <c r="AE324" s="39"/>
      <c r="AF324" s="39"/>
      <c r="AG324" s="39"/>
      <c r="AH324" s="39"/>
      <c r="AI324" s="39"/>
      <c r="AJ324" s="39"/>
      <c r="AK324" s="283"/>
      <c r="AL324" s="7"/>
      <c r="AQ324" s="7"/>
    </row>
    <row r="325" spans="1:43" s="278" customFormat="1" hidden="1" x14ac:dyDescent="0.45">
      <c r="A325" s="8"/>
      <c r="B325" s="40"/>
      <c r="C325" s="1"/>
      <c r="D325" s="1"/>
      <c r="E325" s="1"/>
      <c r="F325" s="1"/>
      <c r="G325" s="1"/>
      <c r="H325" s="38"/>
      <c r="I325" s="38"/>
      <c r="J325" s="38"/>
      <c r="K325" s="38"/>
      <c r="L325" s="38"/>
      <c r="M325" s="19"/>
      <c r="N325" s="1"/>
      <c r="O325" s="1"/>
      <c r="P325" s="1"/>
      <c r="Q325" s="1"/>
      <c r="R325" s="1"/>
      <c r="S325" s="1"/>
      <c r="T325" s="19"/>
      <c r="U325" s="19"/>
      <c r="V325" s="19"/>
      <c r="W325" s="30"/>
      <c r="X325" s="30"/>
      <c r="Y325" s="30"/>
      <c r="Z325" s="39"/>
      <c r="AA325" s="39"/>
      <c r="AB325" s="39"/>
      <c r="AC325" s="39"/>
      <c r="AD325" s="39"/>
      <c r="AE325" s="39"/>
      <c r="AF325" s="39"/>
      <c r="AG325" s="39"/>
      <c r="AH325" s="39"/>
      <c r="AI325" s="39"/>
      <c r="AJ325" s="39"/>
      <c r="AK325" s="283"/>
      <c r="AL325" s="7"/>
      <c r="AQ325" s="7"/>
    </row>
    <row r="326" spans="1:43" s="278" customFormat="1" ht="51" hidden="1" x14ac:dyDescent="0.45">
      <c r="A326" s="95"/>
      <c r="B326" s="95"/>
      <c r="C326" s="95" t="s">
        <v>1967</v>
      </c>
      <c r="D326" s="95"/>
      <c r="E326" s="95"/>
      <c r="F326" s="95"/>
      <c r="G326" s="95"/>
      <c r="H326" s="96"/>
      <c r="I326" s="96"/>
      <c r="J326" s="96"/>
      <c r="K326" s="96"/>
      <c r="L326" s="96"/>
      <c r="M326" s="14" t="s">
        <v>1968</v>
      </c>
      <c r="N326" s="97" t="s">
        <v>1969</v>
      </c>
      <c r="O326" s="97" t="s">
        <v>1970</v>
      </c>
      <c r="P326" s="97" t="s">
        <v>208</v>
      </c>
      <c r="Q326" s="97"/>
      <c r="R326" s="574" t="s">
        <v>1971</v>
      </c>
      <c r="S326" s="97" t="s">
        <v>1971</v>
      </c>
      <c r="T326" s="97" t="s">
        <v>169</v>
      </c>
      <c r="U326" s="97" t="s">
        <v>170</v>
      </c>
      <c r="V326" s="97" t="s">
        <v>171</v>
      </c>
      <c r="W326" s="97"/>
      <c r="X326" s="264"/>
      <c r="Y326" s="97"/>
      <c r="Z326" s="97"/>
      <c r="AA326" s="97"/>
      <c r="AB326" s="97"/>
      <c r="AC326" s="97"/>
      <c r="AD326" s="97"/>
      <c r="AE326" s="97"/>
      <c r="AF326" s="97"/>
      <c r="AG326" s="97"/>
      <c r="AH326" s="97"/>
      <c r="AI326" s="97"/>
      <c r="AJ326" s="97"/>
      <c r="AK326" s="284" t="s">
        <v>1972</v>
      </c>
      <c r="AL326" s="9"/>
      <c r="AQ326" s="7"/>
    </row>
    <row r="327" spans="1:43" s="278" customFormat="1" ht="51" hidden="1" x14ac:dyDescent="0.45">
      <c r="A327" s="63"/>
      <c r="B327"/>
      <c r="C327" s="64" t="s">
        <v>1967</v>
      </c>
      <c r="D327" s="2"/>
      <c r="E327" s="2"/>
      <c r="F327" s="2"/>
      <c r="G327" s="2"/>
      <c r="H327" s="65"/>
      <c r="I327" s="65"/>
      <c r="J327" s="65"/>
      <c r="K327" s="65"/>
      <c r="L327" s="65"/>
      <c r="M327" s="66" t="s">
        <v>1968</v>
      </c>
      <c r="N327" s="67" t="s">
        <v>1973</v>
      </c>
      <c r="O327" s="67" t="s">
        <v>1974</v>
      </c>
      <c r="P327" s="67" t="s">
        <v>1975</v>
      </c>
      <c r="Q327" s="67"/>
      <c r="R327" s="574" t="s">
        <v>1971</v>
      </c>
      <c r="S327" s="67" t="s">
        <v>1971</v>
      </c>
      <c r="T327" s="67" t="s">
        <v>169</v>
      </c>
      <c r="U327" s="67" t="s">
        <v>170</v>
      </c>
      <c r="V327" s="67" t="s">
        <v>171</v>
      </c>
      <c r="W327" s="67"/>
      <c r="X327" s="265"/>
      <c r="Y327" s="67"/>
      <c r="Z327" s="67"/>
      <c r="AA327" s="67"/>
      <c r="AB327" s="67"/>
      <c r="AC327" s="67"/>
      <c r="AD327" s="67"/>
      <c r="AE327" s="67"/>
      <c r="AF327" s="67"/>
      <c r="AG327" s="67"/>
      <c r="AH327" s="67"/>
      <c r="AI327" s="67"/>
      <c r="AJ327" s="67"/>
      <c r="AK327" s="285" t="s">
        <v>1972</v>
      </c>
      <c r="AL327" s="9"/>
      <c r="AQ327" s="7"/>
    </row>
    <row r="328" spans="1:43" s="278" customFormat="1" ht="25.5" hidden="1" customHeight="1" x14ac:dyDescent="0.45">
      <c r="A328" s="35"/>
      <c r="B328" s="27"/>
      <c r="C328" s="2" t="s">
        <v>1967</v>
      </c>
      <c r="D328" s="2" t="s">
        <v>832</v>
      </c>
      <c r="E328" s="2" t="s">
        <v>306</v>
      </c>
      <c r="F328" s="2"/>
      <c r="G328" s="2"/>
      <c r="H328" s="128"/>
      <c r="I328" s="128"/>
      <c r="J328" s="128"/>
      <c r="K328" s="128"/>
      <c r="L328" s="128" t="s">
        <v>280</v>
      </c>
      <c r="M328" s="28" t="s">
        <v>1976</v>
      </c>
      <c r="N328" s="27" t="s">
        <v>1977</v>
      </c>
      <c r="O328" s="28" t="s">
        <v>1978</v>
      </c>
      <c r="P328" s="27" t="s">
        <v>1979</v>
      </c>
      <c r="Q328" s="27" t="s">
        <v>1980</v>
      </c>
      <c r="R328" s="211" t="s">
        <v>1704</v>
      </c>
      <c r="S328" s="27" t="s">
        <v>1511</v>
      </c>
      <c r="T328" s="28"/>
      <c r="U328" s="28"/>
      <c r="V328" s="28"/>
      <c r="W328" s="27">
        <v>1994</v>
      </c>
      <c r="X328" s="266">
        <f>oppervlak_dak_0006+oppervlak_dak_0016</f>
        <v>796</v>
      </c>
      <c r="Y328" s="27"/>
      <c r="Z328" s="28"/>
      <c r="AA328" s="28"/>
      <c r="AB328" s="28"/>
      <c r="AC328" s="28"/>
      <c r="AD328" s="28"/>
      <c r="AE328" s="28"/>
      <c r="AF328" s="28"/>
      <c r="AG328" s="28"/>
      <c r="AH328" s="28"/>
      <c r="AI328" s="28" t="s">
        <v>1981</v>
      </c>
      <c r="AJ328" s="28" t="s">
        <v>470</v>
      </c>
      <c r="AK328" s="266"/>
      <c r="AL328" s="14" t="s">
        <v>1982</v>
      </c>
      <c r="AQ328" s="7"/>
    </row>
    <row r="329" spans="1:43" s="278" customFormat="1" ht="140.25" hidden="1" customHeight="1" x14ac:dyDescent="0.45">
      <c r="A329" s="182"/>
      <c r="B329" s="182"/>
      <c r="C329" s="2" t="s">
        <v>1967</v>
      </c>
      <c r="D329" s="2" t="s">
        <v>832</v>
      </c>
      <c r="E329" s="2" t="s">
        <v>306</v>
      </c>
      <c r="F329" s="2"/>
      <c r="G329" s="2" t="s">
        <v>1983</v>
      </c>
      <c r="H329" s="174" t="s">
        <v>1984</v>
      </c>
      <c r="I329" s="174" t="s">
        <v>1985</v>
      </c>
      <c r="J329" s="174"/>
      <c r="K329" s="174"/>
      <c r="L329" s="174"/>
      <c r="M329" s="174" t="s">
        <v>281</v>
      </c>
      <c r="N329" s="182" t="s">
        <v>1986</v>
      </c>
      <c r="O329" s="175" t="s">
        <v>1987</v>
      </c>
      <c r="P329" s="182" t="s">
        <v>1988</v>
      </c>
      <c r="Q329" s="182" t="s">
        <v>1980</v>
      </c>
      <c r="R329" s="182" t="s">
        <v>1704</v>
      </c>
      <c r="S329" s="182" t="s">
        <v>1511</v>
      </c>
      <c r="T329" s="175" t="s">
        <v>1989</v>
      </c>
      <c r="U329" s="175" t="s">
        <v>1990</v>
      </c>
      <c r="V329" s="187" t="s">
        <v>1991</v>
      </c>
      <c r="W329" s="182">
        <v>1994</v>
      </c>
      <c r="X329" s="255">
        <v>398</v>
      </c>
      <c r="Y329" s="182"/>
      <c r="Z329" s="175"/>
      <c r="AA329" s="175"/>
      <c r="AB329" s="175"/>
      <c r="AC329" s="175"/>
      <c r="AD329" s="175"/>
      <c r="AE329" s="175"/>
      <c r="AF329" s="175"/>
      <c r="AG329" s="175"/>
      <c r="AH329" s="175"/>
      <c r="AI329" s="175" t="s">
        <v>1981</v>
      </c>
      <c r="AJ329" s="175" t="s">
        <v>470</v>
      </c>
      <c r="AK329" s="255"/>
      <c r="AL329" s="166" t="s">
        <v>1992</v>
      </c>
      <c r="AQ329" s="7"/>
    </row>
    <row r="330" spans="1:43" s="278" customFormat="1" ht="76.5" hidden="1" customHeight="1" x14ac:dyDescent="0.45">
      <c r="A330" s="182"/>
      <c r="B330" s="182"/>
      <c r="C330" s="2" t="s">
        <v>1967</v>
      </c>
      <c r="D330" s="2" t="s">
        <v>832</v>
      </c>
      <c r="E330" s="2" t="s">
        <v>306</v>
      </c>
      <c r="F330" s="2"/>
      <c r="G330" s="2" t="s">
        <v>1983</v>
      </c>
      <c r="H330" s="174" t="s">
        <v>1993</v>
      </c>
      <c r="I330" s="174" t="s">
        <v>1994</v>
      </c>
      <c r="J330" s="174"/>
      <c r="K330" s="174"/>
      <c r="L330" s="174"/>
      <c r="M330" s="174" t="s">
        <v>1995</v>
      </c>
      <c r="N330" s="182" t="s">
        <v>1996</v>
      </c>
      <c r="O330" s="175" t="s">
        <v>1997</v>
      </c>
      <c r="P330" s="182" t="s">
        <v>1998</v>
      </c>
      <c r="Q330" s="182" t="s">
        <v>1980</v>
      </c>
      <c r="R330" s="182" t="s">
        <v>1704</v>
      </c>
      <c r="S330" s="182" t="s">
        <v>1511</v>
      </c>
      <c r="T330" s="175" t="s">
        <v>1999</v>
      </c>
      <c r="U330" s="175" t="s">
        <v>2000</v>
      </c>
      <c r="V330" s="175" t="s">
        <v>2001</v>
      </c>
      <c r="W330" s="182">
        <v>1994</v>
      </c>
      <c r="X330" s="255">
        <v>398</v>
      </c>
      <c r="Y330" s="182"/>
      <c r="Z330" s="175"/>
      <c r="AA330" s="175"/>
      <c r="AB330" s="175"/>
      <c r="AC330" s="175"/>
      <c r="AD330" s="175"/>
      <c r="AE330" s="175"/>
      <c r="AF330" s="175"/>
      <c r="AG330" s="175"/>
      <c r="AH330" s="175"/>
      <c r="AI330" s="175" t="s">
        <v>1981</v>
      </c>
      <c r="AJ330" s="175" t="s">
        <v>470</v>
      </c>
      <c r="AK330" s="255"/>
      <c r="AL330" s="166" t="s">
        <v>2002</v>
      </c>
      <c r="AQ330" s="7"/>
    </row>
    <row r="331" spans="1:43" s="278" customFormat="1" ht="102" hidden="1" x14ac:dyDescent="0.45">
      <c r="A331" s="35"/>
      <c r="B331" s="28"/>
      <c r="C331" s="2" t="s">
        <v>1967</v>
      </c>
      <c r="D331" s="2" t="s">
        <v>832</v>
      </c>
      <c r="E331" s="2"/>
      <c r="F331" s="2"/>
      <c r="G331" s="2"/>
      <c r="H331" s="128" t="s">
        <v>2003</v>
      </c>
      <c r="I331" s="128" t="s">
        <v>2004</v>
      </c>
      <c r="J331" s="128"/>
      <c r="K331" s="128"/>
      <c r="L331" s="128" t="s">
        <v>280</v>
      </c>
      <c r="M331" s="28" t="s">
        <v>669</v>
      </c>
      <c r="N331" s="28" t="s">
        <v>2005</v>
      </c>
      <c r="O331" s="28" t="s">
        <v>2006</v>
      </c>
      <c r="P331" s="27" t="s">
        <v>2007</v>
      </c>
      <c r="Q331" s="27" t="s">
        <v>2008</v>
      </c>
      <c r="R331" s="211" t="s">
        <v>1363</v>
      </c>
      <c r="S331" s="27" t="s">
        <v>340</v>
      </c>
      <c r="T331" s="28"/>
      <c r="U331" s="28"/>
      <c r="V331" s="28"/>
      <c r="W331" s="27">
        <v>1998</v>
      </c>
      <c r="X331" s="266">
        <f>oppervlak_dak_0008+oppervlak_dak_0018</f>
        <v>1120</v>
      </c>
      <c r="Y331" s="27"/>
      <c r="Z331" s="28"/>
      <c r="AA331" s="28" t="s">
        <v>150</v>
      </c>
      <c r="AB331" s="28">
        <v>18</v>
      </c>
      <c r="AC331" s="28">
        <v>120</v>
      </c>
      <c r="AD331" s="28"/>
      <c r="AE331" s="28"/>
      <c r="AF331" s="28"/>
      <c r="AG331" s="28"/>
      <c r="AH331" s="28"/>
      <c r="AI331" s="28" t="s">
        <v>253</v>
      </c>
      <c r="AJ331" s="28" t="s">
        <v>2009</v>
      </c>
      <c r="AK331" s="266"/>
      <c r="AL331" s="14" t="s">
        <v>2010</v>
      </c>
      <c r="AQ331" s="7"/>
    </row>
    <row r="332" spans="1:43" s="278" customFormat="1" ht="114.75" hidden="1" x14ac:dyDescent="0.45">
      <c r="A332" s="182"/>
      <c r="B332" s="191"/>
      <c r="C332" s="2" t="s">
        <v>1967</v>
      </c>
      <c r="D332" s="2" t="s">
        <v>832</v>
      </c>
      <c r="E332" s="2"/>
      <c r="F332" s="2"/>
      <c r="G332" s="2"/>
      <c r="H332" s="197" t="s">
        <v>2011</v>
      </c>
      <c r="I332" s="197" t="s">
        <v>2012</v>
      </c>
      <c r="J332" s="197"/>
      <c r="K332" s="197"/>
      <c r="L332" s="197"/>
      <c r="M332" s="175" t="s">
        <v>669</v>
      </c>
      <c r="N332" s="175" t="s">
        <v>2013</v>
      </c>
      <c r="O332" s="175" t="s">
        <v>2014</v>
      </c>
      <c r="P332" s="175" t="s">
        <v>2015</v>
      </c>
      <c r="Q332" s="182" t="s">
        <v>2008</v>
      </c>
      <c r="R332" s="182" t="s">
        <v>1363</v>
      </c>
      <c r="S332" s="182" t="s">
        <v>340</v>
      </c>
      <c r="T332" s="175" t="s">
        <v>2016</v>
      </c>
      <c r="U332" s="175" t="s">
        <v>2017</v>
      </c>
      <c r="V332" s="175" t="s">
        <v>2018</v>
      </c>
      <c r="W332" s="182">
        <v>1998</v>
      </c>
      <c r="X332" s="255">
        <v>560</v>
      </c>
      <c r="Y332" s="182"/>
      <c r="Z332" s="175"/>
      <c r="AA332" s="175" t="s">
        <v>150</v>
      </c>
      <c r="AB332" s="175"/>
      <c r="AC332" s="175"/>
      <c r="AD332" s="175"/>
      <c r="AE332" s="175"/>
      <c r="AF332" s="175"/>
      <c r="AG332" s="175"/>
      <c r="AH332" s="175"/>
      <c r="AI332" s="175" t="s">
        <v>253</v>
      </c>
      <c r="AJ332" s="175" t="s">
        <v>2009</v>
      </c>
      <c r="AK332" s="255"/>
      <c r="AL332" s="159" t="s">
        <v>2019</v>
      </c>
      <c r="AQ332" s="7"/>
    </row>
    <row r="333" spans="1:43" s="278" customFormat="1" ht="114.75" hidden="1" x14ac:dyDescent="0.45">
      <c r="A333" s="69"/>
      <c r="B333" s="68"/>
      <c r="C333" s="2" t="s">
        <v>1967</v>
      </c>
      <c r="D333" s="2" t="s">
        <v>832</v>
      </c>
      <c r="E333" s="2"/>
      <c r="F333" s="2"/>
      <c r="G333" s="2"/>
      <c r="H333" s="63" t="s">
        <v>2020</v>
      </c>
      <c r="I333" s="63" t="s">
        <v>2021</v>
      </c>
      <c r="J333" s="63"/>
      <c r="K333" s="63"/>
      <c r="L333" s="63"/>
      <c r="M333" s="68" t="s">
        <v>669</v>
      </c>
      <c r="N333" s="68" t="s">
        <v>2022</v>
      </c>
      <c r="O333" s="68" t="s">
        <v>2023</v>
      </c>
      <c r="P333" s="69" t="s">
        <v>2024</v>
      </c>
      <c r="Q333" s="69" t="s">
        <v>2008</v>
      </c>
      <c r="R333" s="182" t="s">
        <v>1363</v>
      </c>
      <c r="S333" s="69" t="s">
        <v>340</v>
      </c>
      <c r="T333" s="68" t="s">
        <v>2025</v>
      </c>
      <c r="U333" s="68" t="s">
        <v>2017</v>
      </c>
      <c r="V333" s="68" t="s">
        <v>2018</v>
      </c>
      <c r="W333" s="69">
        <v>1998</v>
      </c>
      <c r="X333" s="267">
        <v>560</v>
      </c>
      <c r="Y333" s="69"/>
      <c r="Z333" s="68"/>
      <c r="AA333" s="68" t="s">
        <v>150</v>
      </c>
      <c r="AB333" s="68"/>
      <c r="AC333" s="68"/>
      <c r="AD333" s="68"/>
      <c r="AE333" s="68"/>
      <c r="AF333" s="68"/>
      <c r="AG333" s="68"/>
      <c r="AH333" s="68"/>
      <c r="AI333" s="68" t="s">
        <v>253</v>
      </c>
      <c r="AJ333" s="68" t="s">
        <v>2009</v>
      </c>
      <c r="AK333" s="267"/>
      <c r="AL333" s="70" t="s">
        <v>2019</v>
      </c>
      <c r="AQ333" s="7"/>
    </row>
    <row r="334" spans="1:43" s="278" customFormat="1" ht="63.75" hidden="1" customHeight="1" x14ac:dyDescent="0.45">
      <c r="A334" s="24"/>
      <c r="B334" s="111"/>
      <c r="C334" s="25" t="s">
        <v>1967</v>
      </c>
      <c r="D334" s="25" t="s">
        <v>136</v>
      </c>
      <c r="E334" s="25"/>
      <c r="F334" s="25"/>
      <c r="G334" s="25" t="s">
        <v>833</v>
      </c>
      <c r="H334" s="150" t="s">
        <v>2026</v>
      </c>
      <c r="I334" s="112" t="s">
        <v>2027</v>
      </c>
      <c r="J334" s="112"/>
      <c r="K334" s="112"/>
      <c r="L334" s="112" t="s">
        <v>348</v>
      </c>
      <c r="M334" s="111" t="s">
        <v>349</v>
      </c>
      <c r="N334" s="111" t="s">
        <v>2028</v>
      </c>
      <c r="O334" s="111" t="s">
        <v>2029</v>
      </c>
      <c r="P334" s="112" t="s">
        <v>2030</v>
      </c>
      <c r="Q334" s="111" t="s">
        <v>2031</v>
      </c>
      <c r="R334" s="160" t="s">
        <v>1570</v>
      </c>
      <c r="S334" s="111" t="s">
        <v>1511</v>
      </c>
      <c r="T334" s="111" t="s">
        <v>2032</v>
      </c>
      <c r="U334" s="111" t="s">
        <v>2033</v>
      </c>
      <c r="V334" s="113" t="s">
        <v>2034</v>
      </c>
      <c r="W334" s="114">
        <v>2004</v>
      </c>
      <c r="X334" s="114">
        <v>2574</v>
      </c>
      <c r="Y334" s="114"/>
      <c r="Z334" s="115" t="s">
        <v>311</v>
      </c>
      <c r="AA334" s="115" t="s">
        <v>2035</v>
      </c>
      <c r="AB334" s="115">
        <v>51</v>
      </c>
      <c r="AC334" s="115">
        <v>306</v>
      </c>
      <c r="AD334" s="115" t="s">
        <v>2036</v>
      </c>
      <c r="AE334" s="115"/>
      <c r="AF334" s="115"/>
      <c r="AG334" s="115"/>
      <c r="AH334" s="115"/>
      <c r="AI334" s="115"/>
      <c r="AJ334" s="115"/>
      <c r="AK334" s="115"/>
      <c r="AL334" s="106" t="s">
        <v>2037</v>
      </c>
      <c r="AQ334" s="7"/>
    </row>
    <row r="335" spans="1:43" s="278" customFormat="1" ht="25.5" hidden="1" x14ac:dyDescent="0.45">
      <c r="A335" s="35"/>
      <c r="B335" s="27"/>
      <c r="C335" s="2" t="s">
        <v>1967</v>
      </c>
      <c r="D335" s="2" t="s">
        <v>832</v>
      </c>
      <c r="E335" s="2" t="s">
        <v>306</v>
      </c>
      <c r="F335" s="2"/>
      <c r="G335" s="2"/>
      <c r="H335" s="128"/>
      <c r="I335" s="128"/>
      <c r="J335" s="128"/>
      <c r="K335" s="128"/>
      <c r="L335" s="128" t="s">
        <v>280</v>
      </c>
      <c r="M335" s="28" t="s">
        <v>1976</v>
      </c>
      <c r="N335" s="27" t="s">
        <v>2038</v>
      </c>
      <c r="O335" s="28" t="s">
        <v>2039</v>
      </c>
      <c r="P335" s="27" t="s">
        <v>2040</v>
      </c>
      <c r="Q335" s="27" t="s">
        <v>2041</v>
      </c>
      <c r="R335" s="211" t="s">
        <v>339</v>
      </c>
      <c r="S335" s="27" t="s">
        <v>340</v>
      </c>
      <c r="T335" s="28"/>
      <c r="U335" s="28"/>
      <c r="V335" s="28"/>
      <c r="W335" s="27">
        <v>1990</v>
      </c>
      <c r="X335" s="266">
        <f>oppervlak_dak_0019+oppervlak_dak_0012</f>
        <v>796</v>
      </c>
      <c r="Y335" s="27"/>
      <c r="Z335" s="28"/>
      <c r="AA335" s="28"/>
      <c r="AB335" s="28"/>
      <c r="AC335" s="28"/>
      <c r="AD335" s="28"/>
      <c r="AE335" s="28"/>
      <c r="AF335" s="28"/>
      <c r="AG335" s="28"/>
      <c r="AH335" s="28"/>
      <c r="AI335" s="28"/>
      <c r="AJ335" s="28"/>
      <c r="AK335" s="266" t="s">
        <v>2042</v>
      </c>
      <c r="AL335" s="14" t="s">
        <v>2043</v>
      </c>
      <c r="AQ335" s="7"/>
    </row>
    <row r="336" spans="1:43" s="278" customFormat="1" ht="165.75" hidden="1" x14ac:dyDescent="0.45">
      <c r="A336" s="182"/>
      <c r="B336" s="182"/>
      <c r="C336" s="2" t="s">
        <v>1967</v>
      </c>
      <c r="D336" s="2" t="s">
        <v>832</v>
      </c>
      <c r="E336" s="2" t="s">
        <v>306</v>
      </c>
      <c r="F336" s="2"/>
      <c r="G336" s="2"/>
      <c r="H336" s="174" t="s">
        <v>1984</v>
      </c>
      <c r="I336" s="174" t="s">
        <v>2044</v>
      </c>
      <c r="J336" s="174"/>
      <c r="K336" s="174"/>
      <c r="L336" s="174"/>
      <c r="M336" s="175" t="s">
        <v>281</v>
      </c>
      <c r="N336" s="182" t="s">
        <v>2045</v>
      </c>
      <c r="O336" s="175" t="s">
        <v>2046</v>
      </c>
      <c r="P336" s="182" t="s">
        <v>2047</v>
      </c>
      <c r="Q336" s="182" t="s">
        <v>2041</v>
      </c>
      <c r="R336" s="182" t="s">
        <v>339</v>
      </c>
      <c r="S336" s="182" t="s">
        <v>340</v>
      </c>
      <c r="T336" s="175" t="s">
        <v>2048</v>
      </c>
      <c r="U336" s="175" t="s">
        <v>2049</v>
      </c>
      <c r="V336" s="175" t="s">
        <v>2050</v>
      </c>
      <c r="W336" s="182">
        <v>1990</v>
      </c>
      <c r="X336" s="255">
        <v>398</v>
      </c>
      <c r="Y336" s="182"/>
      <c r="Z336" s="175"/>
      <c r="AA336" s="175"/>
      <c r="AB336" s="175"/>
      <c r="AC336" s="175"/>
      <c r="AD336" s="175"/>
      <c r="AE336" s="175"/>
      <c r="AF336" s="175"/>
      <c r="AG336" s="175"/>
      <c r="AH336" s="175"/>
      <c r="AI336" s="175"/>
      <c r="AJ336" s="175"/>
      <c r="AK336" s="255" t="s">
        <v>2042</v>
      </c>
      <c r="AL336" s="166" t="s">
        <v>1992</v>
      </c>
      <c r="AQ336" s="7"/>
    </row>
    <row r="337" spans="1:43" s="278" customFormat="1" ht="178.5" hidden="1" x14ac:dyDescent="0.45">
      <c r="A337" s="182"/>
      <c r="B337" s="182"/>
      <c r="C337" s="2" t="s">
        <v>1967</v>
      </c>
      <c r="D337" s="2" t="s">
        <v>832</v>
      </c>
      <c r="E337" s="2" t="s">
        <v>306</v>
      </c>
      <c r="F337" s="2"/>
      <c r="G337" s="2" t="s">
        <v>1983</v>
      </c>
      <c r="H337" s="174" t="s">
        <v>2051</v>
      </c>
      <c r="I337" s="174" t="s">
        <v>2052</v>
      </c>
      <c r="J337" s="174"/>
      <c r="K337" s="174"/>
      <c r="L337" s="174"/>
      <c r="M337" s="175" t="s">
        <v>1995</v>
      </c>
      <c r="N337" s="182" t="s">
        <v>2053</v>
      </c>
      <c r="O337" s="175" t="s">
        <v>2054</v>
      </c>
      <c r="P337" s="182" t="s">
        <v>2055</v>
      </c>
      <c r="Q337" s="182" t="s">
        <v>2041</v>
      </c>
      <c r="R337" s="182" t="s">
        <v>339</v>
      </c>
      <c r="S337" s="182" t="s">
        <v>340</v>
      </c>
      <c r="T337" s="175" t="s">
        <v>2056</v>
      </c>
      <c r="U337" s="175" t="s">
        <v>2057</v>
      </c>
      <c r="V337" s="175" t="s">
        <v>2058</v>
      </c>
      <c r="W337" s="182">
        <v>1990</v>
      </c>
      <c r="X337" s="255">
        <v>398</v>
      </c>
      <c r="Y337" s="182"/>
      <c r="Z337" s="175"/>
      <c r="AA337" s="175"/>
      <c r="AB337" s="175"/>
      <c r="AC337" s="175"/>
      <c r="AD337" s="175"/>
      <c r="AE337" s="175"/>
      <c r="AF337" s="175"/>
      <c r="AG337" s="175"/>
      <c r="AH337" s="175"/>
      <c r="AI337" s="175"/>
      <c r="AJ337" s="175"/>
      <c r="AK337" s="255" t="s">
        <v>2042</v>
      </c>
      <c r="AL337" s="166" t="s">
        <v>2002</v>
      </c>
      <c r="AQ337" s="7"/>
    </row>
    <row r="338" spans="1:43" s="278" customFormat="1" ht="12.75" hidden="1" customHeight="1" x14ac:dyDescent="0.45">
      <c r="A338" s="7"/>
      <c r="B338" s="82"/>
      <c r="C338" s="2" t="s">
        <v>1967</v>
      </c>
      <c r="D338" s="2" t="s">
        <v>2059</v>
      </c>
      <c r="E338" s="2"/>
      <c r="F338" s="2"/>
      <c r="G338" s="2"/>
      <c r="H338" s="78" t="s">
        <v>2060</v>
      </c>
      <c r="I338" s="78" t="s">
        <v>2061</v>
      </c>
      <c r="J338" s="78">
        <v>59570</v>
      </c>
      <c r="K338" s="78"/>
      <c r="L338" s="78"/>
      <c r="M338" s="77" t="s">
        <v>140</v>
      </c>
      <c r="N338" s="77" t="s">
        <v>2062</v>
      </c>
      <c r="O338" s="77" t="s">
        <v>2063</v>
      </c>
      <c r="P338" s="77" t="s">
        <v>2064</v>
      </c>
      <c r="Q338" s="77" t="s">
        <v>2065</v>
      </c>
      <c r="R338" s="575" t="s">
        <v>339</v>
      </c>
      <c r="S338" s="77" t="s">
        <v>340</v>
      </c>
      <c r="T338" s="77" t="s">
        <v>2066</v>
      </c>
      <c r="U338" s="77" t="s">
        <v>2067</v>
      </c>
      <c r="V338" s="79" t="s">
        <v>2068</v>
      </c>
      <c r="W338" s="80">
        <v>1989</v>
      </c>
      <c r="X338" s="80">
        <v>1047</v>
      </c>
      <c r="Y338" s="80"/>
      <c r="Z338" s="81"/>
      <c r="AA338" s="81"/>
      <c r="AB338" s="81"/>
      <c r="AC338" s="81"/>
      <c r="AD338" s="81"/>
      <c r="AE338" s="81"/>
      <c r="AF338" s="81"/>
      <c r="AG338" s="81"/>
      <c r="AH338" s="81"/>
      <c r="AI338" s="81">
        <v>2010</v>
      </c>
      <c r="AJ338" s="81" t="s">
        <v>2069</v>
      </c>
      <c r="AK338" s="81"/>
      <c r="AL338" s="9"/>
      <c r="AQ338" s="7"/>
    </row>
    <row r="339" spans="1:43" s="278" customFormat="1" ht="12.75" hidden="1" customHeight="1" x14ac:dyDescent="0.45">
      <c r="A339" s="37"/>
      <c r="B339" s="149"/>
      <c r="C339" s="21" t="s">
        <v>1967</v>
      </c>
      <c r="D339" s="2" t="s">
        <v>306</v>
      </c>
      <c r="E339" s="2"/>
      <c r="F339" s="2"/>
      <c r="G339" s="2"/>
      <c r="H339" s="124"/>
      <c r="I339" s="124"/>
      <c r="J339" s="124">
        <v>59618</v>
      </c>
      <c r="K339" s="124"/>
      <c r="L339" s="124"/>
      <c r="M339" s="122" t="s">
        <v>2070</v>
      </c>
      <c r="N339" s="122" t="s">
        <v>2071</v>
      </c>
      <c r="O339" s="122" t="s">
        <v>2072</v>
      </c>
      <c r="P339" s="122" t="s">
        <v>2073</v>
      </c>
      <c r="Q339" s="122" t="s">
        <v>2074</v>
      </c>
      <c r="R339" s="576" t="s">
        <v>1363</v>
      </c>
      <c r="S339" s="122" t="s">
        <v>340</v>
      </c>
      <c r="T339" s="122"/>
      <c r="U339" s="122"/>
      <c r="V339" s="122"/>
      <c r="W339" s="122">
        <v>1994</v>
      </c>
      <c r="X339" s="268">
        <f>oppervlak_dak_1246+oppervlak_dak_1134</f>
        <v>2170</v>
      </c>
      <c r="Y339" s="122"/>
      <c r="Z339" s="122"/>
      <c r="AA339" s="122"/>
      <c r="AB339" s="122"/>
      <c r="AC339" s="122"/>
      <c r="AD339" s="122"/>
      <c r="AE339" s="122"/>
      <c r="AF339" s="122"/>
      <c r="AG339" s="122"/>
      <c r="AH339" s="122"/>
      <c r="AI339" s="122">
        <v>2014</v>
      </c>
      <c r="AJ339" s="122" t="s">
        <v>1018</v>
      </c>
      <c r="AK339" s="268"/>
      <c r="AL339" s="98" t="s">
        <v>2075</v>
      </c>
      <c r="AQ339" s="7"/>
    </row>
    <row r="340" spans="1:43" s="278" customFormat="1" ht="12.75" hidden="1" customHeight="1" x14ac:dyDescent="0.45">
      <c r="A340" s="182"/>
      <c r="B340" s="191"/>
      <c r="C340" s="21" t="s">
        <v>1967</v>
      </c>
      <c r="D340" s="2" t="s">
        <v>306</v>
      </c>
      <c r="E340" s="2"/>
      <c r="F340" s="2"/>
      <c r="G340" s="2"/>
      <c r="H340" s="577" t="s">
        <v>2076</v>
      </c>
      <c r="I340" s="577" t="s">
        <v>2077</v>
      </c>
      <c r="J340" s="577"/>
      <c r="K340" s="577"/>
      <c r="L340" s="577"/>
      <c r="M340" s="251" t="s">
        <v>2070</v>
      </c>
      <c r="N340" s="251" t="s">
        <v>2078</v>
      </c>
      <c r="O340" s="251" t="s">
        <v>2079</v>
      </c>
      <c r="P340" s="251" t="s">
        <v>2080</v>
      </c>
      <c r="Q340" s="251" t="s">
        <v>2074</v>
      </c>
      <c r="R340" s="251" t="s">
        <v>1363</v>
      </c>
      <c r="S340" s="251" t="s">
        <v>340</v>
      </c>
      <c r="T340" s="251" t="s">
        <v>1630</v>
      </c>
      <c r="U340" s="251" t="s">
        <v>2081</v>
      </c>
      <c r="V340" s="251" t="s">
        <v>2082</v>
      </c>
      <c r="W340" s="251">
        <v>1994</v>
      </c>
      <c r="X340" s="578">
        <v>1834</v>
      </c>
      <c r="Y340" s="251"/>
      <c r="Z340" s="251"/>
      <c r="AA340" s="251"/>
      <c r="AB340" s="251"/>
      <c r="AC340" s="251"/>
      <c r="AD340" s="251"/>
      <c r="AE340" s="251"/>
      <c r="AF340" s="251"/>
      <c r="AG340" s="251"/>
      <c r="AH340" s="251"/>
      <c r="AI340" s="251">
        <v>2014</v>
      </c>
      <c r="AJ340" s="251" t="s">
        <v>1018</v>
      </c>
      <c r="AK340" s="578"/>
      <c r="AL340" s="579" t="s">
        <v>2075</v>
      </c>
      <c r="AQ340" s="7"/>
    </row>
    <row r="341" spans="1:43" s="278" customFormat="1" ht="12.75" hidden="1" customHeight="1" x14ac:dyDescent="0.45">
      <c r="A341" s="182"/>
      <c r="B341" s="191"/>
      <c r="C341" s="21" t="s">
        <v>1967</v>
      </c>
      <c r="D341" s="2" t="s">
        <v>306</v>
      </c>
      <c r="E341" s="2"/>
      <c r="F341" s="2"/>
      <c r="G341" s="2"/>
      <c r="H341" s="577" t="s">
        <v>2083</v>
      </c>
      <c r="I341" s="577" t="s">
        <v>2084</v>
      </c>
      <c r="J341" s="577"/>
      <c r="K341" s="577"/>
      <c r="L341" s="577"/>
      <c r="M341" s="251" t="s">
        <v>2070</v>
      </c>
      <c r="N341" s="251" t="s">
        <v>2085</v>
      </c>
      <c r="O341" s="251" t="s">
        <v>2086</v>
      </c>
      <c r="P341" s="251" t="s">
        <v>2087</v>
      </c>
      <c r="Q341" s="251" t="s">
        <v>2074</v>
      </c>
      <c r="R341" s="251" t="s">
        <v>1363</v>
      </c>
      <c r="S341" s="251" t="s">
        <v>340</v>
      </c>
      <c r="T341" s="251" t="s">
        <v>1630</v>
      </c>
      <c r="U341" s="251" t="s">
        <v>2081</v>
      </c>
      <c r="V341" s="251" t="s">
        <v>2082</v>
      </c>
      <c r="W341" s="251">
        <v>1994</v>
      </c>
      <c r="X341" s="578">
        <v>336</v>
      </c>
      <c r="Y341" s="251"/>
      <c r="Z341" s="251"/>
      <c r="AA341" s="251"/>
      <c r="AB341" s="251"/>
      <c r="AC341" s="251"/>
      <c r="AD341" s="251"/>
      <c r="AE341" s="251"/>
      <c r="AF341" s="251"/>
      <c r="AG341" s="251"/>
      <c r="AH341" s="251"/>
      <c r="AI341" s="251">
        <v>2014</v>
      </c>
      <c r="AJ341" s="251" t="s">
        <v>1018</v>
      </c>
      <c r="AK341" s="578"/>
      <c r="AL341" s="579" t="s">
        <v>2075</v>
      </c>
      <c r="AQ341" s="7"/>
    </row>
    <row r="342" spans="1:43" s="278" customFormat="1" ht="30.75" hidden="1" customHeight="1" x14ac:dyDescent="0.45">
      <c r="A342" s="7"/>
      <c r="B342" s="66"/>
      <c r="C342" s="66" t="s">
        <v>1967</v>
      </c>
      <c r="D342" s="2"/>
      <c r="E342" s="2"/>
      <c r="F342" s="2"/>
      <c r="G342" s="2"/>
      <c r="H342" s="78" t="s">
        <v>2088</v>
      </c>
      <c r="I342" s="78" t="s">
        <v>2089</v>
      </c>
      <c r="J342" s="78">
        <v>59531</v>
      </c>
      <c r="K342" s="78"/>
      <c r="L342" s="78"/>
      <c r="M342" s="77" t="s">
        <v>349</v>
      </c>
      <c r="N342" s="77" t="s">
        <v>2090</v>
      </c>
      <c r="O342" s="77" t="s">
        <v>2091</v>
      </c>
      <c r="P342" s="77" t="s">
        <v>2092</v>
      </c>
      <c r="Q342" s="77" t="s">
        <v>2093</v>
      </c>
      <c r="R342" s="575" t="s">
        <v>1363</v>
      </c>
      <c r="S342" s="77" t="s">
        <v>340</v>
      </c>
      <c r="T342" s="77" t="s">
        <v>2066</v>
      </c>
      <c r="U342" s="77" t="s">
        <v>2081</v>
      </c>
      <c r="V342" s="79" t="s">
        <v>2082</v>
      </c>
      <c r="W342" s="80">
        <v>1995</v>
      </c>
      <c r="X342" s="80">
        <v>744</v>
      </c>
      <c r="Y342" s="80"/>
      <c r="Z342" s="81"/>
      <c r="AA342" s="81"/>
      <c r="AB342" s="81"/>
      <c r="AC342" s="81"/>
      <c r="AD342" s="81"/>
      <c r="AE342" s="81"/>
      <c r="AF342" s="81"/>
      <c r="AG342" s="81"/>
      <c r="AH342" s="81"/>
      <c r="AI342" s="81"/>
      <c r="AJ342" s="81"/>
      <c r="AK342" s="81"/>
      <c r="AL342" s="66" t="s">
        <v>2094</v>
      </c>
      <c r="AQ342" s="7"/>
    </row>
    <row r="343" spans="1:43" s="278" customFormat="1" ht="140.25" hidden="1" customHeight="1" x14ac:dyDescent="0.45">
      <c r="A343" s="8"/>
      <c r="B343" s="3"/>
      <c r="C343" s="2" t="s">
        <v>1967</v>
      </c>
      <c r="D343" s="2" t="s">
        <v>832</v>
      </c>
      <c r="E343" s="2"/>
      <c r="F343" s="2"/>
      <c r="G343" s="2"/>
      <c r="H343" s="143" t="s">
        <v>2095</v>
      </c>
      <c r="I343" s="143" t="s">
        <v>2096</v>
      </c>
      <c r="J343" s="143"/>
      <c r="K343" s="143"/>
      <c r="L343" s="143" t="s">
        <v>280</v>
      </c>
      <c r="M343" s="4" t="s">
        <v>669</v>
      </c>
      <c r="N343" s="3" t="s">
        <v>2097</v>
      </c>
      <c r="O343" s="4" t="s">
        <v>2098</v>
      </c>
      <c r="P343" s="3" t="s">
        <v>2099</v>
      </c>
      <c r="Q343" s="3" t="s">
        <v>2100</v>
      </c>
      <c r="R343" s="160" t="s">
        <v>1704</v>
      </c>
      <c r="S343" s="3" t="s">
        <v>1511</v>
      </c>
      <c r="T343" s="4" t="s">
        <v>1989</v>
      </c>
      <c r="U343" s="4" t="s">
        <v>1990</v>
      </c>
      <c r="V343" s="148" t="s">
        <v>1991</v>
      </c>
      <c r="W343" s="5">
        <v>1988</v>
      </c>
      <c r="X343" s="5">
        <v>1051</v>
      </c>
      <c r="Y343" s="5"/>
      <c r="Z343" s="6"/>
      <c r="AA343" s="6"/>
      <c r="AB343" s="6"/>
      <c r="AC343" s="6"/>
      <c r="AD343" s="6"/>
      <c r="AE343" s="6"/>
      <c r="AF343" s="6"/>
      <c r="AG343" s="6"/>
      <c r="AH343" s="6"/>
      <c r="AI343" s="6" t="s">
        <v>1981</v>
      </c>
      <c r="AJ343" s="6" t="s">
        <v>470</v>
      </c>
      <c r="AK343" s="286"/>
      <c r="AL343" s="14" t="s">
        <v>2010</v>
      </c>
      <c r="AQ343" s="7"/>
    </row>
    <row r="344" spans="1:43" s="278" customFormat="1" hidden="1" x14ac:dyDescent="0.45">
      <c r="A344" s="23"/>
      <c r="B344" s="159"/>
      <c r="C344" s="2" t="s">
        <v>1967</v>
      </c>
      <c r="D344" s="2" t="s">
        <v>2101</v>
      </c>
      <c r="E344" s="2"/>
      <c r="F344" s="2"/>
      <c r="G344" s="2"/>
      <c r="H344" s="159" t="s">
        <v>2102</v>
      </c>
      <c r="I344" s="166" t="s">
        <v>2103</v>
      </c>
      <c r="J344" s="229"/>
      <c r="K344" s="229"/>
      <c r="L344" s="163" t="s">
        <v>154</v>
      </c>
      <c r="M344" s="163" t="s">
        <v>155</v>
      </c>
      <c r="N344" s="164">
        <v>1391</v>
      </c>
      <c r="O344" s="159" t="s">
        <v>2104</v>
      </c>
      <c r="P344" s="159" t="s">
        <v>2105</v>
      </c>
      <c r="Q344" s="159" t="s">
        <v>2106</v>
      </c>
      <c r="R344" s="159" t="s">
        <v>1363</v>
      </c>
      <c r="S344" s="159" t="s">
        <v>340</v>
      </c>
      <c r="T344" s="159" t="s">
        <v>2107</v>
      </c>
      <c r="U344" s="159" t="s">
        <v>2108</v>
      </c>
      <c r="V344" s="176" t="s">
        <v>2109</v>
      </c>
      <c r="W344" s="177">
        <v>1998</v>
      </c>
      <c r="X344" s="177">
        <f>145+92+284</f>
        <v>521</v>
      </c>
      <c r="Y344" s="177"/>
      <c r="Z344" s="177"/>
      <c r="AA344" s="177" t="s">
        <v>135</v>
      </c>
      <c r="AB344" s="177">
        <f>3+4+8</f>
        <v>15</v>
      </c>
      <c r="AC344" s="177"/>
      <c r="AD344" s="177" t="s">
        <v>2110</v>
      </c>
      <c r="AE344" s="177"/>
      <c r="AF344" s="177"/>
      <c r="AG344" s="177"/>
      <c r="AH344" s="177"/>
      <c r="AI344" s="177"/>
      <c r="AJ344" s="177"/>
      <c r="AK344" s="177"/>
      <c r="AL344" s="580"/>
      <c r="AQ344" s="7"/>
    </row>
    <row r="345" spans="1:43" s="278" customFormat="1" ht="140.25" hidden="1" customHeight="1" x14ac:dyDescent="0.45">
      <c r="A345" s="252"/>
      <c r="B345" s="581"/>
      <c r="C345" s="25" t="s">
        <v>1967</v>
      </c>
      <c r="D345" s="25" t="s">
        <v>2101</v>
      </c>
      <c r="E345" s="25"/>
      <c r="F345" s="25"/>
      <c r="G345" s="25"/>
      <c r="H345" s="252" t="s">
        <v>2111</v>
      </c>
      <c r="I345" s="582"/>
      <c r="J345" s="252"/>
      <c r="K345" s="252"/>
      <c r="L345" s="583" t="s">
        <v>154</v>
      </c>
      <c r="M345" s="252" t="s">
        <v>155</v>
      </c>
      <c r="N345" s="252">
        <v>1191.1394</v>
      </c>
      <c r="O345" s="252" t="s">
        <v>2112</v>
      </c>
      <c r="P345" s="252" t="s">
        <v>2112</v>
      </c>
      <c r="Q345" s="252" t="s">
        <v>2106</v>
      </c>
      <c r="R345" s="584" t="s">
        <v>1363</v>
      </c>
      <c r="S345" s="252" t="s">
        <v>340</v>
      </c>
      <c r="T345" s="252" t="s">
        <v>2107</v>
      </c>
      <c r="U345" s="252" t="s">
        <v>2108</v>
      </c>
      <c r="V345" s="252" t="s">
        <v>2109</v>
      </c>
      <c r="W345" s="252">
        <v>2011</v>
      </c>
      <c r="X345" s="585">
        <f>276+567</f>
        <v>843</v>
      </c>
      <c r="Y345" s="252"/>
      <c r="Z345" s="252"/>
      <c r="AA345" s="252"/>
      <c r="AB345" s="252"/>
      <c r="AC345" s="252"/>
      <c r="AD345" s="252"/>
      <c r="AE345" s="252"/>
      <c r="AF345" s="252"/>
      <c r="AG345" s="252"/>
      <c r="AH345" s="252"/>
      <c r="AI345" s="252"/>
      <c r="AJ345" s="252"/>
      <c r="AK345" s="586"/>
      <c r="AL345" s="273" t="s">
        <v>2113</v>
      </c>
      <c r="AQ345" s="7"/>
    </row>
    <row r="346" spans="1:43" s="278" customFormat="1" ht="140.25" hidden="1" customHeight="1" x14ac:dyDescent="0.45">
      <c r="A346" s="251"/>
      <c r="B346" s="251"/>
      <c r="C346" s="25" t="s">
        <v>1967</v>
      </c>
      <c r="D346" s="25" t="s">
        <v>2101</v>
      </c>
      <c r="E346" s="25"/>
      <c r="F346" s="25"/>
      <c r="G346" s="25"/>
      <c r="H346" s="251" t="s">
        <v>2111</v>
      </c>
      <c r="I346" s="251" t="s">
        <v>2114</v>
      </c>
      <c r="J346" s="36"/>
      <c r="K346" s="36"/>
      <c r="L346" s="251"/>
      <c r="M346" s="251" t="s">
        <v>155</v>
      </c>
      <c r="N346" s="251">
        <v>1394</v>
      </c>
      <c r="O346" s="251" t="s">
        <v>2115</v>
      </c>
      <c r="P346" s="251" t="s">
        <v>2112</v>
      </c>
      <c r="Q346" s="251" t="s">
        <v>2106</v>
      </c>
      <c r="R346" s="175" t="s">
        <v>1363</v>
      </c>
      <c r="S346" s="251" t="s">
        <v>340</v>
      </c>
      <c r="T346" s="251" t="s">
        <v>2107</v>
      </c>
      <c r="U346" s="251" t="s">
        <v>2108</v>
      </c>
      <c r="V346" s="251" t="s">
        <v>2109</v>
      </c>
      <c r="W346" s="251">
        <v>2011</v>
      </c>
      <c r="X346" s="578">
        <v>639</v>
      </c>
      <c r="Y346" s="251"/>
      <c r="Z346" s="251"/>
      <c r="AA346" s="251"/>
      <c r="AB346" s="251"/>
      <c r="AC346" s="251"/>
      <c r="AD346" s="251"/>
      <c r="AE346" s="251"/>
      <c r="AF346" s="251"/>
      <c r="AG346" s="251"/>
      <c r="AH346" s="251"/>
      <c r="AI346" s="251"/>
      <c r="AJ346" s="251"/>
      <c r="AK346" s="578"/>
      <c r="AL346" s="273" t="s">
        <v>2113</v>
      </c>
      <c r="AQ346" s="7"/>
    </row>
    <row r="347" spans="1:43" s="278" customFormat="1" ht="140.25" hidden="1" customHeight="1" x14ac:dyDescent="0.45">
      <c r="A347" s="84"/>
      <c r="B347" s="84"/>
      <c r="C347" s="25" t="s">
        <v>1967</v>
      </c>
      <c r="D347" s="25" t="s">
        <v>2101</v>
      </c>
      <c r="E347" s="25"/>
      <c r="F347" s="25"/>
      <c r="G347" s="25"/>
      <c r="H347" s="84" t="s">
        <v>2111</v>
      </c>
      <c r="I347" s="84" t="s">
        <v>2114</v>
      </c>
      <c r="J347" s="94"/>
      <c r="K347" s="94"/>
      <c r="L347" s="84"/>
      <c r="M347" s="84" t="s">
        <v>155</v>
      </c>
      <c r="N347" s="84">
        <v>1191</v>
      </c>
      <c r="O347" s="84" t="s">
        <v>2116</v>
      </c>
      <c r="P347" s="84" t="s">
        <v>2112</v>
      </c>
      <c r="Q347" s="84" t="s">
        <v>2106</v>
      </c>
      <c r="R347" s="175" t="s">
        <v>1363</v>
      </c>
      <c r="S347" s="84" t="s">
        <v>340</v>
      </c>
      <c r="T347" s="84" t="s">
        <v>2107</v>
      </c>
      <c r="U347" s="84" t="s">
        <v>2108</v>
      </c>
      <c r="V347" s="84" t="s">
        <v>2109</v>
      </c>
      <c r="W347" s="84">
        <v>2011</v>
      </c>
      <c r="X347" s="269">
        <v>204</v>
      </c>
      <c r="Y347" s="84"/>
      <c r="Z347" s="84"/>
      <c r="AA347" s="84"/>
      <c r="AB347" s="84"/>
      <c r="AC347" s="84"/>
      <c r="AD347" s="84"/>
      <c r="AE347" s="84"/>
      <c r="AF347" s="84"/>
      <c r="AG347" s="84"/>
      <c r="AH347" s="84"/>
      <c r="AI347" s="84"/>
      <c r="AJ347" s="84"/>
      <c r="AK347" s="269"/>
      <c r="AL347" s="83" t="s">
        <v>2113</v>
      </c>
      <c r="AQ347" s="7"/>
    </row>
    <row r="348" spans="1:43" s="278" customFormat="1" ht="25.5" hidden="1" x14ac:dyDescent="0.45">
      <c r="A348" s="35"/>
      <c r="B348" s="27"/>
      <c r="C348" s="2" t="s">
        <v>1967</v>
      </c>
      <c r="D348" s="2" t="s">
        <v>832</v>
      </c>
      <c r="E348" s="2" t="s">
        <v>306</v>
      </c>
      <c r="F348" s="2"/>
      <c r="G348" s="2"/>
      <c r="H348" s="128"/>
      <c r="I348" s="128"/>
      <c r="J348" s="128"/>
      <c r="K348" s="128"/>
      <c r="L348" s="128" t="s">
        <v>280</v>
      </c>
      <c r="M348" s="28" t="s">
        <v>1976</v>
      </c>
      <c r="N348" s="27" t="s">
        <v>2117</v>
      </c>
      <c r="O348" s="28" t="s">
        <v>2118</v>
      </c>
      <c r="P348" s="27" t="s">
        <v>2119</v>
      </c>
      <c r="Q348" s="27" t="s">
        <v>1439</v>
      </c>
      <c r="R348" s="211" t="s">
        <v>1363</v>
      </c>
      <c r="S348" s="27" t="s">
        <v>340</v>
      </c>
      <c r="T348" s="28"/>
      <c r="U348" s="28"/>
      <c r="V348" s="28"/>
      <c r="W348" s="27">
        <v>1994</v>
      </c>
      <c r="X348" s="266">
        <f>X349+X350</f>
        <v>796</v>
      </c>
      <c r="Y348" s="27"/>
      <c r="Z348" s="28"/>
      <c r="AA348" s="28"/>
      <c r="AB348" s="28"/>
      <c r="AC348" s="28"/>
      <c r="AD348" s="28"/>
      <c r="AE348" s="28"/>
      <c r="AF348" s="28"/>
      <c r="AG348" s="28"/>
      <c r="AH348" s="28"/>
      <c r="AI348" s="28" t="s">
        <v>1981</v>
      </c>
      <c r="AJ348" s="28" t="s">
        <v>223</v>
      </c>
      <c r="AK348" s="266"/>
      <c r="AL348" s="14" t="s">
        <v>2120</v>
      </c>
      <c r="AQ348" s="7"/>
    </row>
    <row r="349" spans="1:43" s="278" customFormat="1" ht="165.75" hidden="1" x14ac:dyDescent="0.45">
      <c r="A349" s="182"/>
      <c r="B349" s="182"/>
      <c r="C349" s="2" t="s">
        <v>1967</v>
      </c>
      <c r="D349" s="2" t="s">
        <v>832</v>
      </c>
      <c r="E349" s="2" t="s">
        <v>306</v>
      </c>
      <c r="F349" s="2"/>
      <c r="G349" s="2" t="s">
        <v>1983</v>
      </c>
      <c r="H349" s="174" t="s">
        <v>1984</v>
      </c>
      <c r="I349" s="174" t="s">
        <v>2121</v>
      </c>
      <c r="J349" s="174"/>
      <c r="K349" s="174"/>
      <c r="L349" s="174"/>
      <c r="M349" s="175" t="s">
        <v>669</v>
      </c>
      <c r="N349" s="182" t="s">
        <v>2122</v>
      </c>
      <c r="O349" s="175" t="s">
        <v>2123</v>
      </c>
      <c r="P349" s="182" t="s">
        <v>2124</v>
      </c>
      <c r="Q349" s="182" t="s">
        <v>1439</v>
      </c>
      <c r="R349" s="182" t="s">
        <v>1363</v>
      </c>
      <c r="S349" s="182" t="s">
        <v>340</v>
      </c>
      <c r="T349" s="175" t="s">
        <v>2125</v>
      </c>
      <c r="U349" s="175" t="s">
        <v>2126</v>
      </c>
      <c r="V349" s="175" t="s">
        <v>2127</v>
      </c>
      <c r="W349" s="182">
        <v>1994</v>
      </c>
      <c r="X349" s="255">
        <v>398</v>
      </c>
      <c r="Y349" s="182"/>
      <c r="Z349" s="175"/>
      <c r="AA349" s="175"/>
      <c r="AB349" s="175"/>
      <c r="AC349" s="175"/>
      <c r="AD349" s="175"/>
      <c r="AE349" s="175"/>
      <c r="AF349" s="175"/>
      <c r="AG349" s="175"/>
      <c r="AH349" s="175"/>
      <c r="AI349" s="175" t="s">
        <v>1981</v>
      </c>
      <c r="AJ349" s="175" t="s">
        <v>223</v>
      </c>
      <c r="AK349" s="255"/>
      <c r="AL349" s="166" t="s">
        <v>1992</v>
      </c>
      <c r="AQ349" s="7"/>
    </row>
    <row r="350" spans="1:43" s="278" customFormat="1" ht="178.5" hidden="1" x14ac:dyDescent="0.45">
      <c r="A350" s="69"/>
      <c r="B350" s="69"/>
      <c r="C350" s="2" t="s">
        <v>1967</v>
      </c>
      <c r="D350" s="2" t="s">
        <v>306</v>
      </c>
      <c r="E350" s="2" t="s">
        <v>832</v>
      </c>
      <c r="F350" s="2"/>
      <c r="G350" s="2" t="s">
        <v>1983</v>
      </c>
      <c r="H350" s="63" t="s">
        <v>2128</v>
      </c>
      <c r="I350" s="63" t="s">
        <v>2129</v>
      </c>
      <c r="J350" s="63"/>
      <c r="K350" s="63"/>
      <c r="L350" s="63"/>
      <c r="M350" s="63" t="s">
        <v>1995</v>
      </c>
      <c r="N350" s="69" t="s">
        <v>2130</v>
      </c>
      <c r="O350" s="68" t="s">
        <v>2131</v>
      </c>
      <c r="P350" s="69" t="s">
        <v>2132</v>
      </c>
      <c r="Q350" s="69" t="s">
        <v>1439</v>
      </c>
      <c r="R350" s="182" t="s">
        <v>1363</v>
      </c>
      <c r="S350" s="69" t="s">
        <v>340</v>
      </c>
      <c r="T350" s="68" t="s">
        <v>2133</v>
      </c>
      <c r="U350" s="68" t="s">
        <v>2134</v>
      </c>
      <c r="V350" s="68" t="s">
        <v>1450</v>
      </c>
      <c r="W350" s="69">
        <v>1994</v>
      </c>
      <c r="X350" s="267">
        <v>398</v>
      </c>
      <c r="Y350" s="69"/>
      <c r="Z350" s="68"/>
      <c r="AA350" s="68"/>
      <c r="AB350" s="68"/>
      <c r="AC350" s="68"/>
      <c r="AD350" s="68"/>
      <c r="AE350" s="68"/>
      <c r="AF350" s="68"/>
      <c r="AG350" s="68"/>
      <c r="AH350" s="68"/>
      <c r="AI350" s="68" t="s">
        <v>1981</v>
      </c>
      <c r="AJ350" s="68" t="s">
        <v>223</v>
      </c>
      <c r="AK350" s="267"/>
      <c r="AL350" s="66" t="s">
        <v>2002</v>
      </c>
      <c r="AQ350" s="7"/>
    </row>
    <row r="351" spans="1:43" s="278" customFormat="1" ht="140.25" hidden="1" customHeight="1" x14ac:dyDescent="0.45">
      <c r="A351" s="18"/>
      <c r="B351" s="12"/>
      <c r="C351" s="2" t="s">
        <v>1967</v>
      </c>
      <c r="D351" s="2" t="s">
        <v>832</v>
      </c>
      <c r="E351" s="2"/>
      <c r="F351" s="2"/>
      <c r="G351" s="2"/>
      <c r="H351" s="104" t="s">
        <v>2135</v>
      </c>
      <c r="I351" s="104" t="s">
        <v>2136</v>
      </c>
      <c r="J351" s="104"/>
      <c r="K351" s="104"/>
      <c r="L351" s="104" t="s">
        <v>280</v>
      </c>
      <c r="M351" s="92" t="s">
        <v>669</v>
      </c>
      <c r="N351" s="12" t="s">
        <v>2137</v>
      </c>
      <c r="O351" s="92" t="s">
        <v>2138</v>
      </c>
      <c r="P351" s="12" t="s">
        <v>2139</v>
      </c>
      <c r="Q351" s="12" t="s">
        <v>1905</v>
      </c>
      <c r="R351" s="160" t="s">
        <v>1721</v>
      </c>
      <c r="S351" s="12" t="s">
        <v>1511</v>
      </c>
      <c r="T351" s="92" t="s">
        <v>2140</v>
      </c>
      <c r="U351" s="92" t="s">
        <v>2141</v>
      </c>
      <c r="V351" s="103" t="s">
        <v>2142</v>
      </c>
      <c r="W351" s="76">
        <v>1984</v>
      </c>
      <c r="X351" s="76">
        <v>1263</v>
      </c>
      <c r="Y351" s="76"/>
      <c r="Z351" s="105"/>
      <c r="AA351" s="105"/>
      <c r="AB351" s="105"/>
      <c r="AC351" s="105"/>
      <c r="AD351" s="105"/>
      <c r="AE351" s="105"/>
      <c r="AF351" s="105"/>
      <c r="AG351" s="105"/>
      <c r="AH351" s="105"/>
      <c r="AI351" s="105" t="s">
        <v>2143</v>
      </c>
      <c r="AJ351" s="105" t="s">
        <v>1018</v>
      </c>
      <c r="AK351" s="287"/>
      <c r="AL351" s="106" t="s">
        <v>2010</v>
      </c>
      <c r="AQ351" s="7"/>
    </row>
    <row r="352" spans="1:43" s="278" customFormat="1" ht="84" hidden="1" customHeight="1" x14ac:dyDescent="0.45">
      <c r="A352" s="32"/>
      <c r="B352" s="34"/>
      <c r="C352" s="2" t="s">
        <v>1967</v>
      </c>
      <c r="D352" s="2" t="s">
        <v>136</v>
      </c>
      <c r="E352" s="2"/>
      <c r="F352" s="2"/>
      <c r="G352" s="2"/>
      <c r="H352" s="142" t="s">
        <v>2144</v>
      </c>
      <c r="I352" s="143" t="s">
        <v>2145</v>
      </c>
      <c r="J352" s="144"/>
      <c r="K352" s="145"/>
      <c r="L352" s="144" t="s">
        <v>348</v>
      </c>
      <c r="M352" s="34" t="s">
        <v>349</v>
      </c>
      <c r="N352" s="33" t="s">
        <v>2146</v>
      </c>
      <c r="O352" s="34" t="s">
        <v>2147</v>
      </c>
      <c r="P352" s="34" t="s">
        <v>2148</v>
      </c>
      <c r="Q352" s="34" t="s">
        <v>2149</v>
      </c>
      <c r="R352" s="34" t="s">
        <v>1843</v>
      </c>
      <c r="S352" s="34" t="s">
        <v>869</v>
      </c>
      <c r="T352" s="146" t="s">
        <v>2150</v>
      </c>
      <c r="U352" s="34" t="s">
        <v>2151</v>
      </c>
      <c r="V352" s="147" t="s">
        <v>2152</v>
      </c>
      <c r="W352" s="34">
        <v>2019</v>
      </c>
      <c r="X352" s="270">
        <v>700</v>
      </c>
      <c r="Y352" s="34"/>
      <c r="Z352" s="34"/>
      <c r="AA352" s="34"/>
      <c r="AB352" s="34"/>
      <c r="AC352" s="34"/>
      <c r="AD352" s="34"/>
      <c r="AE352" s="34"/>
      <c r="AF352" s="34"/>
      <c r="AG352" s="34"/>
      <c r="AH352" s="34"/>
      <c r="AI352" s="34" t="s">
        <v>638</v>
      </c>
      <c r="AJ352" s="34" t="s">
        <v>562</v>
      </c>
      <c r="AK352" s="6"/>
      <c r="AL352" s="14" t="s">
        <v>2153</v>
      </c>
      <c r="AQ352" s="7"/>
    </row>
    <row r="353" spans="1:43" s="278" customFormat="1" ht="102" hidden="1" x14ac:dyDescent="0.45">
      <c r="A353" s="89"/>
      <c r="B353" s="70"/>
      <c r="C353" s="2" t="s">
        <v>1967</v>
      </c>
      <c r="D353" s="2" t="s">
        <v>832</v>
      </c>
      <c r="E353" s="2"/>
      <c r="F353" s="2"/>
      <c r="G353" s="2"/>
      <c r="H353" s="90" t="s">
        <v>2154</v>
      </c>
      <c r="I353" s="90" t="s">
        <v>2155</v>
      </c>
      <c r="J353" s="72"/>
      <c r="K353" s="72"/>
      <c r="L353" s="72" t="s">
        <v>280</v>
      </c>
      <c r="M353" s="70" t="s">
        <v>669</v>
      </c>
      <c r="N353" s="91" t="s">
        <v>2156</v>
      </c>
      <c r="O353" s="92" t="s">
        <v>2157</v>
      </c>
      <c r="P353" s="92" t="s">
        <v>2158</v>
      </c>
      <c r="Q353" s="92" t="s">
        <v>2159</v>
      </c>
      <c r="R353" s="4" t="s">
        <v>1843</v>
      </c>
      <c r="S353" s="92" t="s">
        <v>869</v>
      </c>
      <c r="T353" s="48" t="s">
        <v>2160</v>
      </c>
      <c r="U353" s="70" t="s">
        <v>2161</v>
      </c>
      <c r="V353" s="93" t="s">
        <v>2162</v>
      </c>
      <c r="W353" s="92">
        <v>2020</v>
      </c>
      <c r="X353" s="105">
        <v>1265</v>
      </c>
      <c r="Y353" s="92"/>
      <c r="Z353" s="92"/>
      <c r="AA353" s="92"/>
      <c r="AB353" s="92">
        <v>20</v>
      </c>
      <c r="AC353" s="92">
        <v>122</v>
      </c>
      <c r="AD353" s="92"/>
      <c r="AE353" s="92"/>
      <c r="AF353" s="92"/>
      <c r="AG353" s="92"/>
      <c r="AH353" s="92"/>
      <c r="AI353" s="92" t="s">
        <v>324</v>
      </c>
      <c r="AJ353" s="92" t="s">
        <v>2163</v>
      </c>
      <c r="AK353" s="75"/>
      <c r="AL353" s="66" t="s">
        <v>2010</v>
      </c>
      <c r="AQ353" s="7"/>
    </row>
    <row r="354" spans="1:43" s="278" customFormat="1" ht="76.5" hidden="1" customHeight="1" x14ac:dyDescent="0.45">
      <c r="A354" s="7"/>
      <c r="B354" s="4"/>
      <c r="C354" s="21" t="s">
        <v>1967</v>
      </c>
      <c r="D354" s="2" t="s">
        <v>306</v>
      </c>
      <c r="E354" s="2"/>
      <c r="F354" s="2"/>
      <c r="G354" s="2"/>
      <c r="H354" s="3" t="s">
        <v>2164</v>
      </c>
      <c r="I354" s="3" t="s">
        <v>2165</v>
      </c>
      <c r="J354" s="3" t="s">
        <v>2164</v>
      </c>
      <c r="K354" s="3"/>
      <c r="L354" s="3"/>
      <c r="M354" s="4" t="s">
        <v>2166</v>
      </c>
      <c r="N354" s="3" t="s">
        <v>2167</v>
      </c>
      <c r="O354" s="3" t="s">
        <v>2168</v>
      </c>
      <c r="P354" s="3" t="s">
        <v>2169</v>
      </c>
      <c r="Q354" s="3" t="s">
        <v>1421</v>
      </c>
      <c r="R354" s="160" t="s">
        <v>1214</v>
      </c>
      <c r="S354" s="3" t="s">
        <v>340</v>
      </c>
      <c r="T354" s="4" t="s">
        <v>1630</v>
      </c>
      <c r="U354" s="3" t="s">
        <v>2170</v>
      </c>
      <c r="V354" s="141" t="s">
        <v>2171</v>
      </c>
      <c r="W354" s="5">
        <v>1983</v>
      </c>
      <c r="X354" s="5">
        <v>1860</v>
      </c>
      <c r="Y354" s="5"/>
      <c r="Z354" s="5"/>
      <c r="AA354" s="5"/>
      <c r="AB354" s="5"/>
      <c r="AC354" s="5"/>
      <c r="AD354" s="5"/>
      <c r="AE354" s="5"/>
      <c r="AF354" s="5"/>
      <c r="AG354" s="5"/>
      <c r="AH354" s="5"/>
      <c r="AI354" s="5"/>
      <c r="AJ354" s="5"/>
      <c r="AK354" s="286"/>
      <c r="AL354" s="7"/>
      <c r="AQ354" s="7"/>
    </row>
    <row r="355" spans="1:43" s="278" customFormat="1" ht="140.25" hidden="1" customHeight="1" x14ac:dyDescent="0.45">
      <c r="A355" s="8"/>
      <c r="B355" s="70"/>
      <c r="C355" s="2" t="s">
        <v>1967</v>
      </c>
      <c r="D355" s="2" t="s">
        <v>832</v>
      </c>
      <c r="E355" s="2"/>
      <c r="F355" s="2"/>
      <c r="G355" s="2"/>
      <c r="H355" s="72" t="s">
        <v>2172</v>
      </c>
      <c r="I355" s="72" t="s">
        <v>2173</v>
      </c>
      <c r="J355" s="72"/>
      <c r="K355" s="72"/>
      <c r="L355" s="72" t="s">
        <v>280</v>
      </c>
      <c r="M355" s="70" t="s">
        <v>669</v>
      </c>
      <c r="N355" s="73" t="s">
        <v>2174</v>
      </c>
      <c r="O355" s="70" t="s">
        <v>2175</v>
      </c>
      <c r="P355" s="73" t="s">
        <v>2176</v>
      </c>
      <c r="Q355" s="73" t="s">
        <v>2177</v>
      </c>
      <c r="R355" s="160" t="s">
        <v>1126</v>
      </c>
      <c r="S355" s="73" t="s">
        <v>340</v>
      </c>
      <c r="T355" s="70" t="s">
        <v>2178</v>
      </c>
      <c r="U355" s="70" t="s">
        <v>2179</v>
      </c>
      <c r="V355" s="71" t="s">
        <v>2180</v>
      </c>
      <c r="W355" s="74">
        <v>1981</v>
      </c>
      <c r="X355" s="74">
        <v>1094</v>
      </c>
      <c r="Y355" s="74"/>
      <c r="Z355" s="75"/>
      <c r="AA355" s="75"/>
      <c r="AB355" s="75"/>
      <c r="AC355" s="75"/>
      <c r="AD355" s="75"/>
      <c r="AE355" s="75"/>
      <c r="AF355" s="75"/>
      <c r="AG355" s="75"/>
      <c r="AH355" s="75"/>
      <c r="AI355" s="75"/>
      <c r="AJ355" s="75"/>
      <c r="AK355" s="288"/>
      <c r="AL355" s="66" t="s">
        <v>2010</v>
      </c>
      <c r="AQ355" s="7"/>
    </row>
    <row r="356" spans="1:43" s="278" customFormat="1" ht="165.75" hidden="1" x14ac:dyDescent="0.45">
      <c r="A356" s="29"/>
      <c r="B356" s="106"/>
      <c r="C356" s="140" t="s">
        <v>1967</v>
      </c>
      <c r="D356" s="2" t="s">
        <v>136</v>
      </c>
      <c r="E356" s="2"/>
      <c r="F356" s="2"/>
      <c r="G356" s="2" t="s">
        <v>2181</v>
      </c>
      <c r="H356" s="112" t="s">
        <v>2182</v>
      </c>
      <c r="I356" s="104" t="s">
        <v>2183</v>
      </c>
      <c r="J356" s="112">
        <v>59499</v>
      </c>
      <c r="K356" s="112"/>
      <c r="L356" s="112" t="s">
        <v>2184</v>
      </c>
      <c r="M356" s="111" t="s">
        <v>2185</v>
      </c>
      <c r="N356" s="111" t="s">
        <v>2186</v>
      </c>
      <c r="O356" s="111" t="s">
        <v>2187</v>
      </c>
      <c r="P356" s="111" t="s">
        <v>2188</v>
      </c>
      <c r="Q356" s="111" t="s">
        <v>1390</v>
      </c>
      <c r="R356" s="575" t="s">
        <v>1126</v>
      </c>
      <c r="S356" s="111" t="s">
        <v>340</v>
      </c>
      <c r="T356" s="111" t="s">
        <v>169</v>
      </c>
      <c r="U356" s="111" t="s">
        <v>170</v>
      </c>
      <c r="V356" s="113" t="s">
        <v>2189</v>
      </c>
      <c r="W356" s="114">
        <v>2008</v>
      </c>
      <c r="X356" s="114">
        <v>416</v>
      </c>
      <c r="Y356" s="114"/>
      <c r="Z356" s="115"/>
      <c r="AA356" s="115"/>
      <c r="AB356" s="115"/>
      <c r="AC356" s="115"/>
      <c r="AD356" s="115"/>
      <c r="AE356" s="115"/>
      <c r="AF356" s="115"/>
      <c r="AG356" s="115"/>
      <c r="AH356" s="115"/>
      <c r="AI356" s="115"/>
      <c r="AJ356" s="115"/>
      <c r="AK356" s="115"/>
      <c r="AL356" s="106" t="s">
        <v>2190</v>
      </c>
      <c r="AQ356" s="7"/>
    </row>
    <row r="357" spans="1:43" s="278" customFormat="1" ht="140.25" hidden="1" customHeight="1" x14ac:dyDescent="0.45">
      <c r="A357" s="8"/>
      <c r="B357" s="92"/>
      <c r="C357" s="2" t="s">
        <v>1967</v>
      </c>
      <c r="D357" s="2" t="s">
        <v>832</v>
      </c>
      <c r="E357" s="2"/>
      <c r="F357" s="2"/>
      <c r="G357" s="2"/>
      <c r="H357" s="104" t="s">
        <v>2191</v>
      </c>
      <c r="I357" s="104" t="s">
        <v>2192</v>
      </c>
      <c r="J357" s="104"/>
      <c r="K357" s="104"/>
      <c r="L357" s="104" t="s">
        <v>280</v>
      </c>
      <c r="M357" s="92" t="s">
        <v>281</v>
      </c>
      <c r="N357" s="12" t="s">
        <v>2193</v>
      </c>
      <c r="O357" s="92" t="s">
        <v>2194</v>
      </c>
      <c r="P357" s="12" t="s">
        <v>2195</v>
      </c>
      <c r="Q357" s="12" t="s">
        <v>2196</v>
      </c>
      <c r="R357" s="160" t="s">
        <v>1214</v>
      </c>
      <c r="S357" s="12" t="s">
        <v>340</v>
      </c>
      <c r="T357" s="92" t="s">
        <v>2197</v>
      </c>
      <c r="U357" s="92" t="s">
        <v>2198</v>
      </c>
      <c r="V357" s="103" t="s">
        <v>2199</v>
      </c>
      <c r="W357" s="76">
        <v>1983</v>
      </c>
      <c r="X357" s="76">
        <v>1149</v>
      </c>
      <c r="Y357" s="76"/>
      <c r="Z357" s="105"/>
      <c r="AA357" s="105"/>
      <c r="AB357" s="105"/>
      <c r="AC357" s="105"/>
      <c r="AD357" s="105"/>
      <c r="AE357" s="105"/>
      <c r="AF357" s="105"/>
      <c r="AG357" s="105"/>
      <c r="AH357" s="105"/>
      <c r="AI357" s="105"/>
      <c r="AJ357" s="105"/>
      <c r="AK357" s="287" t="s">
        <v>2200</v>
      </c>
      <c r="AL357" s="106" t="s">
        <v>2010</v>
      </c>
      <c r="AQ357" s="7"/>
    </row>
    <row r="358" spans="1:43" s="278" customFormat="1" hidden="1" x14ac:dyDescent="0.45">
      <c r="A358" s="24"/>
      <c r="B358" s="111"/>
      <c r="C358" s="2" t="s">
        <v>1967</v>
      </c>
      <c r="D358" s="2" t="s">
        <v>861</v>
      </c>
      <c r="E358" s="2"/>
      <c r="F358" s="2"/>
      <c r="G358" s="2"/>
      <c r="H358" s="132" t="s">
        <v>2201</v>
      </c>
      <c r="I358" s="133" t="s">
        <v>2202</v>
      </c>
      <c r="J358" s="134"/>
      <c r="K358" s="134"/>
      <c r="L358" s="112" t="s">
        <v>139</v>
      </c>
      <c r="M358" s="111" t="s">
        <v>140</v>
      </c>
      <c r="N358" s="135" t="s">
        <v>2203</v>
      </c>
      <c r="O358" s="111" t="s">
        <v>2204</v>
      </c>
      <c r="P358" s="111" t="s">
        <v>2205</v>
      </c>
      <c r="Q358" s="111" t="s">
        <v>2206</v>
      </c>
      <c r="R358" s="575" t="s">
        <v>1239</v>
      </c>
      <c r="S358" s="111" t="s">
        <v>340</v>
      </c>
      <c r="T358" s="136" t="s">
        <v>2207</v>
      </c>
      <c r="U358" s="137" t="s">
        <v>2208</v>
      </c>
      <c r="V358" s="138" t="s">
        <v>2209</v>
      </c>
      <c r="W358" s="114">
        <v>1971</v>
      </c>
      <c r="X358" s="114"/>
      <c r="Y358" s="114">
        <v>73</v>
      </c>
      <c r="Z358" s="115"/>
      <c r="AA358" s="115"/>
      <c r="AB358" s="115"/>
      <c r="AC358" s="115"/>
      <c r="AD358" s="115"/>
      <c r="AE358" s="115"/>
      <c r="AF358" s="115"/>
      <c r="AG358" s="115"/>
      <c r="AH358" s="115"/>
      <c r="AI358" s="115"/>
      <c r="AJ358" s="139"/>
      <c r="AK358" s="39"/>
      <c r="AL358" s="106" t="s">
        <v>2210</v>
      </c>
      <c r="AQ358" s="7"/>
    </row>
    <row r="359" spans="1:43" s="278" customFormat="1" ht="114.75" hidden="1" x14ac:dyDescent="0.45">
      <c r="A359" s="8"/>
      <c r="B359" s="92"/>
      <c r="C359" s="2" t="s">
        <v>1967</v>
      </c>
      <c r="D359" s="2" t="s">
        <v>832</v>
      </c>
      <c r="E359" s="2"/>
      <c r="F359" s="2"/>
      <c r="G359" s="2"/>
      <c r="H359" s="104" t="s">
        <v>2211</v>
      </c>
      <c r="I359" s="104" t="s">
        <v>2212</v>
      </c>
      <c r="J359" s="104"/>
      <c r="K359" s="104"/>
      <c r="L359" s="104" t="s">
        <v>280</v>
      </c>
      <c r="M359" s="92" t="s">
        <v>669</v>
      </c>
      <c r="N359" s="12" t="s">
        <v>2213</v>
      </c>
      <c r="O359" s="92" t="s">
        <v>2214</v>
      </c>
      <c r="P359" s="12" t="s">
        <v>2215</v>
      </c>
      <c r="Q359" s="12" t="s">
        <v>796</v>
      </c>
      <c r="R359" s="160" t="s">
        <v>768</v>
      </c>
      <c r="S359" s="12" t="s">
        <v>340</v>
      </c>
      <c r="T359" s="92" t="s">
        <v>2216</v>
      </c>
      <c r="U359" s="92" t="s">
        <v>2217</v>
      </c>
      <c r="V359" s="103" t="s">
        <v>2218</v>
      </c>
      <c r="W359" s="76">
        <v>2000</v>
      </c>
      <c r="X359" s="76">
        <v>68</v>
      </c>
      <c r="Y359" s="76">
        <v>53</v>
      </c>
      <c r="Z359" s="105"/>
      <c r="AA359" s="105"/>
      <c r="AB359" s="105"/>
      <c r="AC359" s="105"/>
      <c r="AD359" s="105"/>
      <c r="AE359" s="105"/>
      <c r="AF359" s="105"/>
      <c r="AG359" s="105"/>
      <c r="AH359" s="105"/>
      <c r="AI359" s="105"/>
      <c r="AJ359" s="105"/>
      <c r="AK359" s="287"/>
      <c r="AL359" s="92" t="s">
        <v>2219</v>
      </c>
      <c r="AQ359" s="7"/>
    </row>
    <row r="360" spans="1:43" s="278" customFormat="1" ht="38.25" hidden="1" x14ac:dyDescent="0.45">
      <c r="A360" s="8"/>
      <c r="B360" s="92"/>
      <c r="C360" s="2" t="s">
        <v>1967</v>
      </c>
      <c r="D360" s="2" t="s">
        <v>832</v>
      </c>
      <c r="E360" s="2"/>
      <c r="F360" s="2"/>
      <c r="G360" s="2"/>
      <c r="H360" s="131" t="s">
        <v>2220</v>
      </c>
      <c r="I360" s="131" t="s">
        <v>2221</v>
      </c>
      <c r="J360" s="104"/>
      <c r="K360" s="104"/>
      <c r="L360" s="104" t="s">
        <v>280</v>
      </c>
      <c r="M360" s="92" t="s">
        <v>281</v>
      </c>
      <c r="N360" s="12" t="s">
        <v>2222</v>
      </c>
      <c r="O360" s="92" t="s">
        <v>2223</v>
      </c>
      <c r="P360" s="12" t="s">
        <v>2224</v>
      </c>
      <c r="Q360" s="12" t="s">
        <v>2225</v>
      </c>
      <c r="R360" s="160" t="s">
        <v>768</v>
      </c>
      <c r="S360" s="12" t="s">
        <v>340</v>
      </c>
      <c r="T360" s="92" t="s">
        <v>2226</v>
      </c>
      <c r="U360" s="92" t="s">
        <v>2227</v>
      </c>
      <c r="V360" s="103" t="s">
        <v>2228</v>
      </c>
      <c r="W360" s="76">
        <v>1999</v>
      </c>
      <c r="X360" s="76">
        <v>1244</v>
      </c>
      <c r="Y360" s="76">
        <v>11</v>
      </c>
      <c r="Z360" s="105"/>
      <c r="AA360" s="105"/>
      <c r="AB360" s="105"/>
      <c r="AC360" s="105"/>
      <c r="AD360" s="105"/>
      <c r="AE360" s="105"/>
      <c r="AF360" s="105"/>
      <c r="AG360" s="105"/>
      <c r="AH360" s="105"/>
      <c r="AI360" s="105"/>
      <c r="AJ360" s="105"/>
      <c r="AK360" s="287" t="s">
        <v>2229</v>
      </c>
      <c r="AL360" s="106"/>
      <c r="AQ360" s="7"/>
    </row>
    <row r="361" spans="1:43" s="278" customFormat="1" ht="12.75" hidden="1" customHeight="1" x14ac:dyDescent="0.45">
      <c r="A361" s="27"/>
      <c r="B361" s="27"/>
      <c r="C361" s="21" t="s">
        <v>1967</v>
      </c>
      <c r="D361" s="2" t="s">
        <v>136</v>
      </c>
      <c r="E361" s="2" t="s">
        <v>2230</v>
      </c>
      <c r="F361" s="2"/>
      <c r="G361" s="2"/>
      <c r="H361" s="128"/>
      <c r="I361" s="128"/>
      <c r="J361" s="128"/>
      <c r="K361" s="128"/>
      <c r="L361" s="128"/>
      <c r="M361" s="27" t="s">
        <v>2231</v>
      </c>
      <c r="N361" s="27">
        <v>1148</v>
      </c>
      <c r="O361" s="129" t="s">
        <v>2232</v>
      </c>
      <c r="P361" s="27" t="s">
        <v>2232</v>
      </c>
      <c r="Q361" s="27" t="s">
        <v>1959</v>
      </c>
      <c r="R361" s="211" t="s">
        <v>942</v>
      </c>
      <c r="S361" s="27" t="s">
        <v>340</v>
      </c>
      <c r="T361" s="27"/>
      <c r="U361" s="27"/>
      <c r="V361" s="27"/>
      <c r="W361" s="27">
        <v>2005</v>
      </c>
      <c r="X361" s="266">
        <f>oppervlak_dak_1756+oppervlak_dak_1148</f>
        <v>1238</v>
      </c>
      <c r="Y361" s="27"/>
      <c r="Z361" s="28"/>
      <c r="AA361" s="28" t="s">
        <v>150</v>
      </c>
      <c r="AB361" s="28">
        <f>AB362+AB264</f>
        <v>37</v>
      </c>
      <c r="AC361" s="28"/>
      <c r="AD361" s="28"/>
      <c r="AE361" s="28"/>
      <c r="AF361" s="28"/>
      <c r="AG361" s="28"/>
      <c r="AH361" s="28"/>
      <c r="AI361" s="28">
        <v>2005</v>
      </c>
      <c r="AJ361" s="28"/>
      <c r="AK361" s="266"/>
      <c r="AL361" s="130"/>
      <c r="AQ361" s="7"/>
    </row>
    <row r="362" spans="1:43" s="278" customFormat="1" ht="57" hidden="1" x14ac:dyDescent="0.45">
      <c r="A362" s="69"/>
      <c r="B362" s="87"/>
      <c r="C362" s="21" t="s">
        <v>1967</v>
      </c>
      <c r="D362" s="2" t="s">
        <v>2230</v>
      </c>
      <c r="E362" s="2"/>
      <c r="F362" s="2"/>
      <c r="G362" s="2"/>
      <c r="H362" s="88" t="s">
        <v>2233</v>
      </c>
      <c r="I362" s="88" t="s">
        <v>2234</v>
      </c>
      <c r="J362" s="88"/>
      <c r="K362" s="88"/>
      <c r="L362" s="88"/>
      <c r="M362" s="69" t="s">
        <v>140</v>
      </c>
      <c r="N362" s="87" t="s">
        <v>2235</v>
      </c>
      <c r="O362" s="87" t="s">
        <v>2236</v>
      </c>
      <c r="P362" s="87" t="s">
        <v>2237</v>
      </c>
      <c r="Q362" s="69" t="s">
        <v>1959</v>
      </c>
      <c r="R362" s="182" t="s">
        <v>942</v>
      </c>
      <c r="S362" s="69" t="s">
        <v>340</v>
      </c>
      <c r="T362" s="69" t="s">
        <v>169</v>
      </c>
      <c r="U362" s="69" t="s">
        <v>170</v>
      </c>
      <c r="V362" s="69" t="s">
        <v>171</v>
      </c>
      <c r="W362" s="69">
        <v>2005</v>
      </c>
      <c r="X362" s="267">
        <v>813</v>
      </c>
      <c r="Y362" s="69"/>
      <c r="Z362" s="68"/>
      <c r="AA362" s="68" t="s">
        <v>150</v>
      </c>
      <c r="AB362" s="68">
        <v>24</v>
      </c>
      <c r="AC362" s="68"/>
      <c r="AD362" s="68"/>
      <c r="AE362" s="68"/>
      <c r="AF362" s="68"/>
      <c r="AG362" s="68"/>
      <c r="AH362" s="68"/>
      <c r="AI362" s="68">
        <v>2005</v>
      </c>
      <c r="AJ362" s="68"/>
      <c r="AK362" s="267"/>
      <c r="AL362" s="7"/>
      <c r="AQ362" s="7"/>
    </row>
    <row r="363" spans="1:43" s="278" customFormat="1" ht="52.5" hidden="1" x14ac:dyDescent="0.45">
      <c r="A363" s="26"/>
      <c r="B363" s="122"/>
      <c r="C363" s="25" t="s">
        <v>1967</v>
      </c>
      <c r="D363" s="25" t="s">
        <v>2101</v>
      </c>
      <c r="E363" s="25"/>
      <c r="F363" s="25"/>
      <c r="G363" s="25"/>
      <c r="H363" s="123"/>
      <c r="I363" s="122"/>
      <c r="J363" s="123"/>
      <c r="K363" s="123"/>
      <c r="L363" s="124" t="s">
        <v>154</v>
      </c>
      <c r="M363" s="124" t="s">
        <v>2238</v>
      </c>
      <c r="N363" s="122" t="s">
        <v>2239</v>
      </c>
      <c r="O363" s="122" t="s">
        <v>2240</v>
      </c>
      <c r="P363" s="122" t="s">
        <v>2241</v>
      </c>
      <c r="Q363" s="122" t="s">
        <v>976</v>
      </c>
      <c r="R363" s="171" t="s">
        <v>942</v>
      </c>
      <c r="S363" s="122" t="s">
        <v>340</v>
      </c>
      <c r="T363" s="122"/>
      <c r="U363" s="122"/>
      <c r="V363" s="122"/>
      <c r="W363" s="125">
        <v>2000</v>
      </c>
      <c r="X363" s="125">
        <f>X365+X364</f>
        <v>2204</v>
      </c>
      <c r="Y363" s="125"/>
      <c r="Z363" s="126"/>
      <c r="AA363" s="127" t="s">
        <v>311</v>
      </c>
      <c r="AB363" s="127">
        <f>AB364+AB365</f>
        <v>40</v>
      </c>
      <c r="AC363" s="127">
        <f>AC364+AC365</f>
        <v>293</v>
      </c>
      <c r="AD363" s="127" t="str">
        <f>+AD364</f>
        <v>dakluik dak 1</v>
      </c>
      <c r="AE363" s="127"/>
      <c r="AF363" s="127"/>
      <c r="AG363" s="127"/>
      <c r="AH363" s="127"/>
      <c r="AI363" s="127"/>
      <c r="AJ363" s="127"/>
      <c r="AK363" s="270"/>
      <c r="AL363" s="31" t="s">
        <v>2113</v>
      </c>
      <c r="AQ363" s="7"/>
    </row>
    <row r="364" spans="1:43" s="278" customFormat="1" ht="26.25" hidden="1" x14ac:dyDescent="0.45">
      <c r="A364" s="251"/>
      <c r="B364" s="251"/>
      <c r="C364" s="25" t="s">
        <v>1967</v>
      </c>
      <c r="D364" s="25" t="s">
        <v>2101</v>
      </c>
      <c r="E364" s="25"/>
      <c r="F364" s="25"/>
      <c r="G364" s="25"/>
      <c r="H364" s="251" t="s">
        <v>2242</v>
      </c>
      <c r="I364" s="251" t="s">
        <v>2243</v>
      </c>
      <c r="J364" s="251"/>
      <c r="K364" s="251"/>
      <c r="L364" s="251"/>
      <c r="M364" s="251" t="s">
        <v>155</v>
      </c>
      <c r="N364" s="251" t="s">
        <v>2244</v>
      </c>
      <c r="O364" s="251" t="s">
        <v>2245</v>
      </c>
      <c r="P364" s="251" t="s">
        <v>2246</v>
      </c>
      <c r="Q364" s="251" t="s">
        <v>976</v>
      </c>
      <c r="R364" s="175" t="s">
        <v>942</v>
      </c>
      <c r="S364" s="251" t="s">
        <v>340</v>
      </c>
      <c r="T364" s="251"/>
      <c r="U364" s="251"/>
      <c r="V364" s="251"/>
      <c r="W364" s="587">
        <v>2000</v>
      </c>
      <c r="X364" s="587">
        <v>1640</v>
      </c>
      <c r="Y364" s="587"/>
      <c r="Z364" s="588"/>
      <c r="AA364" s="253" t="s">
        <v>311</v>
      </c>
      <c r="AB364" s="253">
        <f>15+1+4+12</f>
        <v>32</v>
      </c>
      <c r="AC364" s="253">
        <f>120+22+76</f>
        <v>218</v>
      </c>
      <c r="AD364" s="253" t="s">
        <v>2247</v>
      </c>
      <c r="AE364" s="253"/>
      <c r="AF364" s="253"/>
      <c r="AG364" s="253"/>
      <c r="AH364" s="253"/>
      <c r="AI364" s="253"/>
      <c r="AJ364" s="253"/>
      <c r="AK364" s="589"/>
      <c r="AL364" s="273" t="s">
        <v>2113</v>
      </c>
      <c r="AQ364" s="7"/>
    </row>
    <row r="365" spans="1:43" s="278" customFormat="1" ht="25.5" hidden="1" x14ac:dyDescent="0.45">
      <c r="A365" s="84"/>
      <c r="B365" s="84"/>
      <c r="C365" s="25" t="s">
        <v>1967</v>
      </c>
      <c r="D365" s="25" t="s">
        <v>2101</v>
      </c>
      <c r="E365" s="25"/>
      <c r="F365" s="25"/>
      <c r="G365" s="25"/>
      <c r="H365" s="84" t="s">
        <v>2248</v>
      </c>
      <c r="I365" s="84" t="s">
        <v>2249</v>
      </c>
      <c r="J365" s="84"/>
      <c r="K365" s="84"/>
      <c r="L365" s="84"/>
      <c r="M365" s="84" t="s">
        <v>544</v>
      </c>
      <c r="N365" s="85">
        <v>1194</v>
      </c>
      <c r="O365" s="84" t="s">
        <v>2250</v>
      </c>
      <c r="P365" s="84" t="s">
        <v>2251</v>
      </c>
      <c r="Q365" s="84" t="s">
        <v>976</v>
      </c>
      <c r="R365" s="175" t="s">
        <v>942</v>
      </c>
      <c r="S365" s="84" t="s">
        <v>340</v>
      </c>
      <c r="T365" s="84"/>
      <c r="U365" s="84"/>
      <c r="V365" s="84"/>
      <c r="W365" s="86">
        <v>2000</v>
      </c>
      <c r="X365" s="86">
        <v>564</v>
      </c>
      <c r="Y365" s="86"/>
      <c r="Z365" s="80"/>
      <c r="AA365" s="80" t="s">
        <v>311</v>
      </c>
      <c r="AB365" s="80">
        <f>8</f>
        <v>8</v>
      </c>
      <c r="AC365" s="80">
        <f>75</f>
        <v>75</v>
      </c>
      <c r="AD365" s="80"/>
      <c r="AE365" s="80"/>
      <c r="AF365" s="80"/>
      <c r="AG365" s="80"/>
      <c r="AH365" s="80"/>
      <c r="AI365" s="80"/>
      <c r="AJ365" s="80"/>
      <c r="AK365" s="81"/>
      <c r="AL365" s="83" t="s">
        <v>2113</v>
      </c>
      <c r="AQ365" s="7"/>
    </row>
    <row r="366" spans="1:43" s="278" customFormat="1" ht="25.5" hidden="1" x14ac:dyDescent="0.45">
      <c r="A366" s="24"/>
      <c r="B366" s="111"/>
      <c r="C366" s="25" t="s">
        <v>1967</v>
      </c>
      <c r="D366" s="25" t="s">
        <v>2101</v>
      </c>
      <c r="E366" s="25"/>
      <c r="F366" s="25"/>
      <c r="G366" s="25"/>
      <c r="H366" s="112" t="s">
        <v>2252</v>
      </c>
      <c r="I366" s="112" t="s">
        <v>2253</v>
      </c>
      <c r="J366" s="112"/>
      <c r="K366" s="112"/>
      <c r="L366" s="112" t="s">
        <v>154</v>
      </c>
      <c r="M366" s="112" t="s">
        <v>155</v>
      </c>
      <c r="N366" s="120">
        <v>1392</v>
      </c>
      <c r="O366" s="111" t="s">
        <v>2254</v>
      </c>
      <c r="P366" s="111" t="s">
        <v>2255</v>
      </c>
      <c r="Q366" s="111" t="s">
        <v>976</v>
      </c>
      <c r="R366" s="159" t="s">
        <v>942</v>
      </c>
      <c r="S366" s="111" t="s">
        <v>340</v>
      </c>
      <c r="T366" s="111" t="s">
        <v>2256</v>
      </c>
      <c r="U366" s="111" t="s">
        <v>2257</v>
      </c>
      <c r="V366" s="113" t="s">
        <v>2258</v>
      </c>
      <c r="W366" s="114">
        <v>2004</v>
      </c>
      <c r="X366" s="114">
        <f>1226+489+287</f>
        <v>2002</v>
      </c>
      <c r="Y366" s="114"/>
      <c r="Z366" s="115"/>
      <c r="AA366" s="115" t="s">
        <v>311</v>
      </c>
      <c r="AB366" s="115">
        <f>8+3+7</f>
        <v>18</v>
      </c>
      <c r="AC366" s="115"/>
      <c r="AD366" s="115"/>
      <c r="AE366" s="115"/>
      <c r="AF366" s="115"/>
      <c r="AG366" s="115"/>
      <c r="AH366" s="115"/>
      <c r="AI366" s="115"/>
      <c r="AJ366" s="115"/>
      <c r="AK366" s="115"/>
      <c r="AL366" s="121" t="s">
        <v>2113</v>
      </c>
      <c r="AQ366" s="7"/>
    </row>
    <row r="367" spans="1:43" s="278" customFormat="1" ht="140.25" hidden="1" customHeight="1" x14ac:dyDescent="0.45">
      <c r="A367" s="8"/>
      <c r="B367" s="92"/>
      <c r="C367" s="2" t="s">
        <v>1967</v>
      </c>
      <c r="D367" s="2" t="s">
        <v>832</v>
      </c>
      <c r="E367" s="2"/>
      <c r="F367" s="2"/>
      <c r="G367" s="2"/>
      <c r="H367" s="104" t="s">
        <v>2259</v>
      </c>
      <c r="I367" s="104" t="s">
        <v>2260</v>
      </c>
      <c r="J367" s="104"/>
      <c r="K367" s="104"/>
      <c r="L367" s="104" t="s">
        <v>280</v>
      </c>
      <c r="M367" s="92" t="s">
        <v>281</v>
      </c>
      <c r="N367" s="92" t="s">
        <v>2261</v>
      </c>
      <c r="O367" s="92" t="s">
        <v>2262</v>
      </c>
      <c r="P367" s="92" t="s">
        <v>2263</v>
      </c>
      <c r="Q367" s="92" t="s">
        <v>1832</v>
      </c>
      <c r="R367" s="159" t="s">
        <v>942</v>
      </c>
      <c r="S367" s="92" t="s">
        <v>340</v>
      </c>
      <c r="T367" s="92" t="s">
        <v>2264</v>
      </c>
      <c r="U367" s="92" t="s">
        <v>2265</v>
      </c>
      <c r="V367" s="92" t="s">
        <v>2266</v>
      </c>
      <c r="W367" s="76">
        <v>2000</v>
      </c>
      <c r="X367" s="76">
        <v>58</v>
      </c>
      <c r="Y367" s="119">
        <v>75</v>
      </c>
      <c r="Z367" s="105"/>
      <c r="AA367" s="105"/>
      <c r="AB367" s="105"/>
      <c r="AC367" s="105"/>
      <c r="AD367" s="105"/>
      <c r="AE367" s="105"/>
      <c r="AF367" s="105"/>
      <c r="AG367" s="105"/>
      <c r="AH367" s="105"/>
      <c r="AI367" s="105"/>
      <c r="AJ367" s="105"/>
      <c r="AK367" s="287"/>
      <c r="AL367" s="106" t="s">
        <v>2010</v>
      </c>
      <c r="AQ367" s="7"/>
    </row>
    <row r="368" spans="1:43" s="278" customFormat="1" ht="25.5" hidden="1" customHeight="1" x14ac:dyDescent="0.45">
      <c r="A368" s="107"/>
      <c r="B368" s="92"/>
      <c r="C368" s="2" t="s">
        <v>1967</v>
      </c>
      <c r="D368" s="2" t="s">
        <v>2267</v>
      </c>
      <c r="E368" s="2"/>
      <c r="F368" s="2"/>
      <c r="G368" s="2"/>
      <c r="H368" s="104"/>
      <c r="I368" s="104"/>
      <c r="J368" s="104"/>
      <c r="K368" s="104"/>
      <c r="L368" s="104"/>
      <c r="M368" s="12" t="s">
        <v>1968</v>
      </c>
      <c r="N368" s="12" t="s">
        <v>2268</v>
      </c>
      <c r="O368" s="12" t="s">
        <v>2269</v>
      </c>
      <c r="P368" s="12" t="s">
        <v>2270</v>
      </c>
      <c r="Q368" s="12" t="s">
        <v>2271</v>
      </c>
      <c r="R368" s="160" t="s">
        <v>895</v>
      </c>
      <c r="S368" s="12" t="s">
        <v>340</v>
      </c>
      <c r="T368" s="92" t="s">
        <v>2272</v>
      </c>
      <c r="U368" s="92" t="s">
        <v>2273</v>
      </c>
      <c r="V368" s="118" t="s">
        <v>2274</v>
      </c>
      <c r="W368" s="76">
        <v>2003</v>
      </c>
      <c r="X368" s="76">
        <v>636</v>
      </c>
      <c r="Y368" s="76"/>
      <c r="Z368" s="105"/>
      <c r="AA368" s="105"/>
      <c r="AB368" s="105"/>
      <c r="AC368" s="105"/>
      <c r="AD368" s="105"/>
      <c r="AE368" s="105"/>
      <c r="AF368" s="105"/>
      <c r="AG368" s="105"/>
      <c r="AH368" s="105"/>
      <c r="AI368" s="105"/>
      <c r="AJ368" s="105"/>
      <c r="AK368" s="287"/>
      <c r="AL368" s="7"/>
      <c r="AQ368" s="7"/>
    </row>
    <row r="369" spans="1:43" s="278" customFormat="1" ht="76.5" hidden="1" customHeight="1" x14ac:dyDescent="0.45">
      <c r="A369" s="107"/>
      <c r="B369" s="108"/>
      <c r="C369" s="21" t="s">
        <v>1967</v>
      </c>
      <c r="D369" s="2" t="s">
        <v>306</v>
      </c>
      <c r="E369" s="2"/>
      <c r="F369" s="2"/>
      <c r="G369" s="2"/>
      <c r="H369" s="12" t="s">
        <v>2275</v>
      </c>
      <c r="I369" s="12" t="s">
        <v>2165</v>
      </c>
      <c r="J369" s="12" t="s">
        <v>2275</v>
      </c>
      <c r="K369" s="12"/>
      <c r="L369" s="12"/>
      <c r="M369" s="92" t="s">
        <v>2276</v>
      </c>
      <c r="N369" s="12" t="s">
        <v>2277</v>
      </c>
      <c r="O369" s="92" t="s">
        <v>2278</v>
      </c>
      <c r="P369" s="92" t="s">
        <v>2279</v>
      </c>
      <c r="Q369" s="12" t="s">
        <v>636</v>
      </c>
      <c r="R369" s="160" t="s">
        <v>637</v>
      </c>
      <c r="S369" s="12" t="s">
        <v>189</v>
      </c>
      <c r="T369" s="116" t="s">
        <v>2280</v>
      </c>
      <c r="U369" s="116" t="s">
        <v>2281</v>
      </c>
      <c r="V369" s="117" t="s">
        <v>2282</v>
      </c>
      <c r="W369" s="76">
        <v>1979</v>
      </c>
      <c r="X369" s="76">
        <v>1220</v>
      </c>
      <c r="Y369" s="76"/>
      <c r="Z369" s="76"/>
      <c r="AA369" s="76"/>
      <c r="AB369" s="76"/>
      <c r="AC369" s="76"/>
      <c r="AD369" s="76"/>
      <c r="AE369" s="76"/>
      <c r="AF369" s="76"/>
      <c r="AG369" s="76"/>
      <c r="AH369" s="76"/>
      <c r="AI369" s="76"/>
      <c r="AJ369" s="76" t="s">
        <v>2283</v>
      </c>
      <c r="AK369" s="287" t="s">
        <v>2042</v>
      </c>
      <c r="AL369" s="7"/>
      <c r="AQ369" s="7"/>
    </row>
    <row r="370" spans="1:43" s="278" customFormat="1" ht="51" hidden="1" x14ac:dyDescent="0.45">
      <c r="A370" s="110"/>
      <c r="B370" s="111"/>
      <c r="C370" s="2" t="s">
        <v>1967</v>
      </c>
      <c r="D370" s="2" t="s">
        <v>306</v>
      </c>
      <c r="E370" s="2"/>
      <c r="F370" s="2"/>
      <c r="G370" s="2"/>
      <c r="H370" s="112" t="s">
        <v>2284</v>
      </c>
      <c r="I370" s="104" t="s">
        <v>2285</v>
      </c>
      <c r="J370" s="112"/>
      <c r="K370" s="112"/>
      <c r="L370" s="112" t="s">
        <v>348</v>
      </c>
      <c r="M370" s="111" t="s">
        <v>349</v>
      </c>
      <c r="N370" s="111" t="s">
        <v>2286</v>
      </c>
      <c r="O370" s="111" t="s">
        <v>2287</v>
      </c>
      <c r="P370" s="111" t="s">
        <v>2288</v>
      </c>
      <c r="Q370" s="111" t="s">
        <v>2289</v>
      </c>
      <c r="R370" s="575" t="s">
        <v>693</v>
      </c>
      <c r="S370" s="111" t="s">
        <v>146</v>
      </c>
      <c r="T370" s="111" t="s">
        <v>2290</v>
      </c>
      <c r="U370" s="111" t="s">
        <v>2291</v>
      </c>
      <c r="V370" s="113" t="s">
        <v>2292</v>
      </c>
      <c r="W370" s="114">
        <v>2008</v>
      </c>
      <c r="X370" s="114">
        <v>1345</v>
      </c>
      <c r="Y370" s="114"/>
      <c r="Z370" s="115"/>
      <c r="AA370" s="115" t="s">
        <v>311</v>
      </c>
      <c r="AB370" s="115">
        <v>17</v>
      </c>
      <c r="AC370" s="115"/>
      <c r="AD370" s="115"/>
      <c r="AE370" s="115"/>
      <c r="AF370" s="115"/>
      <c r="AG370" s="115"/>
      <c r="AH370" s="115"/>
      <c r="AI370" s="115"/>
      <c r="AJ370" s="115"/>
      <c r="AK370" s="115"/>
      <c r="AL370" s="111" t="s">
        <v>2293</v>
      </c>
      <c r="AQ370" s="7"/>
    </row>
    <row r="371" spans="1:43" s="278" customFormat="1" ht="140.25" hidden="1" customHeight="1" x14ac:dyDescent="0.45">
      <c r="A371" s="18"/>
      <c r="B371" s="92"/>
      <c r="C371" s="2" t="s">
        <v>1967</v>
      </c>
      <c r="D371" s="2" t="s">
        <v>832</v>
      </c>
      <c r="E371" s="2"/>
      <c r="F371" s="2"/>
      <c r="G371" s="2"/>
      <c r="H371" s="104" t="s">
        <v>2294</v>
      </c>
      <c r="I371" s="104" t="s">
        <v>2295</v>
      </c>
      <c r="J371" s="104"/>
      <c r="K371" s="104"/>
      <c r="L371" s="104" t="s">
        <v>280</v>
      </c>
      <c r="M371" s="92" t="s">
        <v>669</v>
      </c>
      <c r="N371" s="12" t="s">
        <v>2296</v>
      </c>
      <c r="O371" s="92" t="s">
        <v>2297</v>
      </c>
      <c r="P371" s="12" t="s">
        <v>2298</v>
      </c>
      <c r="Q371" s="12" t="s">
        <v>2299</v>
      </c>
      <c r="R371" s="160" t="s">
        <v>339</v>
      </c>
      <c r="S371" s="12" t="s">
        <v>340</v>
      </c>
      <c r="T371" s="92" t="s">
        <v>2300</v>
      </c>
      <c r="U371" s="92" t="s">
        <v>2301</v>
      </c>
      <c r="V371" s="103" t="s">
        <v>2302</v>
      </c>
      <c r="W371" s="76">
        <v>1987</v>
      </c>
      <c r="X371" s="76">
        <v>1804</v>
      </c>
      <c r="Y371" s="76"/>
      <c r="Z371" s="105"/>
      <c r="AA371" s="105"/>
      <c r="AB371" s="105"/>
      <c r="AC371" s="105"/>
      <c r="AD371" s="105"/>
      <c r="AE371" s="105"/>
      <c r="AF371" s="105"/>
      <c r="AG371" s="105"/>
      <c r="AH371" s="105"/>
      <c r="AI371" s="105"/>
      <c r="AJ371" s="105"/>
      <c r="AK371" s="287"/>
      <c r="AL371" s="106" t="s">
        <v>2010</v>
      </c>
      <c r="AQ371" s="7"/>
    </row>
    <row r="372" spans="1:43" s="278" customFormat="1" ht="102" hidden="1" x14ac:dyDescent="0.45">
      <c r="A372" s="18"/>
      <c r="B372" s="92"/>
      <c r="C372" s="2" t="s">
        <v>1967</v>
      </c>
      <c r="D372" s="2" t="s">
        <v>832</v>
      </c>
      <c r="E372" s="2"/>
      <c r="F372" s="2"/>
      <c r="G372" s="2"/>
      <c r="H372" s="104" t="s">
        <v>2303</v>
      </c>
      <c r="I372" s="104" t="s">
        <v>2304</v>
      </c>
      <c r="J372" s="104"/>
      <c r="K372" s="104"/>
      <c r="L372" s="104" t="s">
        <v>280</v>
      </c>
      <c r="M372" s="92" t="s">
        <v>281</v>
      </c>
      <c r="N372" s="12" t="s">
        <v>2305</v>
      </c>
      <c r="O372" s="92" t="s">
        <v>2306</v>
      </c>
      <c r="P372" s="12" t="s">
        <v>2307</v>
      </c>
      <c r="Q372" s="12" t="s">
        <v>2308</v>
      </c>
      <c r="R372" s="160" t="s">
        <v>230</v>
      </c>
      <c r="S372" s="12" t="s">
        <v>189</v>
      </c>
      <c r="T372" s="92" t="s">
        <v>2309</v>
      </c>
      <c r="U372" s="92" t="s">
        <v>2310</v>
      </c>
      <c r="V372" s="103" t="s">
        <v>2311</v>
      </c>
      <c r="W372" s="76">
        <v>1977</v>
      </c>
      <c r="X372" s="76">
        <v>1103</v>
      </c>
      <c r="Y372" s="76"/>
      <c r="Z372" s="105"/>
      <c r="AA372" s="105"/>
      <c r="AB372" s="105"/>
      <c r="AC372" s="105"/>
      <c r="AD372" s="105"/>
      <c r="AE372" s="105"/>
      <c r="AF372" s="105"/>
      <c r="AG372" s="105"/>
      <c r="AH372" s="105"/>
      <c r="AI372" s="105"/>
      <c r="AJ372" s="105"/>
      <c r="AK372" s="287" t="s">
        <v>2042</v>
      </c>
      <c r="AL372" s="106" t="s">
        <v>2010</v>
      </c>
      <c r="AQ372" s="7"/>
    </row>
    <row r="373" spans="1:43" s="278" customFormat="1" ht="76.5" hidden="1" customHeight="1" x14ac:dyDescent="0.45">
      <c r="A373" s="107"/>
      <c r="B373" s="108"/>
      <c r="C373" s="21" t="s">
        <v>1967</v>
      </c>
      <c r="D373" s="2" t="s">
        <v>306</v>
      </c>
      <c r="E373" s="2"/>
      <c r="F373" s="2"/>
      <c r="G373" s="2"/>
      <c r="H373" s="12" t="s">
        <v>2312</v>
      </c>
      <c r="I373" s="12" t="s">
        <v>2165</v>
      </c>
      <c r="J373" s="12" t="s">
        <v>2312</v>
      </c>
      <c r="K373" s="12"/>
      <c r="L373" s="12"/>
      <c r="M373" s="92" t="s">
        <v>2166</v>
      </c>
      <c r="N373" s="12" t="s">
        <v>2313</v>
      </c>
      <c r="O373" s="12" t="s">
        <v>2314</v>
      </c>
      <c r="P373" s="12" t="s">
        <v>2315</v>
      </c>
      <c r="Q373" s="12" t="s">
        <v>518</v>
      </c>
      <c r="R373" s="160" t="s">
        <v>302</v>
      </c>
      <c r="S373" s="12" t="s">
        <v>146</v>
      </c>
      <c r="T373" s="92" t="s">
        <v>1630</v>
      </c>
      <c r="U373" s="12" t="s">
        <v>2316</v>
      </c>
      <c r="V373" s="109" t="s">
        <v>2317</v>
      </c>
      <c r="W373" s="76">
        <v>2009</v>
      </c>
      <c r="X373" s="76">
        <v>1014</v>
      </c>
      <c r="Y373" s="76"/>
      <c r="Z373" s="76"/>
      <c r="AA373" s="76"/>
      <c r="AB373" s="76"/>
      <c r="AC373" s="76"/>
      <c r="AD373" s="76"/>
      <c r="AE373" s="76"/>
      <c r="AF373" s="76"/>
      <c r="AG373" s="76"/>
      <c r="AH373" s="76"/>
      <c r="AI373" s="76">
        <v>2009</v>
      </c>
      <c r="AJ373" s="76"/>
      <c r="AK373" s="287"/>
      <c r="AL373" s="7"/>
      <c r="AQ373" s="7"/>
    </row>
    <row r="374" spans="1:43" s="278" customFormat="1" ht="76.5" hidden="1" customHeight="1" x14ac:dyDescent="0.45">
      <c r="A374" s="7"/>
      <c r="B374" s="108"/>
      <c r="C374" s="21" t="s">
        <v>1967</v>
      </c>
      <c r="D374" s="2"/>
      <c r="E374" s="2"/>
      <c r="F374" s="2"/>
      <c r="G374" s="2"/>
      <c r="H374" s="12"/>
      <c r="I374" s="12"/>
      <c r="J374" s="12"/>
      <c r="K374" s="12"/>
      <c r="L374" s="12"/>
      <c r="M374" s="92"/>
      <c r="N374" s="12">
        <v>4320</v>
      </c>
      <c r="O374" s="12" t="s">
        <v>2318</v>
      </c>
      <c r="P374" s="12" t="s">
        <v>2319</v>
      </c>
      <c r="Q374" s="12"/>
      <c r="R374" s="160"/>
      <c r="S374" s="12"/>
      <c r="T374" s="92"/>
      <c r="U374" s="12"/>
      <c r="V374" s="109"/>
      <c r="W374" s="76"/>
      <c r="X374" s="76"/>
      <c r="Y374" s="76"/>
      <c r="Z374" s="76"/>
      <c r="AA374" s="76"/>
      <c r="AB374" s="76"/>
      <c r="AC374" s="76"/>
      <c r="AD374" s="76"/>
      <c r="AE374" s="76"/>
      <c r="AF374" s="76"/>
      <c r="AG374" s="76"/>
      <c r="AH374" s="76"/>
      <c r="AI374" s="76"/>
      <c r="AJ374" s="76"/>
      <c r="AK374" s="287"/>
      <c r="AL374" s="7" t="s">
        <v>2320</v>
      </c>
      <c r="AQ374" s="7"/>
    </row>
    <row r="375" spans="1:43" s="278" customFormat="1" ht="140.25" hidden="1" customHeight="1" x14ac:dyDescent="0.45">
      <c r="A375" s="8"/>
      <c r="B375" s="92"/>
      <c r="C375" s="2" t="s">
        <v>1967</v>
      </c>
      <c r="D375" s="2" t="s">
        <v>832</v>
      </c>
      <c r="E375" s="2"/>
      <c r="F375" s="2"/>
      <c r="G375" s="2"/>
      <c r="H375" s="104" t="s">
        <v>2321</v>
      </c>
      <c r="I375" s="104" t="s">
        <v>2322</v>
      </c>
      <c r="J375" s="104"/>
      <c r="K375" s="104"/>
      <c r="L375" s="104" t="s">
        <v>280</v>
      </c>
      <c r="M375" s="92" t="s">
        <v>281</v>
      </c>
      <c r="N375" s="12" t="s">
        <v>2323</v>
      </c>
      <c r="O375" s="92" t="s">
        <v>2324</v>
      </c>
      <c r="P375" s="12" t="s">
        <v>2325</v>
      </c>
      <c r="Q375" s="12" t="s">
        <v>415</v>
      </c>
      <c r="R375" s="160" t="s">
        <v>416</v>
      </c>
      <c r="S375" s="12" t="s">
        <v>189</v>
      </c>
      <c r="T375" s="92" t="s">
        <v>2326</v>
      </c>
      <c r="U375" s="92" t="s">
        <v>2327</v>
      </c>
      <c r="V375" s="103" t="s">
        <v>2328</v>
      </c>
      <c r="W375" s="76">
        <v>1980</v>
      </c>
      <c r="X375" s="76">
        <f>1090+130</f>
        <v>1220</v>
      </c>
      <c r="Y375" s="76"/>
      <c r="Z375" s="105"/>
      <c r="AA375" s="105"/>
      <c r="AB375" s="105"/>
      <c r="AC375" s="105"/>
      <c r="AD375" s="105"/>
      <c r="AE375" s="105"/>
      <c r="AF375" s="105"/>
      <c r="AG375" s="105"/>
      <c r="AH375" s="105"/>
      <c r="AI375" s="105"/>
      <c r="AJ375" s="105"/>
      <c r="AK375" s="287" t="s">
        <v>2042</v>
      </c>
      <c r="AL375" s="106" t="s">
        <v>2010</v>
      </c>
      <c r="AQ375" s="7"/>
    </row>
  </sheetData>
  <sheetProtection algorithmName="SHA-512" hashValue="5Osp0zzqxwhYt/fAh2IH6qiAqpt6PsrltUvPI9bwq+XeP+YsIO6f9QBq2YxiLybNAfZYMIzvFNL1b7ptWFMk6Q==" saltValue="upMjLLbnpZMO+6oVHlaEhg==" spinCount="100000" sheet="1" objects="1" scenarios="1"/>
  <autoFilter ref="A1:AT375" xr:uid="{2D8AF4F5-D1EE-4516-B618-B62FCF832ECD}">
    <filterColumn colId="1">
      <filters>
        <filter val="3"/>
      </filters>
    </filterColumn>
    <filterColumn colId="2">
      <filters>
        <filter val="ja"/>
      </filters>
    </filterColumn>
  </autoFilter>
  <hyperlinks>
    <hyperlink ref="V137" r:id="rId1" xr:uid="{4436A31A-7E94-41A7-8981-67D773DDFD57}"/>
    <hyperlink ref="V120" r:id="rId2" xr:uid="{C5234343-A6DA-4FB0-8278-809D75C52120}"/>
    <hyperlink ref="V129" r:id="rId3" display="administratie@bombardon.asg-almere.nl" xr:uid="{B63610F1-7B12-4FA9-BC82-F688ADF22014}"/>
    <hyperlink ref="V263" r:id="rId4" display="info@praktijkonderwijsalmere.nl" xr:uid="{02CBC3E0-0AF8-472F-B8A3-2764D8AF81C4}"/>
    <hyperlink ref="V259" r:id="rId5" display="info@dansstudioyvette.nl" xr:uid="{D5B26EEB-ADEF-4C72-80C6-8FBBF2E9DBCC}"/>
    <hyperlink ref="V117" r:id="rId6" display="bestuur@almere81.nl" xr:uid="{EB93BA6A-E174-4F7A-9A52-9B23941695D4}"/>
    <hyperlink ref="V125" r:id="rId7" display="rwestman@deschoor.nl" xr:uid="{91EAE515-57FD-499D-868D-FD0BBB30445C}"/>
    <hyperlink ref="V135" r:id="rId8" xr:uid="{8381E18E-E102-48F9-980B-35F018701CE6}"/>
    <hyperlink ref="V264" r:id="rId9" display="meldpuntvastgoedbedrijf@almere.nl  " xr:uid="{2FC48D06-4E4B-4E88-9B87-2F7172FE6958}"/>
    <hyperlink ref="V138" r:id="rId10" display="meldpuntvastgoedbedrijf@almere.nl  " xr:uid="{E5DD26E2-4150-4313-8AC8-7E8408655BCB}"/>
    <hyperlink ref="V34" r:id="rId11" display="meldpuntvastgoedbedrijf@almere.nl  " xr:uid="{39FC76C6-B3B7-4A1F-8FBA-6D5CCAB7F031}"/>
    <hyperlink ref="V68" r:id="rId12" display="meldpuntvastgoedbedrijf@almere.nl  " xr:uid="{0D96E5B1-1C74-4D83-A43B-91FE906108E3}"/>
    <hyperlink ref="V371" r:id="rId13" display="dir.klimop@prisma-almere.nl" xr:uid="{209EF721-50F4-4D8D-B357-B7BC8DC8223F}"/>
    <hyperlink ref="V48" r:id="rId14" xr:uid="{B64057FE-C64B-41CE-9F0E-4A7229AE0ACA}"/>
    <hyperlink ref="V63" r:id="rId15" display="meldpuntvastgoedbedrijf@almere.nl  " xr:uid="{9F8B678C-F35D-4176-9427-23D9E79D0EF5}"/>
    <hyperlink ref="V42" r:id="rId16" display="meldpuntvastgoedbedrijf@almere.nl  " xr:uid="{5B5272A7-19BF-4456-8E3E-9BC3A5276143}"/>
    <hyperlink ref="V29" r:id="rId17" xr:uid="{3AFFCF06-1371-4EE1-8579-385F9C398E19}"/>
    <hyperlink ref="V372" r:id="rId18" xr:uid="{3B8F4BEC-D2C0-42C4-8C2D-F7A69883ADC7}"/>
    <hyperlink ref="V369" r:id="rId19" display="dir.loofhut@skofv.nl ? " xr:uid="{DDC22727-CDD1-4CED-8465-A47B9E3CF9C6}"/>
    <hyperlink ref="V375" r:id="rId20" xr:uid="{D47DA9D7-2FF8-49EC-BFD1-5469C2D0B293}"/>
    <hyperlink ref="V373" r:id="rId21" xr:uid="{4C6A9411-30F2-466A-BAB3-567EFF5DD71F}"/>
    <hyperlink ref="V23" r:id="rId22" display="info@deschoor.nl" xr:uid="{D3611242-B58E-44A7-8861-D7F41343A889}"/>
    <hyperlink ref="V76" r:id="rId23" display="meldpuntvastgoedbedrijf@almere.nl  " xr:uid="{5B009805-B244-4728-9F99-11B94A7BC2EF}"/>
    <hyperlink ref="V2" r:id="rId24" xr:uid="{281D9A36-3AC1-4C32-99E6-D517A875972B}"/>
    <hyperlink ref="V169" r:id="rId25" display="meldpuntvastgoedbedrijf@almere.nl  " xr:uid="{B481B2BF-040B-491B-952C-2B8F5AEC119E}"/>
    <hyperlink ref="V149" r:id="rId26" xr:uid="{1F129103-1943-4865-8FAA-514D8FE8B4D9}"/>
    <hyperlink ref="V356" r:id="rId27" xr:uid="{1BFE0908-33AF-4756-AE17-438E2D9C9E8D}"/>
    <hyperlink ref="V168" r:id="rId28" display="meldpuntvastgoedbedrijf@almere.nl  " xr:uid="{67D06D6D-B25D-431C-BF08-92F851EB896A}"/>
    <hyperlink ref="V152" r:id="rId29" display="meldpuntvastgoedbedrijf@almere.nl  " xr:uid="{F1ABE321-7EC9-4066-B49A-A45B82D50255}"/>
    <hyperlink ref="V156" r:id="rId30" display="info@deschoor.nl ?" xr:uid="{15CB18A4-E2AC-4487-A053-4CD30A913988}"/>
    <hyperlink ref="V354" r:id="rId31" xr:uid="{7322B06A-5015-4066-8224-0B40133F5EFA}"/>
    <hyperlink ref="V182" r:id="rId32" display="meldpuntvastgoedbedrijf@almere.nl" xr:uid="{BD3CF14E-B9BF-4E5F-BFBB-C94A26139350}"/>
    <hyperlink ref="V357" r:id="rId33" xr:uid="{517C7EA4-B052-4DAC-B71B-020F64810C77}"/>
    <hyperlink ref="V166" r:id="rId34" display="meldpuntvastgoedbedrijf@almere.nl  " xr:uid="{897BFD10-2256-4F3C-9C44-8E9E972113D2}"/>
    <hyperlink ref="V165" r:id="rId35" xr:uid="{B531D5AC-D764-41DF-A940-2CB917987906}"/>
    <hyperlink ref="V181" r:id="rId36" xr:uid="{558CFB43-9F74-4730-8173-A66EEFFEF46E}"/>
    <hyperlink ref="V183" r:id="rId37" xr:uid="{418C5563-2940-498D-BAA7-A83EC4C6CAF1}"/>
    <hyperlink ref="V159" r:id="rId38" display="www.ontdekking.asg-almere.nl" xr:uid="{8031D97E-1D62-46CA-9D1F-37E4E7C7706B}"/>
    <hyperlink ref="V171" r:id="rId39" display="dir.windwijzer@prisma-almere.nl" xr:uid="{1055DC45-EF9E-42B7-89CF-99A0D872C471}"/>
    <hyperlink ref="V145" r:id="rId40" display="meldpuntvastgoedbedrijf@almere.nl  " xr:uid="{B670F13B-206B-4BE3-8C3F-EBC07A82D399}"/>
    <hyperlink ref="V146" r:id="rId41" xr:uid="{9360EA02-73E0-4570-B890-18C64D862124}"/>
    <hyperlink ref="V179" r:id="rId42" xr:uid="{DC354474-DDC5-43B4-A4D9-0E65B8AE2C6E}"/>
    <hyperlink ref="V88" r:id="rId43" display="meldpuntvastgoedbedrijf@almere.nl  " xr:uid="{D78DAB69-A5C4-4F74-AE33-1FE726FDEFA4}"/>
    <hyperlink ref="V355" r:id="rId44" xr:uid="{94ED9AB6-FF65-497D-BCA2-7476CB291E8A}"/>
    <hyperlink ref="V143" r:id="rId45" display="meldpuntvastgoedbedrijf@almere.nl  " xr:uid="{7F53E45D-63E6-4479-983D-6801FA2A569D}"/>
    <hyperlink ref="V144" r:id="rId46" xr:uid="{6E4DF51B-90D2-42F5-8EDE-F5C002AFD1F7}"/>
    <hyperlink ref="V153" r:id="rId47" display="info@stadennatuur.nl" xr:uid="{57AC66F8-560D-4B22-804D-15904A495AE5}"/>
    <hyperlink ref="V191" r:id="rId48" xr:uid="{F80D6A4D-DFEA-4FC7-A503-D2DE24604DED}"/>
    <hyperlink ref="V190" r:id="rId49" display="meldpuntvastgoedbedrijf@almere.nl  " xr:uid="{86069916-E4E8-4D13-A72A-101A64657DF1}"/>
    <hyperlink ref="V192" r:id="rId50" xr:uid="{0CC9B3F2-D7AF-434C-831F-ECB5F39B041F}"/>
    <hyperlink ref="V188" r:id="rId51" display="meldpuntvastgoedbedrijf@almere.nl  " xr:uid="{AFB69206-D9DF-43A7-A703-6A1EBA7F2301}"/>
    <hyperlink ref="V350" r:id="rId52" display="info@zonnewiel.nl" xr:uid="{FC9E4B36-3F9C-48B7-AD76-149B5C6BB396}"/>
    <hyperlink ref="V349" r:id="rId53" xr:uid="{FE14AB5F-9867-449F-91CE-89FB211AF361}"/>
    <hyperlink ref="V185" r:id="rId54" display="info@zonnewiel.nl" xr:uid="{5AFB9E96-892F-42EB-9987-B08BB8ED172C}"/>
    <hyperlink ref="V184" r:id="rId55" display="meldpuntvastgoedbedrijf@almere.nl  " xr:uid="{A882332E-645D-4B79-B9CF-A3ECB80DDE6C}"/>
    <hyperlink ref="V186" r:id="rId56" display="meldpuntvastgoedbedrijf@almere.nl  " xr:uid="{7774C6C1-C3C5-457A-B860-BEE911E40917}"/>
    <hyperlink ref="V342" r:id="rId57" xr:uid="{1F39E56D-A012-4285-ACE0-505D7CE33A2E}"/>
    <hyperlink ref="V337" r:id="rId58" display="crescendo@skofv.nl" xr:uid="{7D5D56DB-5B86-4638-B483-30F3A01889A5}"/>
    <hyperlink ref="V336" r:id="rId59" xr:uid="{68AF6A79-3EAD-4AB7-B357-3E92D6CBD5FA}"/>
    <hyperlink ref="V85" r:id="rId60" display="meldpuntvastgoedbedrijf@almere.nl  " xr:uid="{A5337AF4-E8B5-489A-A2F2-8ACD11E24AD6}"/>
    <hyperlink ref="V119" r:id="rId61" xr:uid="{EF16E5D1-6BEA-4C40-9771-5369A48907E8}"/>
    <hyperlink ref="V343" r:id="rId62" xr:uid="{BA596027-CA32-4AEE-B345-43E4FBFEE06D}"/>
    <hyperlink ref="V329" r:id="rId63" xr:uid="{ED86F5D2-5A7A-46C7-AD35-DBBEC12582E0}"/>
    <hyperlink ref="V330" r:id="rId64" display="dir.lettertuin@skofv.nl" xr:uid="{4054BBD2-0A66-42F0-B645-1B43E2F08314}"/>
    <hyperlink ref="V229" r:id="rId65" display="meldpuntvastgoedbedrijf@almere.nl  " xr:uid="{586B4256-6BDB-4448-AE35-32F13F800087}"/>
    <hyperlink ref="V242" r:id="rId66" xr:uid="{B231E1FE-5DF4-472C-9E23-246A5DEF996A}"/>
    <hyperlink ref="V221" r:id="rId67" display="meldpuntvastgoedbedrijf@almere.nl  " xr:uid="{35BF7906-CD56-496C-816A-806FC68B5E8E}"/>
    <hyperlink ref="V223" r:id="rId68" display="directie@spectrum.asg-almere.nl" xr:uid="{EA970090-04DA-4219-B565-C060FCD617BD}"/>
    <hyperlink ref="V213" r:id="rId69" xr:uid="{F356D103-98F8-410A-A7FE-9E772FD5D5C7}"/>
    <hyperlink ref="V245" r:id="rId70" xr:uid="{EFA9C4E0-48FD-4AE8-9F14-264908BD480F}"/>
    <hyperlink ref="V228" r:id="rId71" display="meldpuntvastgoedbedrijf@almere.nl  " xr:uid="{AA81F415-E500-415F-89BF-642AE61855D3}"/>
    <hyperlink ref="V227" r:id="rId72" display="info@praktijkonderwijsalmere.nl" xr:uid="{B5958EF6-2E6B-4CF4-808D-69397D213D47}"/>
    <hyperlink ref="V220" r:id="rId73" display="meldpuntvastgoedbedrijf@almere.nl  " xr:uid="{CA2F845A-096E-43E5-9A01-254CF61DBE73}"/>
    <hyperlink ref="V217" r:id="rId74" display="meldpuntvastgoedbedrijf@almere.nl " xr:uid="{7F8DDB46-6508-45DC-B82C-666B7B5224B4}"/>
    <hyperlink ref="V256" r:id="rId75" display="meldpuntvastgoedbedrijf@almere.nl  " xr:uid="{F454D1E9-A0B1-478F-A851-6F7FF55BA091}"/>
    <hyperlink ref="V255" r:id="rId76" xr:uid="{B4C20F9E-05C7-4CE9-893D-11EE27E0388C}"/>
    <hyperlink ref="V254" r:id="rId77" display="directie@aurora.asg-almere.nl" xr:uid="{05B8CDC2-ACD5-4A06-8535-F63B6A0E1111}"/>
    <hyperlink ref="V334" r:id="rId78" display="dir.dukdalf@prisma-almere.nl, " xr:uid="{1F6A405C-B501-40FF-85F2-79774A6B446F}"/>
    <hyperlink ref="V215" r:id="rId79" xr:uid="{0288ED2D-3B80-4DF6-B1B9-44ED4308E16D}"/>
    <hyperlink ref="V209" r:id="rId80" display="vrijbuiter@optisport.nl" xr:uid="{B26CC95A-FF06-432D-BEFC-47FD2B393C72}"/>
    <hyperlink ref="V231" r:id="rId81" xr:uid="{10DD833B-A172-4352-82F5-D1BDC1AAC92E}"/>
    <hyperlink ref="V243" r:id="rId82" xr:uid="{02F6E355-9FCA-486C-BB30-7264313E34D0}"/>
    <hyperlink ref="V351" r:id="rId83" xr:uid="{59BA108D-A190-4BC8-8270-F092C8C045CF}"/>
    <hyperlink ref="V257" r:id="rId84" xr:uid="{B18F4589-93B4-4048-B9E2-8F2844C75C43}"/>
    <hyperlink ref="V214" r:id="rId85" xr:uid="{2E0AD6D5-C0B2-45F5-A078-CD0D5597A7A2}"/>
    <hyperlink ref="V244" r:id="rId86" xr:uid="{79992376-44D7-4513-BC70-0C4D552FD505}"/>
    <hyperlink ref="V204" r:id="rId87" display="meldpuntvastgoedbedrijf@almere.nl  " xr:uid="{CCF3D9A0-7552-4D5F-B94C-373AAB10B146}"/>
    <hyperlink ref="V230" r:id="rId88" display="rmjvdijk@almere.nl" xr:uid="{D1658CBC-D4F9-49A5-A56B-22D18E3ABF16}"/>
    <hyperlink ref="V37" r:id="rId89" xr:uid="{1156AB13-6A79-491F-923C-3CC256957B22}"/>
    <hyperlink ref="V93" r:id="rId90" display="edwin.eerens@smallsteps.info" xr:uid="{F7D201E9-FA8B-45DC-9E00-69A7908F51BE}"/>
    <hyperlink ref="V40" r:id="rId91" display="info@obssyncope.nl" xr:uid="{3E2F7D58-521F-4A5F-A9D7-878B80C07F35}"/>
    <hyperlink ref="V43" r:id="rId92" xr:uid="{220892B4-7E6D-4F20-B041-E4147FC89BFA}"/>
    <hyperlink ref="V52" r:id="rId93" xr:uid="{59E58DD9-DE8B-4677-8DE3-F21932296E60}"/>
    <hyperlink ref="V71" r:id="rId94" xr:uid="{37D8EFBD-F87E-4855-A0D3-E50DD9BD52A5}"/>
    <hyperlink ref="V96" r:id="rId95" display="info@sterrenschoolderuimte.nl" xr:uid="{3F24B3A4-4505-4A68-ABB3-04BBE7FCF65C}"/>
    <hyperlink ref="V176" r:id="rId96" xr:uid="{A6569EA0-754F-47F2-9521-16401B32FA7B}"/>
    <hyperlink ref="V212" r:id="rId97" xr:uid="{E51BDB2E-503F-4C10-B324-FD908F11EB90}"/>
    <hyperlink ref="V338" r:id="rId98" xr:uid="{FA0B2083-B150-459A-BDFA-E9DD87B6B661}"/>
    <hyperlink ref="V83" r:id="rId99" xr:uid="{1F4CB7FC-EC6A-4E58-B5D5-7FEAD59322CE}"/>
    <hyperlink ref="V368" r:id="rId100" xr:uid="{ACB2C0FE-C172-4AD8-A78C-F90EC353420D}"/>
    <hyperlink ref="V124" r:id="rId101" display="kinderrevalidatiealmere@trappenberg.merem.nl" xr:uid="{C6128561-0854-44A8-BD36-0DBD922C407C}"/>
    <hyperlink ref="V81" r:id="rId102" display="info@dikkertjedap.nl" xr:uid="{F7C20852-53BC-4F13-9D83-43C43C033A95}"/>
    <hyperlink ref="V11" r:id="rId103" xr:uid="{9B51E451-E91E-4C39-B9DA-13EA8596D605}"/>
    <hyperlink ref="V236" r:id="rId104" xr:uid="{76AC9B8C-E13E-486A-95A1-38B0E1BE43DF}"/>
    <hyperlink ref="V208" r:id="rId105" display="administratie@albatros.asg-almere.nl" xr:uid="{55F3808D-DF8D-4D0B-A83C-CE0696B7245F}"/>
    <hyperlink ref="V47" r:id="rId106" display="lentemorgen11@gmail.com" xr:uid="{6DD90BDF-6266-41B4-BDE0-9FD08168DF23}"/>
    <hyperlink ref="V132" r:id="rId107" display="patrick@cafeop2.nl" xr:uid="{ACABB3C8-599D-4AE6-814B-2ACE10F84586}"/>
    <hyperlink ref="V128" r:id="rId108" display="administratie@bombardon.edu.almere.nl" xr:uid="{C6F8AE0C-46C3-4E87-BE0B-811ECA73133A}"/>
    <hyperlink ref="V177" r:id="rId109" xr:uid="{ADB470F3-DA52-4AB5-A96E-32C6521C02D8}"/>
    <hyperlink ref="V28" r:id="rId110" xr:uid="{DDA26F0F-95EE-4459-B297-14A60F2A6D62}"/>
    <hyperlink ref="V67" r:id="rId111" xr:uid="{105B0891-1BD2-4EF9-9F7F-5CAE96E48409}"/>
    <hyperlink ref="V126" r:id="rId112" display="info@amethistverslavingszorg.nl" xr:uid="{1A6C11AA-A9E7-491D-B3CD-5D617592B49E}"/>
    <hyperlink ref="V163" r:id="rId113" display="meldpuntvastgoedbedrijf@almere.nl  " xr:uid="{26DE45AB-06B2-4D1A-9379-D0F2CC612CA4}"/>
    <hyperlink ref="V70" r:id="rId114" xr:uid="{5F046ABE-C517-455F-A091-6D1055F9435F}"/>
    <hyperlink ref="V237" r:id="rId115" display="info@rcbulldogs.nl" xr:uid="{0B515A53-2636-4A4A-8204-8341A31200CA}"/>
    <hyperlink ref="V54" r:id="rId116" xr:uid="{9043E732-A1D0-44C6-9E28-5F11314CB735}"/>
    <hyperlink ref="V12" r:id="rId117" display="meldpuntvastgoedbedrijf@almere.nl  " xr:uid="{4542A963-D42D-47F1-AA47-532310685229}"/>
    <hyperlink ref="V6" r:id="rId118" display="meldpuntvastgoedbedrijf@almere.nl  " xr:uid="{0EA631A5-7D37-4481-B780-33804B8A3298}"/>
    <hyperlink ref="V262" r:id="rId119" display="meldpuntvastgoedbedrijf@almere.nl  " xr:uid="{ADD23667-8D71-49E0-A9A7-3983BCFFAB67}"/>
    <hyperlink ref="V174" r:id="rId120" display="voorzitter@waterwijk.nl" xr:uid="{A7D8251C-FC6C-4FAE-A253-F825B6D90299}"/>
    <hyperlink ref="V79" r:id="rId121" display="pwjschrijver@almere.nl" xr:uid="{F9230CE0-8480-4D7F-9340-6FC45C1FC72D}"/>
    <hyperlink ref="V56" r:id="rId122" xr:uid="{3198F075-FD23-4B2D-91C3-C3BDFF4BB515}"/>
    <hyperlink ref="V61" r:id="rId123" xr:uid="{725D3820-32D2-4795-B24F-1C375E6887D5}"/>
    <hyperlink ref="V362" r:id="rId124" display="meldpuntvastgoedbedrijf@almere.nl  " xr:uid="{4E2CAF6E-BFEB-42A1-9CC3-9A7FC1062E08}"/>
    <hyperlink ref="V72" r:id="rId125" display="cvkesteren@stadennatuur.nl" xr:uid="{90AFC5C7-4DDC-4AEE-94E5-2E5E1A8B17C8}"/>
    <hyperlink ref="V216" r:id="rId126" display="info@stadennatuur.nl" xr:uid="{F21F7F44-8054-48A2-AF1F-0F9B128C075F}"/>
    <hyperlink ref="V108" r:id="rId127" display="info@stadennatuur.nl" xr:uid="{E6A74ED6-2089-4701-87C7-8135DC706047}"/>
    <hyperlink ref="V60" r:id="rId128" xr:uid="{4DA93E6B-1B64-4C58-B94E-2A11EE9F605E}"/>
    <hyperlink ref="V205" r:id="rId129" display="patrick.schipper@sheerenlo.nl" xr:uid="{09B6156D-2843-4434-808C-375AD365CD98}"/>
    <hyperlink ref="V116" r:id="rId130" xr:uid="{C9C64FFB-484E-47ED-BD72-344513831035}"/>
    <hyperlink ref="V332" r:id="rId131" display="dir.kraanvogel@prisma-almere.nl" xr:uid="{2CE21B46-D605-4C46-92C7-5B065619CED8}"/>
    <hyperlink ref="V340" r:id="rId132" xr:uid="{58CBFA84-B63A-4362-8110-D3001FC0D0BA}"/>
    <hyperlink ref="V341" r:id="rId133" xr:uid="{EC15DF5D-9E72-4C95-9DDD-7B1502F209D1}"/>
    <hyperlink ref="V232" r:id="rId134" display="mailto:beheer@buitenhoutmhc.nl" xr:uid="{F26705B3-7493-42E8-806B-8A8C24A51698}"/>
    <hyperlink ref="V187" r:id="rId135" display="meldpuntvastgoedbedrijf@almere.nl  " xr:uid="{F81152C7-9F17-487C-A642-D389FF68ACEC}"/>
    <hyperlink ref="V7" r:id="rId136" xr:uid="{07E56900-1087-4AFF-93F6-F2268D457A73}"/>
    <hyperlink ref="V104" r:id="rId137" display="hhgabriel@almere.nl" xr:uid="{FCC587CB-6C5B-4E97-8B9F-E7556BAA4FC3}"/>
    <hyperlink ref="V13" r:id="rId138" xr:uid="{E7CAC48F-5279-44DE-A71E-F5DAF7710DD6}"/>
    <hyperlink ref="V15" r:id="rId139" xr:uid="{6CF507D7-BDE6-4029-A90C-9A2A5380F2BA}"/>
    <hyperlink ref="V18" r:id="rId140" display="info@kingdomimpact.nl" xr:uid="{A88E5EBB-8D0D-40AB-8803-A34A08DBC6E3}"/>
    <hyperlink ref="V21" r:id="rId141" xr:uid="{FD7F14F2-EA04-4F17-B23A-3B4AE49279A8}"/>
    <hyperlink ref="V22" r:id="rId142" xr:uid="{5BC94520-93E8-4E63-A16A-C246F44E6F21}"/>
    <hyperlink ref="V33" r:id="rId143" display="info@deschoor.nl" xr:uid="{0A0A943F-61D0-4451-A0D5-EBF3C763031C}"/>
    <hyperlink ref="V36" r:id="rId144" xr:uid="{667D3685-61A5-4E4E-AB15-84125D3B1FBA}"/>
    <hyperlink ref="V49" r:id="rId145" display="info@deschoor.nl" xr:uid="{6570C5DF-D3D3-4527-8D30-CC4FCB19AFBD}"/>
    <hyperlink ref="V57" r:id="rId146" xr:uid="{CC7B47BA-94BE-4683-8B8D-E71D58DC818F}"/>
    <hyperlink ref="V59" r:id="rId147" xr:uid="{09604EF6-CAA9-4A66-967E-B0A51C7B6B93}"/>
    <hyperlink ref="V64" r:id="rId148" xr:uid="{731BF495-2A74-44F3-AFEC-60A190C6E83B}"/>
    <hyperlink ref="V73" r:id="rId149" xr:uid="{1CC86219-0934-4051-BE75-2B9F230BB9B3}"/>
    <hyperlink ref="V75" r:id="rId150" xr:uid="{3C9601A7-8180-41CE-9C08-5512B5D9F2A9}"/>
    <hyperlink ref="V110" r:id="rId151" xr:uid="{A0FCD7EE-896E-4C4A-AF55-C09A351AB03B}"/>
    <hyperlink ref="V111" r:id="rId152" xr:uid="{876A07D0-0DF1-4BBD-A064-B68498439B5D}"/>
    <hyperlink ref="V112" r:id="rId153" xr:uid="{C4C83303-AE65-4F24-890B-1EBF04B51FB5}"/>
    <hyperlink ref="V113" r:id="rId154" xr:uid="{AFD20729-2ED9-4257-AC43-BB2EF685EBC7}"/>
    <hyperlink ref="V114" r:id="rId155" xr:uid="{954A1936-0ACE-427C-B6DB-6C1BC3CB4E73}"/>
    <hyperlink ref="V115" r:id="rId156" xr:uid="{C9C1D9B5-8BFC-4E97-8991-A43CD5BCF5C2}"/>
    <hyperlink ref="V238" r:id="rId157" xr:uid="{D1A22AF1-6807-4DAD-939C-AB863B2A58E9}"/>
    <hyperlink ref="V239" r:id="rId158" xr:uid="{DDED70BD-307A-4858-85FF-A75779C389B0}"/>
    <hyperlink ref="V240" r:id="rId159" xr:uid="{14AE1956-6596-4383-8029-502B058C287A}"/>
    <hyperlink ref="V241" r:id="rId160" xr:uid="{AED1C485-25DA-4857-B5BE-4892C47056F7}"/>
    <hyperlink ref="V246" r:id="rId161" xr:uid="{FBF38883-02A4-4402-A253-4E06B6907959}"/>
    <hyperlink ref="V261" r:id="rId162" display="info@palet.asg-almere.nl " xr:uid="{7E81D293-CC6B-4E8C-98C6-2A522EF8D1F1}"/>
    <hyperlink ref="V131" r:id="rId163" xr:uid="{DD3FA563-8011-4348-B9C0-DACD3AF35F8E}"/>
    <hyperlink ref="V139" r:id="rId164" display="mailto:rwestman@deschoor.nl" xr:uid="{7B40E6C2-BEE8-4748-AC0C-BA99A9915321}"/>
    <hyperlink ref="V141" r:id="rId165" display="mailto:rwestman@deschoor.nl" xr:uid="{E456316C-D7C3-44D5-914C-CDBF164C2B41}"/>
    <hyperlink ref="V94" r:id="rId166" xr:uid="{6A2EE7E4-89BA-44ED-A31D-D6924EA2BA68}"/>
    <hyperlink ref="V360" r:id="rId167" display="dir.omnibus@prisma-almere.nl" xr:uid="{A90CB70E-74C7-450F-A8AE-B3B7C33FB706}"/>
    <hyperlink ref="V157" r:id="rId168" display="mailto:rwestman@deschoor.nl" xr:uid="{1B6832F8-531E-4C42-B914-2CA78AFFD871}"/>
    <hyperlink ref="V161" r:id="rId169" display="info@deschoor.nl ?" xr:uid="{3655BCD6-79B5-43A1-B37F-1E276BA5F7B0}"/>
    <hyperlink ref="V87" r:id="rId170" display="info@deschoor.nl ?" xr:uid="{D7A06667-E3FC-4629-8D99-CA0D19C8CBBE}"/>
    <hyperlink ref="V180" r:id="rId171" display="info@deschoor.nl ?" xr:uid="{B1C383AF-BCA3-46F8-A85A-DE6F5F8FAB9E}"/>
    <hyperlink ref="V210" r:id="rId172" display="info@deschoor.nl ?" xr:uid="{EDE46A3A-BC0F-476E-8A5A-417667D18FDC}"/>
    <hyperlink ref="V84" r:id="rId173" display="info@deschoor.nl ?" xr:uid="{B455C0A9-2565-49ED-866A-7AE736CD97DA}"/>
    <hyperlink ref="V225" r:id="rId174" display="info@deschoor.nl ?" xr:uid="{8E83EDB8-CA62-423C-8CB8-CE3C128E34D0}"/>
    <hyperlink ref="V233" r:id="rId175" display="info@deschoor.nl ?" xr:uid="{F6600F6D-87F4-4146-84E5-C0932A954DA4}"/>
    <hyperlink ref="V175" r:id="rId176" display="info@deschoor.nl ?" xr:uid="{24FF3C04-00A7-4F9C-BD52-AEED41A87A4E}"/>
    <hyperlink ref="V162" r:id="rId177" xr:uid="{015DD307-9455-435A-9E11-FA7D8D702845}"/>
    <hyperlink ref="V134" r:id="rId178" xr:uid="{D0DB7D0C-63EE-47A2-9C7F-CBF2523B0D55}"/>
    <hyperlink ref="V89" r:id="rId179" display="meldpuntvastgoedbedrijf@almere.nl  " xr:uid="{5B200F65-FD73-4BD6-8C0F-1A882654B841}"/>
    <hyperlink ref="V207" r:id="rId180" display="administratie@albatros.asg-almere.nl" xr:uid="{30163A8B-179C-4253-B03C-1BD8748B22CF}"/>
    <hyperlink ref="V333" r:id="rId181" display="dir.kraanvogel@prisma-almere.nl" xr:uid="{A99D1151-701E-4E03-8285-8316EB2AB1FB}"/>
    <hyperlink ref="V224" r:id="rId182" display="directie@spectrum.asg-almere.nl" xr:uid="{D8E0FFA4-203E-4F85-BE27-D49EFDC4C206}"/>
    <hyperlink ref="V103" r:id="rId183" display="hhgabriel@almere.nl" xr:uid="{DE7BF948-D7CE-43A0-81FC-892538083CC1}"/>
    <hyperlink ref="V105" r:id="rId184" display="hhgabriel@almere.nl" xr:uid="{D0EA9533-F6E9-412E-9FB9-55DE0CDEBF10}"/>
    <hyperlink ref="V106" r:id="rId185" display="hhgabriel@almere.nl" xr:uid="{05A67D8C-22AC-4A25-B5D0-E7F281B6F476}"/>
    <hyperlink ref="V107" r:id="rId186" xr:uid="{69D699D9-4B4A-4181-9502-F4BC209593A7}"/>
    <hyperlink ref="V140" r:id="rId187" xr:uid="{9B1D73F8-8480-41D7-A5A5-90EB17661D73}"/>
    <hyperlink ref="V91" r:id="rId188" display="mailto:rwestman@deschoor.nl" xr:uid="{7238A886-6791-4854-B0B2-7A6218C410E7}"/>
    <hyperlink ref="V226" r:id="rId189" xr:uid="{28AA2F25-1279-434D-B946-B454AC774BE5}"/>
    <hyperlink ref="V219" r:id="rId190" xr:uid="{7B5FA0F6-C40A-4BC1-BCBF-10878B13B195}"/>
    <hyperlink ref="V80" r:id="rId191" display="pwjschrijver@almere.nl" xr:uid="{2B12467E-5655-4DA3-BAEC-880CF88D3FAB}"/>
    <hyperlink ref="V123" r:id="rId192" display="pwjschrijver@almere.nl" xr:uid="{2F1199CA-FF89-4142-83E8-157099974789}"/>
    <hyperlink ref="V155" r:id="rId193" display="pwjschrijver@almere.nl" xr:uid="{3A29AC54-FD86-4383-B72C-68EE70D33E63}"/>
    <hyperlink ref="V158" r:id="rId194" display="pwjschrijver@almere.nl" xr:uid="{05108E8F-43CD-40F9-B4B1-FB354F60FAEE}"/>
    <hyperlink ref="V178" r:id="rId195" display="pwjschrijver@almere.nl" xr:uid="{31AF5172-2878-49CD-B2C0-2DD450230E9D}"/>
    <hyperlink ref="V252" r:id="rId196" display="pwjschrijver@almere.nl" xr:uid="{45225F7B-3D2E-4032-B4DD-F6CDCB3BE83F}"/>
    <hyperlink ref="V66" r:id="rId197" display="meldpuntvastgoedbedrijf@almere.nl  " xr:uid="{0955D330-9D9F-446E-880F-D105E75269F1}"/>
    <hyperlink ref="V133" r:id="rId198" display="meldpuntvastgoedbedrijf@almere.nl  " xr:uid="{9AE008A9-56B6-469B-A66C-EC62B52B1F5E}"/>
    <hyperlink ref="V3" r:id="rId199" xr:uid="{0517B41E-AAF3-4A68-8420-14124D71388D}"/>
    <hyperlink ref="V366" r:id="rId200" xr:uid="{6A0F238D-EDEC-41A7-8926-4A0DF3802477}"/>
    <hyperlink ref="V148" r:id="rId201" xr:uid="{775A6202-4579-493D-9312-D59FB79626F5}"/>
    <hyperlink ref="V150" r:id="rId202" xr:uid="{473C88D5-BBB4-4DBE-83FF-E26ECE761B2C}"/>
    <hyperlink ref="V164" r:id="rId203" display="info@deschoor.nl ?" xr:uid="{47A2D7D1-80D2-462B-98EF-1F05046FB435}"/>
    <hyperlink ref="V95" r:id="rId204" xr:uid="{5228D617-A314-466F-9496-E2D9C3E4848E}"/>
    <hyperlink ref="V4" r:id="rId205" display="meldpuntvastgoedbedrijf@almere.nl  " xr:uid="{85975F58-7958-4022-91B4-C7DF28C44A19}"/>
    <hyperlink ref="V130" r:id="rId206" display="sbatenburg@almere.nl" xr:uid="{1598CC68-BCA1-4D7F-A5C2-14C92640079F}"/>
    <hyperlink ref="V109" r:id="rId207" xr:uid="{6047DFC7-DBE7-43E9-9370-9170C1086483}"/>
    <hyperlink ref="V251" r:id="rId208" display="pwjschrijver@almere.nl" xr:uid="{7DDD18BC-A0A2-4B73-8268-BD1472BEA9BC}"/>
    <hyperlink ref="V17" r:id="rId209" xr:uid="{D634A47B-3CC1-4646-9789-3EAD0625D088}"/>
    <hyperlink ref="V20" r:id="rId210" display="meldpuntvastgoedbedrijf@almere.nl  " xr:uid="{5A693E1E-D0DC-453B-A55B-55112B76D8D3}"/>
    <hyperlink ref="V16" r:id="rId211" xr:uid="{4535A67D-2211-44A7-9A87-350A60036C99}"/>
    <hyperlink ref="V327" r:id="rId212" display="meldpuntvastgoedbedrijf@almere.nl  " xr:uid="{7BE50C68-B9D0-4459-8B3F-0681013AB89D}"/>
    <hyperlink ref="V10" r:id="rId213" display="hhgabriel@almere.nl" xr:uid="{5EF658FC-DDA4-4A60-B0A9-987C10C4D571}"/>
    <hyperlink ref="V326" r:id="rId214" display="meldpuntvastgoedbedrijf@almere.nl  " xr:uid="{EB510476-C1A5-48EE-A2D6-7D7ED335F591}"/>
    <hyperlink ref="V9" r:id="rId215" display="meldpuntvastgoedbedrijf@almere.nl  " xr:uid="{B4384461-A265-416A-B842-798287C368E3}"/>
  </hyperlinks>
  <pageMargins left="0.7" right="0.7" top="0.75" bottom="0.75" header="0.3" footer="0.3"/>
  <pageSetup paperSize="9" scale="28" orientation="landscape" r:id="rId216"/>
  <ignoredErrors>
    <ignoredError sqref="AS22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13701-62E4-4B90-A559-531A1F3B74E1}">
  <dimension ref="A1:F35"/>
  <sheetViews>
    <sheetView view="pageBreakPreview" zoomScale="60" zoomScaleNormal="100" workbookViewId="0">
      <selection activeCell="A18" sqref="A18"/>
    </sheetView>
  </sheetViews>
  <sheetFormatPr defaultColWidth="9" defaultRowHeight="13.9" x14ac:dyDescent="0.45"/>
  <cols>
    <col min="1" max="1" width="63.73046875" style="404" customWidth="1"/>
    <col min="2" max="3" width="9" style="404"/>
    <col min="4" max="4" width="12.3984375" style="404" customWidth="1"/>
    <col min="5" max="5" width="12.265625" style="404" bestFit="1" customWidth="1"/>
    <col min="6" max="16384" width="9" style="404"/>
  </cols>
  <sheetData>
    <row r="1" spans="1:6" x14ac:dyDescent="0.4">
      <c r="A1" s="592" t="s">
        <v>60</v>
      </c>
      <c r="B1" s="593"/>
      <c r="C1" s="593"/>
      <c r="D1" s="593"/>
      <c r="E1" s="594"/>
      <c r="F1" s="489"/>
    </row>
    <row r="2" spans="1:6" x14ac:dyDescent="0.45">
      <c r="A2" s="490"/>
      <c r="B2" s="563"/>
      <c r="C2" s="563"/>
      <c r="D2" s="563"/>
      <c r="E2" s="564"/>
      <c r="F2" s="489"/>
    </row>
    <row r="3" spans="1:6" ht="51" x14ac:dyDescent="0.45">
      <c r="A3" s="491" t="s">
        <v>60</v>
      </c>
      <c r="B3" s="565" t="s">
        <v>36</v>
      </c>
      <c r="C3" s="566" t="s">
        <v>37</v>
      </c>
      <c r="D3" s="566" t="s">
        <v>2349</v>
      </c>
      <c r="E3" s="567" t="s">
        <v>2350</v>
      </c>
      <c r="F3" s="489"/>
    </row>
    <row r="4" spans="1:6" ht="25.5" x14ac:dyDescent="0.45">
      <c r="A4" s="493" t="s">
        <v>62</v>
      </c>
      <c r="B4" s="568">
        <f>P1_voorrijkosten_per_melding</f>
        <v>0</v>
      </c>
      <c r="C4" s="569" t="s">
        <v>63</v>
      </c>
      <c r="D4" s="563">
        <f>(15+19+29)/3</f>
        <v>21</v>
      </c>
      <c r="E4" s="570">
        <f>B4*D4</f>
        <v>0</v>
      </c>
      <c r="F4" s="489"/>
    </row>
    <row r="5" spans="1:6" ht="25.5" x14ac:dyDescent="0.45">
      <c r="A5" s="493" t="s">
        <v>64</v>
      </c>
      <c r="B5" s="568">
        <f>P1_Onderzoek_lekkage_ma_t_m_vr_tussen_7_en_18_uur</f>
        <v>0</v>
      </c>
      <c r="C5" s="569" t="s">
        <v>59</v>
      </c>
      <c r="D5" s="563">
        <f>D4*3</f>
        <v>63</v>
      </c>
      <c r="E5" s="570">
        <f>B5*D5</f>
        <v>0</v>
      </c>
      <c r="F5" s="489"/>
    </row>
    <row r="6" spans="1:6" ht="25.5" x14ac:dyDescent="0.45">
      <c r="A6" s="493" t="s">
        <v>65</v>
      </c>
      <c r="B6" s="568">
        <f>P1_Onderzoek_lekkage_ma_t_m_vr_voor_7_uur_en_na_18_uur</f>
        <v>0</v>
      </c>
      <c r="C6" s="569" t="s">
        <v>59</v>
      </c>
      <c r="D6" s="571">
        <f>D4*25%</f>
        <v>5.25</v>
      </c>
      <c r="E6" s="570">
        <f>B6*D6</f>
        <v>0</v>
      </c>
      <c r="F6" s="489"/>
    </row>
    <row r="7" spans="1:6" ht="25.5" x14ac:dyDescent="0.45">
      <c r="A7" s="493" t="s">
        <v>66</v>
      </c>
      <c r="B7" s="568">
        <f>P1_Onderzoek_calamiteit_zoals_bijvoorbeeld_lekkage_za__zo_en_feestdagen</f>
        <v>0</v>
      </c>
      <c r="C7" s="569" t="s">
        <v>59</v>
      </c>
      <c r="D7" s="571">
        <f>D4*15%</f>
        <v>3.15</v>
      </c>
      <c r="E7" s="570">
        <f>B7*D7</f>
        <v>0</v>
      </c>
      <c r="F7" s="489"/>
    </row>
    <row r="8" spans="1:6" x14ac:dyDescent="0.45">
      <c r="A8" s="493"/>
      <c r="B8" s="563"/>
      <c r="C8" s="569"/>
      <c r="D8" s="563"/>
      <c r="E8" s="564"/>
      <c r="F8" s="489"/>
    </row>
    <row r="9" spans="1:6" x14ac:dyDescent="0.45">
      <c r="A9" s="491" t="s">
        <v>67</v>
      </c>
      <c r="B9" s="563"/>
      <c r="C9" s="569"/>
      <c r="D9" s="563"/>
      <c r="E9" s="564"/>
      <c r="F9" s="489"/>
    </row>
    <row r="10" spans="1:6" x14ac:dyDescent="0.45">
      <c r="A10" s="492" t="s">
        <v>68</v>
      </c>
      <c r="B10" s="568">
        <f>P1_Opnieuw__inwerken_hemelwaterafvoer___noodoverloop___spuwer__bitumen</f>
        <v>0</v>
      </c>
      <c r="C10" s="569" t="s">
        <v>69</v>
      </c>
      <c r="D10" s="563">
        <v>33</v>
      </c>
      <c r="E10" s="570">
        <f t="shared" ref="E10:E32" si="0">B10*D10</f>
        <v>0</v>
      </c>
      <c r="F10" s="489"/>
    </row>
    <row r="11" spans="1:6" x14ac:dyDescent="0.45">
      <c r="A11" s="492" t="s">
        <v>70</v>
      </c>
      <c r="B11" s="568">
        <f>P1_Opnieuw_inwerken_hemelwaterafvoer_noodoverloop_spuwer_kunststof</f>
        <v>0</v>
      </c>
      <c r="C11" s="569" t="s">
        <v>69</v>
      </c>
      <c r="D11" s="563">
        <v>8</v>
      </c>
      <c r="E11" s="570">
        <f t="shared" si="0"/>
        <v>0</v>
      </c>
      <c r="F11" s="489"/>
    </row>
    <row r="12" spans="1:6" x14ac:dyDescent="0.45">
      <c r="A12" s="492" t="s">
        <v>71</v>
      </c>
      <c r="B12" s="568">
        <f>P1_Dakbedekking_deels_overlagen_kleiner_dan_5_m2</f>
        <v>0</v>
      </c>
      <c r="C12" s="569" t="s">
        <v>72</v>
      </c>
      <c r="D12" s="563">
        <v>59</v>
      </c>
      <c r="E12" s="570">
        <f t="shared" si="0"/>
        <v>0</v>
      </c>
      <c r="F12" s="489"/>
    </row>
    <row r="13" spans="1:6" x14ac:dyDescent="0.45">
      <c r="A13" s="492" t="s">
        <v>73</v>
      </c>
      <c r="B13" s="568">
        <f>P1_Dakbedekking_deels_overlagen_tussen_5_10_m2</f>
        <v>0</v>
      </c>
      <c r="C13" s="569" t="s">
        <v>72</v>
      </c>
      <c r="D13" s="563">
        <v>24</v>
      </c>
      <c r="E13" s="570">
        <f t="shared" si="0"/>
        <v>0</v>
      </c>
      <c r="F13" s="489"/>
    </row>
    <row r="14" spans="1:6" x14ac:dyDescent="0.45">
      <c r="A14" s="492" t="s">
        <v>74</v>
      </c>
      <c r="B14" s="568">
        <f>P1_Dakbedekking_deels_overlagen_tussen_10_20_m2</f>
        <v>0</v>
      </c>
      <c r="C14" s="569" t="s">
        <v>72</v>
      </c>
      <c r="D14" s="563">
        <v>33</v>
      </c>
      <c r="E14" s="570">
        <f t="shared" si="0"/>
        <v>0</v>
      </c>
      <c r="F14" s="489"/>
    </row>
    <row r="15" spans="1:6" x14ac:dyDescent="0.45">
      <c r="A15" s="492" t="s">
        <v>75</v>
      </c>
      <c r="B15" s="568">
        <f>P1_Nieuwe_randstroken_opgaand_werk_aanbrengen</f>
        <v>0</v>
      </c>
      <c r="C15" s="569" t="s">
        <v>76</v>
      </c>
      <c r="D15" s="563">
        <v>26</v>
      </c>
      <c r="E15" s="570">
        <f t="shared" si="0"/>
        <v>0</v>
      </c>
      <c r="F15" s="489"/>
    </row>
    <row r="16" spans="1:6" x14ac:dyDescent="0.45">
      <c r="A16" s="492" t="s">
        <v>77</v>
      </c>
      <c r="B16" s="568">
        <f>P1_Nieuwe_randstroken_langs_dakranden_aanbrengen</f>
        <v>0</v>
      </c>
      <c r="C16" s="569" t="s">
        <v>76</v>
      </c>
      <c r="D16" s="563">
        <v>23</v>
      </c>
      <c r="E16" s="570">
        <f t="shared" si="0"/>
        <v>0</v>
      </c>
      <c r="F16" s="489"/>
    </row>
    <row r="17" spans="1:6" x14ac:dyDescent="0.45">
      <c r="A17" s="492" t="s">
        <v>78</v>
      </c>
      <c r="B17" s="568">
        <f>P1_Nieuwe_randstroken_rond_unit_aanbrengen_tot_500_x_500_mm</f>
        <v>0</v>
      </c>
      <c r="C17" s="569" t="s">
        <v>76</v>
      </c>
      <c r="D17" s="563">
        <v>2</v>
      </c>
      <c r="E17" s="570">
        <f t="shared" si="0"/>
        <v>0</v>
      </c>
      <c r="F17" s="489"/>
    </row>
    <row r="18" spans="1:6" x14ac:dyDescent="0.45">
      <c r="A18" s="492" t="s">
        <v>79</v>
      </c>
      <c r="B18" s="568">
        <f>P1_Nieuwe_randstroken_rond_unit_aanbrengen_tot_1.000_x_1.000_mm</f>
        <v>0</v>
      </c>
      <c r="C18" s="569" t="s">
        <v>76</v>
      </c>
      <c r="D18" s="563">
        <v>3</v>
      </c>
      <c r="E18" s="570">
        <f t="shared" si="0"/>
        <v>0</v>
      </c>
      <c r="F18" s="489"/>
    </row>
    <row r="19" spans="1:6" x14ac:dyDescent="0.45">
      <c r="A19" s="492" t="s">
        <v>80</v>
      </c>
      <c r="B19" s="568">
        <f>P1_Doorvoeren_tot_Ø_150_mm_opnieuw_waterdicht_inwerken</f>
        <v>0</v>
      </c>
      <c r="C19" s="569" t="s">
        <v>69</v>
      </c>
      <c r="D19" s="563">
        <v>14</v>
      </c>
      <c r="E19" s="570">
        <f t="shared" si="0"/>
        <v>0</v>
      </c>
      <c r="F19" s="489"/>
    </row>
    <row r="20" spans="1:6" x14ac:dyDescent="0.45">
      <c r="A20" s="492" t="s">
        <v>81</v>
      </c>
      <c r="B20" s="568">
        <f>P1_Doorvoeren_tot_Ø_300_mm_opnieuw_waterdicht_inwerken</f>
        <v>0</v>
      </c>
      <c r="C20" s="569" t="s">
        <v>69</v>
      </c>
      <c r="D20" s="563">
        <v>6</v>
      </c>
      <c r="E20" s="570">
        <f t="shared" si="0"/>
        <v>0</v>
      </c>
      <c r="F20" s="489"/>
    </row>
    <row r="21" spans="1:6" x14ac:dyDescent="0.45">
      <c r="A21" s="492" t="s">
        <v>82</v>
      </c>
      <c r="B21" s="568">
        <f>P1_Doorvoeren_tot_Ø_500_mm_opnieuw_waterdicht_inwerken</f>
        <v>0</v>
      </c>
      <c r="C21" s="569" t="s">
        <v>69</v>
      </c>
      <c r="D21" s="563">
        <v>3</v>
      </c>
      <c r="E21" s="570">
        <f t="shared" si="0"/>
        <v>0</v>
      </c>
      <c r="F21" s="489"/>
    </row>
    <row r="22" spans="1:6" x14ac:dyDescent="0.45">
      <c r="A22" s="492" t="s">
        <v>83</v>
      </c>
      <c r="B22" s="568">
        <f>P1_Koppelstukjes_van_de_daktrimmen_voorzien_van_een_kitvoeg</f>
        <v>0</v>
      </c>
      <c r="C22" s="569" t="s">
        <v>76</v>
      </c>
      <c r="D22" s="563">
        <v>21</v>
      </c>
      <c r="E22" s="570">
        <f t="shared" si="0"/>
        <v>0</v>
      </c>
      <c r="F22" s="489"/>
    </row>
    <row r="23" spans="1:6" x14ac:dyDescent="0.45">
      <c r="A23" s="492" t="s">
        <v>84</v>
      </c>
      <c r="B23" s="568">
        <f>P1_Boldraadroosters__tegel_bladvangers_plaatsen_t.p.v._hwa</f>
        <v>0</v>
      </c>
      <c r="C23" s="569" t="s">
        <v>69</v>
      </c>
      <c r="D23" s="563">
        <v>25</v>
      </c>
      <c r="E23" s="570">
        <f t="shared" si="0"/>
        <v>0</v>
      </c>
      <c r="F23" s="489"/>
    </row>
    <row r="24" spans="1:6" x14ac:dyDescent="0.45">
      <c r="A24" s="492" t="s">
        <v>85</v>
      </c>
      <c r="B24" s="568">
        <f>P1_Voetlood_nalopen__scheurtjes_herstellen_met_Batu_band</f>
        <v>0</v>
      </c>
      <c r="C24" s="569" t="s">
        <v>76</v>
      </c>
      <c r="D24" s="563">
        <v>21</v>
      </c>
      <c r="E24" s="570">
        <f t="shared" si="0"/>
        <v>0</v>
      </c>
      <c r="F24" s="489"/>
    </row>
    <row r="25" spans="1:6" ht="38.25" x14ac:dyDescent="0.45">
      <c r="A25" s="492" t="s">
        <v>86</v>
      </c>
      <c r="B25" s="568">
        <f>P1_Lichtkoepels_demonteren_en_opslaan_op_het_dak_nieuwe_foamband_aanbrengen_opgeslagen_lichtkoepels_terug_monteren_tot_max_dagm._1.200_x_1.200_mm</f>
        <v>0</v>
      </c>
      <c r="C25" s="569" t="s">
        <v>69</v>
      </c>
      <c r="D25" s="563">
        <v>15</v>
      </c>
      <c r="E25" s="570">
        <f t="shared" si="0"/>
        <v>0</v>
      </c>
      <c r="F25" s="489"/>
    </row>
    <row r="26" spans="1:6" x14ac:dyDescent="0.45">
      <c r="A26" s="492" t="s">
        <v>87</v>
      </c>
      <c r="B26" s="568">
        <f>P1_Losse_voetlood_weer_vastzetten_met_loodproppen_en_opnieuw_afvoegen</f>
        <v>0</v>
      </c>
      <c r="C26" s="569" t="s">
        <v>76</v>
      </c>
      <c r="D26" s="563">
        <v>11</v>
      </c>
      <c r="E26" s="570">
        <f t="shared" si="0"/>
        <v>0</v>
      </c>
      <c r="F26" s="489"/>
    </row>
    <row r="27" spans="1:6" x14ac:dyDescent="0.45">
      <c r="A27" s="492" t="s">
        <v>88</v>
      </c>
      <c r="B27" s="568">
        <f>P1_Loodwerk_van_opbouwtjes_waarnodig_inkorten_en_netjes_aankloppen</f>
        <v>0</v>
      </c>
      <c r="C27" s="569" t="s">
        <v>76</v>
      </c>
      <c r="D27" s="563">
        <v>3</v>
      </c>
      <c r="E27" s="570">
        <f t="shared" si="0"/>
        <v>0</v>
      </c>
      <c r="F27" s="489"/>
    </row>
    <row r="28" spans="1:6" ht="25.5" x14ac:dyDescent="0.45">
      <c r="A28" s="492" t="s">
        <v>89</v>
      </c>
      <c r="B28" s="568">
        <f>P1_Vervangen_van_het_voetlood_t.p.v._metselwerk_alleen_met_toestemming_van_opdrachtgever</f>
        <v>0</v>
      </c>
      <c r="C28" s="569" t="s">
        <v>76</v>
      </c>
      <c r="D28" s="563">
        <v>3</v>
      </c>
      <c r="E28" s="570">
        <f t="shared" si="0"/>
        <v>0</v>
      </c>
      <c r="F28" s="489"/>
    </row>
    <row r="29" spans="1:6" ht="25.5" x14ac:dyDescent="0.45">
      <c r="A29" s="492" t="s">
        <v>90</v>
      </c>
      <c r="B29" s="568">
        <f>P1_Vervangen_van_het_voetlood_t.p.v._metselwerk_met_loodvervanger_alleen_met_toestemming_van_opdrachtgever</f>
        <v>0</v>
      </c>
      <c r="C29" s="569" t="s">
        <v>76</v>
      </c>
      <c r="D29" s="563">
        <v>5</v>
      </c>
      <c r="E29" s="570">
        <f t="shared" si="0"/>
        <v>0</v>
      </c>
      <c r="F29" s="489"/>
    </row>
    <row r="30" spans="1:6" x14ac:dyDescent="0.45">
      <c r="A30" s="492" t="s">
        <v>91</v>
      </c>
      <c r="B30" s="568">
        <f>P1_PVC_steekstukken_demonteren_voorzien_van_kit_en_terug_monteren</f>
        <v>0</v>
      </c>
      <c r="C30" s="569" t="s">
        <v>69</v>
      </c>
      <c r="D30" s="563">
        <v>5</v>
      </c>
      <c r="E30" s="570">
        <f t="shared" si="0"/>
        <v>0</v>
      </c>
      <c r="F30" s="489"/>
    </row>
    <row r="31" spans="1:6" ht="25.5" x14ac:dyDescent="0.45">
      <c r="A31" s="492" t="s">
        <v>92</v>
      </c>
      <c r="B31" s="568">
        <f>P1_Vervangen_dakveiligheidsanker_voor_zelfde_merk__o.a._Latchways_Daksafe_incl._inwerken_dakbedekking</f>
        <v>0</v>
      </c>
      <c r="C31" s="569" t="s">
        <v>69</v>
      </c>
      <c r="D31" s="563">
        <v>5</v>
      </c>
      <c r="E31" s="570">
        <f t="shared" si="0"/>
        <v>0</v>
      </c>
      <c r="F31" s="489"/>
    </row>
    <row r="32" spans="1:6" x14ac:dyDescent="0.45">
      <c r="A32" s="492" t="s">
        <v>93</v>
      </c>
      <c r="B32" s="568">
        <f>P1_Vervangen_dakveiligheidslijn_voor_zelfde_merk_o.a._Latchways_Daksafe</f>
        <v>0</v>
      </c>
      <c r="C32" s="569" t="s">
        <v>76</v>
      </c>
      <c r="D32" s="563">
        <v>42</v>
      </c>
      <c r="E32" s="570">
        <f t="shared" si="0"/>
        <v>0</v>
      </c>
      <c r="F32" s="489"/>
    </row>
    <row r="33" spans="1:6" x14ac:dyDescent="0.45">
      <c r="A33" s="490"/>
      <c r="B33" s="563"/>
      <c r="C33" s="563"/>
      <c r="D33" s="563"/>
      <c r="E33" s="564"/>
      <c r="F33" s="489"/>
    </row>
    <row r="34" spans="1:6" x14ac:dyDescent="0.45">
      <c r="A34" s="494" t="s">
        <v>2351</v>
      </c>
      <c r="B34" s="572"/>
      <c r="C34" s="572"/>
      <c r="D34" s="572"/>
      <c r="E34" s="573">
        <f>SUM(E4:E32)</f>
        <v>0</v>
      </c>
      <c r="F34" s="489"/>
    </row>
    <row r="35" spans="1:6" x14ac:dyDescent="0.45">
      <c r="A35" s="489"/>
      <c r="B35" s="489"/>
      <c r="C35" s="489"/>
      <c r="D35" s="489"/>
      <c r="E35" s="489"/>
      <c r="F35" s="489"/>
    </row>
  </sheetData>
  <sheetProtection algorithmName="SHA-512" hashValue="CJ8J3Vt0AhT3MjpxymctP+5RnDyRWeCFphusrxVJFZG5cBRxLax7b4ZY9CycumkKxNJxehoHbKSK4K3zIvrU4g==" saltValue="QijnDx6D6LExKxwrdazF6g==" spinCount="100000" sheet="1" objects="1" scenarios="1"/>
  <mergeCells count="1">
    <mergeCell ref="A1:E1"/>
  </mergeCell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33fc33796384c19818b29a1f52fa6b8 xmlns="e1f914b6-a544-4516-8258-dce33e67d544">
      <Terms xmlns="http://schemas.microsoft.com/office/infopath/2007/PartnerControls"/>
    </m33fc33796384c19818b29a1f52fa6b8>
    <Behandelaar xmlns="e1f914b6-a544-4516-8258-dce33e67d544">
      <UserInfo>
        <DisplayName/>
        <AccountId xsi:nil="true"/>
        <AccountType/>
      </UserInfo>
    </Behandelaar>
    <DocumentSetDescription xmlns="http://schemas.microsoft.com/sharepoint/v3" xsi:nil="true"/>
    <TaxCatchAll xmlns="e1f914b6-a544-4516-8258-dce33e67d544" xsi:nil="true"/>
    <Documentstatus xmlns="e1f914b6-a544-4516-8258-dce33e67d544">Concept</Documentstatus>
    <Dossierstatus xmlns="e1f914b6-a544-4516-8258-dce33e67d544">In behandeling</Dossierstatus>
    <Kopie xmlns="e1f914b6-a544-4516-8258-dce33e67d544">false</Kopie>
    <j7e7edac40694a75a14dc8a1f940b8b2 xmlns="e1f914b6-a544-4516-8258-dce33e67d544">
      <Terms xmlns="http://schemas.microsoft.com/office/infopath/2007/PartnerControls"/>
    </j7e7edac40694a75a14dc8a1f940b8b2>
  </documentManagement>
</p:properties>
</file>

<file path=customXml/item2.xml><?xml version="1.0" encoding="utf-8"?>
<ct:contentTypeSchema xmlns:ct="http://schemas.microsoft.com/office/2006/metadata/contentType" xmlns:ma="http://schemas.microsoft.com/office/2006/metadata/properties/metaAttributes" ct:_="" ma:_="" ma:contentTypeName="Excel-werkmap" ma:contentTypeID="0x0101004C3C11058C24A243A3D3240DE8D68F5100139543DE989EF146843FA9FECEE19F4E" ma:contentTypeVersion="250" ma:contentTypeDescription="" ma:contentTypeScope="" ma:versionID="9df11e5001e6cb763261b98923b4e278">
  <xsd:schema xmlns:xsd="http://www.w3.org/2001/XMLSchema" xmlns:xs="http://www.w3.org/2001/XMLSchema" xmlns:p="http://schemas.microsoft.com/office/2006/metadata/properties" xmlns:ns1="http://schemas.microsoft.com/sharepoint/v3" xmlns:ns2="e1f914b6-a544-4516-8258-dce33e67d544" targetNamespace="http://schemas.microsoft.com/office/2006/metadata/properties" ma:root="true" ma:fieldsID="b152374edd8bb4483234f466277debdd" ns1:_="" ns2:_="">
    <xsd:import namespace="http://schemas.microsoft.com/sharepoint/v3"/>
    <xsd:import namespace="e1f914b6-a544-4516-8258-dce33e67d544"/>
    <xsd:element name="properties">
      <xsd:complexType>
        <xsd:sequence>
          <xsd:element name="documentManagement">
            <xsd:complexType>
              <xsd:all>
                <xsd:element ref="ns2:Behandelaar" minOccurs="0"/>
                <xsd:element ref="ns2:j7e7edac40694a75a14dc8a1f940b8b2" minOccurs="0"/>
                <xsd:element ref="ns2:TaxCatchAll" minOccurs="0"/>
                <xsd:element ref="ns2:TaxCatchAllLabel" minOccurs="0"/>
                <xsd:element ref="ns2:Documentstatus" minOccurs="0"/>
                <xsd:element ref="ns2:m33fc33796384c19818b29a1f52fa6b8" minOccurs="0"/>
                <xsd:element ref="ns2:Kopie" minOccurs="0"/>
                <xsd:element ref="ns1:DocumentSetDescription" minOccurs="0"/>
                <xsd:element ref="ns2:Dossie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7"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Behandelaar" ma:index="8" nillable="true" ma:displayName="Behandelaar" ma:list="UserInfo" ma:SharePointGroup="0" ma:internalName="Behandelaa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7e7edac40694a75a14dc8a1f940b8b2" ma:index="9" nillable="true" ma:taxonomy="true" ma:internalName="j7e7edac40694a75a14dc8a1f940b8b2" ma:taxonomyFieldName="Documenttypen" ma:displayName="Documenttypen" ma:default="" ma:fieldId="{37e7edac-4069-4a75-a14d-c8a1f940b8b2}" ma:taxonomyMulti="true" ma:sspId="264fed88-3460-4323-80f9-15b2a3d3d26d" ma:termSetId="0cdd49ee-224d-499f-bc0f-91623649ef0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43a8d5eb-5e30-4c09-846d-148f63c4bb5d}" ma:internalName="TaxCatchAll" ma:showField="CatchAllData" ma:web="d072ca85-ceee-4ba7-9f7c-14d79416f14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43a8d5eb-5e30-4c09-846d-148f63c4bb5d}" ma:internalName="TaxCatchAllLabel" ma:readOnly="true" ma:showField="CatchAllDataLabel" ma:web="d072ca85-ceee-4ba7-9f7c-14d79416f14b">
      <xsd:complexType>
        <xsd:complexContent>
          <xsd:extension base="dms:MultiChoiceLookup">
            <xsd:sequence>
              <xsd:element name="Value" type="dms:Lookup" maxOccurs="unbounded" minOccurs="0" nillable="true"/>
            </xsd:sequence>
          </xsd:extension>
        </xsd:complexContent>
      </xsd:complexType>
    </xsd:element>
    <xsd:element name="Documentstatus" ma:index="13" nillable="true" ma:displayName="Documentstatus" ma:default="Concept" ma:format="Dropdown" ma:internalName="Documentstatus">
      <xsd:simpleType>
        <xsd:restriction base="dms:Choice">
          <xsd:enumeration value="Concept"/>
          <xsd:enumeration value="Ter review"/>
          <xsd:enumeration value="Vastgesteld"/>
          <xsd:enumeration value="Gereed"/>
          <xsd:enumeration value="Vervallen"/>
        </xsd:restriction>
      </xsd:simpleType>
    </xsd:element>
    <xsd:element name="m33fc33796384c19818b29a1f52fa6b8" ma:index="14" nillable="true" ma:taxonomy="true" ma:internalName="m33fc33796384c19818b29a1f52fa6b8" ma:taxonomyFieldName="Passende_x0020_Trefwoorden" ma:displayName="Passende Trefwoorden" ma:default="" ma:fieldId="{633fc337-9638-4c19-818b-29a1f52fa6b8}" ma:taxonomyMulti="true" ma:sspId="264fed88-3460-4323-80f9-15b2a3d3d26d" ma:termSetId="149e103c-5860-4dce-b39c-53bee8e9cad0" ma:anchorId="00000000-0000-0000-0000-000000000000" ma:open="true" ma:isKeyword="false">
      <xsd:complexType>
        <xsd:sequence>
          <xsd:element ref="pc:Terms" minOccurs="0" maxOccurs="1"/>
        </xsd:sequence>
      </xsd:complexType>
    </xsd:element>
    <xsd:element name="Kopie" ma:index="16" nillable="true" ma:displayName="Kopie" ma:default="0" ma:internalName="Kopie">
      <xsd:simpleType>
        <xsd:restriction base="dms:Boolean"/>
      </xsd:simpleType>
    </xsd:element>
    <xsd:element name="Dossierstatus" ma:index="18"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64fed88-3460-4323-80f9-15b2a3d3d26d" ContentTypeId="0x0101004C3C11058C24A243A3D3240DE8D68F5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95CC6A-D1DD-462F-8417-87C1DC721890}">
  <ds:schemaRefs>
    <ds:schemaRef ds:uri="http://www.w3.org/XML/1998/namespace"/>
    <ds:schemaRef ds:uri="http://schemas.microsoft.com/office/infopath/2007/PartnerControls"/>
    <ds:schemaRef ds:uri="http://schemas.microsoft.com/sharepoint/v3"/>
    <ds:schemaRef ds:uri="http://purl.org/dc/dcmitype/"/>
    <ds:schemaRef ds:uri="http://schemas.openxmlformats.org/package/2006/metadata/core-properties"/>
    <ds:schemaRef ds:uri="http://schemas.microsoft.com/office/2006/metadata/properties"/>
    <ds:schemaRef ds:uri="http://purl.org/dc/terms/"/>
    <ds:schemaRef ds:uri="http://purl.org/dc/elements/1.1/"/>
    <ds:schemaRef ds:uri="http://schemas.microsoft.com/office/2006/documentManagement/types"/>
    <ds:schemaRef ds:uri="e1f914b6-a544-4516-8258-dce33e67d544"/>
  </ds:schemaRefs>
</ds:datastoreItem>
</file>

<file path=customXml/itemProps2.xml><?xml version="1.0" encoding="utf-8"?>
<ds:datastoreItem xmlns:ds="http://schemas.openxmlformats.org/officeDocument/2006/customXml" ds:itemID="{CF0B41DD-2B99-4EC4-BD58-E1126671D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7AA67-6ADB-413D-ACE6-727E1E8F26DE}">
  <ds:schemaRefs>
    <ds:schemaRef ds:uri="Microsoft.SharePoint.Taxonomy.ContentTypeSync"/>
  </ds:schemaRefs>
</ds:datastoreItem>
</file>

<file path=customXml/itemProps4.xml><?xml version="1.0" encoding="utf-8"?>
<ds:datastoreItem xmlns:ds="http://schemas.openxmlformats.org/officeDocument/2006/customXml" ds:itemID="{0D0E0FDF-DB08-4D12-9D1F-EF2523EA9E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286</vt:i4>
      </vt:variant>
    </vt:vector>
  </HeadingPairs>
  <TitlesOfParts>
    <vt:vector size="293" baseType="lpstr">
      <vt:lpstr>Invulinstructie</vt:lpstr>
      <vt:lpstr>Inschrijfstaat</vt:lpstr>
      <vt:lpstr>Invulblad Prijzen</vt:lpstr>
      <vt:lpstr>Perceel 1</vt:lpstr>
      <vt:lpstr>Perceel 2</vt:lpstr>
      <vt:lpstr>Perceel 3</vt:lpstr>
      <vt:lpstr>Diensten op afroep</vt:lpstr>
      <vt:lpstr>'Perceel 1'!opervlak_dak_1131</vt:lpstr>
      <vt:lpstr>'Perceel 2'!opervlak_dak_1131</vt:lpstr>
      <vt:lpstr>'Perceel 3'!opervlak_dak_1131</vt:lpstr>
      <vt:lpstr>'Perceel 1'!oppervlak_dak_0006</vt:lpstr>
      <vt:lpstr>'Perceel 2'!oppervlak_dak_0006</vt:lpstr>
      <vt:lpstr>'Perceel 3'!oppervlak_dak_0006</vt:lpstr>
      <vt:lpstr>'Perceel 1'!oppervlak_dak_0008</vt:lpstr>
      <vt:lpstr>'Perceel 2'!oppervlak_dak_0008</vt:lpstr>
      <vt:lpstr>'Perceel 3'!oppervlak_dak_0008</vt:lpstr>
      <vt:lpstr>'Perceel 1'!oppervlak_dak_0012</vt:lpstr>
      <vt:lpstr>'Perceel 2'!oppervlak_dak_0012</vt:lpstr>
      <vt:lpstr>'Perceel 3'!oppervlak_dak_0012</vt:lpstr>
      <vt:lpstr>'Perceel 1'!oppervlak_dak_0016</vt:lpstr>
      <vt:lpstr>'Perceel 2'!oppervlak_dak_0016</vt:lpstr>
      <vt:lpstr>'Perceel 3'!oppervlak_dak_0016</vt:lpstr>
      <vt:lpstr>'Perceel 1'!oppervlak_dak_0018</vt:lpstr>
      <vt:lpstr>'Perceel 2'!oppervlak_dak_0018</vt:lpstr>
      <vt:lpstr>'Perceel 3'!oppervlak_dak_0018</vt:lpstr>
      <vt:lpstr>'Perceel 1'!oppervlak_dak_0019</vt:lpstr>
      <vt:lpstr>'Perceel 2'!oppervlak_dak_0019</vt:lpstr>
      <vt:lpstr>'Perceel 3'!oppervlak_dak_0019</vt:lpstr>
      <vt:lpstr>'Perceel 1'!oppervlak_dak_0510I</vt:lpstr>
      <vt:lpstr>'Perceel 2'!oppervlak_dak_0510I</vt:lpstr>
      <vt:lpstr>'Perceel 3'!oppervlak_dak_0510I</vt:lpstr>
      <vt:lpstr>'Perceel 1'!oppervlak_dak_0510II</vt:lpstr>
      <vt:lpstr>'Perceel 2'!oppervlak_dak_0510II</vt:lpstr>
      <vt:lpstr>'Perceel 3'!oppervlak_dak_0510II</vt:lpstr>
      <vt:lpstr>'Perceel 1'!oppervlak_dak_1123</vt:lpstr>
      <vt:lpstr>'Perceel 2'!oppervlak_dak_1123</vt:lpstr>
      <vt:lpstr>'Perceel 3'!oppervlak_dak_1123</vt:lpstr>
      <vt:lpstr>'Perceel 1'!oppervlak_dak_1126</vt:lpstr>
      <vt:lpstr>'Perceel 2'!oppervlak_dak_1126</vt:lpstr>
      <vt:lpstr>'Perceel 3'!oppervlak_dak_1126</vt:lpstr>
      <vt:lpstr>'Perceel 1'!oppervlak_dak_1130</vt:lpstr>
      <vt:lpstr>'Perceel 2'!oppervlak_dak_1130</vt:lpstr>
      <vt:lpstr>'Perceel 3'!oppervlak_dak_1130</vt:lpstr>
      <vt:lpstr>'Perceel 1'!oppervlak_dak_1134</vt:lpstr>
      <vt:lpstr>'Perceel 2'!oppervlak_dak_1134</vt:lpstr>
      <vt:lpstr>'Perceel 3'!oppervlak_dak_1134</vt:lpstr>
      <vt:lpstr>'Perceel 1'!oppervlak_dak_1135</vt:lpstr>
      <vt:lpstr>'Perceel 2'!oppervlak_dak_1135</vt:lpstr>
      <vt:lpstr>'Perceel 3'!oppervlak_dak_1135</vt:lpstr>
      <vt:lpstr>'Perceel 1'!oppervlak_dak_1142</vt:lpstr>
      <vt:lpstr>'Perceel 2'!oppervlak_dak_1142</vt:lpstr>
      <vt:lpstr>'Perceel 3'!oppervlak_dak_1142</vt:lpstr>
      <vt:lpstr>'Perceel 1'!oppervlak_dak_1143</vt:lpstr>
      <vt:lpstr>'Perceel 2'!oppervlak_dak_1143</vt:lpstr>
      <vt:lpstr>'Perceel 3'!oppervlak_dak_1143</vt:lpstr>
      <vt:lpstr>'Perceel 1'!oppervlak_dak_1146</vt:lpstr>
      <vt:lpstr>'Perceel 2'!oppervlak_dak_1146</vt:lpstr>
      <vt:lpstr>'Perceel 3'!oppervlak_dak_1146</vt:lpstr>
      <vt:lpstr>'Perceel 1'!oppervlak_dak_1148</vt:lpstr>
      <vt:lpstr>'Perceel 2'!oppervlak_dak_1148</vt:lpstr>
      <vt:lpstr>'Perceel 3'!oppervlak_dak_1148</vt:lpstr>
      <vt:lpstr>'Perceel 1'!oppervlak_dak_1174</vt:lpstr>
      <vt:lpstr>'Perceel 2'!oppervlak_dak_1174</vt:lpstr>
      <vt:lpstr>'Perceel 3'!oppervlak_dak_1174</vt:lpstr>
      <vt:lpstr>'Perceel 1'!Oppervlak_dak_1176</vt:lpstr>
      <vt:lpstr>'Perceel 2'!Oppervlak_dak_1176</vt:lpstr>
      <vt:lpstr>'Perceel 3'!Oppervlak_dak_1176</vt:lpstr>
      <vt:lpstr>'Perceel 1'!oppervlak_dak_1177</vt:lpstr>
      <vt:lpstr>'Perceel 2'!oppervlak_dak_1177</vt:lpstr>
      <vt:lpstr>'Perceel 3'!oppervlak_dak_1177</vt:lpstr>
      <vt:lpstr>'Perceel 1'!oppervlak_dak_1178</vt:lpstr>
      <vt:lpstr>'Perceel 2'!oppervlak_dak_1178</vt:lpstr>
      <vt:lpstr>'Perceel 3'!oppervlak_dak_1178</vt:lpstr>
      <vt:lpstr>'Perceel 1'!oppervlak_dak_1184</vt:lpstr>
      <vt:lpstr>'Perceel 2'!oppervlak_dak_1184</vt:lpstr>
      <vt:lpstr>'Perceel 3'!oppervlak_dak_1184</vt:lpstr>
      <vt:lpstr>'Perceel 1'!oppervlak_dak_1190</vt:lpstr>
      <vt:lpstr>'Perceel 2'!oppervlak_dak_1190</vt:lpstr>
      <vt:lpstr>'Perceel 3'!oppervlak_dak_1190</vt:lpstr>
      <vt:lpstr>'Perceel 1'!oppervlak_dak_1197I</vt:lpstr>
      <vt:lpstr>'Perceel 2'!oppervlak_dak_1197I</vt:lpstr>
      <vt:lpstr>'Perceel 3'!oppervlak_dak_1197I</vt:lpstr>
      <vt:lpstr>'Perceel 1'!oppervlak_dak_1197II</vt:lpstr>
      <vt:lpstr>'Perceel 2'!oppervlak_dak_1197II</vt:lpstr>
      <vt:lpstr>'Perceel 3'!oppervlak_dak_1197II</vt:lpstr>
      <vt:lpstr>'Perceel 1'!oppervlak_dak_1199</vt:lpstr>
      <vt:lpstr>'Perceel 2'!oppervlak_dak_1199</vt:lpstr>
      <vt:lpstr>'Perceel 3'!oppervlak_dak_1199</vt:lpstr>
      <vt:lpstr>'Perceel 1'!oppervlak_dak_1223</vt:lpstr>
      <vt:lpstr>'Perceel 2'!oppervlak_dak_1223</vt:lpstr>
      <vt:lpstr>'Perceel 3'!oppervlak_dak_1223</vt:lpstr>
      <vt:lpstr>'Perceel 1'!oppervlak_dak_1242</vt:lpstr>
      <vt:lpstr>'Perceel 2'!oppervlak_dak_1242</vt:lpstr>
      <vt:lpstr>'Perceel 3'!oppervlak_dak_1242</vt:lpstr>
      <vt:lpstr>'Perceel 1'!oppervlak_dak_1244</vt:lpstr>
      <vt:lpstr>'Perceel 2'!oppervlak_dak_1244</vt:lpstr>
      <vt:lpstr>'Perceel 3'!oppervlak_dak_1244</vt:lpstr>
      <vt:lpstr>'Perceel 1'!oppervlak_dak_1245</vt:lpstr>
      <vt:lpstr>'Perceel 2'!oppervlak_dak_1245</vt:lpstr>
      <vt:lpstr>'Perceel 3'!oppervlak_dak_1245</vt:lpstr>
      <vt:lpstr>'Perceel 1'!oppervlak_dak_1246</vt:lpstr>
      <vt:lpstr>'Perceel 2'!oppervlak_dak_1246</vt:lpstr>
      <vt:lpstr>'Perceel 3'!oppervlak_dak_1246</vt:lpstr>
      <vt:lpstr>'Perceel 1'!oppervlak_dak_1249</vt:lpstr>
      <vt:lpstr>'Perceel 2'!oppervlak_dak_1249</vt:lpstr>
      <vt:lpstr>'Perceel 3'!oppervlak_dak_1249</vt:lpstr>
      <vt:lpstr>'Perceel 1'!oppervlak_dak_1250</vt:lpstr>
      <vt:lpstr>'Perceel 2'!oppervlak_dak_1250</vt:lpstr>
      <vt:lpstr>'Perceel 3'!oppervlak_dak_1250</vt:lpstr>
      <vt:lpstr>'Perceel 1'!oppervlak_dak_1252</vt:lpstr>
      <vt:lpstr>'Perceel 2'!oppervlak_dak_1252</vt:lpstr>
      <vt:lpstr>'Perceel 3'!oppervlak_dak_1252</vt:lpstr>
      <vt:lpstr>'Perceel 1'!oppervlak_dak_1280</vt:lpstr>
      <vt:lpstr>'Perceel 2'!oppervlak_dak_1280</vt:lpstr>
      <vt:lpstr>'Perceel 3'!oppervlak_dak_1280</vt:lpstr>
      <vt:lpstr>'Perceel 1'!oppervlak_dak_1281</vt:lpstr>
      <vt:lpstr>'Perceel 2'!oppervlak_dak_1281</vt:lpstr>
      <vt:lpstr>'Perceel 3'!oppervlak_dak_1281</vt:lpstr>
      <vt:lpstr>'Perceel 1'!oppervlak_dak_1282</vt:lpstr>
      <vt:lpstr>'Perceel 2'!oppervlak_dak_1282</vt:lpstr>
      <vt:lpstr>'Perceel 3'!oppervlak_dak_1282</vt:lpstr>
      <vt:lpstr>'Perceel 1'!oppervlak_dak_1284</vt:lpstr>
      <vt:lpstr>'Perceel 2'!oppervlak_dak_1284</vt:lpstr>
      <vt:lpstr>'Perceel 3'!oppervlak_dak_1284</vt:lpstr>
      <vt:lpstr>'Perceel 1'!oppervlak_dak_1288</vt:lpstr>
      <vt:lpstr>'Perceel 2'!oppervlak_dak_1288</vt:lpstr>
      <vt:lpstr>'Perceel 3'!oppervlak_dak_1288</vt:lpstr>
      <vt:lpstr>'Perceel 1'!oppervlak_dak_1292</vt:lpstr>
      <vt:lpstr>'Perceel 2'!oppervlak_dak_1292</vt:lpstr>
      <vt:lpstr>'Perceel 3'!oppervlak_dak_1292</vt:lpstr>
      <vt:lpstr>'Perceel 1'!oppervlak_dak_1390</vt:lpstr>
      <vt:lpstr>'Perceel 2'!oppervlak_dak_1390</vt:lpstr>
      <vt:lpstr>'Perceel 3'!oppervlak_dak_1390</vt:lpstr>
      <vt:lpstr>'Perceel 1'!oppervlak_dak_1396</vt:lpstr>
      <vt:lpstr>'Perceel 2'!oppervlak_dak_1396</vt:lpstr>
      <vt:lpstr>'Perceel 3'!oppervlak_dak_1396</vt:lpstr>
      <vt:lpstr>'Perceel 1'!oppervlak_dak_1397</vt:lpstr>
      <vt:lpstr>'Perceel 2'!oppervlak_dak_1397</vt:lpstr>
      <vt:lpstr>'Perceel 3'!oppervlak_dak_1397</vt:lpstr>
      <vt:lpstr>'Perceel 1'!oppervlak_dak_1527</vt:lpstr>
      <vt:lpstr>'Perceel 2'!oppervlak_dak_1527</vt:lpstr>
      <vt:lpstr>'Perceel 3'!oppervlak_dak_1527</vt:lpstr>
      <vt:lpstr>'Perceel 1'!oppervlak_dak_1756</vt:lpstr>
      <vt:lpstr>'Perceel 2'!oppervlak_dak_1756</vt:lpstr>
      <vt:lpstr>'Perceel 3'!oppervlak_dak_1756</vt:lpstr>
      <vt:lpstr>'Perceel 1'!oppervlak_dak_2426</vt:lpstr>
      <vt:lpstr>'Perceel 2'!oppervlak_dak_2426</vt:lpstr>
      <vt:lpstr>'Perceel 3'!oppervlak_dak_2426</vt:lpstr>
      <vt:lpstr>'Perceel 1'!Oppervlak_dak_2443</vt:lpstr>
      <vt:lpstr>'Perceel 2'!Oppervlak_dak_2443</vt:lpstr>
      <vt:lpstr>'Perceel 3'!Oppervlak_dak_2443</vt:lpstr>
      <vt:lpstr>'Perceel 1'!oppervlak_dak_2444</vt:lpstr>
      <vt:lpstr>'Perceel 2'!oppervlak_dak_2444</vt:lpstr>
      <vt:lpstr>'Perceel 3'!oppervlak_dak_2444</vt:lpstr>
      <vt:lpstr>'Perceel 1'!oppervlak_dak_2450</vt:lpstr>
      <vt:lpstr>'Perceel 2'!oppervlak_dak_2450</vt:lpstr>
      <vt:lpstr>'Perceel 3'!oppervlak_dak_2450</vt:lpstr>
      <vt:lpstr>'Perceel 1'!oppervlak_dak_2452I</vt:lpstr>
      <vt:lpstr>'Perceel 2'!oppervlak_dak_2452I</vt:lpstr>
      <vt:lpstr>'Perceel 3'!oppervlak_dak_2452I</vt:lpstr>
      <vt:lpstr>'Perceel 1'!Oppervlakte_0510</vt:lpstr>
      <vt:lpstr>'Perceel 2'!Oppervlakte_0510</vt:lpstr>
      <vt:lpstr>'Perceel 3'!Oppervlakte_0510</vt:lpstr>
      <vt:lpstr>P1_Boldraadroosters__tegel_bladvangers_plaatsen_t.p.v._hwa</vt:lpstr>
      <vt:lpstr>P1_Dakbedekking_deels_overlagen_kleiner_dan_5_m2</vt:lpstr>
      <vt:lpstr>P1_Dakbedekking_deels_overlagen_tussen_10_20_m2</vt:lpstr>
      <vt:lpstr>P1_Dakbedekking_deels_overlagen_tussen_5_10_m2</vt:lpstr>
      <vt:lpstr>P1_Doorvoeren_tot_Ø_150_mm_opnieuw_waterdicht_inwerken</vt:lpstr>
      <vt:lpstr>P1_Doorvoeren_tot_Ø_300_mm_opnieuw_waterdicht_inwerken</vt:lpstr>
      <vt:lpstr>P1_Doorvoeren_tot_Ø_500_mm_opnieuw_waterdicht_inwerken</vt:lpstr>
      <vt:lpstr>P1_Inspecteren_daken_en_goten_1x_per_jaar_gelijktijdig_met_reiniging_inclusief_inspectierapport_en_een_managementrapport</vt:lpstr>
      <vt:lpstr>P1_keuren_dakveiligheid_per_man_uur</vt:lpstr>
      <vt:lpstr>P1_Keuren_van_alle_aanwezige_dakveiligheidsvoorzieningen_zoals_onder_andere_ankers_veiligheidslijn_kabel__losse_ladders_t.b.v._toegangdaken_visueeel_controle_ladderopstelplaats__kooiladders__vaste_trappetjes_en_bevestigingen_inclusief_kleine_gebreken_verh</vt:lpstr>
      <vt:lpstr>P1_Koppelstukjes_van_de_daktrimmen_voorzien_van_een_kitvoeg</vt:lpstr>
      <vt:lpstr>P1_Lichtkoepels_demonteren_en_opslaan_op_het_dak_nieuwe_foamband_aanbrengen_opgeslagen_lichtkoepels_terug_monteren_tot_max_dagm._1.200_x_1.200_mm</vt:lpstr>
      <vt:lpstr>P1_Loodwerk_van_opbouwtjes_waarnodig_inkorten_en_netjes_aankloppen</vt:lpstr>
      <vt:lpstr>P1_Losse_voetlood_weer_vastzetten_met_loodproppen_en_opnieuw_afvoegen</vt:lpstr>
      <vt:lpstr>P1_Meer_prijs_anti_mosbehandeling</vt:lpstr>
      <vt:lpstr>P1_minder_prijs_reinigen_daken_bij_aanwezigheid_vaste_dakveiligheidsvoorzieningen</vt:lpstr>
      <vt:lpstr>P1_Minder_prijs_reinigen_daken_en_goten_bij_aanwezigheid_na_aanbrengen_van_vaste_dakveiligheidsvoorzieningen__invullen_met_een___er_voor</vt:lpstr>
      <vt:lpstr>P1_Nieuwe_randstroken_langs_dakranden_aanbrengen</vt:lpstr>
      <vt:lpstr>P1_Nieuwe_randstroken_opgaand_werk_aanbrengen</vt:lpstr>
      <vt:lpstr>P1_Nieuwe_randstroken_rond_unit_aanbrengen_tot_1.000_x_1.000_mm</vt:lpstr>
      <vt:lpstr>P1_Nieuwe_randstroken_rond_unit_aanbrengen_tot_500_x_500_mm</vt:lpstr>
      <vt:lpstr>P1_Onderzoek_calamiteit_zoals_bijvoorbeeld_lekkage_za__zo_en_feestdagen</vt:lpstr>
      <vt:lpstr>P1_Onderzoek_lekkage_ma_t_m_vr_tussen_7_en_18_uur</vt:lpstr>
      <vt:lpstr>P1_Onderzoek_lekkage_ma_t_m_vr_voor_7_uur_en_na_18_uur</vt:lpstr>
      <vt:lpstr>P1_onderzoek_lekkage_ma_vr_tussen_7_18_uur</vt:lpstr>
      <vt:lpstr>P1_onderzoek_lekkage_ma_vr_voor_7_na_18_uur</vt:lpstr>
      <vt:lpstr>P1_Onderzoek_lekkage_za__zo_en_feestdagen</vt:lpstr>
      <vt:lpstr>P1_onderzoek_lekkage_za_zo_feestdagen</vt:lpstr>
      <vt:lpstr>P1_Opnieuw__inwerken_hemelwaterafvoer___noodoverloop___spuwer__bitumen</vt:lpstr>
      <vt:lpstr>P1_Opnieuw_inwerken_hemelwaterafvoer_noodoverloop_spuwer_bitumen</vt:lpstr>
      <vt:lpstr>P1_Opnieuw_inwerken_hemelwaterafvoer_noodoverloop_spuwer_kunststof</vt:lpstr>
      <vt:lpstr>P1_PVC_steekstukken_demonteren_voorzien_van_kit_en_terug_monteren</vt:lpstr>
      <vt:lpstr>P1_Reinigen_daken_incl._extra_maatregelen_veilig_werken_volgens_VCA__eventuele_vergunningen_leges___voorrijkosten__adminstratieve_kosten__fotorapportage_en_kleine_reparaties_¹</vt:lpstr>
      <vt:lpstr>P1_reinigen_daken_met_vaste_dakveiligheid</vt:lpstr>
      <vt:lpstr>P1_Reinigen_goten_incl._extra_maatregelen_veilig_werken_volgens_VCA__eventuele_vergunningen_leges___voorrijkosten__adminstratieve_kosten__fotorapportage_en_kleine_reparaties_¹</vt:lpstr>
      <vt:lpstr>P1_reinigen_goten_met_vaste_dakveiligheid</vt:lpstr>
      <vt:lpstr>P1_Reinigen_Lichtkoepel_180x180</vt:lpstr>
      <vt:lpstr>P1_Reinigen_Lichtkoepel_50X50</vt:lpstr>
      <vt:lpstr>P1_Reinigen_Lichtkoepel_60x200</vt:lpstr>
      <vt:lpstr>P1_Reinigen_Lichtstraten_groter_dan_180x180</vt:lpstr>
      <vt:lpstr>P1_Vervangen_dakveiligheidsanker_voor_zelfde_merk__o.a._Latchways_Daksafe_incl._inwerken_dakbedekking</vt:lpstr>
      <vt:lpstr>P1_Vervangen_dakveiligheidslijn_voor_zelfde_merk_o.a._Latchways_Daksafe</vt:lpstr>
      <vt:lpstr>P1_Vervangen_van_het_voetlood_t.p.v._metselwerk_alleen_met_toestemming_van_opdrachtgever</vt:lpstr>
      <vt:lpstr>P1_Vervangen_van_het_voetlood_t.p.v._metselwerk_met_loodvervanger_alleen_met_toestemming_van_opdrachtgever</vt:lpstr>
      <vt:lpstr>P1_Voetlood_nalopen__scheurtjes_herstellen_met_Batu_band</vt:lpstr>
      <vt:lpstr>P1_voorrijkosten_per_melding</vt:lpstr>
      <vt:lpstr>P2_Boldraadroosters__tegel_bladvangers_plaatsen_t.p.v._hwa</vt:lpstr>
      <vt:lpstr>P2_Dakbedekking_deels_overlagen_kleiner_dan_5_m2</vt:lpstr>
      <vt:lpstr>P2_Dakbedekking_deels_overlagen_tussen_10_20_m2</vt:lpstr>
      <vt:lpstr>P2_Dakbedekking_deels_overlagen_tussen_5_10_m2</vt:lpstr>
      <vt:lpstr>P2_Doorvoeren_tot_Ø_150_mm_opnieuw_waterdicht_inwerken</vt:lpstr>
      <vt:lpstr>P2_Doorvoeren_tot_Ø_300_mm_opnieuw_waterdicht_inwerken</vt:lpstr>
      <vt:lpstr>P2_Doorvoeren_tot_Ø_500_mm_opnieuw_waterdicht_inwerken</vt:lpstr>
      <vt:lpstr>P2_Inspecteren_daken_en_goten_1x_per_jaar_gelijktijdig_met_reiniging_inclusief_inspectierapport_en_een_managementrapport</vt:lpstr>
      <vt:lpstr>P2_keuren_dakveiligheid_per_man_uur</vt:lpstr>
      <vt:lpstr>P2_Koppelstukjes_van_de_daktrimmen_voorzien_van_een_kitvoeg</vt:lpstr>
      <vt:lpstr>P2_Lichtkoepels_demonteren_en_opslaan_op_het_dak_nieuwe_foamband_aanbrengen_opgeslagen_lichtkoepels_terug_monteren_tot_max_dagm._1.200_x_1.200_mm</vt:lpstr>
      <vt:lpstr>P2_Loodwerk_van_opbouwtjes_waarnodig_inkorten_en_netjes_aankloppen</vt:lpstr>
      <vt:lpstr>P2_Losse_voetlood_weer_vastzetten_met_loodproppen_en_opnieuw_afvoegen</vt:lpstr>
      <vt:lpstr>P2_Meer_prijs_anti_mosbehandeling</vt:lpstr>
      <vt:lpstr>P2_minder_prijs_reinigen_daken_bij_aanwezigheid_vaste_dakveiligheidsvoorzieningen</vt:lpstr>
      <vt:lpstr>P2_Nieuwe_randstroken_langs_dakranden_aanbrengen</vt:lpstr>
      <vt:lpstr>P2_Nieuwe_randstroken_opgaand_werk_aanbrengen</vt:lpstr>
      <vt:lpstr>P2_Nieuwe_randstroken_rond_unit_aanbrengen_tot_1.000_x_1.000_mm</vt:lpstr>
      <vt:lpstr>P2_Nieuwe_randstroken_rond_unit_aanbrengen_tot_500_x_500_mm</vt:lpstr>
      <vt:lpstr>P2_onderzoek_lekkage_ma_vr_tussen_7_18_uur</vt:lpstr>
      <vt:lpstr>P2_onderzoek_lekkage_ma_vr_voor_7_na_18_uur</vt:lpstr>
      <vt:lpstr>P2_onderzoek_lekkage_za_zo_feestdagen</vt:lpstr>
      <vt:lpstr>P2_Opnieuw_inwerken_hemelwaterafvoer_noodoverloop_spuwer_bitumen</vt:lpstr>
      <vt:lpstr>P2_Opnieuw_inwerken_hemelwaterafvoer_noodoverloop_spuwer_kunststof</vt:lpstr>
      <vt:lpstr>P2_PVC_steekstukken_demonteren_voorzien_van_kit_en_terug_monteren</vt:lpstr>
      <vt:lpstr>P2_Reinigen_daken_incl._extra_maatregelen_veilig_werken_volgens_VCA__eventuele_vergunningen_leges___voorrijkosten__adminstratieve_kosten__fotorapportage_en_kleine_reparaties</vt:lpstr>
      <vt:lpstr>P2_reinigen_daken_met_vaste_dakveiligheid</vt:lpstr>
      <vt:lpstr>P2_Reinigen_goten_incl._extra_maatregelen_veilig_werken_volgens_VCA__eventuele_vergunningen_leges___voorrijkosten__adminstratieve_kosten__fotorapportage_en_kleine_reparaties</vt:lpstr>
      <vt:lpstr>P2_reinigen_goten_met_vaste_dakveiligheid</vt:lpstr>
      <vt:lpstr>P2_Reinigen_Lichtkoepel_180x180</vt:lpstr>
      <vt:lpstr>P2_Reinigen_Lichtkoepel_50X50</vt:lpstr>
      <vt:lpstr>P2_Reinigen_Lichtkoepel_60x200</vt:lpstr>
      <vt:lpstr>P2_Reinigen_Lichtstraten_groter_dan_180x180</vt:lpstr>
      <vt:lpstr>P2_Vervangen_dakveiligheidsanker_voor_zelfde_merk__o.a._Latchways_Daksafe_incl._inwerken_dakbedekking</vt:lpstr>
      <vt:lpstr>P2_Vervangen_dakveiligheidslijn_voor_zelfde_merk_o.a._Latchways_Daksafe</vt:lpstr>
      <vt:lpstr>P2_Vervangen_van_het_voetlood_t.p.v._metselwerk_alleen_met_toestemming_van_opdrachtgever</vt:lpstr>
      <vt:lpstr>P2_Vervangen_van_het_voetlood_t.p.v._metselwerk_met_loodvervanger_alleen_met_toestemming_van_opdrachtgever</vt:lpstr>
      <vt:lpstr>P2_Voetlood_nalopen__scheurtjes_herstellen_met_Batu_band</vt:lpstr>
      <vt:lpstr>P2_voorrijkosten_per_melding</vt:lpstr>
      <vt:lpstr>P3_Boldraadroosters__tegel_bladvangers_plaatsen_t.p.v._hwa</vt:lpstr>
      <vt:lpstr>P3_Dakbedekking_deels_overlagen_kleiner_dan_5_m2</vt:lpstr>
      <vt:lpstr>P3_Dakbedekking_deels_overlagen_tussen_10_20_m2</vt:lpstr>
      <vt:lpstr>P3_Dakbedekking_deels_overlagen_tussen_5_10_m2</vt:lpstr>
      <vt:lpstr>P3_Doorvoeren_tot_Ø_150_mm_opnieuw_waterdicht_inwerken</vt:lpstr>
      <vt:lpstr>P3_Doorvoeren_tot_Ø_300_mm_opnieuw_waterdicht_inwerken</vt:lpstr>
      <vt:lpstr>P3_Doorvoeren_tot_Ø_500_mm_opnieuw_waterdicht_inwerken</vt:lpstr>
      <vt:lpstr>P3_Inspecteren_daken_en_goten_1x_per_jaar_gelijktijdig_met_reiniging_inclusief_inspectierapport_en_een_managementrapport</vt:lpstr>
      <vt:lpstr>P3_keuren_dakveiligheid_per_man_uur</vt:lpstr>
      <vt:lpstr>P3_Koppelstukjes_van_de_daktrimmen_voorzien_van_een_kitvoeg</vt:lpstr>
      <vt:lpstr>P3_Lichtkoepels_demonteren_en_opslaan_op_het_dak_nieuwe_foamband_aanbrengen_opgeslagen_lichtkoepels_terug_monteren_tot_max_dagm._1.200_x_1.200_mm</vt:lpstr>
      <vt:lpstr>P3_Loodwerk_van_opbouwtjes_waarnodig_inkorten_en_netjes_aankloppen</vt:lpstr>
      <vt:lpstr>P3_Losse_voetlood_weer_vastzetten_met_loodproppen_en_opnieuw_afvoegen</vt:lpstr>
      <vt:lpstr>P3_Meer_prijs_anti_mosbehandeling</vt:lpstr>
      <vt:lpstr>P3_minder_prijs_reinigen_daken_bij_aanwezigheid_vaste_dakveiligheidsvoorzieningen</vt:lpstr>
      <vt:lpstr>P3_Nieuwe_randstroken_langs_dakranden_aanbrengen</vt:lpstr>
      <vt:lpstr>P3_Nieuwe_randstroken_opgaand_werk_aanbrengen</vt:lpstr>
      <vt:lpstr>P3_Nieuwe_randstroken_rond_unit_aanbrengen_tot_1.000_x_1.000_mm</vt:lpstr>
      <vt:lpstr>P3_Nieuwe_randstroken_rond_unit_aanbrengen_tot_500_x_500_mm</vt:lpstr>
      <vt:lpstr>P3_onderzoek_lekkage_ma_vr_tussen_7_18_uur</vt:lpstr>
      <vt:lpstr>P3_onderzoek_lekkage_ma_vr_voor_7_na_18_uur</vt:lpstr>
      <vt:lpstr>P3_onderzoek_lekkage_za_zo_feestdagen</vt:lpstr>
      <vt:lpstr>P3_Opnieuw_inwerken_hemelwaterafvoer_noodoverloop_spuwer_bitumen</vt:lpstr>
      <vt:lpstr>P3_Opnieuw_inwerken_hemelwaterafvoer_noodoverloop_spuwer_kunststof</vt:lpstr>
      <vt:lpstr>P3_PVC_steekstukken_demonteren_voorzien_van_kit_en_terug_monteren</vt:lpstr>
      <vt:lpstr>P3_Reinigen_daken_incl._extra_maatregelen_veilig_werken_volgens_VCA_eventuele_vergunningen_leges_voorrijkosten_adminstratieve_kosten_fotorapportage_en_kleine_reparaties</vt:lpstr>
      <vt:lpstr>P3_reinigen_daken_met_vaste_dakveiligheid</vt:lpstr>
      <vt:lpstr>P3_Reinigen_goten_incl._extra_maatregelen_veilig_werken_volgens_VCA__eventuele_vergunningen_leges___voorrijkosten__adminstratieve_kosten__fotorapportage_en_kleine_reparaties</vt:lpstr>
      <vt:lpstr>P3_reinigen_goten_met_vaste_dakveiligheid</vt:lpstr>
      <vt:lpstr>P3_Reinigen_Lichtkoepel_180x180</vt:lpstr>
      <vt:lpstr>P3_Reinigen_Lichtkoepel_50X50</vt:lpstr>
      <vt:lpstr>P3_Reinigen_Lichtkoepel_60x200</vt:lpstr>
      <vt:lpstr>P3_Reinigen_Lichtstraten_groter_dan_180x180</vt:lpstr>
      <vt:lpstr>P3_Vervangen_dakveiligheidsanker_voor_zelfde_merk__o.a._Latchways_Daksafe_incl._inwerken_dakbedekking</vt:lpstr>
      <vt:lpstr>P3_Vervangen_dakveiligheidslijn_voor_zelfde_merk_o.a._Latchways_Daksafe</vt:lpstr>
      <vt:lpstr>P3_Vervangen_van_het_voetlood_t.p.v._metselwerk_alleen_met_toestemming_van_opdrachtgever</vt:lpstr>
      <vt:lpstr>P3_Vervangen_van_het_voetlood_t.p.v._metselwerk_met_loodvervanger_alleen_met_toestemming_van_opdrachtgever</vt:lpstr>
      <vt:lpstr>P3_Voetlood_nalopen__scheurtjes_herstellen_met_Batu_band</vt:lpstr>
      <vt:lpstr>P3_voorrijkosten_per_melding</vt:lpstr>
      <vt:lpstr>Reinigen_daken_bij_aanwezige_vaste_dakveiligheidsvoorzieningen_incl._extra_maatregelen_veilig_werken_volgens_VCA__eventuele_vergunningen_leges___voorrijkosten__adminstratieve_kosten__rapporten_en_kleine_reparaties_¹</vt:lpstr>
      <vt:lpstr>Reinigen_daken_incl._extra_maatregelen_veilig_werken_volgens_VCA__eventuele_vergunningen_leges___voorrijkosten__adminstratieve_kosten__fotorapportage_en_kleine_reparaties_¹</vt:lpstr>
      <vt:lpstr>Reinigen_daken_incl._extra_maatregelen_veilig_werken_volgens_VCA__eventuele_vergunningen_leges___voorrijkosten__adminstratieve_kosten__rapporten_en_kleine_reparaties_¹</vt:lpstr>
      <vt:lpstr>Reinigen_goten_bij_aanwezige_vaste_dakveiligheidsvoorzieningen__incl._extra_maatregelen_veilig_werken_volgens_VCA__eventuele_vergunningen_leges___voorrijkosten__adminstratieve_kosten__rapporten_en_kleine_reparaties_¹</vt:lpstr>
      <vt:lpstr>Reinigen_goten_incl._extra_maatregelen_veilig_werken_volgens_VCA__eventuele_vergunningen_leges___voorrijkosten__adminstratieve_kosten__rapporten_en_kleine_reparaties_¹</vt:lpstr>
      <vt:lpstr>Voorrijkosten_per_incident_melding_incl._manuren_om_ter_plaatse_te_komen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Rijk TA de (Thea)</dc:creator>
  <cp:keywords/>
  <dc:description/>
  <cp:lastModifiedBy>Reiling CS (Caroline)</cp:lastModifiedBy>
  <cp:revision/>
  <dcterms:created xsi:type="dcterms:W3CDTF">2026-01-20T11:56:12Z</dcterms:created>
  <dcterms:modified xsi:type="dcterms:W3CDTF">2026-04-09T15:49:50Z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0x0101004C3C11058C24A243A3D3240DE8D68F5100139543DE989EF146843FA9FECEE19F4E</vt:lpwstr>
  </property>
  <property fmtid="{D5CDD505-2E9C-101B-9397-08002B2CF9AE}" pid="3" name="MediaServiceImageTags">
    <vt:lpwstr/>
  </property>
  <property fmtid="{D5CDD505-2E9C-101B-9397-08002B2CF9AE}" pid="4" name="Documenttypen">
    <vt:lpwstr/>
  </property>
  <property fmtid="{D5CDD505-2E9C-101B-9397-08002B2CF9AE}" pid="5" name="Passende_x0020_Trefwoorden">
    <vt:lpwstr/>
  </property>
  <property fmtid="{D5CDD505-2E9C-101B-9397-08002B2CF9AE}" pid="6" name="lcf76f155ced4ddcb4097134ff3c332f">
    <vt:lpwstr/>
  </property>
  <property fmtid="{D5CDD505-2E9C-101B-9397-08002B2CF9AE}" pid="7" name="Passende Trefwoorden">
    <vt:lpwstr/>
  </property>
</Properties>
</file>